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104A6CBF-7269-C84E-A86B-B48F1F1E4A41}" xr6:coauthVersionLast="45" xr6:coauthVersionMax="45" xr10:uidLastSave="{00000000-0000-0000-0000-000000000000}"/>
  <bookViews>
    <workbookView xWindow="0" yWindow="600" windowWidth="28800" windowHeight="16300" tabRatio="837" firstSheet="12" activeTab="18" xr2:uid="{00000000-000D-0000-FFFF-FFFF00000000}"/>
  </bookViews>
  <sheets>
    <sheet name="WRPF ПЛ без экипировки ДК" sheetId="17" r:id="rId1"/>
    <sheet name="WRPF ПЛ без экипировки" sheetId="16" r:id="rId2"/>
    <sheet name="WRPF ПЛ в бинтах ДК" sheetId="13" r:id="rId3"/>
    <sheet name="WRPF Двоеборье без экип ДК" sheetId="33" r:id="rId4"/>
    <sheet name="WRPF Двоеборье без экип" sheetId="32" r:id="rId5"/>
    <sheet name="WRPF Жим лежа без экип ДК" sheetId="21" r:id="rId6"/>
    <sheet name="WRPF Жим лежа без экип" sheetId="20" r:id="rId7"/>
    <sheet name="WEPF Жим однослой" sheetId="23" r:id="rId8"/>
    <sheet name="WEPF Жим софт однопетельная" sheetId="18" r:id="rId9"/>
    <sheet name="WEPF Жим софт многопетельная" sheetId="26" r:id="rId10"/>
    <sheet name="WRPF Военный жим ДК" sheetId="25" r:id="rId11"/>
    <sheet name="WRPF Военный жим" sheetId="19" r:id="rId12"/>
    <sheet name="WRPF Жим СФО" sheetId="50" r:id="rId13"/>
    <sheet name="WRPF Тяга без экипировки ДК" sheetId="29" r:id="rId14"/>
    <sheet name="WRPF Тяга без экипировки" sheetId="28" r:id="rId15"/>
    <sheet name="WEPF Тяга экип ДК" sheetId="31" r:id="rId16"/>
    <sheet name="WEPF Тяга экип" sheetId="30" r:id="rId17"/>
    <sheet name="WRPF Подъем на бицепс ДК" sheetId="39" r:id="rId18"/>
    <sheet name="WRPF Подъем на бицепс" sheetId="3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50" l="1"/>
  <c r="K6" i="50"/>
  <c r="L36" i="39"/>
  <c r="K36" i="39"/>
  <c r="L35" i="39"/>
  <c r="K35" i="39"/>
  <c r="L32" i="39"/>
  <c r="K32" i="39"/>
  <c r="L29" i="39"/>
  <c r="K29" i="39"/>
  <c r="L28" i="39"/>
  <c r="K28" i="39"/>
  <c r="L27" i="39"/>
  <c r="K27" i="39"/>
  <c r="L24" i="39"/>
  <c r="K24" i="39"/>
  <c r="L23" i="39"/>
  <c r="K23" i="39"/>
  <c r="L22" i="39"/>
  <c r="K22" i="39"/>
  <c r="L21" i="39"/>
  <c r="K21" i="39"/>
  <c r="L18" i="39"/>
  <c r="K18" i="39"/>
  <c r="L17" i="39"/>
  <c r="K17" i="39"/>
  <c r="L16" i="39"/>
  <c r="K16" i="39"/>
  <c r="L15" i="39"/>
  <c r="K15" i="39"/>
  <c r="L12" i="39"/>
  <c r="K12" i="39"/>
  <c r="L9" i="39"/>
  <c r="K9" i="39"/>
  <c r="L6" i="39"/>
  <c r="K6" i="39"/>
  <c r="L12" i="38"/>
  <c r="K12" i="38"/>
  <c r="L11" i="38"/>
  <c r="K11" i="38"/>
  <c r="L10" i="38"/>
  <c r="K10" i="38"/>
  <c r="L7" i="38"/>
  <c r="K7" i="38"/>
  <c r="L6" i="38"/>
  <c r="K6" i="38"/>
  <c r="P32" i="33"/>
  <c r="O32" i="33"/>
  <c r="P31" i="33"/>
  <c r="O31" i="33"/>
  <c r="P28" i="33"/>
  <c r="P27" i="33"/>
  <c r="O27" i="33"/>
  <c r="P26" i="33"/>
  <c r="P25" i="33"/>
  <c r="O25" i="33"/>
  <c r="P22" i="33"/>
  <c r="O22" i="33"/>
  <c r="P21" i="33"/>
  <c r="O21" i="33"/>
  <c r="P18" i="33"/>
  <c r="O18" i="33"/>
  <c r="P15" i="33"/>
  <c r="O15" i="33"/>
  <c r="P12" i="33"/>
  <c r="O12" i="33"/>
  <c r="P9" i="33"/>
  <c r="O9" i="33"/>
  <c r="P8" i="33"/>
  <c r="O8" i="33"/>
  <c r="P7" i="33"/>
  <c r="O7" i="33"/>
  <c r="P6" i="33"/>
  <c r="O6" i="33"/>
  <c r="P22" i="32"/>
  <c r="O22" i="32"/>
  <c r="P19" i="32"/>
  <c r="O19" i="32"/>
  <c r="P18" i="32"/>
  <c r="O18" i="32"/>
  <c r="P15" i="32"/>
  <c r="O15" i="32"/>
  <c r="P12" i="32"/>
  <c r="O12" i="32"/>
  <c r="P9" i="32"/>
  <c r="O9" i="32"/>
  <c r="P6" i="32"/>
  <c r="O6" i="32"/>
  <c r="L6" i="31"/>
  <c r="K6" i="31"/>
  <c r="L6" i="30"/>
  <c r="K6" i="30"/>
  <c r="L50" i="29"/>
  <c r="K50" i="29"/>
  <c r="L47" i="29"/>
  <c r="K47" i="29"/>
  <c r="L46" i="29"/>
  <c r="K46" i="29"/>
  <c r="L45" i="29"/>
  <c r="K45" i="29"/>
  <c r="L42" i="29"/>
  <c r="K42" i="29"/>
  <c r="L41" i="29"/>
  <c r="K41" i="29"/>
  <c r="L40" i="29"/>
  <c r="K40" i="29"/>
  <c r="L39" i="29"/>
  <c r="K39" i="29"/>
  <c r="L36" i="29"/>
  <c r="K36" i="29"/>
  <c r="L35" i="29"/>
  <c r="K35" i="29"/>
  <c r="L34" i="29"/>
  <c r="K34" i="29"/>
  <c r="L31" i="29"/>
  <c r="K31" i="29"/>
  <c r="L30" i="29"/>
  <c r="K30" i="29"/>
  <c r="L27" i="29"/>
  <c r="K27" i="29"/>
  <c r="L24" i="29"/>
  <c r="K24" i="29"/>
  <c r="L23" i="29"/>
  <c r="K23" i="29"/>
  <c r="L20" i="29"/>
  <c r="K20" i="29"/>
  <c r="L19" i="29"/>
  <c r="K19" i="29"/>
  <c r="L18" i="29"/>
  <c r="K18" i="29"/>
  <c r="L17" i="29"/>
  <c r="K17" i="29"/>
  <c r="L16" i="29"/>
  <c r="K16" i="29"/>
  <c r="L13" i="29"/>
  <c r="K13" i="29"/>
  <c r="L12" i="29"/>
  <c r="K12" i="29"/>
  <c r="L9" i="29"/>
  <c r="K9" i="29"/>
  <c r="L6" i="29"/>
  <c r="K6" i="29"/>
  <c r="L28" i="28"/>
  <c r="K28" i="28"/>
  <c r="L27" i="28"/>
  <c r="K27" i="28"/>
  <c r="L26" i="28"/>
  <c r="K26" i="28"/>
  <c r="L23" i="28"/>
  <c r="K23" i="28"/>
  <c r="L20" i="28"/>
  <c r="K20" i="28"/>
  <c r="L19" i="28"/>
  <c r="K19" i="28"/>
  <c r="L18" i="28"/>
  <c r="K18" i="28"/>
  <c r="L17" i="28"/>
  <c r="K17" i="28"/>
  <c r="L14" i="28"/>
  <c r="K14" i="28"/>
  <c r="L11" i="28"/>
  <c r="K11" i="28"/>
  <c r="L10" i="28"/>
  <c r="K10" i="28"/>
  <c r="L9" i="28"/>
  <c r="K9" i="28"/>
  <c r="L6" i="28"/>
  <c r="K6" i="28"/>
  <c r="L9" i="26"/>
  <c r="K9" i="26"/>
  <c r="L6" i="26"/>
  <c r="K6" i="26"/>
  <c r="L7" i="25"/>
  <c r="K7" i="25"/>
  <c r="L6" i="25"/>
  <c r="K6" i="25"/>
  <c r="L9" i="23"/>
  <c r="K9" i="23"/>
  <c r="L6" i="23"/>
  <c r="K6" i="23"/>
  <c r="L97" i="21"/>
  <c r="K97" i="21"/>
  <c r="L96" i="21"/>
  <c r="K96" i="21"/>
  <c r="L95" i="21"/>
  <c r="K95" i="21"/>
  <c r="L94" i="21"/>
  <c r="K94" i="21"/>
  <c r="L91" i="21"/>
  <c r="K91" i="21"/>
  <c r="L90" i="21"/>
  <c r="K90" i="21"/>
  <c r="L89" i="21"/>
  <c r="K89" i="21"/>
  <c r="L88" i="21"/>
  <c r="K88" i="21"/>
  <c r="L87" i="21"/>
  <c r="K87" i="21"/>
  <c r="L86" i="21"/>
  <c r="K86" i="21"/>
  <c r="L83" i="21"/>
  <c r="K83" i="21"/>
  <c r="L82" i="21"/>
  <c r="K82" i="21"/>
  <c r="L81" i="21"/>
  <c r="K81" i="21"/>
  <c r="L80" i="21"/>
  <c r="K80" i="21"/>
  <c r="L79" i="21"/>
  <c r="K79" i="21"/>
  <c r="L78" i="21"/>
  <c r="K78" i="21"/>
  <c r="L77" i="21"/>
  <c r="K77" i="21"/>
  <c r="L76" i="21"/>
  <c r="K76" i="21"/>
  <c r="L75" i="21"/>
  <c r="K75" i="21"/>
  <c r="L74" i="21"/>
  <c r="K74" i="21"/>
  <c r="L71" i="21"/>
  <c r="K71" i="21"/>
  <c r="L70" i="21"/>
  <c r="K70" i="21"/>
  <c r="L69" i="21"/>
  <c r="K69" i="21"/>
  <c r="L68" i="21"/>
  <c r="K68" i="21"/>
  <c r="L67" i="21"/>
  <c r="K67" i="21"/>
  <c r="L66" i="21"/>
  <c r="K66" i="21"/>
  <c r="L65" i="21"/>
  <c r="K65" i="21"/>
  <c r="L64" i="21"/>
  <c r="K64" i="21"/>
  <c r="L63" i="21"/>
  <c r="K63" i="21"/>
  <c r="L60" i="21"/>
  <c r="K60" i="21"/>
  <c r="L59" i="21"/>
  <c r="K59" i="21"/>
  <c r="L58" i="21"/>
  <c r="K58" i="21"/>
  <c r="L57" i="21"/>
  <c r="K57" i="21"/>
  <c r="L56" i="21"/>
  <c r="K56" i="21"/>
  <c r="L55" i="21"/>
  <c r="K55" i="21"/>
  <c r="L52" i="21"/>
  <c r="K52" i="21"/>
  <c r="L51" i="21"/>
  <c r="K51" i="21"/>
  <c r="L50" i="21"/>
  <c r="K50" i="21"/>
  <c r="L49" i="21"/>
  <c r="K49" i="21"/>
  <c r="L48" i="21"/>
  <c r="K48" i="21"/>
  <c r="L47" i="21"/>
  <c r="K47" i="21"/>
  <c r="L46" i="21"/>
  <c r="K46" i="21"/>
  <c r="L45" i="21"/>
  <c r="K45" i="21"/>
  <c r="L44" i="21"/>
  <c r="K44" i="21"/>
  <c r="L43" i="21"/>
  <c r="K43" i="21"/>
  <c r="L42" i="21"/>
  <c r="K42" i="21"/>
  <c r="L41" i="21"/>
  <c r="K41" i="21"/>
  <c r="L38" i="21"/>
  <c r="K38" i="21"/>
  <c r="L37" i="21"/>
  <c r="K37" i="21"/>
  <c r="L36" i="21"/>
  <c r="K36" i="21"/>
  <c r="L35" i="21"/>
  <c r="K35" i="21"/>
  <c r="L34" i="21"/>
  <c r="K34" i="21"/>
  <c r="L31" i="21"/>
  <c r="K31" i="21"/>
  <c r="L28" i="21"/>
  <c r="K28" i="21"/>
  <c r="L25" i="21"/>
  <c r="K25" i="21"/>
  <c r="L24" i="21"/>
  <c r="K24" i="21"/>
  <c r="L23" i="21"/>
  <c r="K23" i="21"/>
  <c r="L22" i="21"/>
  <c r="K22" i="21"/>
  <c r="L19" i="21"/>
  <c r="L18" i="21"/>
  <c r="K18" i="21"/>
  <c r="L17" i="21"/>
  <c r="K17" i="21"/>
  <c r="L16" i="21"/>
  <c r="K16" i="21"/>
  <c r="L13" i="21"/>
  <c r="L12" i="21"/>
  <c r="K12" i="21"/>
  <c r="L11" i="21"/>
  <c r="K11" i="21"/>
  <c r="L10" i="21"/>
  <c r="K10" i="21"/>
  <c r="L9" i="21"/>
  <c r="K9" i="21"/>
  <c r="L6" i="21"/>
  <c r="K6" i="21"/>
  <c r="L34" i="20"/>
  <c r="K34" i="20"/>
  <c r="L31" i="20"/>
  <c r="K31" i="20"/>
  <c r="L30" i="20"/>
  <c r="K30" i="20"/>
  <c r="L27" i="20"/>
  <c r="K27" i="20"/>
  <c r="L26" i="20"/>
  <c r="K26" i="20"/>
  <c r="L25" i="20"/>
  <c r="K25" i="20"/>
  <c r="L24" i="20"/>
  <c r="K24" i="20"/>
  <c r="L21" i="20"/>
  <c r="K21" i="20"/>
  <c r="L20" i="20"/>
  <c r="K20" i="20"/>
  <c r="L17" i="20"/>
  <c r="K17" i="20"/>
  <c r="L16" i="20"/>
  <c r="K16" i="20"/>
  <c r="L15" i="20"/>
  <c r="K15" i="20"/>
  <c r="L12" i="20"/>
  <c r="K12" i="20"/>
  <c r="L11" i="20"/>
  <c r="K11" i="20"/>
  <c r="L10" i="20"/>
  <c r="K10" i="20"/>
  <c r="L9" i="20"/>
  <c r="K9" i="20"/>
  <c r="L6" i="20"/>
  <c r="L10" i="19"/>
  <c r="K10" i="19"/>
  <c r="L7" i="19"/>
  <c r="K7" i="19"/>
  <c r="L6" i="19"/>
  <c r="K6" i="19"/>
  <c r="L9" i="18"/>
  <c r="K9" i="18"/>
  <c r="L6" i="18"/>
  <c r="K6" i="18"/>
  <c r="T80" i="17"/>
  <c r="S80" i="17"/>
  <c r="T77" i="17"/>
  <c r="S77" i="17"/>
  <c r="T76" i="17"/>
  <c r="S76" i="17"/>
  <c r="T75" i="17"/>
  <c r="S75" i="17"/>
  <c r="T72" i="17"/>
  <c r="S72" i="17"/>
  <c r="T71" i="17"/>
  <c r="S71" i="17"/>
  <c r="T70" i="17"/>
  <c r="S70" i="17"/>
  <c r="T69" i="17"/>
  <c r="S69" i="17"/>
  <c r="T68" i="17"/>
  <c r="S68" i="17"/>
  <c r="T67" i="17"/>
  <c r="S67" i="17"/>
  <c r="T64" i="17"/>
  <c r="S64" i="17"/>
  <c r="T63" i="17"/>
  <c r="S63" i="17"/>
  <c r="T62" i="17"/>
  <c r="T61" i="17"/>
  <c r="S61" i="17"/>
  <c r="T60" i="17"/>
  <c r="S60" i="17"/>
  <c r="T59" i="17"/>
  <c r="S59" i="17"/>
  <c r="T58" i="17"/>
  <c r="S58" i="17"/>
  <c r="T57" i="17"/>
  <c r="S57" i="17"/>
  <c r="T56" i="17"/>
  <c r="S56" i="17"/>
  <c r="T55" i="17"/>
  <c r="S55" i="17"/>
  <c r="T54" i="17"/>
  <c r="S54" i="17"/>
  <c r="T53" i="17"/>
  <c r="S53" i="17"/>
  <c r="T52" i="17"/>
  <c r="T51" i="17"/>
  <c r="T50" i="17"/>
  <c r="S50" i="17"/>
  <c r="T49" i="17"/>
  <c r="S49" i="17"/>
  <c r="T48" i="17"/>
  <c r="S48" i="17"/>
  <c r="T45" i="17"/>
  <c r="S45" i="17"/>
  <c r="T44" i="17"/>
  <c r="T43" i="17"/>
  <c r="S43" i="17"/>
  <c r="T42" i="17"/>
  <c r="S42" i="17"/>
  <c r="T39" i="17"/>
  <c r="S39" i="17"/>
  <c r="T38" i="17"/>
  <c r="S38" i="17"/>
  <c r="T37" i="17"/>
  <c r="S37" i="17"/>
  <c r="T36" i="17"/>
  <c r="S36" i="17"/>
  <c r="T35" i="17"/>
  <c r="S35" i="17"/>
  <c r="T32" i="17"/>
  <c r="S32" i="17"/>
  <c r="T29" i="17"/>
  <c r="S29" i="17"/>
  <c r="T26" i="17"/>
  <c r="S26" i="17"/>
  <c r="T25" i="17"/>
  <c r="S25" i="17"/>
  <c r="T24" i="17"/>
  <c r="T23" i="17"/>
  <c r="S23" i="17"/>
  <c r="T22" i="17"/>
  <c r="S22" i="17"/>
  <c r="T21" i="17"/>
  <c r="S21" i="17"/>
  <c r="T18" i="17"/>
  <c r="S18" i="17"/>
  <c r="T17" i="17"/>
  <c r="S17" i="17"/>
  <c r="T16" i="17"/>
  <c r="S16" i="17"/>
  <c r="T15" i="17"/>
  <c r="S15" i="17"/>
  <c r="T14" i="17"/>
  <c r="S14" i="17"/>
  <c r="T11" i="17"/>
  <c r="S11" i="17"/>
  <c r="T10" i="17"/>
  <c r="S10" i="17"/>
  <c r="T9" i="17"/>
  <c r="S9" i="17"/>
  <c r="T8" i="17"/>
  <c r="S8" i="17"/>
  <c r="T7" i="17"/>
  <c r="S7" i="17"/>
  <c r="T6" i="17"/>
  <c r="S6" i="17"/>
  <c r="T39" i="16"/>
  <c r="T36" i="16"/>
  <c r="S36" i="16"/>
  <c r="T33" i="16"/>
  <c r="S33" i="16"/>
  <c r="T32" i="16"/>
  <c r="S32" i="16"/>
  <c r="T31" i="16"/>
  <c r="S31" i="16"/>
  <c r="T30" i="16"/>
  <c r="S30" i="16"/>
  <c r="T29" i="16"/>
  <c r="S29" i="16"/>
  <c r="T26" i="16"/>
  <c r="S26" i="16"/>
  <c r="T25" i="16"/>
  <c r="S25" i="16"/>
  <c r="T24" i="16"/>
  <c r="S24" i="16"/>
  <c r="T21" i="16"/>
  <c r="S21" i="16"/>
  <c r="T20" i="16"/>
  <c r="S20" i="16"/>
  <c r="T17" i="16"/>
  <c r="S17" i="16"/>
  <c r="T16" i="16"/>
  <c r="S16" i="16"/>
  <c r="T13" i="16"/>
  <c r="S13" i="16"/>
  <c r="T10" i="16"/>
  <c r="S10" i="16"/>
  <c r="T9" i="16"/>
  <c r="S9" i="16"/>
  <c r="T6" i="16"/>
  <c r="S6" i="16"/>
  <c r="T9" i="13"/>
  <c r="S9" i="13"/>
  <c r="T6" i="13"/>
  <c r="S6" i="13"/>
</calcChain>
</file>

<file path=xl/sharedStrings.xml><?xml version="1.0" encoding="utf-8"?>
<sst xmlns="http://schemas.openxmlformats.org/spreadsheetml/2006/main" count="3552" uniqueCount="973">
  <si>
    <t>ФИО</t>
  </si>
  <si>
    <t>Сумма</t>
  </si>
  <si>
    <t>Тренер</t>
  </si>
  <si>
    <t>Очки</t>
  </si>
  <si>
    <t>Рек</t>
  </si>
  <si>
    <t>Собственный 
вес</t>
  </si>
  <si>
    <t>ВЕСОВАЯ КАТЕГОРИЯ   100</t>
  </si>
  <si>
    <t>ВЕСОВАЯ КАТЕГОРИЯ   110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</si>
  <si>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</si>
  <si>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</si>
  <si>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</si>
  <si>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</si>
  <si>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Сумма </t>
  </si>
  <si>
    <t xml:space="preserve">Результат </t>
  </si>
  <si>
    <t xml:space="preserve">Gloss </t>
  </si>
  <si>
    <t>100</t>
  </si>
  <si>
    <t xml:space="preserve">Открытая </t>
  </si>
  <si>
    <t>110</t>
  </si>
  <si>
    <t xml:space="preserve">Мастера </t>
  </si>
  <si>
    <t>Результат</t>
  </si>
  <si>
    <t>1</t>
  </si>
  <si>
    <t/>
  </si>
  <si>
    <t>ВЕСОВАЯ КАТЕГОРИЯ   75</t>
  </si>
  <si>
    <t>65,0</t>
  </si>
  <si>
    <t>80,0</t>
  </si>
  <si>
    <t>90,0</t>
  </si>
  <si>
    <t>Лощилова Ольга</t>
  </si>
  <si>
    <t>70,00</t>
  </si>
  <si>
    <t>70,0</t>
  </si>
  <si>
    <t>75,0</t>
  </si>
  <si>
    <t xml:space="preserve">Парджиани А. </t>
  </si>
  <si>
    <t>Панкратьев Алексей</t>
  </si>
  <si>
    <t>Открытая (08.05.1988)/33</t>
  </si>
  <si>
    <t>74,70</t>
  </si>
  <si>
    <t>130,0</t>
  </si>
  <si>
    <t>142,5</t>
  </si>
  <si>
    <t>150,0</t>
  </si>
  <si>
    <t>147,5</t>
  </si>
  <si>
    <t>157,5</t>
  </si>
  <si>
    <t>160,0</t>
  </si>
  <si>
    <t>170,0</t>
  </si>
  <si>
    <t>180,0</t>
  </si>
  <si>
    <t>190,0</t>
  </si>
  <si>
    <t xml:space="preserve">Женщины </t>
  </si>
  <si>
    <t>75</t>
  </si>
  <si>
    <t>2</t>
  </si>
  <si>
    <t>25,0</t>
  </si>
  <si>
    <t>ВЕСОВАЯ КАТЕГОРИЯ   90</t>
  </si>
  <si>
    <t>50,0</t>
  </si>
  <si>
    <t>60,0</t>
  </si>
  <si>
    <t>90</t>
  </si>
  <si>
    <t>Григорьева Татьяна</t>
  </si>
  <si>
    <t>66,60</t>
  </si>
  <si>
    <t>45,0</t>
  </si>
  <si>
    <t>52,5</t>
  </si>
  <si>
    <t>125,0</t>
  </si>
  <si>
    <t>Приседание</t>
  </si>
  <si>
    <t>Жим лёжа</t>
  </si>
  <si>
    <t>Становая тяга</t>
  </si>
  <si>
    <t>ВЕСОВАЯ КАТЕГОРИЯ   67.5</t>
  </si>
  <si>
    <t>Быстров Михаил</t>
  </si>
  <si>
    <t>Юноши 17-19 (21.08.2003)/18</t>
  </si>
  <si>
    <t>61,00</t>
  </si>
  <si>
    <t>115,0</t>
  </si>
  <si>
    <t>122,5</t>
  </si>
  <si>
    <t>67,5</t>
  </si>
  <si>
    <t>72,5</t>
  </si>
  <si>
    <t>137,5</t>
  </si>
  <si>
    <t xml:space="preserve">Хлызов Е. </t>
  </si>
  <si>
    <t>Красников Иван</t>
  </si>
  <si>
    <t>Открытая (03.07.1990)/31</t>
  </si>
  <si>
    <t>99,10</t>
  </si>
  <si>
    <t>175,0</t>
  </si>
  <si>
    <t>187,5</t>
  </si>
  <si>
    <t>135,0</t>
  </si>
  <si>
    <t>217,5</t>
  </si>
  <si>
    <t>235,0</t>
  </si>
  <si>
    <t xml:space="preserve">Wilks </t>
  </si>
  <si>
    <t>67.5</t>
  </si>
  <si>
    <t>325,0</t>
  </si>
  <si>
    <t>ВЕСОВАЯ КАТЕГОРИЯ   48</t>
  </si>
  <si>
    <t>Жук Юлия</t>
  </si>
  <si>
    <t>Открытая (01.04.1986)/35</t>
  </si>
  <si>
    <t>48,00</t>
  </si>
  <si>
    <t>105,0</t>
  </si>
  <si>
    <t>108,5</t>
  </si>
  <si>
    <t>55,0</t>
  </si>
  <si>
    <t>138,5</t>
  </si>
  <si>
    <t xml:space="preserve">Таранухин Г. </t>
  </si>
  <si>
    <t>ВЕСОВАЯ КАТЕГОРИЯ   56</t>
  </si>
  <si>
    <t>Ануфриева Елизавета</t>
  </si>
  <si>
    <t>Открытая (30.10.1988)/33</t>
  </si>
  <si>
    <t>55,90</t>
  </si>
  <si>
    <t>87,5</t>
  </si>
  <si>
    <t>92,5</t>
  </si>
  <si>
    <t>57,5</t>
  </si>
  <si>
    <t>62,5</t>
  </si>
  <si>
    <t>102,5</t>
  </si>
  <si>
    <t>110,0</t>
  </si>
  <si>
    <t>112,5</t>
  </si>
  <si>
    <t>Устинова Виктория</t>
  </si>
  <si>
    <t>Открытая (14.01.1990)/32</t>
  </si>
  <si>
    <t>55,70</t>
  </si>
  <si>
    <t>82,5</t>
  </si>
  <si>
    <t>47,5</t>
  </si>
  <si>
    <t>107,5</t>
  </si>
  <si>
    <t xml:space="preserve">Кульное Н. </t>
  </si>
  <si>
    <t>ВЕСОВАЯ КАТЕГОРИЯ   60</t>
  </si>
  <si>
    <t>Гатало Ирина</t>
  </si>
  <si>
    <t>Открытая (06.03.1989)/32</t>
  </si>
  <si>
    <t>59,80</t>
  </si>
  <si>
    <t>100,0</t>
  </si>
  <si>
    <t>140,0</t>
  </si>
  <si>
    <t>155,0</t>
  </si>
  <si>
    <t xml:space="preserve">Кульпин Н. </t>
  </si>
  <si>
    <t>Чернышева Екатерина</t>
  </si>
  <si>
    <t>Открытая (10.02.1976)/46</t>
  </si>
  <si>
    <t>77,5</t>
  </si>
  <si>
    <t>85,0</t>
  </si>
  <si>
    <t xml:space="preserve">Чернышев Д. </t>
  </si>
  <si>
    <t>Дадашева Патимат</t>
  </si>
  <si>
    <t>Открытая (12.05.2002)/19</t>
  </si>
  <si>
    <t>67,50</t>
  </si>
  <si>
    <t>35,0</t>
  </si>
  <si>
    <t>37,5</t>
  </si>
  <si>
    <t>40,0</t>
  </si>
  <si>
    <t>97,5</t>
  </si>
  <si>
    <t xml:space="preserve">Тадамухин Г. </t>
  </si>
  <si>
    <t>ВЕСОВАЯ КАТЕГОРИЯ   82.5</t>
  </si>
  <si>
    <t>Кульпин Никита</t>
  </si>
  <si>
    <t>Открытая (11.10.1993)/28</t>
  </si>
  <si>
    <t>82,50</t>
  </si>
  <si>
    <t>200,0</t>
  </si>
  <si>
    <t>210,0</t>
  </si>
  <si>
    <t>212,5</t>
  </si>
  <si>
    <t>165,0</t>
  </si>
  <si>
    <t>167,5</t>
  </si>
  <si>
    <t>237,5</t>
  </si>
  <si>
    <t>250,0</t>
  </si>
  <si>
    <t>Андрющенко Алексей</t>
  </si>
  <si>
    <t>Открытая (07.05.1997)/24</t>
  </si>
  <si>
    <t>117,5</t>
  </si>
  <si>
    <t>120,0</t>
  </si>
  <si>
    <t>207,5</t>
  </si>
  <si>
    <t>220,0</t>
  </si>
  <si>
    <t>Фомичев Кирилл</t>
  </si>
  <si>
    <t>Открытая (18.05.1992)/29</t>
  </si>
  <si>
    <t>89,20</t>
  </si>
  <si>
    <t>225,0</t>
  </si>
  <si>
    <t>245,0</t>
  </si>
  <si>
    <t>195,0</t>
  </si>
  <si>
    <t>275,0</t>
  </si>
  <si>
    <t>292,5</t>
  </si>
  <si>
    <t>300,0</t>
  </si>
  <si>
    <t xml:space="preserve">Фомичев К. </t>
  </si>
  <si>
    <t>Калинин Максим</t>
  </si>
  <si>
    <t>Открытая (29.03.1987)/34</t>
  </si>
  <si>
    <t>86,00</t>
  </si>
  <si>
    <t>230,0</t>
  </si>
  <si>
    <t>240,0</t>
  </si>
  <si>
    <t xml:space="preserve">Смирнов А. </t>
  </si>
  <si>
    <t>Данилов Михаил</t>
  </si>
  <si>
    <t>Открытая (27.07.1984)/37</t>
  </si>
  <si>
    <t>88,10</t>
  </si>
  <si>
    <t>145,0</t>
  </si>
  <si>
    <t xml:space="preserve">Суслов Н. </t>
  </si>
  <si>
    <t>Басиров Рустам</t>
  </si>
  <si>
    <t>Открытая (31.07.1989)/32</t>
  </si>
  <si>
    <t>98,10</t>
  </si>
  <si>
    <t>310,0</t>
  </si>
  <si>
    <t>320,0</t>
  </si>
  <si>
    <t>330,0</t>
  </si>
  <si>
    <t>215,0</t>
  </si>
  <si>
    <t>335,0</t>
  </si>
  <si>
    <t>Комисаров Михаил</t>
  </si>
  <si>
    <t>Открытая (23.08.1995)/26</t>
  </si>
  <si>
    <t>99,40</t>
  </si>
  <si>
    <t>260,0</t>
  </si>
  <si>
    <t>270,0</t>
  </si>
  <si>
    <t xml:space="preserve">Тимофеев Д. </t>
  </si>
  <si>
    <t>Михайлов Дмитрий</t>
  </si>
  <si>
    <t>Открытая (23.05.1984)/37</t>
  </si>
  <si>
    <t>99,20</t>
  </si>
  <si>
    <t>265,0</t>
  </si>
  <si>
    <t>282,5</t>
  </si>
  <si>
    <t>182,5</t>
  </si>
  <si>
    <t>322,5</t>
  </si>
  <si>
    <t>Щербаков Роман</t>
  </si>
  <si>
    <t>Мастера 50-59 (19.12.1970)/51</t>
  </si>
  <si>
    <t>97,90</t>
  </si>
  <si>
    <t>227,5</t>
  </si>
  <si>
    <t>232,5</t>
  </si>
  <si>
    <t>152,5</t>
  </si>
  <si>
    <t xml:space="preserve">Гнатко В. </t>
  </si>
  <si>
    <t>Иванов Андрей</t>
  </si>
  <si>
    <t>Мастера 50-59 (14.01.1971)/51</t>
  </si>
  <si>
    <t>92,10</t>
  </si>
  <si>
    <t>185,0</t>
  </si>
  <si>
    <t>Лучинский Сергей</t>
  </si>
  <si>
    <t>Открытая (12.11.1981)/40</t>
  </si>
  <si>
    <t>107,10</t>
  </si>
  <si>
    <t>ВЕСОВАЯ КАТЕГОРИЯ   125</t>
  </si>
  <si>
    <t>Хоружин Николай</t>
  </si>
  <si>
    <t>Открытая (11.07.1994)/27</t>
  </si>
  <si>
    <t>124,80</t>
  </si>
  <si>
    <t>305,0</t>
  </si>
  <si>
    <t>870,0</t>
  </si>
  <si>
    <t>533,6580</t>
  </si>
  <si>
    <t>737,5</t>
  </si>
  <si>
    <t>472,9588</t>
  </si>
  <si>
    <t>775,0</t>
  </si>
  <si>
    <t>472,8275</t>
  </si>
  <si>
    <t xml:space="preserve">Мастера 50-59 </t>
  </si>
  <si>
    <t>3</t>
  </si>
  <si>
    <t>-</t>
  </si>
  <si>
    <t>Мальцева Мария</t>
  </si>
  <si>
    <t>Открытая (25.12.1982)/39</t>
  </si>
  <si>
    <t>53,70</t>
  </si>
  <si>
    <t>95,0</t>
  </si>
  <si>
    <t xml:space="preserve">Груздев С. </t>
  </si>
  <si>
    <t>Суркина Лидия</t>
  </si>
  <si>
    <t>Открытая (06.06.1972)/49</t>
  </si>
  <si>
    <t>55,40</t>
  </si>
  <si>
    <t xml:space="preserve">Иванов Т. </t>
  </si>
  <si>
    <t>Хоружина Татьяна</t>
  </si>
  <si>
    <t>Открытая (22.06.1994)/27</t>
  </si>
  <si>
    <t>55,20</t>
  </si>
  <si>
    <t>42,5</t>
  </si>
  <si>
    <t>Пономарева Елена</t>
  </si>
  <si>
    <t>52,20</t>
  </si>
  <si>
    <t xml:space="preserve">Ерахин А. </t>
  </si>
  <si>
    <t>Зисман Людмила</t>
  </si>
  <si>
    <t>Открытая (26.08.1983)/38</t>
  </si>
  <si>
    <t>55,80</t>
  </si>
  <si>
    <t>127,5</t>
  </si>
  <si>
    <t>Гольдебаева Ольга</t>
  </si>
  <si>
    <t>Открытая (31.10.1982)/39</t>
  </si>
  <si>
    <t>54,60</t>
  </si>
  <si>
    <t xml:space="preserve">Брагин А. </t>
  </si>
  <si>
    <t>Натёкина Юлия</t>
  </si>
  <si>
    <t>Открытая (02.12.1994)/27</t>
  </si>
  <si>
    <t>59,30</t>
  </si>
  <si>
    <t>Авдеева Анастасия</t>
  </si>
  <si>
    <t>Открытая (18.09.1978)/43</t>
  </si>
  <si>
    <t>59,90</t>
  </si>
  <si>
    <t>132,5</t>
  </si>
  <si>
    <t>Гурьева Евгения</t>
  </si>
  <si>
    <t>Открытая (05.05.1995)/26</t>
  </si>
  <si>
    <t>58,60</t>
  </si>
  <si>
    <t xml:space="preserve">Грицаев Д. </t>
  </si>
  <si>
    <t>Иванова Наталия</t>
  </si>
  <si>
    <t>Открытая (20.10.1990)/31</t>
  </si>
  <si>
    <t>58,30</t>
  </si>
  <si>
    <t xml:space="preserve">Черкас Ю. </t>
  </si>
  <si>
    <t>Мастера 40-49 (18.09.1978)/43</t>
  </si>
  <si>
    <t>Истомина Татьяна</t>
  </si>
  <si>
    <t>Открытая (12.08.1985)/36</t>
  </si>
  <si>
    <t>62,10</t>
  </si>
  <si>
    <t>Соколова Татьяна</t>
  </si>
  <si>
    <t>Открытая (25.06.1990)/31</t>
  </si>
  <si>
    <t>64,30</t>
  </si>
  <si>
    <t xml:space="preserve">Конников С. </t>
  </si>
  <si>
    <t>Титоренко Анна</t>
  </si>
  <si>
    <t>Открытая (21.12.1982)/39</t>
  </si>
  <si>
    <t xml:space="preserve">Сергей Н. </t>
  </si>
  <si>
    <t>Осипова Евгения</t>
  </si>
  <si>
    <t>Открытая (05.12.1983)/38</t>
  </si>
  <si>
    <t>63,50</t>
  </si>
  <si>
    <t>Мастера 40-49 (07.03.1979)/42</t>
  </si>
  <si>
    <t>66,50</t>
  </si>
  <si>
    <t>Зализко Светлана</t>
  </si>
  <si>
    <t>Мастера 40-49 (20.10.1977)/44</t>
  </si>
  <si>
    <t>67,40</t>
  </si>
  <si>
    <t xml:space="preserve">Андрей В. </t>
  </si>
  <si>
    <t>Семыкина Дарья</t>
  </si>
  <si>
    <t>Открытая (03.03.2001)/20</t>
  </si>
  <si>
    <t>74,30</t>
  </si>
  <si>
    <t>Савельев Никита</t>
  </si>
  <si>
    <t>Открытая (30.11.2001)/20</t>
  </si>
  <si>
    <t>66,10</t>
  </si>
  <si>
    <t xml:space="preserve">Румянцев С. </t>
  </si>
  <si>
    <t>Григорян Артур</t>
  </si>
  <si>
    <t>Юноши 17-19 (04.11.2004)/17</t>
  </si>
  <si>
    <t>72,60</t>
  </si>
  <si>
    <t xml:space="preserve">Карасёв К. </t>
  </si>
  <si>
    <t>Сергейчук Сергей</t>
  </si>
  <si>
    <t>Открытая (10.04.1998)/23</t>
  </si>
  <si>
    <t>72,80</t>
  </si>
  <si>
    <t>205,0</t>
  </si>
  <si>
    <t xml:space="preserve">Куликов В. </t>
  </si>
  <si>
    <t>Пация Гурами</t>
  </si>
  <si>
    <t>Открытая (15.02.1996)/26</t>
  </si>
  <si>
    <t>75,00</t>
  </si>
  <si>
    <t>Бордов Роман</t>
  </si>
  <si>
    <t>Открытая (28.11.2002)/19</t>
  </si>
  <si>
    <t>73,30</t>
  </si>
  <si>
    <t>Абдуллаев Анвар</t>
  </si>
  <si>
    <t>Открытая (17.04.2002)/19</t>
  </si>
  <si>
    <t>72,50</t>
  </si>
  <si>
    <t>Михайлов Артем</t>
  </si>
  <si>
    <t>Юниоры (16.05.2001)/20</t>
  </si>
  <si>
    <t>80,20</t>
  </si>
  <si>
    <t>Нянькин Евгений</t>
  </si>
  <si>
    <t>Открытая (07.01.1995)/27</t>
  </si>
  <si>
    <t>81,90</t>
  </si>
  <si>
    <t>Парыкин Артём</t>
  </si>
  <si>
    <t>Мастера 40-49 (11.11.1979)/42</t>
  </si>
  <si>
    <t>81,80</t>
  </si>
  <si>
    <t>Батраков Сергей</t>
  </si>
  <si>
    <t>Мастера 60-69 (06.07.1956)/65</t>
  </si>
  <si>
    <t>82,40</t>
  </si>
  <si>
    <t>162,5</t>
  </si>
  <si>
    <t>Казаков Глеб</t>
  </si>
  <si>
    <t>Юноши 17-19 (13.08.2002)/19</t>
  </si>
  <si>
    <t>89,90</t>
  </si>
  <si>
    <t>197,5</t>
  </si>
  <si>
    <t>202,5</t>
  </si>
  <si>
    <t xml:space="preserve">Кузнецов С. </t>
  </si>
  <si>
    <t>Марков Эдуард</t>
  </si>
  <si>
    <t>Юниоры (17.03.1998)/23</t>
  </si>
  <si>
    <t>89,70</t>
  </si>
  <si>
    <t>Голенцов Вадим</t>
  </si>
  <si>
    <t>Юниоры (03.06.1999)/22</t>
  </si>
  <si>
    <t>86,80</t>
  </si>
  <si>
    <t>Мамедов Фарид</t>
  </si>
  <si>
    <t>Юниоры (18.10.2001)/20</t>
  </si>
  <si>
    <t>88,90</t>
  </si>
  <si>
    <t>Ткаченко Егор</t>
  </si>
  <si>
    <t>Юниоры (16.09.2000)/21</t>
  </si>
  <si>
    <t xml:space="preserve">Боровков С. </t>
  </si>
  <si>
    <t>Открытая (17.03.1998)/23</t>
  </si>
  <si>
    <t>Открытая (18.10.2001)/20</t>
  </si>
  <si>
    <t>Юроев Андрей</t>
  </si>
  <si>
    <t>Открытая (30.10.1980)/41</t>
  </si>
  <si>
    <t>89,30</t>
  </si>
  <si>
    <t xml:space="preserve">Астахов Д. </t>
  </si>
  <si>
    <t>Иванов Денис</t>
  </si>
  <si>
    <t>Открытая (09.07.1985)/36</t>
  </si>
  <si>
    <t>Мельниченко Егор</t>
  </si>
  <si>
    <t>Открытая (02.09.1988)/33</t>
  </si>
  <si>
    <t>90,00</t>
  </si>
  <si>
    <t xml:space="preserve">Козлова М. </t>
  </si>
  <si>
    <t>Егоров Дмитрий</t>
  </si>
  <si>
    <t>Открытая (07.01.1989)/33</t>
  </si>
  <si>
    <t>88,20</t>
  </si>
  <si>
    <t>Кордочкин Дмитрий</t>
  </si>
  <si>
    <t>Открытая (22.07.1989)/32</t>
  </si>
  <si>
    <t>Мочалин Вячеслав</t>
  </si>
  <si>
    <t>Открытая (09.07.1988)/33</t>
  </si>
  <si>
    <t>88,70</t>
  </si>
  <si>
    <t>192,5</t>
  </si>
  <si>
    <t xml:space="preserve">Тавтилов Р. </t>
  </si>
  <si>
    <t>Открытая (03.06.1999)/22</t>
  </si>
  <si>
    <t>Открытая (16.09.2000)/21</t>
  </si>
  <si>
    <t>Андреев Владимир</t>
  </si>
  <si>
    <t>Мастера 40-49 (08.03.1976)/45</t>
  </si>
  <si>
    <t>87,80</t>
  </si>
  <si>
    <t>Ряхин Николай</t>
  </si>
  <si>
    <t>Мастера 50-59 (25.01.1965)/57</t>
  </si>
  <si>
    <t>Фаюстов Максим</t>
  </si>
  <si>
    <t>Юниоры (23.12.1998)/23</t>
  </si>
  <si>
    <t>94,20</t>
  </si>
  <si>
    <t>Холунин Алексей</t>
  </si>
  <si>
    <t>Открытая (15.04.1982)/39</t>
  </si>
  <si>
    <t>Белов Василий</t>
  </si>
  <si>
    <t>Открытая (05.05.1987)/34</t>
  </si>
  <si>
    <t>98,90</t>
  </si>
  <si>
    <t xml:space="preserve">Михайлов Д. </t>
  </si>
  <si>
    <t>Чирков Алексей</t>
  </si>
  <si>
    <t>Открытая (13.08.1978)/43</t>
  </si>
  <si>
    <t>95,20</t>
  </si>
  <si>
    <t>177,5</t>
  </si>
  <si>
    <t xml:space="preserve">Грахов Ю. </t>
  </si>
  <si>
    <t>Мастера 40-49 (13.08.1978)/43</t>
  </si>
  <si>
    <t>Астахов Денис</t>
  </si>
  <si>
    <t>Открытая (21.05.1984)/37</t>
  </si>
  <si>
    <t>107,50</t>
  </si>
  <si>
    <t>285,0</t>
  </si>
  <si>
    <t>295,0</t>
  </si>
  <si>
    <t xml:space="preserve">Осипчук С. </t>
  </si>
  <si>
    <t>Филиппов Никита</t>
  </si>
  <si>
    <t>Открытая (27.11.1992)/29</t>
  </si>
  <si>
    <t>109,80</t>
  </si>
  <si>
    <t>Земцов Руслан</t>
  </si>
  <si>
    <t>Мастера 50-59 (16.07.1970)/51</t>
  </si>
  <si>
    <t>105,00</t>
  </si>
  <si>
    <t>280,0</t>
  </si>
  <si>
    <t>Гнабро Элизе</t>
  </si>
  <si>
    <t>Открытая (11.07.1998)/23</t>
  </si>
  <si>
    <t>123,60</t>
  </si>
  <si>
    <t>290,0</t>
  </si>
  <si>
    <t>352,8850</t>
  </si>
  <si>
    <t>342,5</t>
  </si>
  <si>
    <t>327,5328</t>
  </si>
  <si>
    <t>56</t>
  </si>
  <si>
    <t>322,2135</t>
  </si>
  <si>
    <t>222,5</t>
  </si>
  <si>
    <t>640,0</t>
  </si>
  <si>
    <t>409,2800</t>
  </si>
  <si>
    <t>82.5</t>
  </si>
  <si>
    <t>710,0</t>
  </si>
  <si>
    <t>420,8880</t>
  </si>
  <si>
    <t>627,5</t>
  </si>
  <si>
    <t>403,1060</t>
  </si>
  <si>
    <t xml:space="preserve">Мастера 60-69 </t>
  </si>
  <si>
    <t>4</t>
  </si>
  <si>
    <t>5</t>
  </si>
  <si>
    <t>6</t>
  </si>
  <si>
    <t>7</t>
  </si>
  <si>
    <t>8</t>
  </si>
  <si>
    <t>9</t>
  </si>
  <si>
    <t>Zaitsev Sergei</t>
  </si>
  <si>
    <t>Открытая (25.05.1982)/39</t>
  </si>
  <si>
    <t>93,50</t>
  </si>
  <si>
    <t>Смирнов Олег</t>
  </si>
  <si>
    <t>Открытая (22.01.1986)/36</t>
  </si>
  <si>
    <t>108,60</t>
  </si>
  <si>
    <t xml:space="preserve">Немнонов С. </t>
  </si>
  <si>
    <t>Локтионов Александр</t>
  </si>
  <si>
    <t>Открытая (20.12.1964)/57</t>
  </si>
  <si>
    <t>93,60</t>
  </si>
  <si>
    <t>Мастера 50-59 (20.12.1964)/57</t>
  </si>
  <si>
    <t>Лаппалайнен Дмитрий</t>
  </si>
  <si>
    <t>Открытая (01.06.1989)/32</t>
  </si>
  <si>
    <t>115,50</t>
  </si>
  <si>
    <t>210,5</t>
  </si>
  <si>
    <t>125</t>
  </si>
  <si>
    <t>Вохминцев Юрий</t>
  </si>
  <si>
    <t>Мастера 70-79 (07.04.1947)/74</t>
  </si>
  <si>
    <t>72,90</t>
  </si>
  <si>
    <t xml:space="preserve">Киселёв Д. </t>
  </si>
  <si>
    <t>Алимов Михаил</t>
  </si>
  <si>
    <t>Открытая (05.03.1987)/34</t>
  </si>
  <si>
    <t>79,20</t>
  </si>
  <si>
    <t>Старцев Виталий</t>
  </si>
  <si>
    <t>Открытая (19.07.1982)/39</t>
  </si>
  <si>
    <t>80,60</t>
  </si>
  <si>
    <t>Румянчев Павел</t>
  </si>
  <si>
    <t>Открытая (05.06.1986)/35</t>
  </si>
  <si>
    <t>82,20</t>
  </si>
  <si>
    <t xml:space="preserve">Коугия В. </t>
  </si>
  <si>
    <t>Калинин Валентин</t>
  </si>
  <si>
    <t>Открытая (14.02.2001)/21</t>
  </si>
  <si>
    <t>87,90</t>
  </si>
  <si>
    <t>Устинов Владимир</t>
  </si>
  <si>
    <t>Открытая (01.08.1984)/37</t>
  </si>
  <si>
    <t>Кармальков Сергей</t>
  </si>
  <si>
    <t>Открытая (01.06.1981)/40</t>
  </si>
  <si>
    <t>Кротиков Евгений</t>
  </si>
  <si>
    <t>Открытая (13.01.1992)/30</t>
  </si>
  <si>
    <t>97,70</t>
  </si>
  <si>
    <t>Беспалов Александр</t>
  </si>
  <si>
    <t>Мастера 40-49 (07.01.1980)/42</t>
  </si>
  <si>
    <t>95,30</t>
  </si>
  <si>
    <t>Михайлов Алексей</t>
  </si>
  <si>
    <t>Открытая (23.07.1986)/35</t>
  </si>
  <si>
    <t>107,60</t>
  </si>
  <si>
    <t>Лысенко Денис</t>
  </si>
  <si>
    <t>Открытая (15.08.1996)/25</t>
  </si>
  <si>
    <t>103,90</t>
  </si>
  <si>
    <t>Погосян Сергей</t>
  </si>
  <si>
    <t>Открытая (23.09.1987)/34</t>
  </si>
  <si>
    <t>103,60</t>
  </si>
  <si>
    <t>172,5</t>
  </si>
  <si>
    <t>Курка Сергей</t>
  </si>
  <si>
    <t>Открытая (13.12.1990)/31</t>
  </si>
  <si>
    <t>108,00</t>
  </si>
  <si>
    <t>Калининский Илья</t>
  </si>
  <si>
    <t>Открытая (11.04.1989)/32</t>
  </si>
  <si>
    <t>113,60</t>
  </si>
  <si>
    <t>Жук Андрей</t>
  </si>
  <si>
    <t>Открытая (08.10.1997)/24</t>
  </si>
  <si>
    <t>ВЕСОВАЯ КАТЕГОРИЯ   140+</t>
  </si>
  <si>
    <t>Гогуев Расул</t>
  </si>
  <si>
    <t>Открытая (26.08.1987)/34</t>
  </si>
  <si>
    <t>154,30</t>
  </si>
  <si>
    <t xml:space="preserve">Гаджиев Р. </t>
  </si>
  <si>
    <t>132,0960</t>
  </si>
  <si>
    <t>131,8535</t>
  </si>
  <si>
    <t>131,1750</t>
  </si>
  <si>
    <t>ВЕСОВАЯ КАТЕГОРИЯ   52</t>
  </si>
  <si>
    <t>Иудина Анастасия</t>
  </si>
  <si>
    <t>Открытая (03.12.1993)/28</t>
  </si>
  <si>
    <t>51,40</t>
  </si>
  <si>
    <t xml:space="preserve">Белов В. </t>
  </si>
  <si>
    <t>Кузьмина Христина</t>
  </si>
  <si>
    <t>Открытая (21.07.1993)/28</t>
  </si>
  <si>
    <t>54,80</t>
  </si>
  <si>
    <t>Кичева Елена</t>
  </si>
  <si>
    <t>Открытая (30.12.1991)/30</t>
  </si>
  <si>
    <t xml:space="preserve">Харитонов С. </t>
  </si>
  <si>
    <t>Калякина Наталья</t>
  </si>
  <si>
    <t>Открытая (15.08.1983)/38</t>
  </si>
  <si>
    <t xml:space="preserve">Волков Н. </t>
  </si>
  <si>
    <t>Лукашова Татьяна</t>
  </si>
  <si>
    <t>Открытая (11.03.1984)/37</t>
  </si>
  <si>
    <t>Балабатько Оксана</t>
  </si>
  <si>
    <t>Девушки 17-19 (24.01.2005)/17</t>
  </si>
  <si>
    <t xml:space="preserve">Балабатько И. </t>
  </si>
  <si>
    <t>Руденко Зинаида</t>
  </si>
  <si>
    <t>Открытая (07.09.1975)/46</t>
  </si>
  <si>
    <t>58,80</t>
  </si>
  <si>
    <t>Бабкова Вера</t>
  </si>
  <si>
    <t>Открытая (16.10.1984)/37</t>
  </si>
  <si>
    <t>Кучерская Анна</t>
  </si>
  <si>
    <t>Открытая (13.12.1985)/36</t>
  </si>
  <si>
    <t>58,40</t>
  </si>
  <si>
    <t xml:space="preserve">Карлюков К. </t>
  </si>
  <si>
    <t>Балаганская Юлия</t>
  </si>
  <si>
    <t>Открытая (12.04.1992)/29</t>
  </si>
  <si>
    <t>Кручина Светлана</t>
  </si>
  <si>
    <t>Открытая (19.02.1985)/37</t>
  </si>
  <si>
    <t>67,00</t>
  </si>
  <si>
    <t xml:space="preserve">Дмитриева Е. </t>
  </si>
  <si>
    <t>Ломаева Марина</t>
  </si>
  <si>
    <t>Открытая (26.06.1990)/31</t>
  </si>
  <si>
    <t>63,70</t>
  </si>
  <si>
    <t>30,0</t>
  </si>
  <si>
    <t>32,5</t>
  </si>
  <si>
    <t>Дмитриева Елена</t>
  </si>
  <si>
    <t>Мастера 40-49 (03.11.1974)/47</t>
  </si>
  <si>
    <t>72,00</t>
  </si>
  <si>
    <t>Павзовская Ирина</t>
  </si>
  <si>
    <t>Мастера 50-59 (27.07.1964)/57</t>
  </si>
  <si>
    <t>89,40</t>
  </si>
  <si>
    <t xml:space="preserve">Пушкарев Э. </t>
  </si>
  <si>
    <t>Клементьев Иван</t>
  </si>
  <si>
    <t>Юноши 14-16 (20.01.2006)/16</t>
  </si>
  <si>
    <t xml:space="preserve">Иванов И. </t>
  </si>
  <si>
    <t>Достовалов Михаил</t>
  </si>
  <si>
    <t>Юниоры (28.09.2001)/20</t>
  </si>
  <si>
    <t>66,40</t>
  </si>
  <si>
    <t>Гульцев Андрей</t>
  </si>
  <si>
    <t>Открытая (07.12.1991)/30</t>
  </si>
  <si>
    <t>67,20</t>
  </si>
  <si>
    <t>Терпак Станислав</t>
  </si>
  <si>
    <t>Открытая (23.06.1985)/36</t>
  </si>
  <si>
    <t>64,80</t>
  </si>
  <si>
    <t xml:space="preserve">Старченко Е. </t>
  </si>
  <si>
    <t>Казаков Александр</t>
  </si>
  <si>
    <t>65,70</t>
  </si>
  <si>
    <t>Бондаренко Виктор</t>
  </si>
  <si>
    <t>Юниоры (02.12.1999)/22</t>
  </si>
  <si>
    <t>Елисеев Андрей</t>
  </si>
  <si>
    <t>Открытая (29.09.1985)/36</t>
  </si>
  <si>
    <t xml:space="preserve">Беспалов А. </t>
  </si>
  <si>
    <t>Берков Дмитрий</t>
  </si>
  <si>
    <t>Открытая (07.08.1986)/35</t>
  </si>
  <si>
    <t>Королев Александр</t>
  </si>
  <si>
    <t>Открытая (18.10.1992)/29</t>
  </si>
  <si>
    <t>72,40</t>
  </si>
  <si>
    <t>Езерский Виктор</t>
  </si>
  <si>
    <t>Открытая (08.06.1979)/42</t>
  </si>
  <si>
    <t>74,80</t>
  </si>
  <si>
    <t>Открытая (02.12.1999)/22</t>
  </si>
  <si>
    <t>Горбунов Юрий</t>
  </si>
  <si>
    <t>72,30</t>
  </si>
  <si>
    <t>Шиленко Александр</t>
  </si>
  <si>
    <t>Открытая (03.06.1983)/38</t>
  </si>
  <si>
    <t>73,60</t>
  </si>
  <si>
    <t>Осипов Степан</t>
  </si>
  <si>
    <t>Открытая (17.07.1990)/31</t>
  </si>
  <si>
    <t>74,20</t>
  </si>
  <si>
    <t>Мастера 40-49 (08.06.1979)/42</t>
  </si>
  <si>
    <t>Акопян Ваган</t>
  </si>
  <si>
    <t>Мастера 40-49 (22.12.1978)/43</t>
  </si>
  <si>
    <t>74,10</t>
  </si>
  <si>
    <t>Широков Александр</t>
  </si>
  <si>
    <t>Мастера 70-79 (29.06.1951)/70</t>
  </si>
  <si>
    <t>73,50</t>
  </si>
  <si>
    <t>Видяков Александр</t>
  </si>
  <si>
    <t>Юниоры (25.12.2000)/21</t>
  </si>
  <si>
    <t>Гробовой Алексей</t>
  </si>
  <si>
    <t>Открытая (02.05.1987)/34</t>
  </si>
  <si>
    <t>79,10</t>
  </si>
  <si>
    <t>Кулганов Александр</t>
  </si>
  <si>
    <t>Открытая (29.12.1981)/40</t>
  </si>
  <si>
    <t>78,00</t>
  </si>
  <si>
    <t>Афанасьев Антон</t>
  </si>
  <si>
    <t>Открытая (03.04.1986)/35</t>
  </si>
  <si>
    <t>Хмелёв Сергей</t>
  </si>
  <si>
    <t>Открытая (05.01.1996)/26</t>
  </si>
  <si>
    <t>78,40</t>
  </si>
  <si>
    <t>Мастера 40-49 (29.12.1981)/40</t>
  </si>
  <si>
    <t>Калачев Максим</t>
  </si>
  <si>
    <t>Открытая (04.11.1982)/39</t>
  </si>
  <si>
    <t xml:space="preserve">Емельянов Е. </t>
  </si>
  <si>
    <t>Духовский Даниил</t>
  </si>
  <si>
    <t>Открытая (27.09.1986)/35</t>
  </si>
  <si>
    <t>88,40</t>
  </si>
  <si>
    <t xml:space="preserve">Петушков Ш. </t>
  </si>
  <si>
    <t>Беляев Андрей</t>
  </si>
  <si>
    <t>Открытая (22.09.1991)/30</t>
  </si>
  <si>
    <t>Дмитриев Виктор</t>
  </si>
  <si>
    <t>Открытая (16.09.1988)/33</t>
  </si>
  <si>
    <t>Карпенко Сергей</t>
  </si>
  <si>
    <t>Открытая (08.04.1990)/31</t>
  </si>
  <si>
    <t>88,00</t>
  </si>
  <si>
    <t>Литвиненко Павел</t>
  </si>
  <si>
    <t>Мастера 40-49 (17.04.1981)/40</t>
  </si>
  <si>
    <t>Виташов Владимир</t>
  </si>
  <si>
    <t>Мастера 50-59 (05.08.1963)/58</t>
  </si>
  <si>
    <t>87,70</t>
  </si>
  <si>
    <t>Паншин Константин</t>
  </si>
  <si>
    <t>Мастера 60-69 (22.01.1960)/62</t>
  </si>
  <si>
    <t>87,60</t>
  </si>
  <si>
    <t>Марков Виктор</t>
  </si>
  <si>
    <t>Открытая (05.03.1974)/47</t>
  </si>
  <si>
    <t>Потапов Александр</t>
  </si>
  <si>
    <t>Открытая (12.12.1988)/33</t>
  </si>
  <si>
    <t>90,10</t>
  </si>
  <si>
    <t>Сытько Вадим</t>
  </si>
  <si>
    <t>Открытая (01.04.1982)/39</t>
  </si>
  <si>
    <t xml:space="preserve">Волков А. </t>
  </si>
  <si>
    <t>Бабич Александр</t>
  </si>
  <si>
    <t>Мастера 40-49 (05.04.1977)/44</t>
  </si>
  <si>
    <t>95,60</t>
  </si>
  <si>
    <t>Мастера 40-49 (05.03.1974)/47</t>
  </si>
  <si>
    <t>Пахомов Константин</t>
  </si>
  <si>
    <t>Мастера 40-49 (09.09.1979)/42</t>
  </si>
  <si>
    <t>94,70</t>
  </si>
  <si>
    <t xml:space="preserve">Косолапенко Д. </t>
  </si>
  <si>
    <t>Альтмарк Александр</t>
  </si>
  <si>
    <t>Мастера 40-49 (23.09.1978)/43</t>
  </si>
  <si>
    <t xml:space="preserve">Смирнов Александр </t>
  </si>
  <si>
    <t>Вежов Михаил</t>
  </si>
  <si>
    <t>Открытая (31.05.1988)/33</t>
  </si>
  <si>
    <t>105,10</t>
  </si>
  <si>
    <t>Элькин Андрей</t>
  </si>
  <si>
    <t>104,10</t>
  </si>
  <si>
    <t>Крылов Андрей</t>
  </si>
  <si>
    <t>Открытая (01.07.1987)/34</t>
  </si>
  <si>
    <t>105,30</t>
  </si>
  <si>
    <t>Шиляев Алексей</t>
  </si>
  <si>
    <t>Открытая (07.07.1995)/26</t>
  </si>
  <si>
    <t>Шарипов Дмитрий</t>
  </si>
  <si>
    <t>Мастера 40-49 (01.01.1979)/43</t>
  </si>
  <si>
    <t>103,40</t>
  </si>
  <si>
    <t>Дворниченко Виталий</t>
  </si>
  <si>
    <t>Мастера 40-49 (30.01.1981)/41</t>
  </si>
  <si>
    <t>108,80</t>
  </si>
  <si>
    <t xml:space="preserve">Томинг С. </t>
  </si>
  <si>
    <t>Иванов Михаил</t>
  </si>
  <si>
    <t>Открытая (02.07.1976)/45</t>
  </si>
  <si>
    <t>119,40</t>
  </si>
  <si>
    <t xml:space="preserve">Таранухин Г </t>
  </si>
  <si>
    <t>Усков Георгий</t>
  </si>
  <si>
    <t>Открытая (16.09.1983)/38</t>
  </si>
  <si>
    <t>121,90</t>
  </si>
  <si>
    <t>Кирьянов Андрей</t>
  </si>
  <si>
    <t>Мастера 40-49 (21.05.1974)/47</t>
  </si>
  <si>
    <t>120,50</t>
  </si>
  <si>
    <t xml:space="preserve">Ковальский Г. </t>
  </si>
  <si>
    <t>Франчук Василий</t>
  </si>
  <si>
    <t>Мастера 60-69 (27.08.1955)/66</t>
  </si>
  <si>
    <t>112,10</t>
  </si>
  <si>
    <t>151,0</t>
  </si>
  <si>
    <t>77,3775</t>
  </si>
  <si>
    <t>71,8020</t>
  </si>
  <si>
    <t>70,7940</t>
  </si>
  <si>
    <t>125,2600</t>
  </si>
  <si>
    <t>110,2665</t>
  </si>
  <si>
    <t>107,6355</t>
  </si>
  <si>
    <t>162,4622</t>
  </si>
  <si>
    <t>139,8600</t>
  </si>
  <si>
    <t>138,2915</t>
  </si>
  <si>
    <t>Анфарович Александр</t>
  </si>
  <si>
    <t>Мастера 60-69 (03.12.1961)/60</t>
  </si>
  <si>
    <t>81,50</t>
  </si>
  <si>
    <t>Кравцов Константин</t>
  </si>
  <si>
    <t>Открытая (26.10.1982)/39</t>
  </si>
  <si>
    <t>96,80</t>
  </si>
  <si>
    <t xml:space="preserve">Мусиенко К. </t>
  </si>
  <si>
    <t>Терешичев Антон</t>
  </si>
  <si>
    <t>Открытая (31.03.1986)/35</t>
  </si>
  <si>
    <t>82,00</t>
  </si>
  <si>
    <t>267,5</t>
  </si>
  <si>
    <t xml:space="preserve">Громов А. </t>
  </si>
  <si>
    <t>Алтухов Александр</t>
  </si>
  <si>
    <t>Открытая (31.03.1989)/32</t>
  </si>
  <si>
    <t>110,50</t>
  </si>
  <si>
    <t>255,0</t>
  </si>
  <si>
    <t>Хлызов Евгений</t>
  </si>
  <si>
    <t>Открытая (01.07.1989)/32</t>
  </si>
  <si>
    <t>81,60</t>
  </si>
  <si>
    <t>Мачановский Эдуард</t>
  </si>
  <si>
    <t>Мастера 50-59 (13.09.1962)/59</t>
  </si>
  <si>
    <t>82,10</t>
  </si>
  <si>
    <t>Михайлов Александр</t>
  </si>
  <si>
    <t>Мастера 60-69 (09.12.1958)/63</t>
  </si>
  <si>
    <t>88,80</t>
  </si>
  <si>
    <t>Бахметьев Антон</t>
  </si>
  <si>
    <t>Открытая (03.12.1992)/29</t>
  </si>
  <si>
    <t>312,5</t>
  </si>
  <si>
    <t>Карпов Евгений</t>
  </si>
  <si>
    <t>Мастера 60-69 (18.07.1956)/65</t>
  </si>
  <si>
    <t>92,60</t>
  </si>
  <si>
    <t xml:space="preserve">Карпов Е. </t>
  </si>
  <si>
    <t>Сазонов Павел</t>
  </si>
  <si>
    <t>Открытая (08.06.1986)/35</t>
  </si>
  <si>
    <t>106,80</t>
  </si>
  <si>
    <t>302,5</t>
  </si>
  <si>
    <t>Баруздин Максим</t>
  </si>
  <si>
    <t>Открытая (20.05.1982)/39</t>
  </si>
  <si>
    <t>122,80</t>
  </si>
  <si>
    <t>Макаров Артур</t>
  </si>
  <si>
    <t>Открытая (10.07.1997)/24</t>
  </si>
  <si>
    <t>116,70</t>
  </si>
  <si>
    <t>Ярошко Евгений</t>
  </si>
  <si>
    <t>Открытая (29.07.1984)/37</t>
  </si>
  <si>
    <t>113,30</t>
  </si>
  <si>
    <t>205,4890</t>
  </si>
  <si>
    <t>195,5760</t>
  </si>
  <si>
    <t>189,2860</t>
  </si>
  <si>
    <t>Углова Ольга</t>
  </si>
  <si>
    <t>Юниорки (17.12.1999)/22</t>
  </si>
  <si>
    <t>Мамедова Анна</t>
  </si>
  <si>
    <t>Мастера 40-49 (02.05.1980)/41</t>
  </si>
  <si>
    <t xml:space="preserve">Родионов Я. </t>
  </si>
  <si>
    <t>Тимофеева Татьяна</t>
  </si>
  <si>
    <t>Открытая (11.08.1984)/37</t>
  </si>
  <si>
    <t>55,00</t>
  </si>
  <si>
    <t xml:space="preserve">Талеров А. </t>
  </si>
  <si>
    <t>Азикова Ромета</t>
  </si>
  <si>
    <t>Открытая (25.08.1987)/34</t>
  </si>
  <si>
    <t>56,30</t>
  </si>
  <si>
    <t>Муругова Марина</t>
  </si>
  <si>
    <t>Мастера 40-49 (22.12.1980)/41</t>
  </si>
  <si>
    <t xml:space="preserve">Сбойнова А. </t>
  </si>
  <si>
    <t>Козулина Мария</t>
  </si>
  <si>
    <t>Юниорки (26.10.1998)/23</t>
  </si>
  <si>
    <t>63,60</t>
  </si>
  <si>
    <t>Сбойнова Антонина</t>
  </si>
  <si>
    <t>Мастера 40-49 (01.08.1974)/47</t>
  </si>
  <si>
    <t>65,90</t>
  </si>
  <si>
    <t>Угрюмов Владислав</t>
  </si>
  <si>
    <t>Юноши 17-19 (09.06.2004)/17</t>
  </si>
  <si>
    <t>54,30</t>
  </si>
  <si>
    <t>Шарапов Владислав</t>
  </si>
  <si>
    <t>Юноши 14-16 (27.12.2005)/16</t>
  </si>
  <si>
    <t>67,10</t>
  </si>
  <si>
    <t>206,0</t>
  </si>
  <si>
    <t>Степанов Владимир</t>
  </si>
  <si>
    <t>Открытая (30.07.1996)/25</t>
  </si>
  <si>
    <t>66,00</t>
  </si>
  <si>
    <t xml:space="preserve">Лукашевич Е. </t>
  </si>
  <si>
    <t>Вейсман Роман</t>
  </si>
  <si>
    <t>Юноши 17-19 (27.02.2003)/18</t>
  </si>
  <si>
    <t>80,70</t>
  </si>
  <si>
    <t xml:space="preserve">Мышко Н. </t>
  </si>
  <si>
    <t>Лукашевич Евгений</t>
  </si>
  <si>
    <t>Открытая (03.01.1994)/28</t>
  </si>
  <si>
    <t>81,20</t>
  </si>
  <si>
    <t>345,0</t>
  </si>
  <si>
    <t>Тихомиров Владимир</t>
  </si>
  <si>
    <t>Открытая (22.11.1982)/39</t>
  </si>
  <si>
    <t>Большаков Владимир</t>
  </si>
  <si>
    <t>Открытая (27.06.1988)/33</t>
  </si>
  <si>
    <t>Плякин Евгений</t>
  </si>
  <si>
    <t>Открытая (25.11.1984)/37</t>
  </si>
  <si>
    <t>84,80</t>
  </si>
  <si>
    <t>Юсупов Адам</t>
  </si>
  <si>
    <t>Юниоры (13.03.1999)/22</t>
  </si>
  <si>
    <t>99,50</t>
  </si>
  <si>
    <t>Плаксин Илья</t>
  </si>
  <si>
    <t>Юноши 17-19 (05.12.2002)/19</t>
  </si>
  <si>
    <t>105,70</t>
  </si>
  <si>
    <t>247,5</t>
  </si>
  <si>
    <t xml:space="preserve">Лаппалайнен Д. </t>
  </si>
  <si>
    <t>Куликов Станислав</t>
  </si>
  <si>
    <t>Мастера 40-49 (29.11.1978)/43</t>
  </si>
  <si>
    <t>92,40</t>
  </si>
  <si>
    <t>Ковтун Евгений</t>
  </si>
  <si>
    <t>Открытая (21.09.1982)/39</t>
  </si>
  <si>
    <t>93,70</t>
  </si>
  <si>
    <t>Петрова Дарья</t>
  </si>
  <si>
    <t>Юниорки (15.04.1998)/23</t>
  </si>
  <si>
    <t>64,70</t>
  </si>
  <si>
    <t>Путилова Елена</t>
  </si>
  <si>
    <t>Мастера 50-59 (29.11.1965)/56</t>
  </si>
  <si>
    <t>71,60</t>
  </si>
  <si>
    <t>Губанов Александр</t>
  </si>
  <si>
    <t>Мастера 70-79 (06.02.1951)/71</t>
  </si>
  <si>
    <t>69,20</t>
  </si>
  <si>
    <t>Евланов Денис</t>
  </si>
  <si>
    <t>Открытая (02.07.1996)/25</t>
  </si>
  <si>
    <t xml:space="preserve">Бебенин Г. </t>
  </si>
  <si>
    <t>Гонцов Евгений</t>
  </si>
  <si>
    <t>Открытая (23.06.1989)/32</t>
  </si>
  <si>
    <t>94,60</t>
  </si>
  <si>
    <t>Бучнева Валерия</t>
  </si>
  <si>
    <t>Юниорки (10.05.2001)/20</t>
  </si>
  <si>
    <t>59,00</t>
  </si>
  <si>
    <t xml:space="preserve">Нечай А. </t>
  </si>
  <si>
    <t>Открытая (24.01.2005)/17</t>
  </si>
  <si>
    <t>Яковлева Нина</t>
  </si>
  <si>
    <t>Открытая (17.01.1988)/34</t>
  </si>
  <si>
    <t xml:space="preserve">Авдеева А. </t>
  </si>
  <si>
    <t>Краевская Юлия</t>
  </si>
  <si>
    <t>Мастера 40-49 (06.03.1981)/40</t>
  </si>
  <si>
    <t xml:space="preserve">Костарев В. </t>
  </si>
  <si>
    <t>Мастера 40-49 (09.07.1977)/44</t>
  </si>
  <si>
    <t>Крылов Василий</t>
  </si>
  <si>
    <t>Открытая (12.03.1995)/26</t>
  </si>
  <si>
    <t>63,80</t>
  </si>
  <si>
    <t>Дегтярев Роман</t>
  </si>
  <si>
    <t>Открытая (23.07.1995)/26</t>
  </si>
  <si>
    <t>Мельник Валентин</t>
  </si>
  <si>
    <t>Открытая (21.02.1995)/27</t>
  </si>
  <si>
    <t>Евмушков Максим</t>
  </si>
  <si>
    <t>Открытая (15.05.1983)/38</t>
  </si>
  <si>
    <t>96,40</t>
  </si>
  <si>
    <t xml:space="preserve">Гулевский К. </t>
  </si>
  <si>
    <t>Шитиков Кирилл</t>
  </si>
  <si>
    <t>Открытая (02.07.1985)/36</t>
  </si>
  <si>
    <t>100,00</t>
  </si>
  <si>
    <t xml:space="preserve">Михайлова О. </t>
  </si>
  <si>
    <t>Сорокин Евгений</t>
  </si>
  <si>
    <t>Открытая (11.02.1977)/45</t>
  </si>
  <si>
    <t>Ситник Игорь</t>
  </si>
  <si>
    <t>68,0</t>
  </si>
  <si>
    <t>Хизриев Махтимагомед</t>
  </si>
  <si>
    <t>Открытая (10.03.1973)/48</t>
  </si>
  <si>
    <t xml:space="preserve">Коробов И. </t>
  </si>
  <si>
    <t>Смирнова Юлия</t>
  </si>
  <si>
    <t>Открытая (22.08.1991)/30</t>
  </si>
  <si>
    <t>71,50</t>
  </si>
  <si>
    <t>Иванятов Роман</t>
  </si>
  <si>
    <t>Открытая (24.12.1991)/30</t>
  </si>
  <si>
    <t>58,00</t>
  </si>
  <si>
    <t>Алейников Павел</t>
  </si>
  <si>
    <t>67,30</t>
  </si>
  <si>
    <t>61,0</t>
  </si>
  <si>
    <t>Смирнов Максим</t>
  </si>
  <si>
    <t>60,60</t>
  </si>
  <si>
    <t>Демидченков Артём</t>
  </si>
  <si>
    <t>Открытая (15.06.2002)/19</t>
  </si>
  <si>
    <t>73,40</t>
  </si>
  <si>
    <t>Шкуратов Роман</t>
  </si>
  <si>
    <t>Открытая (10.08.1991)/30</t>
  </si>
  <si>
    <t>Незнанов Игорь</t>
  </si>
  <si>
    <t>Открытая (08.11.1984)/37</t>
  </si>
  <si>
    <t>Калачев Александр</t>
  </si>
  <si>
    <t>Открытая (07.05.1993)/28</t>
  </si>
  <si>
    <t>Kravchenko Andriy</t>
  </si>
  <si>
    <t>Открытая (10.08.1964)/57</t>
  </si>
  <si>
    <t>80,80</t>
  </si>
  <si>
    <t>Маслов Вячеслав</t>
  </si>
  <si>
    <t>Открытая (03.04.1995)/26</t>
  </si>
  <si>
    <t xml:space="preserve">Алейников П. </t>
  </si>
  <si>
    <t>Гулицкий Денис</t>
  </si>
  <si>
    <t>Открытая (14.06.1992)/29</t>
  </si>
  <si>
    <t>97,80</t>
  </si>
  <si>
    <t>Степанов Павел</t>
  </si>
  <si>
    <t>Мастера 60+ (20.01.1960)/62</t>
  </si>
  <si>
    <t>43,1451</t>
  </si>
  <si>
    <t>44,1450</t>
  </si>
  <si>
    <t>43,7344</t>
  </si>
  <si>
    <t>Сухишвили Антон</t>
  </si>
  <si>
    <t>Открытая (21.11.1985)/36</t>
  </si>
  <si>
    <t>Весовая категория</t>
  </si>
  <si>
    <t>Страна/Город</t>
  </si>
  <si>
    <t>Международный турнир “Iron Gryphon V”
WRPF Пауэрлифтинг без экипировки ДК
Санкт-Петербург, 26-27 февраля 2022 года</t>
  </si>
  <si>
    <t>Международный турнир “Iron Gryphon V”
WRPF Пауэрлифтинг без экипировки
Санкт-Петербург, 26-27 февраля 2022 года</t>
  </si>
  <si>
    <t>Международный турнир “Iron Gryphon V”
WRPF Пауэрлифтинг классический в бинтах ДК
Санкт-Петербург, 26-27 февраля 2022 года</t>
  </si>
  <si>
    <t>Международный турнир “Iron Gryphon V”
WRPF Силовое двоеборье без экипировки ДК
Санкт-Петербург, 26-27 февраля 2022 года</t>
  </si>
  <si>
    <t>Международный турнир “Iron Gryphon V”
WRPF Силовое двоеборье без экипировки
Санкт-Петербург, 26-27 февраля 2022 года</t>
  </si>
  <si>
    <t>Международный турнир “Iron Gryphon V”
WRPF Жим лежа без экипировки ДК
Санкт-Петербург, 26-27 февраля 2022 года</t>
  </si>
  <si>
    <t>Международный турнир “Iron Gryphon V”
WRPF Жим лежа без экипировки
Санкт-Петербург, 26-27 февраля 2022 года</t>
  </si>
  <si>
    <t>Международный турнир “Iron Gryphon V”
WEPF Жим лежа в однослойной экипировке
Санкт-Петербург, 26-27 февраля 2022 года</t>
  </si>
  <si>
    <t>Международный турнир “Iron Gryphon V”
WEPF Жим лежа в однопетельной софт экипировке
Санкт-Петербург, 26-27 февраля 2022 года</t>
  </si>
  <si>
    <t>Международный турнир “Iron Gryphon V”
WEPF Жим лежа в многопетельной софт экипировке
Санкт-Петербург, 26-27 февраля 2022 года</t>
  </si>
  <si>
    <t>Международный турнир “Iron Gryphon V”
WRPF Военный жим лежа с ДК
Санкт-Петербург, 26-27 февраля 2022 года</t>
  </si>
  <si>
    <t>Международный турнир “Iron Gryphon V”
WRPF Военный жим лежа
Санкт-Петербург, 26-27 февраля 2022 года</t>
  </si>
  <si>
    <t>Международный турнир “Iron Gryphon V”
WRPF Становая тяга без экипировки ДК
Санкт-Петербург, 26-27 февраля 2022 года</t>
  </si>
  <si>
    <t>Международный турнир “Iron Gryphon V”
WRPF Становая тяга без экипировки
Санкт-Петербург, 26-27 февраля 2022 года</t>
  </si>
  <si>
    <t>Международный турнир “Iron Gryphon V”
WEPF Становая тяга в экипировке ДК
Санкт-Петербург, 26-27 февраля 2022 года</t>
  </si>
  <si>
    <t>Международный турнир “Iron Gryphon V”
WEPF Становая тяга в экипировке
Санкт-Петербург, 26-27 февраля 2022 года</t>
  </si>
  <si>
    <t>Международный турнир “Iron Gryphon V”
WRPF Строгий подъем штанги на бицепс ДК
Санкт-Петербург, 26-27 февраля 2022 года</t>
  </si>
  <si>
    <t>Международный турнир “Iron Gryphon V”
WRPF Строгий подъем штанги на бицепс
Санкт-Петербург, 26-27 февраля 2022 года</t>
  </si>
  <si>
    <t xml:space="preserve">Весовая категория </t>
  </si>
  <si>
    <t xml:space="preserve">Александров А. </t>
  </si>
  <si>
    <t xml:space="preserve">Бондаренко С. </t>
  </si>
  <si>
    <t xml:space="preserve">Кузнецова А. </t>
  </si>
  <si>
    <t>Международный турнир “Iron Gryphon V”
WRPF Жим лежа среди спортсменов с физическими особенностями
Санкт-Петербург, 26-27 февраля 2022 года</t>
  </si>
  <si>
    <t>Юноши 13-19 (15.06.2002)/19</t>
  </si>
  <si>
    <t>Юноши 13-19 (04.05.2005)/16</t>
  </si>
  <si>
    <t>Юноши 13-19 (17.04.2005)/16</t>
  </si>
  <si>
    <t>Мастера 50-59 (10.08.1964)/57</t>
  </si>
  <si>
    <t>Мастера 40-49 (11.02.1977)/45</t>
  </si>
  <si>
    <t>Юноши 13-19 (22.10.2002)/19</t>
  </si>
  <si>
    <t>Мастера 40-49 (10.03.1973)/48</t>
  </si>
  <si>
    <t xml:space="preserve">KAZ/Астана </t>
  </si>
  <si>
    <t xml:space="preserve">Лепешенков В. </t>
  </si>
  <si>
    <t xml:space="preserve">Незнанов И. </t>
  </si>
  <si>
    <t xml:space="preserve">CZE/Praque </t>
  </si>
  <si>
    <t>Жим</t>
  </si>
  <si>
    <t>№</t>
  </si>
  <si>
    <t>Санкт-Петербург</t>
  </si>
  <si>
    <t xml:space="preserve">Кудрово </t>
  </si>
  <si>
    <t xml:space="preserve">Колпино </t>
  </si>
  <si>
    <t xml:space="preserve">Сосновый Бор </t>
  </si>
  <si>
    <t xml:space="preserve">Выборг </t>
  </si>
  <si>
    <t xml:space="preserve">Всеволожск </t>
  </si>
  <si>
    <t xml:space="preserve">Ярославль </t>
  </si>
  <si>
    <t xml:space="preserve">Великий Новгород </t>
  </si>
  <si>
    <t xml:space="preserve">Москва </t>
  </si>
  <si>
    <t xml:space="preserve">Гатчина </t>
  </si>
  <si>
    <t xml:space="preserve">Ногинск </t>
  </si>
  <si>
    <t xml:space="preserve">Омск </t>
  </si>
  <si>
    <t xml:space="preserve">Пушкин </t>
  </si>
  <si>
    <t xml:space="preserve">Кондопога </t>
  </si>
  <si>
    <t xml:space="preserve">Кириши </t>
  </si>
  <si>
    <t xml:space="preserve">Инта </t>
  </si>
  <si>
    <t xml:space="preserve">Сортавала </t>
  </si>
  <si>
    <t xml:space="preserve">Подпорожье </t>
  </si>
  <si>
    <t xml:space="preserve">Пенза </t>
  </si>
  <si>
    <t xml:space="preserve">Шлиссельбург </t>
  </si>
  <si>
    <t xml:space="preserve">Каякент </t>
  </si>
  <si>
    <t xml:space="preserve">Екатеринбург </t>
  </si>
  <si>
    <t xml:space="preserve">Старая Купавна </t>
  </si>
  <si>
    <t xml:space="preserve">Астрахань </t>
  </si>
  <si>
    <t xml:space="preserve">Мга </t>
  </si>
  <si>
    <t xml:space="preserve">Тверь </t>
  </si>
  <si>
    <t xml:space="preserve">Златоуст </t>
  </si>
  <si>
    <t xml:space="preserve">Альметьевск </t>
  </si>
  <si>
    <t xml:space="preserve">Коммунар </t>
  </si>
  <si>
    <t xml:space="preserve">Наро-Фоминск </t>
  </si>
  <si>
    <t xml:space="preserve">Сухой Лог </t>
  </si>
  <si>
    <t xml:space="preserve">Самара </t>
  </si>
  <si>
    <t xml:space="preserve">Орёл </t>
  </si>
  <si>
    <t xml:space="preserve">Пикалёво </t>
  </si>
  <si>
    <t xml:space="preserve">Саянск </t>
  </si>
  <si>
    <t xml:space="preserve">Тюмень </t>
  </si>
  <si>
    <t xml:space="preserve">Ставрополь </t>
  </si>
  <si>
    <t xml:space="preserve">Сыктывкар </t>
  </si>
  <si>
    <t xml:space="preserve">Сургут </t>
  </si>
  <si>
    <t xml:space="preserve">Иркутск </t>
  </si>
  <si>
    <t xml:space="preserve">Псков </t>
  </si>
  <si>
    <t xml:space="preserve">Тосно </t>
  </si>
  <si>
    <t xml:space="preserve">Петрозаводск </t>
  </si>
  <si>
    <t xml:space="preserve">Набережные Челны </t>
  </si>
  <si>
    <t xml:space="preserve">Тольятти </t>
  </si>
  <si>
    <t xml:space="preserve">Мурманск </t>
  </si>
  <si>
    <t xml:space="preserve">Черкесск </t>
  </si>
  <si>
    <t xml:space="preserve">Череповец </t>
  </si>
  <si>
    <t xml:space="preserve">Бийск </t>
  </si>
  <si>
    <t xml:space="preserve">Вольск </t>
  </si>
  <si>
    <t xml:space="preserve">Янино-1 </t>
  </si>
  <si>
    <t xml:space="preserve">Архангельск </t>
  </si>
  <si>
    <t xml:space="preserve">Борзя </t>
  </si>
  <si>
    <t xml:space="preserve">Шали </t>
  </si>
  <si>
    <t xml:space="preserve">Дзержинск </t>
  </si>
  <si>
    <t xml:space="preserve">Троицк </t>
  </si>
  <si>
    <t xml:space="preserve">Новгород </t>
  </si>
  <si>
    <t xml:space="preserve">Волгоград </t>
  </si>
  <si>
    <t xml:space="preserve">Вологда </t>
  </si>
  <si>
    <t xml:space="preserve">Отрадное </t>
  </si>
  <si>
    <t xml:space="preserve">Кировск </t>
  </si>
  <si>
    <t xml:space="preserve">Североморск </t>
  </si>
  <si>
    <t xml:space="preserve">Люберцы </t>
  </si>
  <si>
    <t xml:space="preserve">Sillamae </t>
  </si>
  <si>
    <t xml:space="preserve">
Дата рождения/Возраст</t>
  </si>
  <si>
    <t>Возрастная группа</t>
  </si>
  <si>
    <t>O</t>
  </si>
  <si>
    <t>M1</t>
  </si>
  <si>
    <t>T2</t>
  </si>
  <si>
    <t>J</t>
  </si>
  <si>
    <t>M3</t>
  </si>
  <si>
    <t>M2</t>
  </si>
  <si>
    <t>M4</t>
  </si>
  <si>
    <t>T1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</si>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</sst>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453C-433D-43B5-B5D8-3021FC531203}">
  <dimension ref="A1:U97"/>
  <sheetViews>
    <sheetView topLeftCell="A61" workbookViewId="0">
      <selection activeCell="E81" sqref="E81"/>
    </sheetView>
  </sheetViews>
  <sheetFormatPr baseColWidth="10" defaultColWidth="9.1640625" defaultRowHeight="13"/>
  <cols>
    <col min="1" max="1" width="7.1640625" style="5" bestFit="1" customWidth="1"/>
    <col min="2" max="2" width="22.16406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7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8" bestFit="1" customWidth="1"/>
    <col min="20" max="20" width="8.5" style="6" bestFit="1" customWidth="1"/>
    <col min="21" max="21" width="22.33203125" style="5" customWidth="1"/>
    <col min="22" max="16384" width="9.1640625" style="3"/>
  </cols>
  <sheetData>
    <row r="1" spans="1:21" s="2" customFormat="1" ht="29" customHeight="1">
      <c r="A1" s="45" t="s">
        <v>862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56</v>
      </c>
      <c r="H3" s="39"/>
      <c r="I3" s="39"/>
      <c r="J3" s="39"/>
      <c r="K3" s="39" t="s">
        <v>57</v>
      </c>
      <c r="L3" s="39"/>
      <c r="M3" s="39"/>
      <c r="N3" s="39"/>
      <c r="O3" s="39" t="s">
        <v>58</v>
      </c>
      <c r="P3" s="39"/>
      <c r="Q3" s="39"/>
      <c r="R3" s="39"/>
      <c r="S3" s="37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40"/>
      <c r="U4" s="42"/>
    </row>
    <row r="5" spans="1:21" ht="16">
      <c r="A5" s="43" t="s">
        <v>89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8" t="s">
        <v>20</v>
      </c>
      <c r="B6" s="7" t="s">
        <v>215</v>
      </c>
      <c r="C6" s="7" t="s">
        <v>216</v>
      </c>
      <c r="D6" s="7" t="s">
        <v>217</v>
      </c>
      <c r="E6" s="7" t="s">
        <v>964</v>
      </c>
      <c r="F6" s="7" t="s">
        <v>898</v>
      </c>
      <c r="G6" s="18" t="s">
        <v>218</v>
      </c>
      <c r="H6" s="19" t="s">
        <v>111</v>
      </c>
      <c r="I6" s="18" t="s">
        <v>111</v>
      </c>
      <c r="J6" s="8"/>
      <c r="K6" s="18" t="s">
        <v>86</v>
      </c>
      <c r="L6" s="19" t="s">
        <v>49</v>
      </c>
      <c r="M6" s="19" t="s">
        <v>49</v>
      </c>
      <c r="N6" s="8"/>
      <c r="O6" s="18" t="s">
        <v>111</v>
      </c>
      <c r="P6" s="18" t="s">
        <v>84</v>
      </c>
      <c r="Q6" s="18" t="s">
        <v>98</v>
      </c>
      <c r="R6" s="8"/>
      <c r="S6" s="29" t="str">
        <f>"265,0"</f>
        <v>265,0</v>
      </c>
      <c r="T6" s="8" t="str">
        <f>"322,2135"</f>
        <v>322,2135</v>
      </c>
      <c r="U6" s="7" t="s">
        <v>219</v>
      </c>
    </row>
    <row r="7" spans="1:21">
      <c r="A7" s="25" t="s">
        <v>45</v>
      </c>
      <c r="B7" s="24" t="s">
        <v>220</v>
      </c>
      <c r="C7" s="24" t="s">
        <v>221</v>
      </c>
      <c r="D7" s="24" t="s">
        <v>222</v>
      </c>
      <c r="E7" s="24" t="s">
        <v>964</v>
      </c>
      <c r="F7" s="24" t="s">
        <v>899</v>
      </c>
      <c r="G7" s="26" t="s">
        <v>103</v>
      </c>
      <c r="H7" s="26" t="s">
        <v>93</v>
      </c>
      <c r="I7" s="26" t="s">
        <v>94</v>
      </c>
      <c r="J7" s="25"/>
      <c r="K7" s="26" t="s">
        <v>48</v>
      </c>
      <c r="L7" s="26" t="s">
        <v>86</v>
      </c>
      <c r="M7" s="26" t="s">
        <v>95</v>
      </c>
      <c r="N7" s="25"/>
      <c r="O7" s="26" t="s">
        <v>98</v>
      </c>
      <c r="P7" s="26" t="s">
        <v>63</v>
      </c>
      <c r="Q7" s="27" t="s">
        <v>142</v>
      </c>
      <c r="R7" s="25"/>
      <c r="S7" s="30" t="str">
        <f>"265,0"</f>
        <v>265,0</v>
      </c>
      <c r="T7" s="25" t="str">
        <f>"314,4490"</f>
        <v>314,4490</v>
      </c>
      <c r="U7" s="24" t="s">
        <v>223</v>
      </c>
    </row>
    <row r="8" spans="1:21">
      <c r="A8" s="25" t="s">
        <v>213</v>
      </c>
      <c r="B8" s="24" t="s">
        <v>224</v>
      </c>
      <c r="C8" s="24" t="s">
        <v>225</v>
      </c>
      <c r="D8" s="24" t="s">
        <v>226</v>
      </c>
      <c r="E8" s="24" t="s">
        <v>964</v>
      </c>
      <c r="F8" s="24" t="s">
        <v>900</v>
      </c>
      <c r="G8" s="26" t="s">
        <v>118</v>
      </c>
      <c r="H8" s="26" t="s">
        <v>25</v>
      </c>
      <c r="I8" s="26" t="s">
        <v>218</v>
      </c>
      <c r="J8" s="25"/>
      <c r="K8" s="26" t="s">
        <v>227</v>
      </c>
      <c r="L8" s="26" t="s">
        <v>53</v>
      </c>
      <c r="M8" s="27" t="s">
        <v>104</v>
      </c>
      <c r="N8" s="25"/>
      <c r="O8" s="26" t="s">
        <v>98</v>
      </c>
      <c r="P8" s="26" t="s">
        <v>141</v>
      </c>
      <c r="Q8" s="26" t="s">
        <v>64</v>
      </c>
      <c r="R8" s="25"/>
      <c r="S8" s="30" t="str">
        <f>"262,5"</f>
        <v>262,5</v>
      </c>
      <c r="T8" s="25" t="str">
        <f>"312,3750"</f>
        <v>312,3750</v>
      </c>
      <c r="U8" s="24" t="s">
        <v>179</v>
      </c>
    </row>
    <row r="9" spans="1:21">
      <c r="A9" s="25" t="s">
        <v>405</v>
      </c>
      <c r="B9" s="24" t="s">
        <v>228</v>
      </c>
      <c r="C9" s="24" t="s">
        <v>91</v>
      </c>
      <c r="D9" s="24" t="s">
        <v>229</v>
      </c>
      <c r="E9" s="24" t="s">
        <v>964</v>
      </c>
      <c r="F9" s="24" t="s">
        <v>898</v>
      </c>
      <c r="G9" s="26" t="s">
        <v>118</v>
      </c>
      <c r="H9" s="27" t="s">
        <v>94</v>
      </c>
      <c r="I9" s="27" t="s">
        <v>94</v>
      </c>
      <c r="J9" s="25"/>
      <c r="K9" s="27" t="s">
        <v>125</v>
      </c>
      <c r="L9" s="26" t="s">
        <v>53</v>
      </c>
      <c r="M9" s="27" t="s">
        <v>48</v>
      </c>
      <c r="N9" s="25"/>
      <c r="O9" s="26" t="s">
        <v>63</v>
      </c>
      <c r="P9" s="26" t="s">
        <v>142</v>
      </c>
      <c r="Q9" s="25"/>
      <c r="R9" s="25"/>
      <c r="S9" s="30" t="str">
        <f>"250,0"</f>
        <v>250,0</v>
      </c>
      <c r="T9" s="25" t="str">
        <f>"310,7250"</f>
        <v>310,7250</v>
      </c>
      <c r="U9" s="24" t="s">
        <v>230</v>
      </c>
    </row>
    <row r="10" spans="1:21">
      <c r="A10" s="25" t="s">
        <v>406</v>
      </c>
      <c r="B10" s="24" t="s">
        <v>231</v>
      </c>
      <c r="C10" s="24" t="s">
        <v>232</v>
      </c>
      <c r="D10" s="24" t="s">
        <v>233</v>
      </c>
      <c r="E10" s="24" t="s">
        <v>964</v>
      </c>
      <c r="F10" s="24" t="s">
        <v>898</v>
      </c>
      <c r="G10" s="26" t="s">
        <v>65</v>
      </c>
      <c r="H10" s="27" t="s">
        <v>66</v>
      </c>
      <c r="I10" s="27" t="s">
        <v>66</v>
      </c>
      <c r="J10" s="25"/>
      <c r="K10" s="26" t="s">
        <v>125</v>
      </c>
      <c r="L10" s="27" t="s">
        <v>227</v>
      </c>
      <c r="M10" s="27" t="s">
        <v>227</v>
      </c>
      <c r="N10" s="25"/>
      <c r="O10" s="26" t="s">
        <v>141</v>
      </c>
      <c r="P10" s="26" t="s">
        <v>64</v>
      </c>
      <c r="Q10" s="27" t="s">
        <v>234</v>
      </c>
      <c r="R10" s="25"/>
      <c r="S10" s="30" t="str">
        <f>"230,0"</f>
        <v>230,0</v>
      </c>
      <c r="T10" s="25" t="str">
        <f>"271,3770"</f>
        <v>271,3770</v>
      </c>
      <c r="U10" s="24" t="s">
        <v>114</v>
      </c>
    </row>
    <row r="11" spans="1:21">
      <c r="A11" s="10" t="s">
        <v>407</v>
      </c>
      <c r="B11" s="9" t="s">
        <v>235</v>
      </c>
      <c r="C11" s="9" t="s">
        <v>236</v>
      </c>
      <c r="D11" s="9" t="s">
        <v>237</v>
      </c>
      <c r="E11" s="9" t="s">
        <v>964</v>
      </c>
      <c r="F11" s="9" t="s">
        <v>901</v>
      </c>
      <c r="G11" s="20" t="s">
        <v>29</v>
      </c>
      <c r="H11" s="21" t="s">
        <v>24</v>
      </c>
      <c r="I11" s="20" t="s">
        <v>24</v>
      </c>
      <c r="J11" s="10"/>
      <c r="K11" s="21" t="s">
        <v>53</v>
      </c>
      <c r="L11" s="21" t="s">
        <v>53</v>
      </c>
      <c r="M11" s="20" t="s">
        <v>53</v>
      </c>
      <c r="N11" s="10"/>
      <c r="O11" s="20" t="s">
        <v>24</v>
      </c>
      <c r="P11" s="20" t="s">
        <v>25</v>
      </c>
      <c r="Q11" s="21" t="s">
        <v>84</v>
      </c>
      <c r="R11" s="10"/>
      <c r="S11" s="31" t="str">
        <f>"215,0"</f>
        <v>215,0</v>
      </c>
      <c r="T11" s="10" t="str">
        <f>"258,0430"</f>
        <v>258,0430</v>
      </c>
      <c r="U11" s="9" t="s">
        <v>238</v>
      </c>
    </row>
    <row r="12" spans="1:21">
      <c r="B12" s="5" t="s">
        <v>21</v>
      </c>
    </row>
    <row r="13" spans="1:21" ht="16">
      <c r="A13" s="33" t="s">
        <v>107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21">
      <c r="A14" s="8" t="s">
        <v>20</v>
      </c>
      <c r="B14" s="7" t="s">
        <v>239</v>
      </c>
      <c r="C14" s="7" t="s">
        <v>240</v>
      </c>
      <c r="D14" s="7" t="s">
        <v>241</v>
      </c>
      <c r="E14" s="7" t="s">
        <v>964</v>
      </c>
      <c r="F14" s="7" t="s">
        <v>898</v>
      </c>
      <c r="G14" s="19" t="s">
        <v>94</v>
      </c>
      <c r="H14" s="18" t="s">
        <v>94</v>
      </c>
      <c r="I14" s="18" t="s">
        <v>111</v>
      </c>
      <c r="J14" s="8"/>
      <c r="K14" s="18" t="s">
        <v>48</v>
      </c>
      <c r="L14" s="19" t="s">
        <v>54</v>
      </c>
      <c r="M14" s="19" t="s">
        <v>54</v>
      </c>
      <c r="N14" s="8"/>
      <c r="O14" s="18" t="s">
        <v>63</v>
      </c>
      <c r="P14" s="18" t="s">
        <v>55</v>
      </c>
      <c r="Q14" s="18" t="s">
        <v>34</v>
      </c>
      <c r="R14" s="8"/>
      <c r="S14" s="29" t="str">
        <f>"280,0"</f>
        <v>280,0</v>
      </c>
      <c r="T14" s="8" t="str">
        <f>"315,0280"</f>
        <v>315,0280</v>
      </c>
      <c r="U14" s="7" t="s">
        <v>179</v>
      </c>
    </row>
    <row r="15" spans="1:21">
      <c r="A15" s="25" t="s">
        <v>45</v>
      </c>
      <c r="B15" s="24" t="s">
        <v>242</v>
      </c>
      <c r="C15" s="24" t="s">
        <v>243</v>
      </c>
      <c r="D15" s="24" t="s">
        <v>244</v>
      </c>
      <c r="E15" s="24" t="s">
        <v>964</v>
      </c>
      <c r="F15" s="24" t="s">
        <v>898</v>
      </c>
      <c r="G15" s="26" t="s">
        <v>218</v>
      </c>
      <c r="H15" s="26" t="s">
        <v>126</v>
      </c>
      <c r="I15" s="27" t="s">
        <v>111</v>
      </c>
      <c r="J15" s="25"/>
      <c r="K15" s="26" t="s">
        <v>48</v>
      </c>
      <c r="L15" s="27" t="s">
        <v>54</v>
      </c>
      <c r="M15" s="27" t="s">
        <v>54</v>
      </c>
      <c r="N15" s="25"/>
      <c r="O15" s="26" t="s">
        <v>245</v>
      </c>
      <c r="P15" s="27" t="s">
        <v>67</v>
      </c>
      <c r="Q15" s="27" t="s">
        <v>67</v>
      </c>
      <c r="R15" s="25"/>
      <c r="S15" s="30" t="str">
        <f>"280,0"</f>
        <v>280,0</v>
      </c>
      <c r="T15" s="25" t="str">
        <f>"312,5640"</f>
        <v>312,5640</v>
      </c>
      <c r="U15" s="24"/>
    </row>
    <row r="16" spans="1:21">
      <c r="A16" s="25" t="s">
        <v>213</v>
      </c>
      <c r="B16" s="24" t="s">
        <v>246</v>
      </c>
      <c r="C16" s="24" t="s">
        <v>247</v>
      </c>
      <c r="D16" s="24" t="s">
        <v>248</v>
      </c>
      <c r="E16" s="24" t="s">
        <v>964</v>
      </c>
      <c r="F16" s="24" t="s">
        <v>902</v>
      </c>
      <c r="G16" s="26" t="s">
        <v>24</v>
      </c>
      <c r="H16" s="26" t="s">
        <v>25</v>
      </c>
      <c r="I16" s="26" t="s">
        <v>218</v>
      </c>
      <c r="J16" s="25"/>
      <c r="K16" s="26" t="s">
        <v>54</v>
      </c>
      <c r="L16" s="26" t="s">
        <v>95</v>
      </c>
      <c r="M16" s="27" t="s">
        <v>49</v>
      </c>
      <c r="N16" s="25"/>
      <c r="O16" s="26" t="s">
        <v>111</v>
      </c>
      <c r="P16" s="26" t="s">
        <v>98</v>
      </c>
      <c r="Q16" s="25"/>
      <c r="R16" s="25"/>
      <c r="S16" s="30" t="str">
        <f>"262,5"</f>
        <v>262,5</v>
      </c>
      <c r="T16" s="25" t="str">
        <f>"298,0687"</f>
        <v>298,0687</v>
      </c>
      <c r="U16" s="24" t="s">
        <v>249</v>
      </c>
    </row>
    <row r="17" spans="1:21">
      <c r="A17" s="25" t="s">
        <v>405</v>
      </c>
      <c r="B17" s="24" t="s">
        <v>250</v>
      </c>
      <c r="C17" s="24" t="s">
        <v>251</v>
      </c>
      <c r="D17" s="24" t="s">
        <v>252</v>
      </c>
      <c r="E17" s="24" t="s">
        <v>964</v>
      </c>
      <c r="F17" s="24" t="s">
        <v>898</v>
      </c>
      <c r="G17" s="26" t="s">
        <v>23</v>
      </c>
      <c r="H17" s="27" t="s">
        <v>66</v>
      </c>
      <c r="I17" s="27" t="s">
        <v>66</v>
      </c>
      <c r="J17" s="25"/>
      <c r="K17" s="26" t="s">
        <v>53</v>
      </c>
      <c r="L17" s="26" t="s">
        <v>48</v>
      </c>
      <c r="M17" s="27" t="s">
        <v>54</v>
      </c>
      <c r="N17" s="25"/>
      <c r="O17" s="26" t="s">
        <v>105</v>
      </c>
      <c r="P17" s="26" t="s">
        <v>63</v>
      </c>
      <c r="Q17" s="27" t="s">
        <v>142</v>
      </c>
      <c r="R17" s="25"/>
      <c r="S17" s="30" t="str">
        <f>"230,0"</f>
        <v>230,0</v>
      </c>
      <c r="T17" s="25" t="str">
        <f>"262,2230"</f>
        <v>262,2230</v>
      </c>
      <c r="U17" s="24" t="s">
        <v>253</v>
      </c>
    </row>
    <row r="18" spans="1:21">
      <c r="A18" s="10" t="s">
        <v>20</v>
      </c>
      <c r="B18" s="9" t="s">
        <v>242</v>
      </c>
      <c r="C18" s="9" t="s">
        <v>254</v>
      </c>
      <c r="D18" s="9" t="s">
        <v>244</v>
      </c>
      <c r="E18" s="9" t="s">
        <v>965</v>
      </c>
      <c r="F18" s="9" t="s">
        <v>898</v>
      </c>
      <c r="G18" s="20" t="s">
        <v>218</v>
      </c>
      <c r="H18" s="20" t="s">
        <v>126</v>
      </c>
      <c r="I18" s="21" t="s">
        <v>111</v>
      </c>
      <c r="J18" s="10"/>
      <c r="K18" s="20" t="s">
        <v>48</v>
      </c>
      <c r="L18" s="21" t="s">
        <v>54</v>
      </c>
      <c r="M18" s="21" t="s">
        <v>54</v>
      </c>
      <c r="N18" s="10"/>
      <c r="O18" s="20" t="s">
        <v>245</v>
      </c>
      <c r="P18" s="21" t="s">
        <v>67</v>
      </c>
      <c r="Q18" s="21" t="s">
        <v>67</v>
      </c>
      <c r="R18" s="10"/>
      <c r="S18" s="31" t="str">
        <f>"280,0"</f>
        <v>280,0</v>
      </c>
      <c r="T18" s="10" t="str">
        <f>"321,3158"</f>
        <v>321,3158</v>
      </c>
      <c r="U18" s="9"/>
    </row>
    <row r="19" spans="1:21">
      <c r="B19" s="5" t="s">
        <v>21</v>
      </c>
    </row>
    <row r="20" spans="1:21" ht="16">
      <c r="A20" s="33" t="s">
        <v>59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21">
      <c r="A21" s="8" t="s">
        <v>20</v>
      </c>
      <c r="B21" s="7" t="s">
        <v>255</v>
      </c>
      <c r="C21" s="7" t="s">
        <v>256</v>
      </c>
      <c r="D21" s="7" t="s">
        <v>257</v>
      </c>
      <c r="E21" s="7" t="s">
        <v>964</v>
      </c>
      <c r="F21" s="7" t="s">
        <v>903</v>
      </c>
      <c r="G21" s="18" t="s">
        <v>97</v>
      </c>
      <c r="H21" s="18" t="s">
        <v>105</v>
      </c>
      <c r="I21" s="18" t="s">
        <v>99</v>
      </c>
      <c r="J21" s="8"/>
      <c r="K21" s="18" t="s">
        <v>96</v>
      </c>
      <c r="L21" s="19" t="s">
        <v>65</v>
      </c>
      <c r="M21" s="19" t="s">
        <v>65</v>
      </c>
      <c r="N21" s="8"/>
      <c r="O21" s="18" t="s">
        <v>74</v>
      </c>
      <c r="P21" s="18" t="s">
        <v>164</v>
      </c>
      <c r="Q21" s="18" t="s">
        <v>36</v>
      </c>
      <c r="R21" s="8"/>
      <c r="S21" s="29" t="str">
        <f>"325,0"</f>
        <v>325,0</v>
      </c>
      <c r="T21" s="8" t="str">
        <f>"352,8850"</f>
        <v>352,8850</v>
      </c>
      <c r="U21" s="7" t="s">
        <v>179</v>
      </c>
    </row>
    <row r="22" spans="1:21">
      <c r="A22" s="25" t="s">
        <v>45</v>
      </c>
      <c r="B22" s="24" t="s">
        <v>258</v>
      </c>
      <c r="C22" s="24" t="s">
        <v>259</v>
      </c>
      <c r="D22" s="24" t="s">
        <v>260</v>
      </c>
      <c r="E22" s="24" t="s">
        <v>964</v>
      </c>
      <c r="F22" s="24" t="s">
        <v>898</v>
      </c>
      <c r="G22" s="26" t="s">
        <v>111</v>
      </c>
      <c r="H22" s="26" t="s">
        <v>105</v>
      </c>
      <c r="I22" s="26" t="s">
        <v>99</v>
      </c>
      <c r="J22" s="25"/>
      <c r="K22" s="26" t="s">
        <v>49</v>
      </c>
      <c r="L22" s="26" t="s">
        <v>23</v>
      </c>
      <c r="M22" s="27" t="s">
        <v>65</v>
      </c>
      <c r="N22" s="25"/>
      <c r="O22" s="26" t="s">
        <v>63</v>
      </c>
      <c r="P22" s="27" t="s">
        <v>142</v>
      </c>
      <c r="Q22" s="27" t="s">
        <v>142</v>
      </c>
      <c r="R22" s="25"/>
      <c r="S22" s="30" t="str">
        <f>"292,5"</f>
        <v>292,5</v>
      </c>
      <c r="T22" s="25" t="str">
        <f>"309,3480"</f>
        <v>309,3480</v>
      </c>
      <c r="U22" s="24" t="s">
        <v>261</v>
      </c>
    </row>
    <row r="23" spans="1:21">
      <c r="A23" s="25" t="s">
        <v>213</v>
      </c>
      <c r="B23" s="24" t="s">
        <v>262</v>
      </c>
      <c r="C23" s="24" t="s">
        <v>263</v>
      </c>
      <c r="D23" s="24" t="s">
        <v>122</v>
      </c>
      <c r="E23" s="24" t="s">
        <v>964</v>
      </c>
      <c r="F23" s="24" t="s">
        <v>898</v>
      </c>
      <c r="G23" s="27" t="s">
        <v>29</v>
      </c>
      <c r="H23" s="26" t="s">
        <v>24</v>
      </c>
      <c r="I23" s="26" t="s">
        <v>118</v>
      </c>
      <c r="J23" s="25"/>
      <c r="K23" s="26" t="s">
        <v>53</v>
      </c>
      <c r="L23" s="26" t="s">
        <v>48</v>
      </c>
      <c r="M23" s="27" t="s">
        <v>86</v>
      </c>
      <c r="N23" s="25"/>
      <c r="O23" s="26" t="s">
        <v>24</v>
      </c>
      <c r="P23" s="26" t="s">
        <v>25</v>
      </c>
      <c r="Q23" s="27" t="s">
        <v>111</v>
      </c>
      <c r="R23" s="25"/>
      <c r="S23" s="30" t="str">
        <f>"225,0"</f>
        <v>225,0</v>
      </c>
      <c r="T23" s="25" t="str">
        <f>"229,6350"</f>
        <v>229,6350</v>
      </c>
      <c r="U23" s="24"/>
    </row>
    <row r="24" spans="1:21">
      <c r="A24" s="25" t="s">
        <v>214</v>
      </c>
      <c r="B24" s="24" t="s">
        <v>265</v>
      </c>
      <c r="C24" s="24" t="s">
        <v>266</v>
      </c>
      <c r="D24" s="24" t="s">
        <v>267</v>
      </c>
      <c r="E24" s="24" t="s">
        <v>964</v>
      </c>
      <c r="F24" s="24" t="s">
        <v>904</v>
      </c>
      <c r="G24" s="27" t="s">
        <v>111</v>
      </c>
      <c r="H24" s="27" t="s">
        <v>111</v>
      </c>
      <c r="I24" s="27" t="s">
        <v>111</v>
      </c>
      <c r="J24" s="25"/>
      <c r="K24" s="25"/>
      <c r="L24" s="25"/>
      <c r="M24" s="25"/>
      <c r="N24" s="25"/>
      <c r="O24" s="25"/>
      <c r="P24" s="25"/>
      <c r="Q24" s="25"/>
      <c r="R24" s="25"/>
      <c r="S24" s="30">
        <v>0</v>
      </c>
      <c r="T24" s="25" t="str">
        <f>"0,0000"</f>
        <v>0,0000</v>
      </c>
      <c r="U24" s="24"/>
    </row>
    <row r="25" spans="1:21">
      <c r="A25" s="25" t="s">
        <v>20</v>
      </c>
      <c r="B25" s="24" t="s">
        <v>51</v>
      </c>
      <c r="C25" s="24" t="s">
        <v>268</v>
      </c>
      <c r="D25" s="24" t="s">
        <v>269</v>
      </c>
      <c r="E25" s="24" t="s">
        <v>965</v>
      </c>
      <c r="F25" s="24" t="s">
        <v>905</v>
      </c>
      <c r="G25" s="26" t="s">
        <v>24</v>
      </c>
      <c r="H25" s="27" t="s">
        <v>118</v>
      </c>
      <c r="I25" s="27" t="s">
        <v>118</v>
      </c>
      <c r="J25" s="25"/>
      <c r="K25" s="26" t="s">
        <v>53</v>
      </c>
      <c r="L25" s="26" t="s">
        <v>48</v>
      </c>
      <c r="M25" s="27" t="s">
        <v>86</v>
      </c>
      <c r="N25" s="25"/>
      <c r="O25" s="26" t="s">
        <v>84</v>
      </c>
      <c r="P25" s="26" t="s">
        <v>98</v>
      </c>
      <c r="Q25" s="26" t="s">
        <v>63</v>
      </c>
      <c r="R25" s="25"/>
      <c r="S25" s="30" t="str">
        <f>"245,0"</f>
        <v>245,0</v>
      </c>
      <c r="T25" s="25" t="str">
        <f>"256,3052"</f>
        <v>256,3052</v>
      </c>
      <c r="U25" s="24"/>
    </row>
    <row r="26" spans="1:21">
      <c r="A26" s="10" t="s">
        <v>45</v>
      </c>
      <c r="B26" s="9" t="s">
        <v>270</v>
      </c>
      <c r="C26" s="9" t="s">
        <v>271</v>
      </c>
      <c r="D26" s="9" t="s">
        <v>272</v>
      </c>
      <c r="E26" s="9" t="s">
        <v>965</v>
      </c>
      <c r="F26" s="9" t="s">
        <v>898</v>
      </c>
      <c r="G26" s="20" t="s">
        <v>23</v>
      </c>
      <c r="H26" s="20" t="s">
        <v>28</v>
      </c>
      <c r="I26" s="20" t="s">
        <v>66</v>
      </c>
      <c r="J26" s="10"/>
      <c r="K26" s="20" t="s">
        <v>53</v>
      </c>
      <c r="L26" s="20" t="s">
        <v>48</v>
      </c>
      <c r="M26" s="21" t="s">
        <v>54</v>
      </c>
      <c r="N26" s="10"/>
      <c r="O26" s="20" t="s">
        <v>94</v>
      </c>
      <c r="P26" s="20" t="s">
        <v>126</v>
      </c>
      <c r="Q26" s="20" t="s">
        <v>111</v>
      </c>
      <c r="R26" s="10"/>
      <c r="S26" s="31" t="str">
        <f>"222,5"</f>
        <v>222,5</v>
      </c>
      <c r="T26" s="10" t="str">
        <f>"237,3307"</f>
        <v>237,3307</v>
      </c>
      <c r="U26" s="9" t="s">
        <v>273</v>
      </c>
    </row>
    <row r="27" spans="1:21">
      <c r="B27" s="5" t="s">
        <v>21</v>
      </c>
    </row>
    <row r="28" spans="1:21" ht="16">
      <c r="A28" s="33" t="s">
        <v>22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21">
      <c r="A29" s="12" t="s">
        <v>20</v>
      </c>
      <c r="B29" s="11" t="s">
        <v>274</v>
      </c>
      <c r="C29" s="11" t="s">
        <v>275</v>
      </c>
      <c r="D29" s="11" t="s">
        <v>276</v>
      </c>
      <c r="E29" s="11" t="s">
        <v>964</v>
      </c>
      <c r="F29" s="11" t="s">
        <v>906</v>
      </c>
      <c r="G29" s="22" t="s">
        <v>142</v>
      </c>
      <c r="H29" s="22" t="s">
        <v>34</v>
      </c>
      <c r="I29" s="22" t="s">
        <v>67</v>
      </c>
      <c r="J29" s="12"/>
      <c r="K29" s="22" t="s">
        <v>29</v>
      </c>
      <c r="L29" s="22" t="s">
        <v>103</v>
      </c>
      <c r="M29" s="22" t="s">
        <v>93</v>
      </c>
      <c r="N29" s="12"/>
      <c r="O29" s="22" t="s">
        <v>98</v>
      </c>
      <c r="P29" s="22" t="s">
        <v>141</v>
      </c>
      <c r="Q29" s="12"/>
      <c r="R29" s="12"/>
      <c r="S29" s="32" t="str">
        <f>"342,5"</f>
        <v>342,5</v>
      </c>
      <c r="T29" s="12" t="str">
        <f>"327,5328"</f>
        <v>327,5328</v>
      </c>
      <c r="U29" s="11" t="s">
        <v>280</v>
      </c>
    </row>
    <row r="30" spans="1:21">
      <c r="B30" s="5" t="s">
        <v>21</v>
      </c>
    </row>
    <row r="31" spans="1:21" ht="16">
      <c r="A31" s="33" t="s">
        <v>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21">
      <c r="A32" s="12" t="s">
        <v>20</v>
      </c>
      <c r="B32" s="11" t="s">
        <v>277</v>
      </c>
      <c r="C32" s="11" t="s">
        <v>278</v>
      </c>
      <c r="D32" s="11" t="s">
        <v>279</v>
      </c>
      <c r="E32" s="11" t="s">
        <v>964</v>
      </c>
      <c r="F32" s="11" t="s">
        <v>906</v>
      </c>
      <c r="G32" s="22" t="s">
        <v>34</v>
      </c>
      <c r="H32" s="22" t="s">
        <v>112</v>
      </c>
      <c r="I32" s="22" t="s">
        <v>36</v>
      </c>
      <c r="J32" s="12"/>
      <c r="K32" s="22" t="s">
        <v>63</v>
      </c>
      <c r="L32" s="22" t="s">
        <v>64</v>
      </c>
      <c r="M32" s="23" t="s">
        <v>34</v>
      </c>
      <c r="N32" s="12"/>
      <c r="O32" s="22" t="s">
        <v>36</v>
      </c>
      <c r="P32" s="22" t="s">
        <v>135</v>
      </c>
      <c r="Q32" s="23" t="s">
        <v>41</v>
      </c>
      <c r="R32" s="12"/>
      <c r="S32" s="32" t="str">
        <f>"437,5"</f>
        <v>437,5</v>
      </c>
      <c r="T32" s="12" t="str">
        <f>"343,0875"</f>
        <v>343,0875</v>
      </c>
      <c r="U32" s="11" t="s">
        <v>280</v>
      </c>
    </row>
    <row r="33" spans="1:21">
      <c r="B33" s="5" t="s">
        <v>21</v>
      </c>
    </row>
    <row r="34" spans="1:21" ht="16">
      <c r="A34" s="33" t="s">
        <v>22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21">
      <c r="A35" s="8" t="s">
        <v>20</v>
      </c>
      <c r="B35" s="7" t="s">
        <v>281</v>
      </c>
      <c r="C35" s="7" t="s">
        <v>282</v>
      </c>
      <c r="D35" s="7" t="s">
        <v>283</v>
      </c>
      <c r="E35" s="7" t="s">
        <v>966</v>
      </c>
      <c r="F35" s="7" t="s">
        <v>898</v>
      </c>
      <c r="G35" s="18" t="s">
        <v>141</v>
      </c>
      <c r="H35" s="18" t="s">
        <v>55</v>
      </c>
      <c r="I35" s="18" t="s">
        <v>34</v>
      </c>
      <c r="J35" s="8"/>
      <c r="K35" s="18" t="s">
        <v>117</v>
      </c>
      <c r="L35" s="18" t="s">
        <v>118</v>
      </c>
      <c r="M35" s="19" t="s">
        <v>94</v>
      </c>
      <c r="N35" s="8"/>
      <c r="O35" s="18" t="s">
        <v>112</v>
      </c>
      <c r="P35" s="18" t="s">
        <v>36</v>
      </c>
      <c r="Q35" s="18" t="s">
        <v>39</v>
      </c>
      <c r="R35" s="8"/>
      <c r="S35" s="29" t="str">
        <f>"375,0"</f>
        <v>375,0</v>
      </c>
      <c r="T35" s="8" t="str">
        <f>"273,4875"</f>
        <v>273,4875</v>
      </c>
      <c r="U35" s="7" t="s">
        <v>284</v>
      </c>
    </row>
    <row r="36" spans="1:21">
      <c r="A36" s="25" t="s">
        <v>20</v>
      </c>
      <c r="B36" s="24" t="s">
        <v>285</v>
      </c>
      <c r="C36" s="24" t="s">
        <v>286</v>
      </c>
      <c r="D36" s="24" t="s">
        <v>287</v>
      </c>
      <c r="E36" s="24" t="s">
        <v>964</v>
      </c>
      <c r="F36" s="24" t="s">
        <v>907</v>
      </c>
      <c r="G36" s="26" t="s">
        <v>135</v>
      </c>
      <c r="H36" s="26" t="s">
        <v>72</v>
      </c>
      <c r="I36" s="27" t="s">
        <v>41</v>
      </c>
      <c r="J36" s="25"/>
      <c r="K36" s="26" t="s">
        <v>98</v>
      </c>
      <c r="L36" s="27" t="s">
        <v>142</v>
      </c>
      <c r="M36" s="26" t="s">
        <v>142</v>
      </c>
      <c r="N36" s="25"/>
      <c r="O36" s="26" t="s">
        <v>42</v>
      </c>
      <c r="P36" s="26" t="s">
        <v>288</v>
      </c>
      <c r="Q36" s="27" t="s">
        <v>172</v>
      </c>
      <c r="R36" s="25"/>
      <c r="S36" s="30" t="str">
        <f>"500,0"</f>
        <v>500,0</v>
      </c>
      <c r="T36" s="25" t="str">
        <f>"363,9000"</f>
        <v>363,9000</v>
      </c>
      <c r="U36" s="24" t="s">
        <v>289</v>
      </c>
    </row>
    <row r="37" spans="1:21">
      <c r="A37" s="25" t="s">
        <v>45</v>
      </c>
      <c r="B37" s="24" t="s">
        <v>290</v>
      </c>
      <c r="C37" s="24" t="s">
        <v>291</v>
      </c>
      <c r="D37" s="24" t="s">
        <v>292</v>
      </c>
      <c r="E37" s="24" t="s">
        <v>964</v>
      </c>
      <c r="F37" s="24" t="s">
        <v>906</v>
      </c>
      <c r="G37" s="26" t="s">
        <v>113</v>
      </c>
      <c r="H37" s="27" t="s">
        <v>39</v>
      </c>
      <c r="I37" s="26" t="s">
        <v>39</v>
      </c>
      <c r="J37" s="25"/>
      <c r="K37" s="27" t="s">
        <v>141</v>
      </c>
      <c r="L37" s="27" t="s">
        <v>141</v>
      </c>
      <c r="M37" s="26" t="s">
        <v>142</v>
      </c>
      <c r="N37" s="25"/>
      <c r="O37" s="27" t="s">
        <v>132</v>
      </c>
      <c r="P37" s="26" t="s">
        <v>133</v>
      </c>
      <c r="Q37" s="26" t="s">
        <v>172</v>
      </c>
      <c r="R37" s="25"/>
      <c r="S37" s="30" t="str">
        <f>"495,0"</f>
        <v>495,0</v>
      </c>
      <c r="T37" s="25" t="str">
        <f>"352,7370"</f>
        <v>352,7370</v>
      </c>
      <c r="U37" s="24"/>
    </row>
    <row r="38" spans="1:21">
      <c r="A38" s="25" t="s">
        <v>213</v>
      </c>
      <c r="B38" s="24" t="s">
        <v>293</v>
      </c>
      <c r="C38" s="24" t="s">
        <v>294</v>
      </c>
      <c r="D38" s="24" t="s">
        <v>295</v>
      </c>
      <c r="E38" s="24" t="s">
        <v>964</v>
      </c>
      <c r="F38" s="24" t="s">
        <v>908</v>
      </c>
      <c r="G38" s="26" t="s">
        <v>74</v>
      </c>
      <c r="H38" s="26" t="s">
        <v>164</v>
      </c>
      <c r="I38" s="27" t="s">
        <v>113</v>
      </c>
      <c r="J38" s="25"/>
      <c r="K38" s="26" t="s">
        <v>218</v>
      </c>
      <c r="L38" s="26" t="s">
        <v>111</v>
      </c>
      <c r="M38" s="26" t="s">
        <v>84</v>
      </c>
      <c r="N38" s="25"/>
      <c r="O38" s="26" t="s">
        <v>36</v>
      </c>
      <c r="P38" s="26" t="s">
        <v>135</v>
      </c>
      <c r="Q38" s="26" t="s">
        <v>72</v>
      </c>
      <c r="R38" s="25"/>
      <c r="S38" s="30" t="str">
        <f>"425,0"</f>
        <v>425,0</v>
      </c>
      <c r="T38" s="25" t="str">
        <f>"307,7850"</f>
        <v>307,7850</v>
      </c>
      <c r="U38" s="24" t="s">
        <v>280</v>
      </c>
    </row>
    <row r="39" spans="1:21">
      <c r="A39" s="10" t="s">
        <v>405</v>
      </c>
      <c r="B39" s="9" t="s">
        <v>296</v>
      </c>
      <c r="C39" s="9" t="s">
        <v>297</v>
      </c>
      <c r="D39" s="9" t="s">
        <v>298</v>
      </c>
      <c r="E39" s="9" t="s">
        <v>964</v>
      </c>
      <c r="F39" s="9" t="s">
        <v>906</v>
      </c>
      <c r="G39" s="20" t="s">
        <v>142</v>
      </c>
      <c r="H39" s="20" t="s">
        <v>74</v>
      </c>
      <c r="I39" s="20" t="s">
        <v>164</v>
      </c>
      <c r="J39" s="10"/>
      <c r="K39" s="20" t="s">
        <v>97</v>
      </c>
      <c r="L39" s="20" t="s">
        <v>99</v>
      </c>
      <c r="M39" s="21" t="s">
        <v>64</v>
      </c>
      <c r="N39" s="10"/>
      <c r="O39" s="20" t="s">
        <v>74</v>
      </c>
      <c r="P39" s="20" t="s">
        <v>113</v>
      </c>
      <c r="Q39" s="21" t="s">
        <v>40</v>
      </c>
      <c r="R39" s="10"/>
      <c r="S39" s="31" t="str">
        <f>"412,5"</f>
        <v>412,5</v>
      </c>
      <c r="T39" s="10" t="str">
        <f>"301,1250"</f>
        <v>301,1250</v>
      </c>
      <c r="U39" s="9" t="s">
        <v>280</v>
      </c>
    </row>
    <row r="40" spans="1:21">
      <c r="B40" s="5" t="s">
        <v>21</v>
      </c>
    </row>
    <row r="41" spans="1:21" ht="16">
      <c r="A41" s="33" t="s">
        <v>128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21">
      <c r="A42" s="8" t="s">
        <v>20</v>
      </c>
      <c r="B42" s="7" t="s">
        <v>299</v>
      </c>
      <c r="C42" s="7" t="s">
        <v>300</v>
      </c>
      <c r="D42" s="7" t="s">
        <v>301</v>
      </c>
      <c r="E42" s="7" t="s">
        <v>967</v>
      </c>
      <c r="F42" s="7" t="s">
        <v>898</v>
      </c>
      <c r="G42" s="18" t="s">
        <v>40</v>
      </c>
      <c r="H42" s="18" t="s">
        <v>41</v>
      </c>
      <c r="I42" s="18" t="s">
        <v>42</v>
      </c>
      <c r="J42" s="8"/>
      <c r="K42" s="18" t="s">
        <v>142</v>
      </c>
      <c r="L42" s="18" t="s">
        <v>55</v>
      </c>
      <c r="M42" s="18" t="s">
        <v>234</v>
      </c>
      <c r="N42" s="8"/>
      <c r="O42" s="18" t="s">
        <v>133</v>
      </c>
      <c r="P42" s="18" t="s">
        <v>148</v>
      </c>
      <c r="Q42" s="18" t="s">
        <v>76</v>
      </c>
      <c r="R42" s="8"/>
      <c r="S42" s="29" t="str">
        <f>"552,5"</f>
        <v>552,5</v>
      </c>
      <c r="T42" s="8" t="str">
        <f>"376,5840"</f>
        <v>376,5840</v>
      </c>
      <c r="U42" s="7"/>
    </row>
    <row r="43" spans="1:21">
      <c r="A43" s="25" t="s">
        <v>20</v>
      </c>
      <c r="B43" s="24" t="s">
        <v>302</v>
      </c>
      <c r="C43" s="24" t="s">
        <v>303</v>
      </c>
      <c r="D43" s="24" t="s">
        <v>304</v>
      </c>
      <c r="E43" s="24" t="s">
        <v>964</v>
      </c>
      <c r="F43" s="24" t="s">
        <v>898</v>
      </c>
      <c r="G43" s="26" t="s">
        <v>40</v>
      </c>
      <c r="H43" s="27" t="s">
        <v>41</v>
      </c>
      <c r="I43" s="27" t="s">
        <v>41</v>
      </c>
      <c r="J43" s="25"/>
      <c r="K43" s="27" t="s">
        <v>74</v>
      </c>
      <c r="L43" s="26" t="s">
        <v>74</v>
      </c>
      <c r="M43" s="27" t="s">
        <v>112</v>
      </c>
      <c r="N43" s="25"/>
      <c r="O43" s="26" t="s">
        <v>132</v>
      </c>
      <c r="P43" s="26" t="s">
        <v>133</v>
      </c>
      <c r="Q43" s="25"/>
      <c r="R43" s="25"/>
      <c r="S43" s="30" t="str">
        <f>"515,0"</f>
        <v>515,0</v>
      </c>
      <c r="T43" s="25" t="str">
        <f>"346,5435"</f>
        <v>346,5435</v>
      </c>
      <c r="U43" s="24"/>
    </row>
    <row r="44" spans="1:21">
      <c r="A44" s="25" t="s">
        <v>214</v>
      </c>
      <c r="B44" s="24" t="s">
        <v>305</v>
      </c>
      <c r="C44" s="24" t="s">
        <v>306</v>
      </c>
      <c r="D44" s="24" t="s">
        <v>307</v>
      </c>
      <c r="E44" s="24" t="s">
        <v>965</v>
      </c>
      <c r="F44" s="24" t="s">
        <v>909</v>
      </c>
      <c r="G44" s="26" t="s">
        <v>135</v>
      </c>
      <c r="H44" s="26" t="s">
        <v>40</v>
      </c>
      <c r="I44" s="27" t="s">
        <v>72</v>
      </c>
      <c r="J44" s="25"/>
      <c r="K44" s="27" t="s">
        <v>111</v>
      </c>
      <c r="L44" s="27" t="s">
        <v>111</v>
      </c>
      <c r="M44" s="27" t="s">
        <v>111</v>
      </c>
      <c r="N44" s="25"/>
      <c r="O44" s="27"/>
      <c r="P44" s="25"/>
      <c r="Q44" s="25"/>
      <c r="R44" s="25"/>
      <c r="S44" s="30">
        <v>0</v>
      </c>
      <c r="T44" s="25" t="str">
        <f>"0,0000"</f>
        <v>0,0000</v>
      </c>
      <c r="U44" s="24"/>
    </row>
    <row r="45" spans="1:21">
      <c r="A45" s="10" t="s">
        <v>20</v>
      </c>
      <c r="B45" s="9" t="s">
        <v>308</v>
      </c>
      <c r="C45" s="9" t="s">
        <v>309</v>
      </c>
      <c r="D45" s="9" t="s">
        <v>310</v>
      </c>
      <c r="E45" s="9" t="s">
        <v>968</v>
      </c>
      <c r="F45" s="9" t="s">
        <v>910</v>
      </c>
      <c r="G45" s="20" t="s">
        <v>63</v>
      </c>
      <c r="H45" s="20" t="s">
        <v>64</v>
      </c>
      <c r="I45" s="21" t="s">
        <v>234</v>
      </c>
      <c r="J45" s="10"/>
      <c r="K45" s="20" t="s">
        <v>103</v>
      </c>
      <c r="L45" s="20" t="s">
        <v>93</v>
      </c>
      <c r="M45" s="20" t="s">
        <v>25</v>
      </c>
      <c r="N45" s="10"/>
      <c r="O45" s="20" t="s">
        <v>113</v>
      </c>
      <c r="P45" s="20" t="s">
        <v>311</v>
      </c>
      <c r="Q45" s="20" t="s">
        <v>136</v>
      </c>
      <c r="R45" s="10"/>
      <c r="S45" s="31" t="str">
        <f>"380,0"</f>
        <v>380,0</v>
      </c>
      <c r="T45" s="10" t="str">
        <f>"390,5348"</f>
        <v>390,5348</v>
      </c>
      <c r="U45" s="9"/>
    </row>
    <row r="46" spans="1:21">
      <c r="B46" s="5" t="s">
        <v>21</v>
      </c>
    </row>
    <row r="47" spans="1:21" ht="16">
      <c r="A47" s="33" t="s">
        <v>47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21">
      <c r="A48" s="8" t="s">
        <v>20</v>
      </c>
      <c r="B48" s="7" t="s">
        <v>312</v>
      </c>
      <c r="C48" s="7" t="s">
        <v>313</v>
      </c>
      <c r="D48" s="7" t="s">
        <v>314</v>
      </c>
      <c r="E48" s="7" t="s">
        <v>966</v>
      </c>
      <c r="F48" s="7" t="s">
        <v>911</v>
      </c>
      <c r="G48" s="18" t="s">
        <v>42</v>
      </c>
      <c r="H48" s="18" t="s">
        <v>315</v>
      </c>
      <c r="I48" s="19" t="s">
        <v>316</v>
      </c>
      <c r="J48" s="8"/>
      <c r="K48" s="18" t="s">
        <v>98</v>
      </c>
      <c r="L48" s="19" t="s">
        <v>63</v>
      </c>
      <c r="M48" s="19" t="s">
        <v>63</v>
      </c>
      <c r="N48" s="8"/>
      <c r="O48" s="18" t="s">
        <v>133</v>
      </c>
      <c r="P48" s="19" t="s">
        <v>75</v>
      </c>
      <c r="Q48" s="19" t="s">
        <v>75</v>
      </c>
      <c r="R48" s="8"/>
      <c r="S48" s="29" t="str">
        <f>"517,5"</f>
        <v>517,5</v>
      </c>
      <c r="T48" s="8" t="str">
        <f>"330,5790"</f>
        <v>330,5790</v>
      </c>
      <c r="U48" s="7" t="s">
        <v>317</v>
      </c>
    </row>
    <row r="49" spans="1:21">
      <c r="A49" s="25" t="s">
        <v>20</v>
      </c>
      <c r="B49" s="24" t="s">
        <v>318</v>
      </c>
      <c r="C49" s="24" t="s">
        <v>319</v>
      </c>
      <c r="D49" s="24" t="s">
        <v>320</v>
      </c>
      <c r="E49" s="24" t="s">
        <v>967</v>
      </c>
      <c r="F49" s="24" t="s">
        <v>898</v>
      </c>
      <c r="G49" s="26" t="s">
        <v>144</v>
      </c>
      <c r="H49" s="26" t="s">
        <v>158</v>
      </c>
      <c r="I49" s="27" t="s">
        <v>159</v>
      </c>
      <c r="J49" s="25"/>
      <c r="K49" s="26" t="s">
        <v>112</v>
      </c>
      <c r="L49" s="27" t="s">
        <v>37</v>
      </c>
      <c r="M49" s="27" t="s">
        <v>37</v>
      </c>
      <c r="N49" s="25"/>
      <c r="O49" s="27" t="s">
        <v>177</v>
      </c>
      <c r="P49" s="26" t="s">
        <v>178</v>
      </c>
      <c r="Q49" s="27" t="s">
        <v>184</v>
      </c>
      <c r="R49" s="25"/>
      <c r="S49" s="30" t="str">
        <f>"640,0"</f>
        <v>640,0</v>
      </c>
      <c r="T49" s="25" t="str">
        <f>"409,2800"</f>
        <v>409,2800</v>
      </c>
      <c r="U49" s="24"/>
    </row>
    <row r="50" spans="1:21">
      <c r="A50" s="25" t="s">
        <v>45</v>
      </c>
      <c r="B50" s="24" t="s">
        <v>321</v>
      </c>
      <c r="C50" s="24" t="s">
        <v>322</v>
      </c>
      <c r="D50" s="24" t="s">
        <v>323</v>
      </c>
      <c r="E50" s="24" t="s">
        <v>967</v>
      </c>
      <c r="F50" s="24" t="s">
        <v>898</v>
      </c>
      <c r="G50" s="26" t="s">
        <v>40</v>
      </c>
      <c r="H50" s="26" t="s">
        <v>72</v>
      </c>
      <c r="I50" s="26" t="s">
        <v>185</v>
      </c>
      <c r="J50" s="25"/>
      <c r="K50" s="26" t="s">
        <v>142</v>
      </c>
      <c r="L50" s="26" t="s">
        <v>234</v>
      </c>
      <c r="M50" s="27" t="s">
        <v>245</v>
      </c>
      <c r="N50" s="25"/>
      <c r="O50" s="26" t="s">
        <v>132</v>
      </c>
      <c r="P50" s="26" t="s">
        <v>133</v>
      </c>
      <c r="Q50" s="27" t="s">
        <v>172</v>
      </c>
      <c r="R50" s="25"/>
      <c r="S50" s="30" t="str">
        <f>"520,0"</f>
        <v>520,0</v>
      </c>
      <c r="T50" s="25" t="str">
        <f>"338,3640"</f>
        <v>338,3640</v>
      </c>
      <c r="U50" s="24"/>
    </row>
    <row r="51" spans="1:21">
      <c r="A51" s="25" t="s">
        <v>214</v>
      </c>
      <c r="B51" s="24" t="s">
        <v>324</v>
      </c>
      <c r="C51" s="24" t="s">
        <v>325</v>
      </c>
      <c r="D51" s="24" t="s">
        <v>326</v>
      </c>
      <c r="E51" s="24" t="s">
        <v>967</v>
      </c>
      <c r="F51" s="24" t="s">
        <v>912</v>
      </c>
      <c r="G51" s="26" t="s">
        <v>133</v>
      </c>
      <c r="H51" s="26" t="s">
        <v>75</v>
      </c>
      <c r="I51" s="27" t="s">
        <v>144</v>
      </c>
      <c r="J51" s="25"/>
      <c r="K51" s="26" t="s">
        <v>36</v>
      </c>
      <c r="L51" s="27" t="s">
        <v>113</v>
      </c>
      <c r="M51" s="27" t="s">
        <v>113</v>
      </c>
      <c r="N51" s="25"/>
      <c r="O51" s="27"/>
      <c r="P51" s="25"/>
      <c r="Q51" s="25"/>
      <c r="R51" s="25"/>
      <c r="S51" s="30">
        <v>0</v>
      </c>
      <c r="T51" s="25" t="str">
        <f>"0,0000"</f>
        <v>0,0000</v>
      </c>
      <c r="U51" s="24"/>
    </row>
    <row r="52" spans="1:21">
      <c r="A52" s="25" t="s">
        <v>214</v>
      </c>
      <c r="B52" s="24" t="s">
        <v>327</v>
      </c>
      <c r="C52" s="24" t="s">
        <v>328</v>
      </c>
      <c r="D52" s="24" t="s">
        <v>147</v>
      </c>
      <c r="E52" s="24" t="s">
        <v>967</v>
      </c>
      <c r="F52" s="24" t="s">
        <v>898</v>
      </c>
      <c r="G52" s="27" t="s">
        <v>288</v>
      </c>
      <c r="H52" s="27" t="s">
        <v>288</v>
      </c>
      <c r="I52" s="27" t="s">
        <v>288</v>
      </c>
      <c r="J52" s="25"/>
      <c r="K52" s="27"/>
      <c r="L52" s="25"/>
      <c r="M52" s="25"/>
      <c r="N52" s="25"/>
      <c r="O52" s="27"/>
      <c r="P52" s="25"/>
      <c r="Q52" s="25"/>
      <c r="R52" s="25"/>
      <c r="S52" s="30">
        <v>0</v>
      </c>
      <c r="T52" s="25" t="str">
        <f>"0,0000"</f>
        <v>0,0000</v>
      </c>
      <c r="U52" s="24" t="s">
        <v>329</v>
      </c>
    </row>
    <row r="53" spans="1:21">
      <c r="A53" s="25" t="s">
        <v>20</v>
      </c>
      <c r="B53" s="24" t="s">
        <v>318</v>
      </c>
      <c r="C53" s="24" t="s">
        <v>330</v>
      </c>
      <c r="D53" s="24" t="s">
        <v>320</v>
      </c>
      <c r="E53" s="24" t="s">
        <v>964</v>
      </c>
      <c r="F53" s="24" t="s">
        <v>898</v>
      </c>
      <c r="G53" s="26" t="s">
        <v>144</v>
      </c>
      <c r="H53" s="26" t="s">
        <v>158</v>
      </c>
      <c r="I53" s="27" t="s">
        <v>159</v>
      </c>
      <c r="J53" s="25"/>
      <c r="K53" s="26" t="s">
        <v>112</v>
      </c>
      <c r="L53" s="27" t="s">
        <v>37</v>
      </c>
      <c r="M53" s="27" t="s">
        <v>37</v>
      </c>
      <c r="N53" s="25"/>
      <c r="O53" s="27" t="s">
        <v>177</v>
      </c>
      <c r="P53" s="26" t="s">
        <v>178</v>
      </c>
      <c r="Q53" s="27" t="s">
        <v>184</v>
      </c>
      <c r="R53" s="25"/>
      <c r="S53" s="30" t="str">
        <f>"640,0"</f>
        <v>640,0</v>
      </c>
      <c r="T53" s="25" t="str">
        <f>"409,2800"</f>
        <v>409,2800</v>
      </c>
      <c r="U53" s="24"/>
    </row>
    <row r="54" spans="1:21">
      <c r="A54" s="25" t="s">
        <v>45</v>
      </c>
      <c r="B54" s="24" t="s">
        <v>324</v>
      </c>
      <c r="C54" s="24" t="s">
        <v>331</v>
      </c>
      <c r="D54" s="24" t="s">
        <v>326</v>
      </c>
      <c r="E54" s="24" t="s">
        <v>964</v>
      </c>
      <c r="F54" s="24" t="s">
        <v>912</v>
      </c>
      <c r="G54" s="26" t="s">
        <v>133</v>
      </c>
      <c r="H54" s="26" t="s">
        <v>75</v>
      </c>
      <c r="I54" s="27" t="s">
        <v>144</v>
      </c>
      <c r="J54" s="25"/>
      <c r="K54" s="26" t="s">
        <v>36</v>
      </c>
      <c r="L54" s="27" t="s">
        <v>113</v>
      </c>
      <c r="M54" s="27" t="s">
        <v>113</v>
      </c>
      <c r="N54" s="25"/>
      <c r="O54" s="27" t="s">
        <v>138</v>
      </c>
      <c r="P54" s="26" t="s">
        <v>177</v>
      </c>
      <c r="Q54" s="27" t="s">
        <v>178</v>
      </c>
      <c r="R54" s="25"/>
      <c r="S54" s="30" t="str">
        <f>"627,5"</f>
        <v>627,5</v>
      </c>
      <c r="T54" s="25" t="str">
        <f>"403,1060"</f>
        <v>403,1060</v>
      </c>
      <c r="U54" s="24"/>
    </row>
    <row r="55" spans="1:21">
      <c r="A55" s="25" t="s">
        <v>213</v>
      </c>
      <c r="B55" s="24" t="s">
        <v>332</v>
      </c>
      <c r="C55" s="24" t="s">
        <v>333</v>
      </c>
      <c r="D55" s="24" t="s">
        <v>334</v>
      </c>
      <c r="E55" s="24" t="s">
        <v>964</v>
      </c>
      <c r="F55" s="24" t="s">
        <v>898</v>
      </c>
      <c r="G55" s="26" t="s">
        <v>133</v>
      </c>
      <c r="H55" s="27" t="s">
        <v>144</v>
      </c>
      <c r="I55" s="27" t="s">
        <v>144</v>
      </c>
      <c r="J55" s="25"/>
      <c r="K55" s="26" t="s">
        <v>36</v>
      </c>
      <c r="L55" s="26" t="s">
        <v>113</v>
      </c>
      <c r="M55" s="27" t="s">
        <v>39</v>
      </c>
      <c r="N55" s="25"/>
      <c r="O55" s="26" t="s">
        <v>159</v>
      </c>
      <c r="P55" s="27" t="s">
        <v>149</v>
      </c>
      <c r="Q55" s="25"/>
      <c r="R55" s="25"/>
      <c r="S55" s="30" t="str">
        <f>"605,0"</f>
        <v>605,0</v>
      </c>
      <c r="T55" s="25" t="str">
        <f>"387,8050"</f>
        <v>387,8050</v>
      </c>
      <c r="U55" s="24" t="s">
        <v>335</v>
      </c>
    </row>
    <row r="56" spans="1:21">
      <c r="A56" s="25" t="s">
        <v>405</v>
      </c>
      <c r="B56" s="24" t="s">
        <v>336</v>
      </c>
      <c r="C56" s="24" t="s">
        <v>337</v>
      </c>
      <c r="D56" s="24" t="s">
        <v>320</v>
      </c>
      <c r="E56" s="24" t="s">
        <v>964</v>
      </c>
      <c r="F56" s="24" t="s">
        <v>898</v>
      </c>
      <c r="G56" s="26" t="s">
        <v>42</v>
      </c>
      <c r="H56" s="27" t="s">
        <v>132</v>
      </c>
      <c r="I56" s="26" t="s">
        <v>288</v>
      </c>
      <c r="J56" s="25"/>
      <c r="K56" s="26" t="s">
        <v>34</v>
      </c>
      <c r="L56" s="26" t="s">
        <v>112</v>
      </c>
      <c r="M56" s="26" t="s">
        <v>37</v>
      </c>
      <c r="N56" s="25"/>
      <c r="O56" s="27" t="s">
        <v>42</v>
      </c>
      <c r="P56" s="26" t="s">
        <v>132</v>
      </c>
      <c r="Q56" s="26" t="s">
        <v>172</v>
      </c>
      <c r="R56" s="25"/>
      <c r="S56" s="30" t="str">
        <f>"567,5"</f>
        <v>567,5</v>
      </c>
      <c r="T56" s="25" t="str">
        <f>"362,9163"</f>
        <v>362,9163</v>
      </c>
      <c r="U56" s="24"/>
    </row>
    <row r="57" spans="1:21">
      <c r="A57" s="25" t="s">
        <v>406</v>
      </c>
      <c r="B57" s="24" t="s">
        <v>338</v>
      </c>
      <c r="C57" s="24" t="s">
        <v>339</v>
      </c>
      <c r="D57" s="24" t="s">
        <v>340</v>
      </c>
      <c r="E57" s="24" t="s">
        <v>964</v>
      </c>
      <c r="F57" s="24" t="s">
        <v>913</v>
      </c>
      <c r="G57" s="26" t="s">
        <v>132</v>
      </c>
      <c r="H57" s="27" t="s">
        <v>288</v>
      </c>
      <c r="I57" s="27" t="s">
        <v>288</v>
      </c>
      <c r="J57" s="25"/>
      <c r="K57" s="26" t="s">
        <v>112</v>
      </c>
      <c r="L57" s="27" t="s">
        <v>164</v>
      </c>
      <c r="M57" s="27" t="s">
        <v>164</v>
      </c>
      <c r="N57" s="25"/>
      <c r="O57" s="26" t="s">
        <v>132</v>
      </c>
      <c r="P57" s="26" t="s">
        <v>172</v>
      </c>
      <c r="Q57" s="26" t="s">
        <v>148</v>
      </c>
      <c r="R57" s="25"/>
      <c r="S57" s="30" t="str">
        <f>"565,0"</f>
        <v>565,0</v>
      </c>
      <c r="T57" s="25" t="str">
        <f>"360,6960"</f>
        <v>360,6960</v>
      </c>
      <c r="U57" s="24" t="s">
        <v>341</v>
      </c>
    </row>
    <row r="58" spans="1:21">
      <c r="A58" s="25" t="s">
        <v>407</v>
      </c>
      <c r="B58" s="24" t="s">
        <v>342</v>
      </c>
      <c r="C58" s="24" t="s">
        <v>343</v>
      </c>
      <c r="D58" s="24" t="s">
        <v>344</v>
      </c>
      <c r="E58" s="24" t="s">
        <v>964</v>
      </c>
      <c r="F58" s="24" t="s">
        <v>914</v>
      </c>
      <c r="G58" s="26" t="s">
        <v>197</v>
      </c>
      <c r="H58" s="27" t="s">
        <v>150</v>
      </c>
      <c r="I58" s="26" t="s">
        <v>150</v>
      </c>
      <c r="J58" s="25"/>
      <c r="K58" s="26" t="s">
        <v>234</v>
      </c>
      <c r="L58" s="26" t="s">
        <v>245</v>
      </c>
      <c r="M58" s="27" t="s">
        <v>67</v>
      </c>
      <c r="N58" s="25"/>
      <c r="O58" s="26" t="s">
        <v>148</v>
      </c>
      <c r="P58" s="26" t="s">
        <v>76</v>
      </c>
      <c r="Q58" s="27" t="s">
        <v>159</v>
      </c>
      <c r="R58" s="25"/>
      <c r="S58" s="30" t="str">
        <f>"562,5"</f>
        <v>562,5</v>
      </c>
      <c r="T58" s="25" t="str">
        <f>"362,8687"</f>
        <v>362,8687</v>
      </c>
      <c r="U58" s="24" t="s">
        <v>179</v>
      </c>
    </row>
    <row r="59" spans="1:21">
      <c r="A59" s="25" t="s">
        <v>408</v>
      </c>
      <c r="B59" s="24" t="s">
        <v>345</v>
      </c>
      <c r="C59" s="24" t="s">
        <v>346</v>
      </c>
      <c r="D59" s="24" t="s">
        <v>314</v>
      </c>
      <c r="E59" s="24" t="s">
        <v>964</v>
      </c>
      <c r="F59" s="24" t="s">
        <v>910</v>
      </c>
      <c r="G59" s="26" t="s">
        <v>42</v>
      </c>
      <c r="H59" s="26" t="s">
        <v>132</v>
      </c>
      <c r="I59" s="26" t="s">
        <v>133</v>
      </c>
      <c r="J59" s="25"/>
      <c r="K59" s="26" t="s">
        <v>34</v>
      </c>
      <c r="L59" s="26" t="s">
        <v>74</v>
      </c>
      <c r="M59" s="26" t="s">
        <v>67</v>
      </c>
      <c r="N59" s="25"/>
      <c r="O59" s="26" t="s">
        <v>42</v>
      </c>
      <c r="P59" s="26" t="s">
        <v>132</v>
      </c>
      <c r="Q59" s="26" t="s">
        <v>133</v>
      </c>
      <c r="R59" s="25"/>
      <c r="S59" s="30" t="str">
        <f>"557,5"</f>
        <v>557,5</v>
      </c>
      <c r="T59" s="25" t="str">
        <f>"356,1310"</f>
        <v>356,1310</v>
      </c>
      <c r="U59" s="24"/>
    </row>
    <row r="60" spans="1:21">
      <c r="A60" s="25" t="s">
        <v>409</v>
      </c>
      <c r="B60" s="24" t="s">
        <v>347</v>
      </c>
      <c r="C60" s="24" t="s">
        <v>348</v>
      </c>
      <c r="D60" s="24" t="s">
        <v>349</v>
      </c>
      <c r="E60" s="24" t="s">
        <v>964</v>
      </c>
      <c r="F60" s="24" t="s">
        <v>898</v>
      </c>
      <c r="G60" s="26" t="s">
        <v>72</v>
      </c>
      <c r="H60" s="26" t="s">
        <v>197</v>
      </c>
      <c r="I60" s="27" t="s">
        <v>350</v>
      </c>
      <c r="J60" s="25"/>
      <c r="K60" s="26" t="s">
        <v>34</v>
      </c>
      <c r="L60" s="26" t="s">
        <v>74</v>
      </c>
      <c r="M60" s="26" t="s">
        <v>112</v>
      </c>
      <c r="N60" s="25"/>
      <c r="O60" s="26" t="s">
        <v>316</v>
      </c>
      <c r="P60" s="26" t="s">
        <v>134</v>
      </c>
      <c r="Q60" s="26" t="s">
        <v>75</v>
      </c>
      <c r="R60" s="25"/>
      <c r="S60" s="30" t="str">
        <f>"542,5"</f>
        <v>542,5</v>
      </c>
      <c r="T60" s="25" t="str">
        <f>"348,9360"</f>
        <v>348,9360</v>
      </c>
      <c r="U60" s="24" t="s">
        <v>351</v>
      </c>
    </row>
    <row r="61" spans="1:21">
      <c r="A61" s="25" t="s">
        <v>410</v>
      </c>
      <c r="B61" s="24" t="s">
        <v>321</v>
      </c>
      <c r="C61" s="24" t="s">
        <v>352</v>
      </c>
      <c r="D61" s="24" t="s">
        <v>323</v>
      </c>
      <c r="E61" s="24" t="s">
        <v>964</v>
      </c>
      <c r="F61" s="24" t="s">
        <v>898</v>
      </c>
      <c r="G61" s="26" t="s">
        <v>40</v>
      </c>
      <c r="H61" s="26" t="s">
        <v>72</v>
      </c>
      <c r="I61" s="26" t="s">
        <v>185</v>
      </c>
      <c r="J61" s="25"/>
      <c r="K61" s="26" t="s">
        <v>142</v>
      </c>
      <c r="L61" s="26" t="s">
        <v>234</v>
      </c>
      <c r="M61" s="27" t="s">
        <v>245</v>
      </c>
      <c r="N61" s="25"/>
      <c r="O61" s="26" t="s">
        <v>132</v>
      </c>
      <c r="P61" s="26" t="s">
        <v>133</v>
      </c>
      <c r="Q61" s="27" t="s">
        <v>172</v>
      </c>
      <c r="R61" s="25"/>
      <c r="S61" s="30" t="str">
        <f>"520,0"</f>
        <v>520,0</v>
      </c>
      <c r="T61" s="25" t="str">
        <f>"338,3640"</f>
        <v>338,3640</v>
      </c>
      <c r="U61" s="24"/>
    </row>
    <row r="62" spans="1:21">
      <c r="A62" s="25" t="s">
        <v>214</v>
      </c>
      <c r="B62" s="24" t="s">
        <v>327</v>
      </c>
      <c r="C62" s="24" t="s">
        <v>353</v>
      </c>
      <c r="D62" s="24" t="s">
        <v>147</v>
      </c>
      <c r="E62" s="24" t="s">
        <v>964</v>
      </c>
      <c r="F62" s="24" t="s">
        <v>898</v>
      </c>
      <c r="G62" s="27" t="s">
        <v>288</v>
      </c>
      <c r="H62" s="27" t="s">
        <v>288</v>
      </c>
      <c r="I62" s="27" t="s">
        <v>288</v>
      </c>
      <c r="J62" s="25"/>
      <c r="K62" s="27"/>
      <c r="L62" s="25"/>
      <c r="M62" s="25"/>
      <c r="N62" s="25"/>
      <c r="O62" s="27"/>
      <c r="P62" s="25"/>
      <c r="Q62" s="25"/>
      <c r="R62" s="25"/>
      <c r="S62" s="30">
        <v>0</v>
      </c>
      <c r="T62" s="25" t="str">
        <f>"0,0000"</f>
        <v>0,0000</v>
      </c>
      <c r="U62" s="24" t="s">
        <v>329</v>
      </c>
    </row>
    <row r="63" spans="1:21">
      <c r="A63" s="25" t="s">
        <v>20</v>
      </c>
      <c r="B63" s="24" t="s">
        <v>354</v>
      </c>
      <c r="C63" s="24" t="s">
        <v>355</v>
      </c>
      <c r="D63" s="24" t="s">
        <v>356</v>
      </c>
      <c r="E63" s="24" t="s">
        <v>965</v>
      </c>
      <c r="F63" s="24" t="s">
        <v>898</v>
      </c>
      <c r="G63" s="26" t="s">
        <v>39</v>
      </c>
      <c r="H63" s="27" t="s">
        <v>72</v>
      </c>
      <c r="I63" s="26" t="s">
        <v>72</v>
      </c>
      <c r="J63" s="25"/>
      <c r="K63" s="26" t="s">
        <v>98</v>
      </c>
      <c r="L63" s="26" t="s">
        <v>142</v>
      </c>
      <c r="M63" s="27" t="s">
        <v>55</v>
      </c>
      <c r="N63" s="25"/>
      <c r="O63" s="26" t="s">
        <v>41</v>
      </c>
      <c r="P63" s="27" t="s">
        <v>132</v>
      </c>
      <c r="Q63" s="27" t="s">
        <v>132</v>
      </c>
      <c r="R63" s="25"/>
      <c r="S63" s="30" t="str">
        <f>"475,0"</f>
        <v>475,0</v>
      </c>
      <c r="T63" s="25" t="str">
        <f>"325,6135"</f>
        <v>325,6135</v>
      </c>
      <c r="U63" s="24"/>
    </row>
    <row r="64" spans="1:21">
      <c r="A64" s="10" t="s">
        <v>20</v>
      </c>
      <c r="B64" s="9" t="s">
        <v>357</v>
      </c>
      <c r="C64" s="9" t="s">
        <v>358</v>
      </c>
      <c r="D64" s="9" t="s">
        <v>163</v>
      </c>
      <c r="E64" s="9" t="s">
        <v>969</v>
      </c>
      <c r="F64" s="9" t="s">
        <v>915</v>
      </c>
      <c r="G64" s="20" t="s">
        <v>40</v>
      </c>
      <c r="H64" s="21" t="s">
        <v>41</v>
      </c>
      <c r="I64" s="20" t="s">
        <v>41</v>
      </c>
      <c r="J64" s="10"/>
      <c r="K64" s="20" t="s">
        <v>63</v>
      </c>
      <c r="L64" s="20" t="s">
        <v>142</v>
      </c>
      <c r="M64" s="21" t="s">
        <v>64</v>
      </c>
      <c r="N64" s="10"/>
      <c r="O64" s="20" t="s">
        <v>133</v>
      </c>
      <c r="P64" s="20" t="s">
        <v>144</v>
      </c>
      <c r="Q64" s="21" t="s">
        <v>148</v>
      </c>
      <c r="R64" s="10"/>
      <c r="S64" s="31" t="str">
        <f>"520,0"</f>
        <v>520,0</v>
      </c>
      <c r="T64" s="10" t="str">
        <f>"435,3510"</f>
        <v>435,3510</v>
      </c>
      <c r="U64" s="9" t="s">
        <v>179</v>
      </c>
    </row>
    <row r="65" spans="1:21">
      <c r="B65" s="5" t="s">
        <v>21</v>
      </c>
    </row>
    <row r="66" spans="1:21" ht="16">
      <c r="A66" s="33" t="s">
        <v>6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1:21">
      <c r="A67" s="8" t="s">
        <v>20</v>
      </c>
      <c r="B67" s="7" t="s">
        <v>359</v>
      </c>
      <c r="C67" s="7" t="s">
        <v>360</v>
      </c>
      <c r="D67" s="7" t="s">
        <v>361</v>
      </c>
      <c r="E67" s="7" t="s">
        <v>967</v>
      </c>
      <c r="F67" s="7" t="s">
        <v>916</v>
      </c>
      <c r="G67" s="18" t="s">
        <v>197</v>
      </c>
      <c r="H67" s="18" t="s">
        <v>150</v>
      </c>
      <c r="I67" s="18" t="s">
        <v>316</v>
      </c>
      <c r="J67" s="8"/>
      <c r="K67" s="18" t="s">
        <v>192</v>
      </c>
      <c r="L67" s="18" t="s">
        <v>39</v>
      </c>
      <c r="M67" s="8"/>
      <c r="N67" s="8"/>
      <c r="O67" s="18" t="s">
        <v>132</v>
      </c>
      <c r="P67" s="18" t="s">
        <v>172</v>
      </c>
      <c r="Q67" s="18" t="s">
        <v>148</v>
      </c>
      <c r="R67" s="8"/>
      <c r="S67" s="29" t="str">
        <f>"587,5"</f>
        <v>587,5</v>
      </c>
      <c r="T67" s="8" t="str">
        <f>"366,8350"</f>
        <v>366,8350</v>
      </c>
      <c r="U67" s="7"/>
    </row>
    <row r="68" spans="1:21">
      <c r="A68" s="25" t="s">
        <v>20</v>
      </c>
      <c r="B68" s="24" t="s">
        <v>362</v>
      </c>
      <c r="C68" s="24" t="s">
        <v>363</v>
      </c>
      <c r="D68" s="24" t="s">
        <v>361</v>
      </c>
      <c r="E68" s="24" t="s">
        <v>964</v>
      </c>
      <c r="F68" s="24" t="s">
        <v>898</v>
      </c>
      <c r="G68" s="26" t="s">
        <v>132</v>
      </c>
      <c r="H68" s="26" t="s">
        <v>133</v>
      </c>
      <c r="I68" s="26" t="s">
        <v>172</v>
      </c>
      <c r="J68" s="25"/>
      <c r="K68" s="26" t="s">
        <v>113</v>
      </c>
      <c r="L68" s="26" t="s">
        <v>135</v>
      </c>
      <c r="M68" s="26" t="s">
        <v>136</v>
      </c>
      <c r="N68" s="25"/>
      <c r="O68" s="26" t="s">
        <v>288</v>
      </c>
      <c r="P68" s="26" t="s">
        <v>75</v>
      </c>
      <c r="Q68" s="26" t="s">
        <v>148</v>
      </c>
      <c r="R68" s="25"/>
      <c r="S68" s="30" t="str">
        <f>"607,5"</f>
        <v>607,5</v>
      </c>
      <c r="T68" s="25" t="str">
        <f>"379,3230"</f>
        <v>379,3230</v>
      </c>
      <c r="U68" s="24"/>
    </row>
    <row r="69" spans="1:21">
      <c r="A69" s="25" t="s">
        <v>45</v>
      </c>
      <c r="B69" s="24" t="s">
        <v>364</v>
      </c>
      <c r="C69" s="24" t="s">
        <v>365</v>
      </c>
      <c r="D69" s="24" t="s">
        <v>366</v>
      </c>
      <c r="E69" s="24" t="s">
        <v>964</v>
      </c>
      <c r="F69" s="24" t="s">
        <v>898</v>
      </c>
      <c r="G69" s="26" t="s">
        <v>185</v>
      </c>
      <c r="H69" s="27" t="s">
        <v>42</v>
      </c>
      <c r="I69" s="27" t="s">
        <v>42</v>
      </c>
      <c r="J69" s="25"/>
      <c r="K69" s="26" t="s">
        <v>234</v>
      </c>
      <c r="L69" s="26" t="s">
        <v>74</v>
      </c>
      <c r="M69" s="26" t="s">
        <v>112</v>
      </c>
      <c r="N69" s="25"/>
      <c r="O69" s="26" t="s">
        <v>172</v>
      </c>
      <c r="P69" s="26" t="s">
        <v>148</v>
      </c>
      <c r="Q69" s="27" t="s">
        <v>191</v>
      </c>
      <c r="R69" s="25"/>
      <c r="S69" s="30" t="str">
        <f>"547,5"</f>
        <v>547,5</v>
      </c>
      <c r="T69" s="25" t="str">
        <f>"334,6867"</f>
        <v>334,6867</v>
      </c>
      <c r="U69" s="24" t="s">
        <v>367</v>
      </c>
    </row>
    <row r="70" spans="1:21">
      <c r="A70" s="25" t="s">
        <v>213</v>
      </c>
      <c r="B70" s="24" t="s">
        <v>69</v>
      </c>
      <c r="C70" s="24" t="s">
        <v>70</v>
      </c>
      <c r="D70" s="24" t="s">
        <v>71</v>
      </c>
      <c r="E70" s="24" t="s">
        <v>964</v>
      </c>
      <c r="F70" s="24" t="s">
        <v>898</v>
      </c>
      <c r="G70" s="27" t="s">
        <v>72</v>
      </c>
      <c r="H70" s="26" t="s">
        <v>41</v>
      </c>
      <c r="I70" s="27" t="s">
        <v>73</v>
      </c>
      <c r="J70" s="25"/>
      <c r="K70" s="26" t="s">
        <v>74</v>
      </c>
      <c r="L70" s="26" t="s">
        <v>35</v>
      </c>
      <c r="M70" s="27" t="s">
        <v>36</v>
      </c>
      <c r="N70" s="25"/>
      <c r="O70" s="26" t="s">
        <v>42</v>
      </c>
      <c r="P70" s="26" t="s">
        <v>75</v>
      </c>
      <c r="Q70" s="27" t="s">
        <v>76</v>
      </c>
      <c r="R70" s="25"/>
      <c r="S70" s="30" t="str">
        <f>"540,0"</f>
        <v>540,0</v>
      </c>
      <c r="T70" s="25" t="str">
        <f>"329,8320"</f>
        <v>329,8320</v>
      </c>
      <c r="U70" s="24"/>
    </row>
    <row r="71" spans="1:21">
      <c r="A71" s="25" t="s">
        <v>405</v>
      </c>
      <c r="B71" s="24" t="s">
        <v>368</v>
      </c>
      <c r="C71" s="24" t="s">
        <v>369</v>
      </c>
      <c r="D71" s="24" t="s">
        <v>370</v>
      </c>
      <c r="E71" s="24" t="s">
        <v>964</v>
      </c>
      <c r="F71" s="24" t="s">
        <v>898</v>
      </c>
      <c r="G71" s="26" t="s">
        <v>40</v>
      </c>
      <c r="H71" s="26" t="s">
        <v>371</v>
      </c>
      <c r="I71" s="26" t="s">
        <v>185</v>
      </c>
      <c r="J71" s="25"/>
      <c r="K71" s="27" t="s">
        <v>112</v>
      </c>
      <c r="L71" s="26" t="s">
        <v>164</v>
      </c>
      <c r="M71" s="27" t="s">
        <v>192</v>
      </c>
      <c r="N71" s="25"/>
      <c r="O71" s="26" t="s">
        <v>42</v>
      </c>
      <c r="P71" s="26" t="s">
        <v>132</v>
      </c>
      <c r="Q71" s="26" t="s">
        <v>133</v>
      </c>
      <c r="R71" s="25"/>
      <c r="S71" s="30" t="str">
        <f>"537,5"</f>
        <v>537,5</v>
      </c>
      <c r="T71" s="25" t="str">
        <f>"334,0025"</f>
        <v>334,0025</v>
      </c>
      <c r="U71" s="24" t="s">
        <v>372</v>
      </c>
    </row>
    <row r="72" spans="1:21">
      <c r="A72" s="10" t="s">
        <v>20</v>
      </c>
      <c r="B72" s="9" t="s">
        <v>368</v>
      </c>
      <c r="C72" s="9" t="s">
        <v>373</v>
      </c>
      <c r="D72" s="9" t="s">
        <v>370</v>
      </c>
      <c r="E72" s="9" t="s">
        <v>965</v>
      </c>
      <c r="F72" s="9" t="s">
        <v>898</v>
      </c>
      <c r="G72" s="20" t="s">
        <v>40</v>
      </c>
      <c r="H72" s="20" t="s">
        <v>371</v>
      </c>
      <c r="I72" s="20" t="s">
        <v>185</v>
      </c>
      <c r="J72" s="10"/>
      <c r="K72" s="21" t="s">
        <v>112</v>
      </c>
      <c r="L72" s="20" t="s">
        <v>164</v>
      </c>
      <c r="M72" s="21" t="s">
        <v>192</v>
      </c>
      <c r="N72" s="10"/>
      <c r="O72" s="20" t="s">
        <v>42</v>
      </c>
      <c r="P72" s="20" t="s">
        <v>132</v>
      </c>
      <c r="Q72" s="20" t="s">
        <v>133</v>
      </c>
      <c r="R72" s="10"/>
      <c r="S72" s="31" t="str">
        <f>"537,5"</f>
        <v>537,5</v>
      </c>
      <c r="T72" s="10" t="str">
        <f>"343,3546"</f>
        <v>343,3546</v>
      </c>
      <c r="U72" s="9" t="s">
        <v>372</v>
      </c>
    </row>
    <row r="73" spans="1:21">
      <c r="B73" s="5" t="s">
        <v>21</v>
      </c>
    </row>
    <row r="74" spans="1:21" ht="16">
      <c r="A74" s="33" t="s">
        <v>7</v>
      </c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21">
      <c r="A75" s="8" t="s">
        <v>20</v>
      </c>
      <c r="B75" s="7" t="s">
        <v>374</v>
      </c>
      <c r="C75" s="7" t="s">
        <v>375</v>
      </c>
      <c r="D75" s="7" t="s">
        <v>376</v>
      </c>
      <c r="E75" s="7" t="s">
        <v>964</v>
      </c>
      <c r="F75" s="7" t="s">
        <v>898</v>
      </c>
      <c r="G75" s="18" t="s">
        <v>151</v>
      </c>
      <c r="H75" s="18" t="s">
        <v>377</v>
      </c>
      <c r="I75" s="19" t="s">
        <v>378</v>
      </c>
      <c r="J75" s="8"/>
      <c r="K75" s="18" t="s">
        <v>112</v>
      </c>
      <c r="L75" s="19" t="s">
        <v>37</v>
      </c>
      <c r="M75" s="19" t="s">
        <v>37</v>
      </c>
      <c r="N75" s="8"/>
      <c r="O75" s="18" t="s">
        <v>377</v>
      </c>
      <c r="P75" s="19" t="s">
        <v>378</v>
      </c>
      <c r="Q75" s="8"/>
      <c r="R75" s="8"/>
      <c r="S75" s="29" t="str">
        <f>"710,0"</f>
        <v>710,0</v>
      </c>
      <c r="T75" s="8" t="str">
        <f>"420,8880"</f>
        <v>420,8880</v>
      </c>
      <c r="U75" s="7" t="s">
        <v>379</v>
      </c>
    </row>
    <row r="76" spans="1:21">
      <c r="A76" s="25" t="s">
        <v>45</v>
      </c>
      <c r="B76" s="24" t="s">
        <v>380</v>
      </c>
      <c r="C76" s="24" t="s">
        <v>381</v>
      </c>
      <c r="D76" s="24" t="s">
        <v>382</v>
      </c>
      <c r="E76" s="24" t="s">
        <v>964</v>
      </c>
      <c r="F76" s="24" t="s">
        <v>898</v>
      </c>
      <c r="G76" s="26" t="s">
        <v>132</v>
      </c>
      <c r="H76" s="26" t="s">
        <v>133</v>
      </c>
      <c r="I76" s="26" t="s">
        <v>144</v>
      </c>
      <c r="J76" s="25"/>
      <c r="K76" s="27" t="s">
        <v>39</v>
      </c>
      <c r="L76" s="26" t="s">
        <v>39</v>
      </c>
      <c r="M76" s="26" t="s">
        <v>135</v>
      </c>
      <c r="N76" s="25"/>
      <c r="O76" s="26" t="s">
        <v>138</v>
      </c>
      <c r="P76" s="26" t="s">
        <v>177</v>
      </c>
      <c r="Q76" s="26" t="s">
        <v>183</v>
      </c>
      <c r="R76" s="25"/>
      <c r="S76" s="30" t="str">
        <f>"650,0"</f>
        <v>650,0</v>
      </c>
      <c r="T76" s="25" t="str">
        <f>"382,7200"</f>
        <v>382,7200</v>
      </c>
      <c r="U76" s="24" t="s">
        <v>179</v>
      </c>
    </row>
    <row r="77" spans="1:21">
      <c r="A77" s="10" t="s">
        <v>20</v>
      </c>
      <c r="B77" s="9" t="s">
        <v>383</v>
      </c>
      <c r="C77" s="9" t="s">
        <v>384</v>
      </c>
      <c r="D77" s="9" t="s">
        <v>385</v>
      </c>
      <c r="E77" s="9" t="s">
        <v>969</v>
      </c>
      <c r="F77" s="9" t="s">
        <v>898</v>
      </c>
      <c r="G77" s="20" t="s">
        <v>138</v>
      </c>
      <c r="H77" s="20" t="s">
        <v>177</v>
      </c>
      <c r="I77" s="21" t="s">
        <v>178</v>
      </c>
      <c r="J77" s="10"/>
      <c r="K77" s="20" t="s">
        <v>36</v>
      </c>
      <c r="L77" s="20" t="s">
        <v>39</v>
      </c>
      <c r="M77" s="20" t="s">
        <v>135</v>
      </c>
      <c r="N77" s="10"/>
      <c r="O77" s="20" t="s">
        <v>178</v>
      </c>
      <c r="P77" s="20" t="s">
        <v>386</v>
      </c>
      <c r="Q77" s="21" t="s">
        <v>377</v>
      </c>
      <c r="R77" s="10"/>
      <c r="S77" s="31" t="str">
        <f>"705,0"</f>
        <v>705,0</v>
      </c>
      <c r="T77" s="10" t="str">
        <f>"492,0877"</f>
        <v>492,0877</v>
      </c>
      <c r="U77" s="9" t="s">
        <v>179</v>
      </c>
    </row>
    <row r="78" spans="1:21">
      <c r="B78" s="5" t="s">
        <v>21</v>
      </c>
    </row>
    <row r="79" spans="1:21" ht="16">
      <c r="A79" s="33" t="s">
        <v>201</v>
      </c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21">
      <c r="A80" s="12" t="s">
        <v>20</v>
      </c>
      <c r="B80" s="11" t="s">
        <v>387</v>
      </c>
      <c r="C80" s="11" t="s">
        <v>388</v>
      </c>
      <c r="D80" s="11" t="s">
        <v>389</v>
      </c>
      <c r="E80" s="11" t="s">
        <v>964</v>
      </c>
      <c r="F80" s="11" t="s">
        <v>906</v>
      </c>
      <c r="G80" s="23" t="s">
        <v>158</v>
      </c>
      <c r="H80" s="23" t="s">
        <v>158</v>
      </c>
      <c r="I80" s="22" t="s">
        <v>158</v>
      </c>
      <c r="J80" s="12"/>
      <c r="K80" s="22" t="s">
        <v>39</v>
      </c>
      <c r="L80" s="22" t="s">
        <v>40</v>
      </c>
      <c r="M80" s="23" t="s">
        <v>41</v>
      </c>
      <c r="N80" s="12"/>
      <c r="O80" s="22" t="s">
        <v>177</v>
      </c>
      <c r="P80" s="22" t="s">
        <v>386</v>
      </c>
      <c r="Q80" s="22" t="s">
        <v>390</v>
      </c>
      <c r="R80" s="12"/>
      <c r="S80" s="32" t="str">
        <f>"690,0"</f>
        <v>690,0</v>
      </c>
      <c r="T80" s="12" t="str">
        <f>"394,1280"</f>
        <v>394,1280</v>
      </c>
      <c r="U80" s="11" t="s">
        <v>280</v>
      </c>
    </row>
    <row r="81" spans="2:6">
      <c r="B81" s="5" t="s">
        <v>21</v>
      </c>
    </row>
    <row r="82" spans="2:6">
      <c r="B82" s="5" t="s">
        <v>21</v>
      </c>
    </row>
    <row r="83" spans="2:6">
      <c r="B83" s="5" t="s">
        <v>21</v>
      </c>
    </row>
    <row r="84" spans="2:6" ht="18">
      <c r="B84" s="13" t="s">
        <v>8</v>
      </c>
      <c r="C84" s="13"/>
      <c r="F84" s="3"/>
    </row>
    <row r="85" spans="2:6" ht="16">
      <c r="B85" s="14" t="s">
        <v>43</v>
      </c>
      <c r="C85" s="14"/>
      <c r="F85" s="3"/>
    </row>
    <row r="86" spans="2:6" ht="14">
      <c r="B86" s="15"/>
      <c r="C86" s="16" t="s">
        <v>16</v>
      </c>
      <c r="F86" s="3"/>
    </row>
    <row r="87" spans="2:6" ht="14">
      <c r="B87" s="17" t="s">
        <v>10</v>
      </c>
      <c r="C87" s="17" t="s">
        <v>11</v>
      </c>
      <c r="D87" s="17" t="s">
        <v>860</v>
      </c>
      <c r="E87" s="17" t="s">
        <v>12</v>
      </c>
      <c r="F87" s="17" t="s">
        <v>77</v>
      </c>
    </row>
    <row r="88" spans="2:6">
      <c r="B88" s="5" t="s">
        <v>255</v>
      </c>
      <c r="C88" s="5" t="s">
        <v>16</v>
      </c>
      <c r="D88" s="6" t="s">
        <v>78</v>
      </c>
      <c r="E88" s="6" t="s">
        <v>79</v>
      </c>
      <c r="F88" s="6" t="s">
        <v>391</v>
      </c>
    </row>
    <row r="89" spans="2:6">
      <c r="B89" s="5" t="s">
        <v>274</v>
      </c>
      <c r="C89" s="5" t="s">
        <v>16</v>
      </c>
      <c r="D89" s="6" t="s">
        <v>44</v>
      </c>
      <c r="E89" s="6" t="s">
        <v>392</v>
      </c>
      <c r="F89" s="6" t="s">
        <v>393</v>
      </c>
    </row>
    <row r="90" spans="2:6">
      <c r="B90" s="5" t="s">
        <v>215</v>
      </c>
      <c r="C90" s="5" t="s">
        <v>16</v>
      </c>
      <c r="D90" s="6" t="s">
        <v>394</v>
      </c>
      <c r="E90" s="6" t="s">
        <v>183</v>
      </c>
      <c r="F90" s="6" t="s">
        <v>395</v>
      </c>
    </row>
    <row r="92" spans="2:6" ht="16">
      <c r="B92" s="14" t="s">
        <v>9</v>
      </c>
      <c r="C92" s="14"/>
    </row>
    <row r="93" spans="2:6" ht="14">
      <c r="B93" s="15"/>
      <c r="C93" s="16" t="s">
        <v>16</v>
      </c>
    </row>
    <row r="94" spans="2:6" ht="14">
      <c r="B94" s="17" t="s">
        <v>10</v>
      </c>
      <c r="C94" s="17" t="s">
        <v>11</v>
      </c>
      <c r="D94" s="17" t="s">
        <v>860</v>
      </c>
      <c r="E94" s="17" t="s">
        <v>12</v>
      </c>
      <c r="F94" s="17" t="s">
        <v>77</v>
      </c>
    </row>
    <row r="95" spans="2:6">
      <c r="B95" s="5" t="s">
        <v>374</v>
      </c>
      <c r="C95" s="5" t="s">
        <v>16</v>
      </c>
      <c r="D95" s="6" t="s">
        <v>17</v>
      </c>
      <c r="E95" s="6" t="s">
        <v>400</v>
      </c>
      <c r="F95" s="6" t="s">
        <v>401</v>
      </c>
    </row>
    <row r="96" spans="2:6">
      <c r="B96" s="5" t="s">
        <v>318</v>
      </c>
      <c r="C96" s="5" t="s">
        <v>16</v>
      </c>
      <c r="D96" s="6" t="s">
        <v>50</v>
      </c>
      <c r="E96" s="6" t="s">
        <v>397</v>
      </c>
      <c r="F96" s="6" t="s">
        <v>398</v>
      </c>
    </row>
    <row r="97" spans="2:6">
      <c r="B97" s="5" t="s">
        <v>324</v>
      </c>
      <c r="C97" s="5" t="s">
        <v>16</v>
      </c>
      <c r="D97" s="6" t="s">
        <v>50</v>
      </c>
      <c r="E97" s="6" t="s">
        <v>402</v>
      </c>
      <c r="F97" s="6" t="s">
        <v>403</v>
      </c>
    </row>
  </sheetData>
  <mergeCells count="24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7:R47"/>
    <mergeCell ref="A66:R66"/>
    <mergeCell ref="A74:R74"/>
    <mergeCell ref="A79:R79"/>
    <mergeCell ref="B3:B4"/>
    <mergeCell ref="A13:R13"/>
    <mergeCell ref="A20:R20"/>
    <mergeCell ref="A28:R28"/>
    <mergeCell ref="A31:R31"/>
    <mergeCell ref="A34:R34"/>
    <mergeCell ref="A41:R4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E293-C943-4E8E-A7BB-F9E87B0F664A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8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0.3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5" style="5" customWidth="1"/>
    <col min="14" max="16384" width="9.1640625" style="3"/>
  </cols>
  <sheetData>
    <row r="1" spans="1:13" s="2" customFormat="1" ht="29" customHeight="1">
      <c r="A1" s="45" t="s">
        <v>871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128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673</v>
      </c>
      <c r="C6" s="11" t="s">
        <v>674</v>
      </c>
      <c r="D6" s="11" t="s">
        <v>675</v>
      </c>
      <c r="E6" s="11" t="s">
        <v>964</v>
      </c>
      <c r="F6" s="11" t="s">
        <v>945</v>
      </c>
      <c r="G6" s="22" t="s">
        <v>159</v>
      </c>
      <c r="H6" s="23" t="s">
        <v>177</v>
      </c>
      <c r="I6" s="23" t="s">
        <v>676</v>
      </c>
      <c r="J6" s="12"/>
      <c r="K6" s="12" t="str">
        <f>"240,0"</f>
        <v>240,0</v>
      </c>
      <c r="L6" s="12" t="str">
        <f>"155,3160"</f>
        <v>155,3160</v>
      </c>
      <c r="M6" s="11" t="s">
        <v>677</v>
      </c>
    </row>
    <row r="7" spans="1:13">
      <c r="B7" s="5" t="s">
        <v>21</v>
      </c>
    </row>
    <row r="8" spans="1:13" ht="16">
      <c r="A8" s="33" t="s">
        <v>201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2" t="s">
        <v>20</v>
      </c>
      <c r="B9" s="11" t="s">
        <v>678</v>
      </c>
      <c r="C9" s="11" t="s">
        <v>679</v>
      </c>
      <c r="D9" s="11" t="s">
        <v>680</v>
      </c>
      <c r="E9" s="11" t="s">
        <v>964</v>
      </c>
      <c r="F9" s="11" t="s">
        <v>898</v>
      </c>
      <c r="G9" s="22" t="s">
        <v>149</v>
      </c>
      <c r="H9" s="23" t="s">
        <v>681</v>
      </c>
      <c r="I9" s="22" t="s">
        <v>681</v>
      </c>
      <c r="J9" s="12"/>
      <c r="K9" s="12" t="str">
        <f>"255,0"</f>
        <v>255,0</v>
      </c>
      <c r="L9" s="12" t="str">
        <f>"143,2590"</f>
        <v>143,2590</v>
      </c>
      <c r="M9" s="11" t="s">
        <v>372</v>
      </c>
    </row>
    <row r="10" spans="1:13">
      <c r="B10" s="5" t="s">
        <v>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AEDA-18DA-4D79-82C4-B3A7CEDA98E5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3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7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45" t="s">
        <v>872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6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20</v>
      </c>
      <c r="B6" s="7" t="s">
        <v>418</v>
      </c>
      <c r="C6" s="7" t="s">
        <v>419</v>
      </c>
      <c r="D6" s="7" t="s">
        <v>420</v>
      </c>
      <c r="E6" s="7" t="s">
        <v>964</v>
      </c>
      <c r="F6" s="7" t="s">
        <v>939</v>
      </c>
      <c r="G6" s="18" t="s">
        <v>41</v>
      </c>
      <c r="H6" s="18" t="s">
        <v>42</v>
      </c>
      <c r="I6" s="18" t="s">
        <v>150</v>
      </c>
      <c r="J6" s="8"/>
      <c r="K6" s="8" t="str">
        <f>"195,0"</f>
        <v>195,0</v>
      </c>
      <c r="L6" s="8" t="str">
        <f>"122,1285"</f>
        <v>122,1285</v>
      </c>
      <c r="M6" s="7" t="s">
        <v>179</v>
      </c>
    </row>
    <row r="7" spans="1:13">
      <c r="A7" s="10" t="s">
        <v>20</v>
      </c>
      <c r="B7" s="9" t="s">
        <v>418</v>
      </c>
      <c r="C7" s="9" t="s">
        <v>421</v>
      </c>
      <c r="D7" s="9" t="s">
        <v>420</v>
      </c>
      <c r="E7" s="9" t="s">
        <v>969</v>
      </c>
      <c r="F7" s="9" t="s">
        <v>939</v>
      </c>
      <c r="G7" s="20" t="s">
        <v>41</v>
      </c>
      <c r="H7" s="20" t="s">
        <v>42</v>
      </c>
      <c r="I7" s="20" t="s">
        <v>150</v>
      </c>
      <c r="J7" s="10"/>
      <c r="K7" s="10" t="str">
        <f>"195,0"</f>
        <v>195,0</v>
      </c>
      <c r="L7" s="10" t="str">
        <f>"158,4007"</f>
        <v>158,4007</v>
      </c>
      <c r="M7" s="9" t="s">
        <v>179</v>
      </c>
    </row>
    <row r="8" spans="1:13">
      <c r="B8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39E3-C40F-4F95-89AF-D404B7B155CF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9.8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45" t="s">
        <v>873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6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20</v>
      </c>
      <c r="B6" s="7" t="s">
        <v>418</v>
      </c>
      <c r="C6" s="7" t="s">
        <v>419</v>
      </c>
      <c r="D6" s="7" t="s">
        <v>420</v>
      </c>
      <c r="E6" s="7" t="s">
        <v>964</v>
      </c>
      <c r="F6" s="7" t="s">
        <v>939</v>
      </c>
      <c r="G6" s="18" t="s">
        <v>41</v>
      </c>
      <c r="H6" s="18" t="s">
        <v>42</v>
      </c>
      <c r="I6" s="18" t="s">
        <v>150</v>
      </c>
      <c r="J6" s="8"/>
      <c r="K6" s="8" t="str">
        <f>"195,0"</f>
        <v>195,0</v>
      </c>
      <c r="L6" s="8" t="str">
        <f>"122,1285"</f>
        <v>122,1285</v>
      </c>
      <c r="M6" s="7" t="s">
        <v>179</v>
      </c>
    </row>
    <row r="7" spans="1:13">
      <c r="A7" s="10" t="s">
        <v>20</v>
      </c>
      <c r="B7" s="9" t="s">
        <v>418</v>
      </c>
      <c r="C7" s="9" t="s">
        <v>421</v>
      </c>
      <c r="D7" s="9" t="s">
        <v>420</v>
      </c>
      <c r="E7" s="9" t="s">
        <v>969</v>
      </c>
      <c r="F7" s="9" t="s">
        <v>939</v>
      </c>
      <c r="G7" s="20" t="s">
        <v>41</v>
      </c>
      <c r="H7" s="20" t="s">
        <v>42</v>
      </c>
      <c r="I7" s="20" t="s">
        <v>150</v>
      </c>
      <c r="J7" s="10"/>
      <c r="K7" s="10" t="str">
        <f>"195,0"</f>
        <v>195,0</v>
      </c>
      <c r="L7" s="10" t="str">
        <f>"158,4007"</f>
        <v>158,4007</v>
      </c>
      <c r="M7" s="9" t="s">
        <v>179</v>
      </c>
    </row>
    <row r="8" spans="1:13">
      <c r="B8" s="5" t="s">
        <v>21</v>
      </c>
    </row>
    <row r="9" spans="1:13" ht="16">
      <c r="A9" s="33" t="s">
        <v>201</v>
      </c>
      <c r="B9" s="33"/>
      <c r="C9" s="34"/>
      <c r="D9" s="34"/>
      <c r="E9" s="34"/>
      <c r="F9" s="34"/>
      <c r="G9" s="34"/>
      <c r="H9" s="34"/>
      <c r="I9" s="34"/>
      <c r="J9" s="34"/>
    </row>
    <row r="10" spans="1:13">
      <c r="A10" s="12" t="s">
        <v>20</v>
      </c>
      <c r="B10" s="11" t="s">
        <v>422</v>
      </c>
      <c r="C10" s="11" t="s">
        <v>423</v>
      </c>
      <c r="D10" s="11" t="s">
        <v>424</v>
      </c>
      <c r="E10" s="11" t="s">
        <v>964</v>
      </c>
      <c r="F10" s="11" t="s">
        <v>907</v>
      </c>
      <c r="G10" s="22" t="s">
        <v>132</v>
      </c>
      <c r="H10" s="22" t="s">
        <v>288</v>
      </c>
      <c r="I10" s="22" t="s">
        <v>133</v>
      </c>
      <c r="J10" s="22" t="s">
        <v>425</v>
      </c>
      <c r="K10" s="12" t="str">
        <f>"210,0"</f>
        <v>210,0</v>
      </c>
      <c r="L10" s="12" t="str">
        <f>"121,8840"</f>
        <v>121,8840</v>
      </c>
      <c r="M10" s="11"/>
    </row>
    <row r="11" spans="1:13">
      <c r="B11" s="5" t="s">
        <v>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B788-EFFE-4172-AADE-3C0534827AC1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5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45" t="s">
        <v>884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128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858</v>
      </c>
      <c r="C6" s="11" t="s">
        <v>859</v>
      </c>
      <c r="D6" s="11" t="s">
        <v>433</v>
      </c>
      <c r="E6" s="11" t="s">
        <v>964</v>
      </c>
      <c r="F6" s="11" t="s">
        <v>901</v>
      </c>
      <c r="G6" s="22" t="s">
        <v>84</v>
      </c>
      <c r="H6" s="22" t="s">
        <v>63</v>
      </c>
      <c r="I6" s="22" t="s">
        <v>142</v>
      </c>
      <c r="J6" s="12"/>
      <c r="K6" s="12" t="str">
        <f>"120,0"</f>
        <v>120,0</v>
      </c>
      <c r="L6" s="12" t="str">
        <f>"79,4820"</f>
        <v>79,4820</v>
      </c>
      <c r="M6" s="11"/>
    </row>
    <row r="7" spans="1:13">
      <c r="B7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14762-3D57-4136-8DB7-FF921641510E}">
  <dimension ref="A1:M51"/>
  <sheetViews>
    <sheetView topLeftCell="A16" workbookViewId="0">
      <selection activeCell="E51" sqref="E51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33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1640625" style="5" bestFit="1" customWidth="1"/>
    <col min="14" max="16384" width="9.1640625" style="3"/>
  </cols>
  <sheetData>
    <row r="1" spans="1:13" s="2" customFormat="1" ht="29" customHeight="1">
      <c r="A1" s="45" t="s">
        <v>874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58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80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714</v>
      </c>
      <c r="C6" s="11" t="s">
        <v>715</v>
      </c>
      <c r="D6" s="11" t="s">
        <v>83</v>
      </c>
      <c r="E6" s="11" t="s">
        <v>967</v>
      </c>
      <c r="F6" s="11" t="s">
        <v>898</v>
      </c>
      <c r="G6" s="22" t="s">
        <v>34</v>
      </c>
      <c r="H6" s="22" t="s">
        <v>67</v>
      </c>
      <c r="I6" s="23" t="s">
        <v>35</v>
      </c>
      <c r="J6" s="12"/>
      <c r="K6" s="12" t="str">
        <f>"137,5"</f>
        <v>137,5</v>
      </c>
      <c r="L6" s="12" t="str">
        <f>"182,1050"</f>
        <v>182,1050</v>
      </c>
      <c r="M6" s="11" t="s">
        <v>179</v>
      </c>
    </row>
    <row r="7" spans="1:13">
      <c r="B7" s="5" t="s">
        <v>21</v>
      </c>
    </row>
    <row r="8" spans="1:13" ht="16">
      <c r="A8" s="33" t="s">
        <v>480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2" t="s">
        <v>20</v>
      </c>
      <c r="B9" s="11" t="s">
        <v>716</v>
      </c>
      <c r="C9" s="11" t="s">
        <v>717</v>
      </c>
      <c r="D9" s="11" t="s">
        <v>483</v>
      </c>
      <c r="E9" s="11" t="s">
        <v>965</v>
      </c>
      <c r="F9" s="11" t="s">
        <v>898</v>
      </c>
      <c r="G9" s="22" t="s">
        <v>98</v>
      </c>
      <c r="H9" s="22" t="s">
        <v>141</v>
      </c>
      <c r="I9" s="22" t="s">
        <v>142</v>
      </c>
      <c r="J9" s="12"/>
      <c r="K9" s="12" t="str">
        <f>"120,0"</f>
        <v>120,0</v>
      </c>
      <c r="L9" s="12" t="str">
        <f>"151,6907"</f>
        <v>151,6907</v>
      </c>
      <c r="M9" s="11" t="s">
        <v>718</v>
      </c>
    </row>
    <row r="10" spans="1:13">
      <c r="B10" s="5" t="s">
        <v>21</v>
      </c>
    </row>
    <row r="11" spans="1:13" ht="16">
      <c r="A11" s="33" t="s">
        <v>89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8" t="s">
        <v>20</v>
      </c>
      <c r="B12" s="7" t="s">
        <v>231</v>
      </c>
      <c r="C12" s="7" t="s">
        <v>232</v>
      </c>
      <c r="D12" s="7" t="s">
        <v>233</v>
      </c>
      <c r="E12" s="7" t="s">
        <v>964</v>
      </c>
      <c r="F12" s="7" t="s">
        <v>898</v>
      </c>
      <c r="G12" s="18" t="s">
        <v>141</v>
      </c>
      <c r="H12" s="18" t="s">
        <v>64</v>
      </c>
      <c r="I12" s="19" t="s">
        <v>234</v>
      </c>
      <c r="J12" s="8"/>
      <c r="K12" s="8" t="str">
        <f>"122,5"</f>
        <v>122,5</v>
      </c>
      <c r="L12" s="8" t="str">
        <f>"144,5378"</f>
        <v>144,5378</v>
      </c>
      <c r="M12" s="7" t="s">
        <v>114</v>
      </c>
    </row>
    <row r="13" spans="1:13">
      <c r="A13" s="10" t="s">
        <v>45</v>
      </c>
      <c r="B13" s="9" t="s">
        <v>719</v>
      </c>
      <c r="C13" s="9" t="s">
        <v>720</v>
      </c>
      <c r="D13" s="9" t="s">
        <v>721</v>
      </c>
      <c r="E13" s="9" t="s">
        <v>964</v>
      </c>
      <c r="F13" s="9" t="s">
        <v>898</v>
      </c>
      <c r="G13" s="20" t="s">
        <v>218</v>
      </c>
      <c r="H13" s="20" t="s">
        <v>111</v>
      </c>
      <c r="I13" s="21" t="s">
        <v>84</v>
      </c>
      <c r="J13" s="10"/>
      <c r="K13" s="10" t="str">
        <f>"100,0"</f>
        <v>100,0</v>
      </c>
      <c r="L13" s="10" t="str">
        <f>"119,3300"</f>
        <v>119,3300</v>
      </c>
      <c r="M13" s="9" t="s">
        <v>722</v>
      </c>
    </row>
    <row r="14" spans="1:13">
      <c r="B14" s="5" t="s">
        <v>21</v>
      </c>
    </row>
    <row r="15" spans="1:13" ht="16">
      <c r="A15" s="33" t="s">
        <v>107</v>
      </c>
      <c r="B15" s="33"/>
      <c r="C15" s="34"/>
      <c r="D15" s="34"/>
      <c r="E15" s="34"/>
      <c r="F15" s="34"/>
      <c r="G15" s="34"/>
      <c r="H15" s="34"/>
      <c r="I15" s="34"/>
      <c r="J15" s="34"/>
    </row>
    <row r="16" spans="1:13">
      <c r="A16" s="8" t="s">
        <v>20</v>
      </c>
      <c r="B16" s="7" t="s">
        <v>496</v>
      </c>
      <c r="C16" s="7" t="s">
        <v>497</v>
      </c>
      <c r="D16" s="7" t="s">
        <v>252</v>
      </c>
      <c r="E16" s="7" t="s">
        <v>966</v>
      </c>
      <c r="F16" s="7" t="s">
        <v>910</v>
      </c>
      <c r="G16" s="18" t="s">
        <v>25</v>
      </c>
      <c r="H16" s="18" t="s">
        <v>111</v>
      </c>
      <c r="I16" s="18" t="s">
        <v>84</v>
      </c>
      <c r="J16" s="8"/>
      <c r="K16" s="8" t="str">
        <f>"105,0"</f>
        <v>105,0</v>
      </c>
      <c r="L16" s="8" t="str">
        <f>"119,7105"</f>
        <v>119,7105</v>
      </c>
      <c r="M16" s="7" t="s">
        <v>498</v>
      </c>
    </row>
    <row r="17" spans="1:13">
      <c r="A17" s="25" t="s">
        <v>20</v>
      </c>
      <c r="B17" s="24" t="s">
        <v>242</v>
      </c>
      <c r="C17" s="24" t="s">
        <v>243</v>
      </c>
      <c r="D17" s="24" t="s">
        <v>244</v>
      </c>
      <c r="E17" s="24" t="s">
        <v>964</v>
      </c>
      <c r="F17" s="24" t="s">
        <v>898</v>
      </c>
      <c r="G17" s="26" t="s">
        <v>245</v>
      </c>
      <c r="H17" s="27" t="s">
        <v>67</v>
      </c>
      <c r="I17" s="27" t="s">
        <v>67</v>
      </c>
      <c r="J17" s="25"/>
      <c r="K17" s="25" t="str">
        <f>"132,5"</f>
        <v>132,5</v>
      </c>
      <c r="L17" s="25" t="str">
        <f>"147,9097"</f>
        <v>147,9097</v>
      </c>
      <c r="M17" s="24"/>
    </row>
    <row r="18" spans="1:13">
      <c r="A18" s="25" t="s">
        <v>45</v>
      </c>
      <c r="B18" s="24" t="s">
        <v>723</v>
      </c>
      <c r="C18" s="24" t="s">
        <v>724</v>
      </c>
      <c r="D18" s="24" t="s">
        <v>725</v>
      </c>
      <c r="E18" s="24" t="s">
        <v>964</v>
      </c>
      <c r="F18" s="24" t="s">
        <v>898</v>
      </c>
      <c r="G18" s="26" t="s">
        <v>118</v>
      </c>
      <c r="H18" s="26" t="s">
        <v>25</v>
      </c>
      <c r="I18" s="26" t="s">
        <v>94</v>
      </c>
      <c r="J18" s="25"/>
      <c r="K18" s="25" t="str">
        <f>"92,5"</f>
        <v>92,5</v>
      </c>
      <c r="L18" s="25" t="str">
        <f>"108,3823"</f>
        <v>108,3823</v>
      </c>
      <c r="M18" s="24"/>
    </row>
    <row r="19" spans="1:13">
      <c r="A19" s="25" t="s">
        <v>20</v>
      </c>
      <c r="B19" s="24" t="s">
        <v>242</v>
      </c>
      <c r="C19" s="24" t="s">
        <v>254</v>
      </c>
      <c r="D19" s="24" t="s">
        <v>244</v>
      </c>
      <c r="E19" s="24" t="s">
        <v>965</v>
      </c>
      <c r="F19" s="24" t="s">
        <v>898</v>
      </c>
      <c r="G19" s="26" t="s">
        <v>245</v>
      </c>
      <c r="H19" s="27" t="s">
        <v>67</v>
      </c>
      <c r="I19" s="27" t="s">
        <v>67</v>
      </c>
      <c r="J19" s="25"/>
      <c r="K19" s="25" t="str">
        <f>"132,5"</f>
        <v>132,5</v>
      </c>
      <c r="L19" s="25" t="str">
        <f>"152,0512"</f>
        <v>152,0512</v>
      </c>
      <c r="M19" s="24"/>
    </row>
    <row r="20" spans="1:13">
      <c r="A20" s="10" t="s">
        <v>45</v>
      </c>
      <c r="B20" s="9" t="s">
        <v>726</v>
      </c>
      <c r="C20" s="9" t="s">
        <v>727</v>
      </c>
      <c r="D20" s="9" t="s">
        <v>252</v>
      </c>
      <c r="E20" s="9" t="s">
        <v>965</v>
      </c>
      <c r="F20" s="9" t="s">
        <v>898</v>
      </c>
      <c r="G20" s="20" t="s">
        <v>24</v>
      </c>
      <c r="H20" s="20" t="s">
        <v>118</v>
      </c>
      <c r="I20" s="20" t="s">
        <v>93</v>
      </c>
      <c r="J20" s="10"/>
      <c r="K20" s="10" t="str">
        <f>"87,5"</f>
        <v>87,5</v>
      </c>
      <c r="L20" s="10" t="str">
        <f>"100,2575"</f>
        <v>100,2575</v>
      </c>
      <c r="M20" s="9" t="s">
        <v>728</v>
      </c>
    </row>
    <row r="21" spans="1:13">
      <c r="B21" s="5" t="s">
        <v>21</v>
      </c>
    </row>
    <row r="22" spans="1:13" ht="16">
      <c r="A22" s="33" t="s">
        <v>59</v>
      </c>
      <c r="B22" s="33"/>
      <c r="C22" s="34"/>
      <c r="D22" s="34"/>
      <c r="E22" s="34"/>
      <c r="F22" s="34"/>
      <c r="G22" s="34"/>
      <c r="H22" s="34"/>
      <c r="I22" s="34"/>
      <c r="J22" s="34"/>
    </row>
    <row r="23" spans="1:13">
      <c r="A23" s="8" t="s">
        <v>20</v>
      </c>
      <c r="B23" s="7" t="s">
        <v>729</v>
      </c>
      <c r="C23" s="7" t="s">
        <v>730</v>
      </c>
      <c r="D23" s="7" t="s">
        <v>731</v>
      </c>
      <c r="E23" s="7" t="s">
        <v>967</v>
      </c>
      <c r="F23" s="7" t="s">
        <v>946</v>
      </c>
      <c r="G23" s="18" t="s">
        <v>111</v>
      </c>
      <c r="H23" s="19" t="s">
        <v>99</v>
      </c>
      <c r="I23" s="18" t="s">
        <v>99</v>
      </c>
      <c r="J23" s="8"/>
      <c r="K23" s="8" t="str">
        <f>"112,5"</f>
        <v>112,5</v>
      </c>
      <c r="L23" s="8" t="str">
        <f>"119,9588"</f>
        <v>119,9588</v>
      </c>
      <c r="M23" s="7"/>
    </row>
    <row r="24" spans="1:13">
      <c r="A24" s="10" t="s">
        <v>20</v>
      </c>
      <c r="B24" s="9" t="s">
        <v>732</v>
      </c>
      <c r="C24" s="9" t="s">
        <v>733</v>
      </c>
      <c r="D24" s="9" t="s">
        <v>734</v>
      </c>
      <c r="E24" s="9" t="s">
        <v>965</v>
      </c>
      <c r="F24" s="9" t="s">
        <v>898</v>
      </c>
      <c r="G24" s="20" t="s">
        <v>84</v>
      </c>
      <c r="H24" s="20" t="s">
        <v>63</v>
      </c>
      <c r="I24" s="20" t="s">
        <v>64</v>
      </c>
      <c r="J24" s="10"/>
      <c r="K24" s="10" t="str">
        <f>"122,5"</f>
        <v>122,5</v>
      </c>
      <c r="L24" s="10" t="str">
        <f>"139,4290"</f>
        <v>139,4290</v>
      </c>
      <c r="M24" s="9"/>
    </row>
    <row r="25" spans="1:13">
      <c r="B25" s="5" t="s">
        <v>21</v>
      </c>
    </row>
    <row r="26" spans="1:13" ht="16">
      <c r="A26" s="33" t="s">
        <v>89</v>
      </c>
      <c r="B26" s="33"/>
      <c r="C26" s="34"/>
      <c r="D26" s="34"/>
      <c r="E26" s="34"/>
      <c r="F26" s="34"/>
      <c r="G26" s="34"/>
      <c r="H26" s="34"/>
      <c r="I26" s="34"/>
      <c r="J26" s="34"/>
    </row>
    <row r="27" spans="1:13">
      <c r="A27" s="12" t="s">
        <v>20</v>
      </c>
      <c r="B27" s="11" t="s">
        <v>735</v>
      </c>
      <c r="C27" s="11" t="s">
        <v>736</v>
      </c>
      <c r="D27" s="11" t="s">
        <v>737</v>
      </c>
      <c r="E27" s="11" t="s">
        <v>966</v>
      </c>
      <c r="F27" s="11" t="s">
        <v>898</v>
      </c>
      <c r="G27" s="22" t="s">
        <v>74</v>
      </c>
      <c r="H27" s="22" t="s">
        <v>164</v>
      </c>
      <c r="I27" s="22" t="s">
        <v>36</v>
      </c>
      <c r="J27" s="12"/>
      <c r="K27" s="12" t="str">
        <f>"150,0"</f>
        <v>150,0</v>
      </c>
      <c r="L27" s="12" t="str">
        <f>"140,7900"</f>
        <v>140,7900</v>
      </c>
      <c r="M27" s="11" t="s">
        <v>317</v>
      </c>
    </row>
    <row r="28" spans="1:13">
      <c r="B28" s="5" t="s">
        <v>21</v>
      </c>
    </row>
    <row r="29" spans="1:13" ht="16">
      <c r="A29" s="33" t="s">
        <v>59</v>
      </c>
      <c r="B29" s="33"/>
      <c r="C29" s="34"/>
      <c r="D29" s="34"/>
      <c r="E29" s="34"/>
      <c r="F29" s="34"/>
      <c r="G29" s="34"/>
      <c r="H29" s="34"/>
      <c r="I29" s="34"/>
      <c r="J29" s="34"/>
    </row>
    <row r="30" spans="1:13">
      <c r="A30" s="8" t="s">
        <v>20</v>
      </c>
      <c r="B30" s="7" t="s">
        <v>738</v>
      </c>
      <c r="C30" s="7" t="s">
        <v>739</v>
      </c>
      <c r="D30" s="7" t="s">
        <v>740</v>
      </c>
      <c r="E30" s="7" t="s">
        <v>971</v>
      </c>
      <c r="F30" s="7" t="s">
        <v>898</v>
      </c>
      <c r="G30" s="18" t="s">
        <v>150</v>
      </c>
      <c r="H30" s="19" t="s">
        <v>132</v>
      </c>
      <c r="I30" s="18" t="s">
        <v>741</v>
      </c>
      <c r="J30" s="18" t="s">
        <v>133</v>
      </c>
      <c r="K30" s="8" t="str">
        <f>"206,0"</f>
        <v>206,0</v>
      </c>
      <c r="L30" s="8" t="str">
        <f>"159,5882"</f>
        <v>159,5882</v>
      </c>
      <c r="M30" s="7"/>
    </row>
    <row r="31" spans="1:13">
      <c r="A31" s="10" t="s">
        <v>20</v>
      </c>
      <c r="B31" s="9" t="s">
        <v>742</v>
      </c>
      <c r="C31" s="9" t="s">
        <v>743</v>
      </c>
      <c r="D31" s="9" t="s">
        <v>744</v>
      </c>
      <c r="E31" s="9" t="s">
        <v>964</v>
      </c>
      <c r="F31" s="9" t="s">
        <v>947</v>
      </c>
      <c r="G31" s="20" t="s">
        <v>113</v>
      </c>
      <c r="H31" s="20" t="s">
        <v>40</v>
      </c>
      <c r="I31" s="21" t="s">
        <v>41</v>
      </c>
      <c r="J31" s="10"/>
      <c r="K31" s="10" t="str">
        <f>"170,0"</f>
        <v>170,0</v>
      </c>
      <c r="L31" s="10" t="str">
        <f>"133,4840"</f>
        <v>133,4840</v>
      </c>
      <c r="M31" s="9" t="s">
        <v>745</v>
      </c>
    </row>
    <row r="32" spans="1:13">
      <c r="B32" s="5" t="s">
        <v>21</v>
      </c>
    </row>
    <row r="33" spans="1:13" ht="16">
      <c r="A33" s="33" t="s">
        <v>128</v>
      </c>
      <c r="B33" s="33"/>
      <c r="C33" s="34"/>
      <c r="D33" s="34"/>
      <c r="E33" s="34"/>
      <c r="F33" s="34"/>
      <c r="G33" s="34"/>
      <c r="H33" s="34"/>
      <c r="I33" s="34"/>
      <c r="J33" s="34"/>
    </row>
    <row r="34" spans="1:13">
      <c r="A34" s="8" t="s">
        <v>20</v>
      </c>
      <c r="B34" s="7" t="s">
        <v>746</v>
      </c>
      <c r="C34" s="7" t="s">
        <v>747</v>
      </c>
      <c r="D34" s="7" t="s">
        <v>748</v>
      </c>
      <c r="E34" s="7" t="s">
        <v>966</v>
      </c>
      <c r="F34" s="7" t="s">
        <v>898</v>
      </c>
      <c r="G34" s="18" t="s">
        <v>40</v>
      </c>
      <c r="H34" s="18" t="s">
        <v>41</v>
      </c>
      <c r="I34" s="18" t="s">
        <v>42</v>
      </c>
      <c r="J34" s="8"/>
      <c r="K34" s="8" t="str">
        <f>"190,0"</f>
        <v>190,0</v>
      </c>
      <c r="L34" s="8" t="str">
        <f>"129,0100"</f>
        <v>129,0100</v>
      </c>
      <c r="M34" s="7" t="s">
        <v>749</v>
      </c>
    </row>
    <row r="35" spans="1:13">
      <c r="A35" s="25" t="s">
        <v>20</v>
      </c>
      <c r="B35" s="24" t="s">
        <v>750</v>
      </c>
      <c r="C35" s="24" t="s">
        <v>751</v>
      </c>
      <c r="D35" s="24" t="s">
        <v>752</v>
      </c>
      <c r="E35" s="24" t="s">
        <v>964</v>
      </c>
      <c r="F35" s="24" t="s">
        <v>948</v>
      </c>
      <c r="G35" s="27" t="s">
        <v>170</v>
      </c>
      <c r="H35" s="26" t="s">
        <v>173</v>
      </c>
      <c r="I35" s="26" t="s">
        <v>753</v>
      </c>
      <c r="J35" s="25"/>
      <c r="K35" s="25" t="str">
        <f>"345,0"</f>
        <v>345,0</v>
      </c>
      <c r="L35" s="25" t="str">
        <f>"233,3580"</f>
        <v>233,3580</v>
      </c>
      <c r="M35" s="24"/>
    </row>
    <row r="36" spans="1:13">
      <c r="A36" s="10" t="s">
        <v>45</v>
      </c>
      <c r="B36" s="9" t="s">
        <v>754</v>
      </c>
      <c r="C36" s="9" t="s">
        <v>755</v>
      </c>
      <c r="D36" s="9" t="s">
        <v>310</v>
      </c>
      <c r="E36" s="9" t="s">
        <v>964</v>
      </c>
      <c r="F36" s="9" t="s">
        <v>949</v>
      </c>
      <c r="G36" s="20" t="s">
        <v>133</v>
      </c>
      <c r="H36" s="20" t="s">
        <v>396</v>
      </c>
      <c r="I36" s="20" t="s">
        <v>158</v>
      </c>
      <c r="J36" s="10"/>
      <c r="K36" s="10" t="str">
        <f>"230,0"</f>
        <v>230,0</v>
      </c>
      <c r="L36" s="10" t="str">
        <f>"154,1920"</f>
        <v>154,1920</v>
      </c>
      <c r="M36" s="9"/>
    </row>
    <row r="37" spans="1:13">
      <c r="B37" s="5" t="s">
        <v>21</v>
      </c>
    </row>
    <row r="38" spans="1:13" ht="16">
      <c r="A38" s="33" t="s">
        <v>47</v>
      </c>
      <c r="B38" s="33"/>
      <c r="C38" s="34"/>
      <c r="D38" s="34"/>
      <c r="E38" s="34"/>
      <c r="F38" s="34"/>
      <c r="G38" s="34"/>
      <c r="H38" s="34"/>
      <c r="I38" s="34"/>
      <c r="J38" s="34"/>
    </row>
    <row r="39" spans="1:13">
      <c r="A39" s="8" t="s">
        <v>20</v>
      </c>
      <c r="B39" s="7" t="s">
        <v>756</v>
      </c>
      <c r="C39" s="7" t="s">
        <v>757</v>
      </c>
      <c r="D39" s="7" t="s">
        <v>443</v>
      </c>
      <c r="E39" s="7" t="s">
        <v>964</v>
      </c>
      <c r="F39" s="7" t="s">
        <v>950</v>
      </c>
      <c r="G39" s="19" t="s">
        <v>172</v>
      </c>
      <c r="H39" s="18" t="s">
        <v>172</v>
      </c>
      <c r="I39" s="19" t="s">
        <v>158</v>
      </c>
      <c r="J39" s="8"/>
      <c r="K39" s="8" t="str">
        <f>"215,0"</f>
        <v>215,0</v>
      </c>
      <c r="L39" s="8" t="str">
        <f>"138,9545"</f>
        <v>138,9545</v>
      </c>
      <c r="M39" s="7"/>
    </row>
    <row r="40" spans="1:13">
      <c r="A40" s="25" t="s">
        <v>45</v>
      </c>
      <c r="B40" s="24" t="s">
        <v>758</v>
      </c>
      <c r="C40" s="24" t="s">
        <v>759</v>
      </c>
      <c r="D40" s="24" t="s">
        <v>760</v>
      </c>
      <c r="E40" s="24" t="s">
        <v>964</v>
      </c>
      <c r="F40" s="24" t="s">
        <v>898</v>
      </c>
      <c r="G40" s="26" t="s">
        <v>40</v>
      </c>
      <c r="H40" s="26" t="s">
        <v>41</v>
      </c>
      <c r="I40" s="27" t="s">
        <v>42</v>
      </c>
      <c r="J40" s="25"/>
      <c r="K40" s="25" t="str">
        <f>"180,0"</f>
        <v>180,0</v>
      </c>
      <c r="L40" s="25" t="str">
        <f>"118,6560"</f>
        <v>118,6560</v>
      </c>
      <c r="M40" s="24" t="s">
        <v>160</v>
      </c>
    </row>
    <row r="41" spans="1:13">
      <c r="A41" s="25" t="s">
        <v>20</v>
      </c>
      <c r="B41" s="24" t="s">
        <v>598</v>
      </c>
      <c r="C41" s="24" t="s">
        <v>599</v>
      </c>
      <c r="D41" s="24" t="s">
        <v>314</v>
      </c>
      <c r="E41" s="24" t="s">
        <v>965</v>
      </c>
      <c r="F41" s="24" t="s">
        <v>898</v>
      </c>
      <c r="G41" s="26" t="s">
        <v>172</v>
      </c>
      <c r="H41" s="26" t="s">
        <v>148</v>
      </c>
      <c r="I41" s="26" t="s">
        <v>158</v>
      </c>
      <c r="J41" s="25"/>
      <c r="K41" s="25" t="str">
        <f>"230,0"</f>
        <v>230,0</v>
      </c>
      <c r="L41" s="25" t="str">
        <f>"146,9240"</f>
        <v>146,9240</v>
      </c>
      <c r="M41" s="24"/>
    </row>
    <row r="42" spans="1:13">
      <c r="A42" s="10" t="s">
        <v>20</v>
      </c>
      <c r="B42" s="9" t="s">
        <v>600</v>
      </c>
      <c r="C42" s="9" t="s">
        <v>601</v>
      </c>
      <c r="D42" s="9" t="s">
        <v>602</v>
      </c>
      <c r="E42" s="9" t="s">
        <v>969</v>
      </c>
      <c r="F42" s="9" t="s">
        <v>898</v>
      </c>
      <c r="G42" s="20" t="s">
        <v>40</v>
      </c>
      <c r="H42" s="20" t="s">
        <v>41</v>
      </c>
      <c r="I42" s="21" t="s">
        <v>197</v>
      </c>
      <c r="J42" s="10"/>
      <c r="K42" s="10" t="str">
        <f>"180,0"</f>
        <v>180,0</v>
      </c>
      <c r="L42" s="10" t="str">
        <f>"153,9839"</f>
        <v>153,9839</v>
      </c>
      <c r="M42" s="9"/>
    </row>
    <row r="43" spans="1:13">
      <c r="B43" s="5" t="s">
        <v>21</v>
      </c>
    </row>
    <row r="44" spans="1:13" ht="16">
      <c r="A44" s="33" t="s">
        <v>6</v>
      </c>
      <c r="B44" s="33"/>
      <c r="C44" s="34"/>
      <c r="D44" s="34"/>
      <c r="E44" s="34"/>
      <c r="F44" s="34"/>
      <c r="G44" s="34"/>
      <c r="H44" s="34"/>
      <c r="I44" s="34"/>
      <c r="J44" s="34"/>
    </row>
    <row r="45" spans="1:13">
      <c r="A45" s="8" t="s">
        <v>20</v>
      </c>
      <c r="B45" s="7" t="s">
        <v>761</v>
      </c>
      <c r="C45" s="7" t="s">
        <v>762</v>
      </c>
      <c r="D45" s="7" t="s">
        <v>763</v>
      </c>
      <c r="E45" s="7" t="s">
        <v>967</v>
      </c>
      <c r="F45" s="7" t="s">
        <v>951</v>
      </c>
      <c r="G45" s="18" t="s">
        <v>148</v>
      </c>
      <c r="H45" s="18" t="s">
        <v>159</v>
      </c>
      <c r="I45" s="19" t="s">
        <v>138</v>
      </c>
      <c r="J45" s="8"/>
      <c r="K45" s="8" t="str">
        <f>"240,0"</f>
        <v>240,0</v>
      </c>
      <c r="L45" s="8" t="str">
        <f>"146,3520"</f>
        <v>146,3520</v>
      </c>
      <c r="M45" s="7"/>
    </row>
    <row r="46" spans="1:13">
      <c r="A46" s="25" t="s">
        <v>20</v>
      </c>
      <c r="B46" s="24" t="s">
        <v>368</v>
      </c>
      <c r="C46" s="24" t="s">
        <v>369</v>
      </c>
      <c r="D46" s="24" t="s">
        <v>370</v>
      </c>
      <c r="E46" s="24" t="s">
        <v>964</v>
      </c>
      <c r="F46" s="24" t="s">
        <v>898</v>
      </c>
      <c r="G46" s="26" t="s">
        <v>42</v>
      </c>
      <c r="H46" s="26" t="s">
        <v>132</v>
      </c>
      <c r="I46" s="26" t="s">
        <v>133</v>
      </c>
      <c r="J46" s="25"/>
      <c r="K46" s="25" t="str">
        <f>"210,0"</f>
        <v>210,0</v>
      </c>
      <c r="L46" s="25" t="str">
        <f>"130,4940"</f>
        <v>130,4940</v>
      </c>
      <c r="M46" s="24" t="s">
        <v>372</v>
      </c>
    </row>
    <row r="47" spans="1:13">
      <c r="A47" s="10" t="s">
        <v>20</v>
      </c>
      <c r="B47" s="9" t="s">
        <v>622</v>
      </c>
      <c r="C47" s="9" t="s">
        <v>623</v>
      </c>
      <c r="D47" s="9" t="s">
        <v>189</v>
      </c>
      <c r="E47" s="9" t="s">
        <v>965</v>
      </c>
      <c r="F47" s="9" t="s">
        <v>898</v>
      </c>
      <c r="G47" s="20" t="s">
        <v>40</v>
      </c>
      <c r="H47" s="20" t="s">
        <v>41</v>
      </c>
      <c r="I47" s="20" t="s">
        <v>150</v>
      </c>
      <c r="J47" s="10"/>
      <c r="K47" s="10" t="str">
        <f>"195,0"</f>
        <v>195,0</v>
      </c>
      <c r="L47" s="10" t="str">
        <f>"123,0624"</f>
        <v>123,0624</v>
      </c>
      <c r="M47" s="9" t="s">
        <v>624</v>
      </c>
    </row>
    <row r="48" spans="1:13">
      <c r="B48" s="5" t="s">
        <v>21</v>
      </c>
    </row>
    <row r="49" spans="1:13" ht="16">
      <c r="A49" s="33" t="s">
        <v>7</v>
      </c>
      <c r="B49" s="33"/>
      <c r="C49" s="34"/>
      <c r="D49" s="34"/>
      <c r="E49" s="34"/>
      <c r="F49" s="34"/>
      <c r="G49" s="34"/>
      <c r="H49" s="34"/>
      <c r="I49" s="34"/>
      <c r="J49" s="34"/>
    </row>
    <row r="50" spans="1:13">
      <c r="A50" s="12" t="s">
        <v>20</v>
      </c>
      <c r="B50" s="11" t="s">
        <v>764</v>
      </c>
      <c r="C50" s="11" t="s">
        <v>765</v>
      </c>
      <c r="D50" s="11" t="s">
        <v>766</v>
      </c>
      <c r="E50" s="11" t="s">
        <v>966</v>
      </c>
      <c r="F50" s="11" t="s">
        <v>907</v>
      </c>
      <c r="G50" s="22" t="s">
        <v>148</v>
      </c>
      <c r="H50" s="22" t="s">
        <v>76</v>
      </c>
      <c r="I50" s="22" t="s">
        <v>767</v>
      </c>
      <c r="J50" s="12"/>
      <c r="K50" s="12" t="str">
        <f>"247,5"</f>
        <v>247,5</v>
      </c>
      <c r="L50" s="12" t="str">
        <f>"147,5595"</f>
        <v>147,5595</v>
      </c>
      <c r="M50" s="11" t="s">
        <v>768</v>
      </c>
    </row>
    <row r="51" spans="1:13">
      <c r="B51" s="5" t="s">
        <v>21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3:J33"/>
    <mergeCell ref="A38:J38"/>
    <mergeCell ref="A44:J44"/>
    <mergeCell ref="A49:J49"/>
    <mergeCell ref="B3:B4"/>
    <mergeCell ref="A8:J8"/>
    <mergeCell ref="A11:J11"/>
    <mergeCell ref="A15:J15"/>
    <mergeCell ref="A22:J22"/>
    <mergeCell ref="A26:J26"/>
    <mergeCell ref="A29:J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1591-D08F-43DE-AE0F-4EFC9168C407}">
  <dimension ref="A1:M38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3.1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45" t="s">
        <v>875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58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107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108</v>
      </c>
      <c r="C6" s="11" t="s">
        <v>109</v>
      </c>
      <c r="D6" s="11" t="s">
        <v>110</v>
      </c>
      <c r="E6" s="11" t="s">
        <v>964</v>
      </c>
      <c r="F6" s="11" t="s">
        <v>898</v>
      </c>
      <c r="G6" s="22" t="s">
        <v>112</v>
      </c>
      <c r="H6" s="22" t="s">
        <v>36</v>
      </c>
      <c r="I6" s="23" t="s">
        <v>113</v>
      </c>
      <c r="J6" s="12"/>
      <c r="K6" s="12" t="str">
        <f>"150,0"</f>
        <v>150,0</v>
      </c>
      <c r="L6" s="12" t="str">
        <f>"167,6700"</f>
        <v>167,6700</v>
      </c>
      <c r="M6" s="11" t="s">
        <v>114</v>
      </c>
    </row>
    <row r="7" spans="1:13">
      <c r="B7" s="5" t="s">
        <v>21</v>
      </c>
    </row>
    <row r="8" spans="1:13" ht="16">
      <c r="A8" s="33" t="s">
        <v>128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20</v>
      </c>
      <c r="B9" s="7" t="s">
        <v>682</v>
      </c>
      <c r="C9" s="7" t="s">
        <v>683</v>
      </c>
      <c r="D9" s="7" t="s">
        <v>684</v>
      </c>
      <c r="E9" s="7" t="s">
        <v>964</v>
      </c>
      <c r="F9" s="7" t="s">
        <v>903</v>
      </c>
      <c r="G9" s="18" t="s">
        <v>390</v>
      </c>
      <c r="H9" s="19" t="s">
        <v>169</v>
      </c>
      <c r="I9" s="19" t="s">
        <v>169</v>
      </c>
      <c r="J9" s="8"/>
      <c r="K9" s="8" t="str">
        <f>"290,0"</f>
        <v>290,0</v>
      </c>
      <c r="L9" s="8" t="str">
        <f>"195,5760"</f>
        <v>195,5760</v>
      </c>
      <c r="M9" s="7"/>
    </row>
    <row r="10" spans="1:13">
      <c r="A10" s="25" t="s">
        <v>45</v>
      </c>
      <c r="B10" s="24" t="s">
        <v>129</v>
      </c>
      <c r="C10" s="24" t="s">
        <v>130</v>
      </c>
      <c r="D10" s="24" t="s">
        <v>131</v>
      </c>
      <c r="E10" s="24" t="s">
        <v>964</v>
      </c>
      <c r="F10" s="24" t="s">
        <v>898</v>
      </c>
      <c r="G10" s="26" t="s">
        <v>137</v>
      </c>
      <c r="H10" s="26" t="s">
        <v>138</v>
      </c>
      <c r="I10" s="25"/>
      <c r="J10" s="25"/>
      <c r="K10" s="25" t="str">
        <f>"250,0"</f>
        <v>250,0</v>
      </c>
      <c r="L10" s="25" t="str">
        <f>"167,4750"</f>
        <v>167,4750</v>
      </c>
      <c r="M10" s="24" t="s">
        <v>88</v>
      </c>
    </row>
    <row r="11" spans="1:13">
      <c r="A11" s="10" t="s">
        <v>20</v>
      </c>
      <c r="B11" s="9" t="s">
        <v>685</v>
      </c>
      <c r="C11" s="9" t="s">
        <v>686</v>
      </c>
      <c r="D11" s="9" t="s">
        <v>687</v>
      </c>
      <c r="E11" s="9" t="s">
        <v>969</v>
      </c>
      <c r="F11" s="9" t="s">
        <v>898</v>
      </c>
      <c r="G11" s="20" t="s">
        <v>132</v>
      </c>
      <c r="H11" s="20" t="s">
        <v>75</v>
      </c>
      <c r="I11" s="10"/>
      <c r="J11" s="10"/>
      <c r="K11" s="10" t="str">
        <f>"217,5"</f>
        <v>217,5</v>
      </c>
      <c r="L11" s="10" t="str">
        <f>"197,2866"</f>
        <v>197,2866</v>
      </c>
      <c r="M11" s="9"/>
    </row>
    <row r="12" spans="1:13">
      <c r="B12" s="5" t="s">
        <v>21</v>
      </c>
    </row>
    <row r="13" spans="1:13" ht="16">
      <c r="A13" s="33" t="s">
        <v>47</v>
      </c>
      <c r="B13" s="33"/>
      <c r="C13" s="34"/>
      <c r="D13" s="34"/>
      <c r="E13" s="34"/>
      <c r="F13" s="34"/>
      <c r="G13" s="34"/>
      <c r="H13" s="34"/>
      <c r="I13" s="34"/>
      <c r="J13" s="34"/>
    </row>
    <row r="14" spans="1:13">
      <c r="A14" s="12" t="s">
        <v>20</v>
      </c>
      <c r="B14" s="11" t="s">
        <v>688</v>
      </c>
      <c r="C14" s="11" t="s">
        <v>689</v>
      </c>
      <c r="D14" s="11" t="s">
        <v>690</v>
      </c>
      <c r="E14" s="11" t="s">
        <v>968</v>
      </c>
      <c r="F14" s="11" t="s">
        <v>898</v>
      </c>
      <c r="G14" s="22" t="s">
        <v>35</v>
      </c>
      <c r="H14" s="22" t="s">
        <v>164</v>
      </c>
      <c r="I14" s="12"/>
      <c r="J14" s="12"/>
      <c r="K14" s="12" t="str">
        <f>"145,0"</f>
        <v>145,0</v>
      </c>
      <c r="L14" s="12" t="str">
        <f>"137,0128"</f>
        <v>137,0128</v>
      </c>
      <c r="M14" s="11" t="s">
        <v>372</v>
      </c>
    </row>
    <row r="15" spans="1:13">
      <c r="B15" s="5" t="s">
        <v>21</v>
      </c>
    </row>
    <row r="16" spans="1:13" ht="16">
      <c r="A16" s="33" t="s">
        <v>6</v>
      </c>
      <c r="B16" s="33"/>
      <c r="C16" s="34"/>
      <c r="D16" s="34"/>
      <c r="E16" s="34"/>
      <c r="F16" s="34"/>
      <c r="G16" s="34"/>
      <c r="H16" s="34"/>
      <c r="I16" s="34"/>
      <c r="J16" s="34"/>
    </row>
    <row r="17" spans="1:13">
      <c r="A17" s="8" t="s">
        <v>20</v>
      </c>
      <c r="B17" s="7" t="s">
        <v>166</v>
      </c>
      <c r="C17" s="7" t="s">
        <v>167</v>
      </c>
      <c r="D17" s="7" t="s">
        <v>168</v>
      </c>
      <c r="E17" s="7" t="s">
        <v>964</v>
      </c>
      <c r="F17" s="7" t="s">
        <v>898</v>
      </c>
      <c r="G17" s="19" t="s">
        <v>173</v>
      </c>
      <c r="H17" s="19" t="s">
        <v>173</v>
      </c>
      <c r="I17" s="18" t="s">
        <v>173</v>
      </c>
      <c r="J17" s="8"/>
      <c r="K17" s="8" t="str">
        <f>"335,0"</f>
        <v>335,0</v>
      </c>
      <c r="L17" s="8" t="str">
        <f>"205,4890"</f>
        <v>205,4890</v>
      </c>
      <c r="M17" s="7"/>
    </row>
    <row r="18" spans="1:13">
      <c r="A18" s="25" t="s">
        <v>45</v>
      </c>
      <c r="B18" s="24" t="s">
        <v>180</v>
      </c>
      <c r="C18" s="24" t="s">
        <v>181</v>
      </c>
      <c r="D18" s="24" t="s">
        <v>182</v>
      </c>
      <c r="E18" s="24" t="s">
        <v>964</v>
      </c>
      <c r="F18" s="24" t="s">
        <v>922</v>
      </c>
      <c r="G18" s="26" t="s">
        <v>169</v>
      </c>
      <c r="H18" s="27" t="s">
        <v>186</v>
      </c>
      <c r="I18" s="27" t="s">
        <v>186</v>
      </c>
      <c r="J18" s="25"/>
      <c r="K18" s="25" t="str">
        <f>"310,0"</f>
        <v>310,0</v>
      </c>
      <c r="L18" s="25" t="str">
        <f>"189,2860"</f>
        <v>189,2860</v>
      </c>
      <c r="M18" s="24" t="s">
        <v>179</v>
      </c>
    </row>
    <row r="19" spans="1:13">
      <c r="A19" s="25" t="s">
        <v>213</v>
      </c>
      <c r="B19" s="24" t="s">
        <v>691</v>
      </c>
      <c r="C19" s="24" t="s">
        <v>692</v>
      </c>
      <c r="D19" s="24" t="s">
        <v>616</v>
      </c>
      <c r="E19" s="24" t="s">
        <v>964</v>
      </c>
      <c r="F19" s="24" t="s">
        <v>892</v>
      </c>
      <c r="G19" s="26" t="s">
        <v>386</v>
      </c>
      <c r="H19" s="26" t="s">
        <v>153</v>
      </c>
      <c r="I19" s="27" t="s">
        <v>693</v>
      </c>
      <c r="J19" s="25"/>
      <c r="K19" s="25" t="str">
        <f>"300,0"</f>
        <v>300,0</v>
      </c>
      <c r="L19" s="25" t="str">
        <f>"186,0900"</f>
        <v>186,0900</v>
      </c>
      <c r="M19" s="24"/>
    </row>
    <row r="20" spans="1:13">
      <c r="A20" s="10" t="s">
        <v>20</v>
      </c>
      <c r="B20" s="9" t="s">
        <v>694</v>
      </c>
      <c r="C20" s="9" t="s">
        <v>695</v>
      </c>
      <c r="D20" s="9" t="s">
        <v>696</v>
      </c>
      <c r="E20" s="9" t="s">
        <v>968</v>
      </c>
      <c r="F20" s="9" t="s">
        <v>952</v>
      </c>
      <c r="G20" s="20" t="s">
        <v>164</v>
      </c>
      <c r="H20" s="20" t="s">
        <v>36</v>
      </c>
      <c r="I20" s="21" t="s">
        <v>113</v>
      </c>
      <c r="J20" s="10"/>
      <c r="K20" s="10" t="str">
        <f>"150,0"</f>
        <v>150,0</v>
      </c>
      <c r="L20" s="10" t="str">
        <f>"144,7535"</f>
        <v>144,7535</v>
      </c>
      <c r="M20" s="9" t="s">
        <v>697</v>
      </c>
    </row>
    <row r="21" spans="1:13">
      <c r="B21" s="5" t="s">
        <v>21</v>
      </c>
    </row>
    <row r="22" spans="1:13" ht="16">
      <c r="A22" s="33" t="s">
        <v>7</v>
      </c>
      <c r="B22" s="33"/>
      <c r="C22" s="34"/>
      <c r="D22" s="34"/>
      <c r="E22" s="34"/>
      <c r="F22" s="34"/>
      <c r="G22" s="34"/>
      <c r="H22" s="34"/>
      <c r="I22" s="34"/>
      <c r="J22" s="34"/>
    </row>
    <row r="23" spans="1:13">
      <c r="A23" s="12" t="s">
        <v>20</v>
      </c>
      <c r="B23" s="11" t="s">
        <v>698</v>
      </c>
      <c r="C23" s="11" t="s">
        <v>699</v>
      </c>
      <c r="D23" s="11" t="s">
        <v>700</v>
      </c>
      <c r="E23" s="11" t="s">
        <v>964</v>
      </c>
      <c r="F23" s="11" t="s">
        <v>953</v>
      </c>
      <c r="G23" s="22" t="s">
        <v>184</v>
      </c>
      <c r="H23" s="22" t="s">
        <v>701</v>
      </c>
      <c r="I23" s="23" t="s">
        <v>693</v>
      </c>
      <c r="J23" s="12"/>
      <c r="K23" s="12" t="str">
        <f>"302,5"</f>
        <v>302,5</v>
      </c>
      <c r="L23" s="12" t="str">
        <f>"179,7152"</f>
        <v>179,7152</v>
      </c>
      <c r="M23" s="11"/>
    </row>
    <row r="24" spans="1:13">
      <c r="B24" s="5" t="s">
        <v>21</v>
      </c>
    </row>
    <row r="25" spans="1:13" ht="16">
      <c r="A25" s="33" t="s">
        <v>201</v>
      </c>
      <c r="B25" s="33"/>
      <c r="C25" s="34"/>
      <c r="D25" s="34"/>
      <c r="E25" s="34"/>
      <c r="F25" s="34"/>
      <c r="G25" s="34"/>
      <c r="H25" s="34"/>
      <c r="I25" s="34"/>
      <c r="J25" s="34"/>
    </row>
    <row r="26" spans="1:13">
      <c r="A26" s="8" t="s">
        <v>20</v>
      </c>
      <c r="B26" s="7" t="s">
        <v>702</v>
      </c>
      <c r="C26" s="7" t="s">
        <v>703</v>
      </c>
      <c r="D26" s="7" t="s">
        <v>704</v>
      </c>
      <c r="E26" s="7" t="s">
        <v>964</v>
      </c>
      <c r="F26" s="7" t="s">
        <v>939</v>
      </c>
      <c r="G26" s="18" t="s">
        <v>377</v>
      </c>
      <c r="H26" s="18" t="s">
        <v>205</v>
      </c>
      <c r="I26" s="18" t="s">
        <v>79</v>
      </c>
      <c r="J26" s="8"/>
      <c r="K26" s="8" t="str">
        <f>"325,0"</f>
        <v>325,0</v>
      </c>
      <c r="L26" s="8" t="str">
        <f>"185,9000"</f>
        <v>185,9000</v>
      </c>
      <c r="M26" s="7" t="s">
        <v>372</v>
      </c>
    </row>
    <row r="27" spans="1:13">
      <c r="A27" s="25" t="s">
        <v>45</v>
      </c>
      <c r="B27" s="24" t="s">
        <v>705</v>
      </c>
      <c r="C27" s="24" t="s">
        <v>706</v>
      </c>
      <c r="D27" s="24" t="s">
        <v>707</v>
      </c>
      <c r="E27" s="24" t="s">
        <v>964</v>
      </c>
      <c r="F27" s="24" t="s">
        <v>954</v>
      </c>
      <c r="G27" s="26" t="s">
        <v>178</v>
      </c>
      <c r="H27" s="26" t="s">
        <v>390</v>
      </c>
      <c r="I27" s="25"/>
      <c r="J27" s="25"/>
      <c r="K27" s="25" t="str">
        <f>"290,0"</f>
        <v>290,0</v>
      </c>
      <c r="L27" s="25" t="str">
        <f>"167,8520"</f>
        <v>167,8520</v>
      </c>
      <c r="M27" s="24"/>
    </row>
    <row r="28" spans="1:13">
      <c r="A28" s="10" t="s">
        <v>213</v>
      </c>
      <c r="B28" s="9" t="s">
        <v>708</v>
      </c>
      <c r="C28" s="9" t="s">
        <v>709</v>
      </c>
      <c r="D28" s="9" t="s">
        <v>710</v>
      </c>
      <c r="E28" s="9" t="s">
        <v>964</v>
      </c>
      <c r="F28" s="9" t="s">
        <v>931</v>
      </c>
      <c r="G28" s="20" t="s">
        <v>177</v>
      </c>
      <c r="H28" s="20" t="s">
        <v>386</v>
      </c>
      <c r="I28" s="21" t="s">
        <v>377</v>
      </c>
      <c r="J28" s="10"/>
      <c r="K28" s="10" t="str">
        <f>"280,0"</f>
        <v>280,0</v>
      </c>
      <c r="L28" s="10" t="str">
        <f>"163,3520"</f>
        <v>163,3520</v>
      </c>
      <c r="M28" s="9"/>
    </row>
    <row r="29" spans="1:13">
      <c r="B29" s="5" t="s">
        <v>21</v>
      </c>
    </row>
    <row r="30" spans="1:13">
      <c r="B30" s="5" t="s">
        <v>21</v>
      </c>
    </row>
    <row r="31" spans="1:13">
      <c r="B31" s="5" t="s">
        <v>21</v>
      </c>
    </row>
    <row r="32" spans="1:13" ht="18">
      <c r="B32" s="13" t="s">
        <v>8</v>
      </c>
      <c r="C32" s="13"/>
      <c r="F32" s="3"/>
    </row>
    <row r="33" spans="2:6" ht="16">
      <c r="B33" s="14" t="s">
        <v>9</v>
      </c>
      <c r="C33" s="14"/>
      <c r="F33" s="3"/>
    </row>
    <row r="34" spans="2:6" ht="14">
      <c r="B34" s="15"/>
      <c r="C34" s="16" t="s">
        <v>16</v>
      </c>
      <c r="F34" s="3"/>
    </row>
    <row r="35" spans="2:6" ht="14">
      <c r="B35" s="17" t="s">
        <v>10</v>
      </c>
      <c r="C35" s="17" t="s">
        <v>11</v>
      </c>
      <c r="D35" s="17" t="s">
        <v>860</v>
      </c>
      <c r="E35" s="17" t="s">
        <v>13</v>
      </c>
      <c r="F35" s="17" t="s">
        <v>77</v>
      </c>
    </row>
    <row r="36" spans="2:6">
      <c r="B36" s="5" t="s">
        <v>166</v>
      </c>
      <c r="C36" s="5" t="s">
        <v>16</v>
      </c>
      <c r="D36" s="6" t="s">
        <v>15</v>
      </c>
      <c r="E36" s="6" t="s">
        <v>173</v>
      </c>
      <c r="F36" s="6" t="s">
        <v>711</v>
      </c>
    </row>
    <row r="37" spans="2:6">
      <c r="B37" s="5" t="s">
        <v>682</v>
      </c>
      <c r="C37" s="5" t="s">
        <v>16</v>
      </c>
      <c r="D37" s="6" t="s">
        <v>399</v>
      </c>
      <c r="E37" s="6" t="s">
        <v>390</v>
      </c>
      <c r="F37" s="6" t="s">
        <v>712</v>
      </c>
    </row>
    <row r="38" spans="2:6">
      <c r="B38" s="5" t="s">
        <v>180</v>
      </c>
      <c r="C38" s="5" t="s">
        <v>16</v>
      </c>
      <c r="D38" s="6" t="s">
        <v>15</v>
      </c>
      <c r="E38" s="6" t="s">
        <v>169</v>
      </c>
      <c r="F38" s="6" t="s">
        <v>713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8:J8"/>
    <mergeCell ref="A13:J13"/>
    <mergeCell ref="A16:J16"/>
    <mergeCell ref="A22:J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D5EFE-BE22-444A-A31F-40B2B6092B34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4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5" t="s">
        <v>876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58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6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772</v>
      </c>
      <c r="C6" s="11" t="s">
        <v>773</v>
      </c>
      <c r="D6" s="11" t="s">
        <v>774</v>
      </c>
      <c r="E6" s="11" t="s">
        <v>964</v>
      </c>
      <c r="F6" s="11" t="s">
        <v>898</v>
      </c>
      <c r="G6" s="22" t="s">
        <v>288</v>
      </c>
      <c r="H6" s="23" t="s">
        <v>149</v>
      </c>
      <c r="I6" s="23" t="s">
        <v>183</v>
      </c>
      <c r="J6" s="12"/>
      <c r="K6" s="12" t="str">
        <f>"205,0"</f>
        <v>205,0</v>
      </c>
      <c r="L6" s="12" t="str">
        <f>"128,3300"</f>
        <v>128,3300</v>
      </c>
      <c r="M6" s="11"/>
    </row>
    <row r="7" spans="1:13">
      <c r="B7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5A9D-2877-4A11-BDEF-2A42CCEA03BC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1640625" style="5" customWidth="1"/>
    <col min="3" max="3" width="27.5" style="5" bestFit="1" customWidth="1"/>
    <col min="4" max="4" width="20.83203125" style="5" bestFit="1" customWidth="1"/>
    <col min="5" max="5" width="10.83203125" style="5" customWidth="1"/>
    <col min="6" max="6" width="21.6640625" style="5" customWidth="1"/>
    <col min="7" max="8" width="5.5" style="6" customWidth="1"/>
    <col min="9" max="9" width="5.1640625" style="6" customWidth="1"/>
    <col min="10" max="10" width="6" style="6" customWidth="1"/>
    <col min="11" max="11" width="10.5" style="6" bestFit="1" customWidth="1"/>
    <col min="12" max="12" width="8.5" style="6" bestFit="1" customWidth="1"/>
    <col min="13" max="13" width="21.5" style="5" bestFit="1" customWidth="1"/>
    <col min="14" max="16384" width="9.1640625" style="3"/>
  </cols>
  <sheetData>
    <row r="1" spans="1:13" s="2" customFormat="1" ht="29" customHeight="1">
      <c r="A1" s="45" t="s">
        <v>877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58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6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769</v>
      </c>
      <c r="C6" s="11" t="s">
        <v>770</v>
      </c>
      <c r="D6" s="11" t="s">
        <v>771</v>
      </c>
      <c r="E6" s="11" t="s">
        <v>965</v>
      </c>
      <c r="F6" s="11" t="s">
        <v>898</v>
      </c>
      <c r="G6" s="22" t="s">
        <v>205</v>
      </c>
      <c r="H6" s="23" t="s">
        <v>170</v>
      </c>
      <c r="I6" s="12"/>
      <c r="J6" s="12"/>
      <c r="K6" s="12" t="str">
        <f>"305,0"</f>
        <v>305,0</v>
      </c>
      <c r="L6" s="12" t="str">
        <f>"197,5616"</f>
        <v>197,5616</v>
      </c>
      <c r="M6" s="11" t="s">
        <v>893</v>
      </c>
    </row>
    <row r="7" spans="1:13">
      <c r="B7" s="5" t="s">
        <v>21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FFD4-E48C-45AF-8383-F1D16B96A8AE}">
  <dimension ref="A1:M46"/>
  <sheetViews>
    <sheetView topLeftCell="S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5.5" style="5" bestFit="1" customWidth="1"/>
    <col min="7" max="10" width="5.5" style="6" customWidth="1"/>
    <col min="11" max="11" width="10.5" style="6" bestFit="1" customWidth="1"/>
    <col min="12" max="12" width="7.83203125" style="6" customWidth="1"/>
    <col min="13" max="13" width="25.1640625" style="5" bestFit="1" customWidth="1"/>
    <col min="14" max="16384" width="9.1640625" style="3"/>
  </cols>
  <sheetData>
    <row r="1" spans="1:13" s="2" customFormat="1" ht="29" customHeight="1">
      <c r="A1" s="45" t="s">
        <v>878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896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59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265</v>
      </c>
      <c r="C6" s="11" t="s">
        <v>266</v>
      </c>
      <c r="D6" s="11" t="s">
        <v>734</v>
      </c>
      <c r="E6" s="11" t="s">
        <v>964</v>
      </c>
      <c r="F6" s="11" t="s">
        <v>904</v>
      </c>
      <c r="G6" s="22" t="s">
        <v>517</v>
      </c>
      <c r="H6" s="22" t="s">
        <v>123</v>
      </c>
      <c r="I6" s="23" t="s">
        <v>125</v>
      </c>
      <c r="J6" s="12"/>
      <c r="K6" s="12" t="str">
        <f>"35,0"</f>
        <v>35,0</v>
      </c>
      <c r="L6" s="12" t="str">
        <f>"32,0827"</f>
        <v>32,0827</v>
      </c>
      <c r="M6" s="11"/>
    </row>
    <row r="7" spans="1:13">
      <c r="B7" s="5" t="s">
        <v>21</v>
      </c>
    </row>
    <row r="8" spans="1:13" ht="16">
      <c r="A8" s="33" t="s">
        <v>22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2" t="s">
        <v>20</v>
      </c>
      <c r="B9" s="11" t="s">
        <v>824</v>
      </c>
      <c r="C9" s="11" t="s">
        <v>825</v>
      </c>
      <c r="D9" s="11" t="s">
        <v>826</v>
      </c>
      <c r="E9" s="11" t="s">
        <v>964</v>
      </c>
      <c r="F9" s="11" t="s">
        <v>898</v>
      </c>
      <c r="G9" s="23" t="s">
        <v>123</v>
      </c>
      <c r="H9" s="22" t="s">
        <v>123</v>
      </c>
      <c r="I9" s="22" t="s">
        <v>124</v>
      </c>
      <c r="J9" s="12"/>
      <c r="K9" s="12" t="str">
        <f>"37,5"</f>
        <v>37,5</v>
      </c>
      <c r="L9" s="12" t="str">
        <f>"32,3887"</f>
        <v>32,3887</v>
      </c>
      <c r="M9" s="11"/>
    </row>
    <row r="10" spans="1:13">
      <c r="B10" s="5" t="s">
        <v>21</v>
      </c>
    </row>
    <row r="11" spans="1:13" ht="16">
      <c r="A11" s="33" t="s">
        <v>107</v>
      </c>
      <c r="B11" s="33"/>
      <c r="C11" s="34"/>
      <c r="D11" s="34"/>
      <c r="E11" s="34"/>
      <c r="F11" s="34"/>
      <c r="G11" s="34"/>
      <c r="H11" s="34"/>
      <c r="I11" s="34"/>
      <c r="J11" s="34"/>
    </row>
    <row r="12" spans="1:13">
      <c r="A12" s="12" t="s">
        <v>20</v>
      </c>
      <c r="B12" s="11" t="s">
        <v>827</v>
      </c>
      <c r="C12" s="11" t="s">
        <v>828</v>
      </c>
      <c r="D12" s="11" t="s">
        <v>829</v>
      </c>
      <c r="E12" s="11" t="s">
        <v>964</v>
      </c>
      <c r="F12" s="11" t="s">
        <v>955</v>
      </c>
      <c r="G12" s="22" t="s">
        <v>227</v>
      </c>
      <c r="H12" s="22" t="s">
        <v>53</v>
      </c>
      <c r="I12" s="22" t="s">
        <v>104</v>
      </c>
      <c r="J12" s="12"/>
      <c r="K12" s="12" t="str">
        <f>"47,5"</f>
        <v>47,5</v>
      </c>
      <c r="L12" s="12" t="str">
        <f>"40,9070"</f>
        <v>40,9070</v>
      </c>
      <c r="M12" s="11"/>
    </row>
    <row r="13" spans="1:13">
      <c r="B13" s="5" t="s">
        <v>21</v>
      </c>
    </row>
    <row r="14" spans="1:13" ht="16">
      <c r="A14" s="33" t="s">
        <v>59</v>
      </c>
      <c r="B14" s="33"/>
      <c r="C14" s="34"/>
      <c r="D14" s="34"/>
      <c r="E14" s="34"/>
      <c r="F14" s="34"/>
      <c r="G14" s="34"/>
      <c r="H14" s="34"/>
      <c r="I14" s="34"/>
      <c r="J14" s="34"/>
    </row>
    <row r="15" spans="1:13">
      <c r="A15" s="8" t="s">
        <v>20</v>
      </c>
      <c r="B15" s="7" t="s">
        <v>830</v>
      </c>
      <c r="C15" s="7" t="s">
        <v>885</v>
      </c>
      <c r="D15" s="7" t="s">
        <v>831</v>
      </c>
      <c r="E15" s="7" t="s">
        <v>972</v>
      </c>
      <c r="F15" s="7" t="s">
        <v>956</v>
      </c>
      <c r="G15" s="18" t="s">
        <v>54</v>
      </c>
      <c r="H15" s="18" t="s">
        <v>86</v>
      </c>
      <c r="I15" s="18" t="s">
        <v>95</v>
      </c>
      <c r="J15" s="19" t="s">
        <v>832</v>
      </c>
      <c r="K15" s="8" t="str">
        <f>"57,5"</f>
        <v>57,5</v>
      </c>
      <c r="L15" s="8" t="str">
        <f>"43,1451"</f>
        <v>43,1451</v>
      </c>
      <c r="M15" s="7"/>
    </row>
    <row r="16" spans="1:13">
      <c r="A16" s="25" t="s">
        <v>45</v>
      </c>
      <c r="B16" s="24" t="s">
        <v>833</v>
      </c>
      <c r="C16" s="24" t="s">
        <v>886</v>
      </c>
      <c r="D16" s="24" t="s">
        <v>834</v>
      </c>
      <c r="E16" s="24" t="s">
        <v>972</v>
      </c>
      <c r="F16" s="24" t="s">
        <v>902</v>
      </c>
      <c r="G16" s="26" t="s">
        <v>124</v>
      </c>
      <c r="H16" s="26" t="s">
        <v>227</v>
      </c>
      <c r="I16" s="26" t="s">
        <v>53</v>
      </c>
      <c r="J16" s="25"/>
      <c r="K16" s="25" t="str">
        <f>"45,0"</f>
        <v>45,0</v>
      </c>
      <c r="L16" s="25" t="str">
        <f>"37,1205"</f>
        <v>37,1205</v>
      </c>
      <c r="M16" s="24"/>
    </row>
    <row r="17" spans="1:13">
      <c r="A17" s="25" t="s">
        <v>213</v>
      </c>
      <c r="B17" s="24" t="s">
        <v>835</v>
      </c>
      <c r="C17" s="24" t="s">
        <v>887</v>
      </c>
      <c r="D17" s="24" t="s">
        <v>777</v>
      </c>
      <c r="E17" s="24" t="s">
        <v>972</v>
      </c>
      <c r="F17" s="24" t="s">
        <v>901</v>
      </c>
      <c r="G17" s="26" t="s">
        <v>227</v>
      </c>
      <c r="H17" s="27" t="s">
        <v>53</v>
      </c>
      <c r="I17" s="27" t="s">
        <v>53</v>
      </c>
      <c r="J17" s="25"/>
      <c r="K17" s="25" t="str">
        <f>"42,5"</f>
        <v>42,5</v>
      </c>
      <c r="L17" s="25" t="str">
        <f>"32,9991"</f>
        <v>32,9991</v>
      </c>
      <c r="M17" s="24" t="s">
        <v>528</v>
      </c>
    </row>
    <row r="18" spans="1:13">
      <c r="A18" s="10" t="s">
        <v>20</v>
      </c>
      <c r="B18" s="9" t="s">
        <v>830</v>
      </c>
      <c r="C18" s="9" t="s">
        <v>836</v>
      </c>
      <c r="D18" s="9" t="s">
        <v>831</v>
      </c>
      <c r="E18" s="9" t="s">
        <v>964</v>
      </c>
      <c r="F18" s="9" t="s">
        <v>956</v>
      </c>
      <c r="G18" s="20" t="s">
        <v>54</v>
      </c>
      <c r="H18" s="20" t="s">
        <v>86</v>
      </c>
      <c r="I18" s="20" t="s">
        <v>95</v>
      </c>
      <c r="J18" s="21" t="s">
        <v>832</v>
      </c>
      <c r="K18" s="10" t="str">
        <f>"57,5"</f>
        <v>57,5</v>
      </c>
      <c r="L18" s="10" t="str">
        <f>"43,1451"</f>
        <v>43,1451</v>
      </c>
      <c r="M18" s="9"/>
    </row>
    <row r="19" spans="1:13">
      <c r="B19" s="5" t="s">
        <v>21</v>
      </c>
    </row>
    <row r="20" spans="1:13" ht="16">
      <c r="A20" s="33" t="s">
        <v>22</v>
      </c>
      <c r="B20" s="33"/>
      <c r="C20" s="34"/>
      <c r="D20" s="34"/>
      <c r="E20" s="34"/>
      <c r="F20" s="34"/>
      <c r="G20" s="34"/>
      <c r="H20" s="34"/>
      <c r="I20" s="34"/>
      <c r="J20" s="34"/>
    </row>
    <row r="21" spans="1:13">
      <c r="A21" s="8" t="s">
        <v>20</v>
      </c>
      <c r="B21" s="7" t="s">
        <v>31</v>
      </c>
      <c r="C21" s="7" t="s">
        <v>32</v>
      </c>
      <c r="D21" s="7" t="s">
        <v>837</v>
      </c>
      <c r="E21" s="7" t="s">
        <v>964</v>
      </c>
      <c r="F21" s="7" t="s">
        <v>957</v>
      </c>
      <c r="G21" s="18" t="s">
        <v>48</v>
      </c>
      <c r="H21" s="18" t="s">
        <v>49</v>
      </c>
      <c r="I21" s="18" t="s">
        <v>96</v>
      </c>
      <c r="J21" s="8"/>
      <c r="K21" s="8" t="str">
        <f>"62,5"</f>
        <v>62,5</v>
      </c>
      <c r="L21" s="8" t="str">
        <f>"43,7344"</f>
        <v>43,7344</v>
      </c>
      <c r="M21" s="7"/>
    </row>
    <row r="22" spans="1:13">
      <c r="A22" s="25" t="s">
        <v>45</v>
      </c>
      <c r="B22" s="24" t="s">
        <v>838</v>
      </c>
      <c r="C22" s="24" t="s">
        <v>839</v>
      </c>
      <c r="D22" s="24" t="s">
        <v>429</v>
      </c>
      <c r="E22" s="24" t="s">
        <v>964</v>
      </c>
      <c r="F22" s="24" t="s">
        <v>898</v>
      </c>
      <c r="G22" s="26" t="s">
        <v>86</v>
      </c>
      <c r="H22" s="26" t="s">
        <v>95</v>
      </c>
      <c r="I22" s="27" t="s">
        <v>49</v>
      </c>
      <c r="J22" s="25"/>
      <c r="K22" s="25" t="str">
        <f>"57,5"</f>
        <v>57,5</v>
      </c>
      <c r="L22" s="25" t="str">
        <f>"40,4455"</f>
        <v>40,4455</v>
      </c>
      <c r="M22" s="24"/>
    </row>
    <row r="23" spans="1:13">
      <c r="A23" s="25" t="s">
        <v>213</v>
      </c>
      <c r="B23" s="24" t="s">
        <v>840</v>
      </c>
      <c r="C23" s="24" t="s">
        <v>841</v>
      </c>
      <c r="D23" s="24" t="s">
        <v>562</v>
      </c>
      <c r="E23" s="24" t="s">
        <v>964</v>
      </c>
      <c r="F23" s="24" t="s">
        <v>958</v>
      </c>
      <c r="G23" s="26" t="s">
        <v>53</v>
      </c>
      <c r="H23" s="26" t="s">
        <v>48</v>
      </c>
      <c r="I23" s="27" t="s">
        <v>86</v>
      </c>
      <c r="J23" s="25"/>
      <c r="K23" s="25" t="str">
        <f>"50,0"</f>
        <v>50,0</v>
      </c>
      <c r="L23" s="25" t="str">
        <f>"34,7000"</f>
        <v>34,7000</v>
      </c>
      <c r="M23" s="24" t="s">
        <v>894</v>
      </c>
    </row>
    <row r="24" spans="1:13">
      <c r="A24" s="10" t="s">
        <v>20</v>
      </c>
      <c r="B24" s="9" t="s">
        <v>564</v>
      </c>
      <c r="C24" s="9" t="s">
        <v>565</v>
      </c>
      <c r="D24" s="9" t="s">
        <v>566</v>
      </c>
      <c r="E24" s="9" t="s">
        <v>965</v>
      </c>
      <c r="F24" s="9" t="s">
        <v>937</v>
      </c>
      <c r="G24" s="20" t="s">
        <v>104</v>
      </c>
      <c r="H24" s="20" t="s">
        <v>54</v>
      </c>
      <c r="I24" s="21" t="s">
        <v>95</v>
      </c>
      <c r="J24" s="10"/>
      <c r="K24" s="10" t="str">
        <f>"52,5"</f>
        <v>52,5</v>
      </c>
      <c r="L24" s="10" t="str">
        <f>"37,6024"</f>
        <v>37,6024</v>
      </c>
      <c r="M24" s="9"/>
    </row>
    <row r="25" spans="1:13">
      <c r="B25" s="5" t="s">
        <v>21</v>
      </c>
    </row>
    <row r="26" spans="1:13" ht="16">
      <c r="A26" s="33" t="s">
        <v>128</v>
      </c>
      <c r="B26" s="33"/>
      <c r="C26" s="34"/>
      <c r="D26" s="34"/>
      <c r="E26" s="34"/>
      <c r="F26" s="34"/>
      <c r="G26" s="34"/>
      <c r="H26" s="34"/>
      <c r="I26" s="34"/>
      <c r="J26" s="34"/>
    </row>
    <row r="27" spans="1:13">
      <c r="A27" s="8" t="s">
        <v>20</v>
      </c>
      <c r="B27" s="7" t="s">
        <v>842</v>
      </c>
      <c r="C27" s="7" t="s">
        <v>843</v>
      </c>
      <c r="D27" s="7" t="s">
        <v>748</v>
      </c>
      <c r="E27" s="7" t="s">
        <v>964</v>
      </c>
      <c r="F27" s="7" t="s">
        <v>945</v>
      </c>
      <c r="G27" s="18" t="s">
        <v>23</v>
      </c>
      <c r="H27" s="18" t="s">
        <v>65</v>
      </c>
      <c r="I27" s="19" t="s">
        <v>28</v>
      </c>
      <c r="J27" s="8"/>
      <c r="K27" s="8" t="str">
        <f>"67,5"</f>
        <v>67,5</v>
      </c>
      <c r="L27" s="8" t="str">
        <f>"44,1450"</f>
        <v>44,1450</v>
      </c>
      <c r="M27" s="7"/>
    </row>
    <row r="28" spans="1:13">
      <c r="A28" s="25" t="s">
        <v>45</v>
      </c>
      <c r="B28" s="24" t="s">
        <v>844</v>
      </c>
      <c r="C28" s="24" t="s">
        <v>845</v>
      </c>
      <c r="D28" s="24" t="s">
        <v>846</v>
      </c>
      <c r="E28" s="24" t="s">
        <v>964</v>
      </c>
      <c r="F28" s="24" t="s">
        <v>895</v>
      </c>
      <c r="G28" s="26" t="s">
        <v>53</v>
      </c>
      <c r="H28" s="26" t="s">
        <v>48</v>
      </c>
      <c r="I28" s="27" t="s">
        <v>86</v>
      </c>
      <c r="J28" s="25"/>
      <c r="K28" s="25" t="str">
        <f>"50,0"</f>
        <v>50,0</v>
      </c>
      <c r="L28" s="25" t="str">
        <f>"32,6725"</f>
        <v>32,6725</v>
      </c>
      <c r="M28" s="24"/>
    </row>
    <row r="29" spans="1:13">
      <c r="A29" s="10" t="s">
        <v>20</v>
      </c>
      <c r="B29" s="9" t="s">
        <v>844</v>
      </c>
      <c r="C29" s="9" t="s">
        <v>888</v>
      </c>
      <c r="D29" s="9" t="s">
        <v>846</v>
      </c>
      <c r="E29" s="9" t="s">
        <v>969</v>
      </c>
      <c r="F29" s="9" t="s">
        <v>895</v>
      </c>
      <c r="G29" s="20" t="s">
        <v>53</v>
      </c>
      <c r="H29" s="20" t="s">
        <v>48</v>
      </c>
      <c r="I29" s="21" t="s">
        <v>86</v>
      </c>
      <c r="J29" s="10"/>
      <c r="K29" s="10" t="str">
        <f>"50,0"</f>
        <v>50,0</v>
      </c>
      <c r="L29" s="10" t="str">
        <f>"41,4287"</f>
        <v>41,4287</v>
      </c>
      <c r="M29" s="9"/>
    </row>
    <row r="30" spans="1:13">
      <c r="B30" s="5" t="s">
        <v>21</v>
      </c>
    </row>
    <row r="31" spans="1:13" ht="16">
      <c r="A31" s="33" t="s">
        <v>47</v>
      </c>
      <c r="B31" s="33"/>
      <c r="C31" s="34"/>
      <c r="D31" s="34"/>
      <c r="E31" s="34"/>
      <c r="F31" s="34"/>
      <c r="G31" s="34"/>
      <c r="H31" s="34"/>
      <c r="I31" s="34"/>
      <c r="J31" s="34"/>
    </row>
    <row r="32" spans="1:13">
      <c r="A32" s="12" t="s">
        <v>20</v>
      </c>
      <c r="B32" s="11" t="s">
        <v>847</v>
      </c>
      <c r="C32" s="11" t="s">
        <v>848</v>
      </c>
      <c r="D32" s="11" t="s">
        <v>589</v>
      </c>
      <c r="E32" s="11" t="s">
        <v>964</v>
      </c>
      <c r="F32" s="11" t="s">
        <v>898</v>
      </c>
      <c r="G32" s="22" t="s">
        <v>49</v>
      </c>
      <c r="H32" s="22" t="s">
        <v>23</v>
      </c>
      <c r="I32" s="23" t="s">
        <v>28</v>
      </c>
      <c r="J32" s="12"/>
      <c r="K32" s="12" t="str">
        <f>"65,0"</f>
        <v>65,0</v>
      </c>
      <c r="L32" s="12" t="str">
        <f>"40,1765"</f>
        <v>40,1765</v>
      </c>
      <c r="M32" s="11" t="s">
        <v>849</v>
      </c>
    </row>
    <row r="33" spans="1:13">
      <c r="B33" s="5" t="s">
        <v>21</v>
      </c>
    </row>
    <row r="34" spans="1:13" ht="16">
      <c r="A34" s="33" t="s">
        <v>6</v>
      </c>
      <c r="B34" s="33"/>
      <c r="C34" s="34"/>
      <c r="D34" s="34"/>
      <c r="E34" s="34"/>
      <c r="F34" s="34"/>
      <c r="G34" s="34"/>
      <c r="H34" s="34"/>
      <c r="I34" s="34"/>
      <c r="J34" s="34"/>
    </row>
    <row r="35" spans="1:13">
      <c r="A35" s="8" t="s">
        <v>20</v>
      </c>
      <c r="B35" s="7" t="s">
        <v>850</v>
      </c>
      <c r="C35" s="7" t="s">
        <v>851</v>
      </c>
      <c r="D35" s="7" t="s">
        <v>852</v>
      </c>
      <c r="E35" s="7" t="s">
        <v>964</v>
      </c>
      <c r="F35" s="7" t="s">
        <v>898</v>
      </c>
      <c r="G35" s="18" t="s">
        <v>23</v>
      </c>
      <c r="H35" s="18" t="s">
        <v>28</v>
      </c>
      <c r="I35" s="19" t="s">
        <v>29</v>
      </c>
      <c r="J35" s="8"/>
      <c r="K35" s="8" t="str">
        <f>"70,0"</f>
        <v>70,0</v>
      </c>
      <c r="L35" s="8" t="str">
        <f>"41,0865"</f>
        <v>41,0865</v>
      </c>
      <c r="M35" s="7"/>
    </row>
    <row r="36" spans="1:13">
      <c r="A36" s="10" t="s">
        <v>20</v>
      </c>
      <c r="B36" s="9" t="s">
        <v>853</v>
      </c>
      <c r="C36" s="9" t="s">
        <v>854</v>
      </c>
      <c r="D36" s="9" t="s">
        <v>671</v>
      </c>
      <c r="E36" s="9" t="s">
        <v>968</v>
      </c>
      <c r="F36" s="9" t="s">
        <v>898</v>
      </c>
      <c r="G36" s="20" t="s">
        <v>49</v>
      </c>
      <c r="H36" s="20" t="s">
        <v>23</v>
      </c>
      <c r="I36" s="21" t="s">
        <v>65</v>
      </c>
      <c r="J36" s="10"/>
      <c r="K36" s="10" t="str">
        <f>"65,0"</f>
        <v>65,0</v>
      </c>
      <c r="L36" s="10" t="str">
        <f>"53,3899"</f>
        <v>53,3899</v>
      </c>
      <c r="M36" s="9"/>
    </row>
    <row r="37" spans="1:13">
      <c r="B37" s="5" t="s">
        <v>21</v>
      </c>
    </row>
    <row r="38" spans="1:13">
      <c r="B38" s="5" t="s">
        <v>21</v>
      </c>
    </row>
    <row r="39" spans="1:13">
      <c r="B39" s="5" t="s">
        <v>21</v>
      </c>
    </row>
    <row r="40" spans="1:13" ht="18">
      <c r="B40" s="13" t="s">
        <v>8</v>
      </c>
      <c r="C40" s="13"/>
      <c r="F40" s="3"/>
    </row>
    <row r="41" spans="1:13" ht="16">
      <c r="B41" s="14" t="s">
        <v>9</v>
      </c>
      <c r="C41" s="14"/>
      <c r="F41" s="3"/>
    </row>
    <row r="42" spans="1:13" ht="14">
      <c r="B42" s="15"/>
      <c r="C42" s="16" t="s">
        <v>16</v>
      </c>
      <c r="F42" s="3"/>
    </row>
    <row r="43" spans="1:13" ht="14">
      <c r="B43" s="17" t="s">
        <v>10</v>
      </c>
      <c r="C43" s="17" t="s">
        <v>11</v>
      </c>
      <c r="D43" s="17" t="s">
        <v>860</v>
      </c>
      <c r="E43" s="17" t="s">
        <v>13</v>
      </c>
      <c r="F43" s="17" t="s">
        <v>14</v>
      </c>
    </row>
    <row r="44" spans="1:13">
      <c r="B44" s="5" t="s">
        <v>842</v>
      </c>
      <c r="C44" s="5" t="s">
        <v>16</v>
      </c>
      <c r="D44" s="6" t="s">
        <v>399</v>
      </c>
      <c r="E44" s="6" t="s">
        <v>65</v>
      </c>
      <c r="F44" s="6" t="s">
        <v>856</v>
      </c>
    </row>
    <row r="45" spans="1:13">
      <c r="B45" s="5" t="s">
        <v>31</v>
      </c>
      <c r="C45" s="5" t="s">
        <v>16</v>
      </c>
      <c r="D45" s="6" t="s">
        <v>44</v>
      </c>
      <c r="E45" s="6" t="s">
        <v>96</v>
      </c>
      <c r="F45" s="6" t="s">
        <v>857</v>
      </c>
    </row>
    <row r="46" spans="1:13">
      <c r="B46" s="5" t="s">
        <v>830</v>
      </c>
      <c r="C46" s="5" t="s">
        <v>16</v>
      </c>
      <c r="D46" s="6" t="s">
        <v>78</v>
      </c>
      <c r="E46" s="6" t="s">
        <v>95</v>
      </c>
      <c r="F46" s="6" t="s">
        <v>855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B3:B4"/>
    <mergeCell ref="A8:J8"/>
    <mergeCell ref="A11:J11"/>
    <mergeCell ref="A14:J14"/>
    <mergeCell ref="A20:J20"/>
    <mergeCell ref="A26:J26"/>
    <mergeCell ref="A31:J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3AFC-B39D-4452-A23B-21285965A478}">
  <dimension ref="A1:M13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5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45" t="s">
        <v>879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896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47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20</v>
      </c>
      <c r="B6" s="7" t="s">
        <v>817</v>
      </c>
      <c r="C6" s="7" t="s">
        <v>818</v>
      </c>
      <c r="D6" s="7" t="s">
        <v>760</v>
      </c>
      <c r="E6" s="7" t="s">
        <v>964</v>
      </c>
      <c r="F6" s="7" t="s">
        <v>959</v>
      </c>
      <c r="G6" s="18" t="s">
        <v>65</v>
      </c>
      <c r="H6" s="18" t="s">
        <v>66</v>
      </c>
      <c r="I6" s="19" t="s">
        <v>117</v>
      </c>
      <c r="J6" s="8"/>
      <c r="K6" s="8" t="str">
        <f>"72,5"</f>
        <v>72,5</v>
      </c>
      <c r="L6" s="8" t="str">
        <f>"45,9287"</f>
        <v>45,9287</v>
      </c>
      <c r="M6" s="7"/>
    </row>
    <row r="7" spans="1:13">
      <c r="A7" s="10" t="s">
        <v>20</v>
      </c>
      <c r="B7" s="9" t="s">
        <v>817</v>
      </c>
      <c r="C7" s="9" t="s">
        <v>889</v>
      </c>
      <c r="D7" s="9" t="s">
        <v>760</v>
      </c>
      <c r="E7" s="9" t="s">
        <v>965</v>
      </c>
      <c r="F7" s="9" t="s">
        <v>959</v>
      </c>
      <c r="G7" s="20" t="s">
        <v>65</v>
      </c>
      <c r="H7" s="20" t="s">
        <v>66</v>
      </c>
      <c r="I7" s="21" t="s">
        <v>117</v>
      </c>
      <c r="J7" s="10"/>
      <c r="K7" s="10" t="str">
        <f>"72,5"</f>
        <v>72,5</v>
      </c>
      <c r="L7" s="10" t="str">
        <f>"48,4548"</f>
        <v>48,4548</v>
      </c>
      <c r="M7" s="9"/>
    </row>
    <row r="8" spans="1:13">
      <c r="B8" s="5" t="s">
        <v>21</v>
      </c>
    </row>
    <row r="9" spans="1:13" ht="16">
      <c r="A9" s="33" t="s">
        <v>6</v>
      </c>
      <c r="B9" s="33"/>
      <c r="C9" s="34"/>
      <c r="D9" s="34"/>
      <c r="E9" s="34"/>
      <c r="F9" s="34"/>
      <c r="G9" s="34"/>
      <c r="H9" s="34"/>
      <c r="I9" s="34"/>
      <c r="J9" s="34"/>
    </row>
    <row r="10" spans="1:13">
      <c r="A10" s="8" t="s">
        <v>20</v>
      </c>
      <c r="B10" s="7" t="s">
        <v>819</v>
      </c>
      <c r="C10" s="7" t="s">
        <v>890</v>
      </c>
      <c r="D10" s="7" t="s">
        <v>176</v>
      </c>
      <c r="E10" s="7" t="s">
        <v>972</v>
      </c>
      <c r="F10" s="7" t="s">
        <v>960</v>
      </c>
      <c r="G10" s="19" t="s">
        <v>820</v>
      </c>
      <c r="H10" s="19" t="s">
        <v>820</v>
      </c>
      <c r="I10" s="18" t="s">
        <v>820</v>
      </c>
      <c r="J10" s="8"/>
      <c r="K10" s="8" t="str">
        <f>"68,0"</f>
        <v>68,0</v>
      </c>
      <c r="L10" s="8" t="str">
        <f>"39,6304"</f>
        <v>39,6304</v>
      </c>
      <c r="M10" s="7"/>
    </row>
    <row r="11" spans="1:13">
      <c r="A11" s="25" t="s">
        <v>20</v>
      </c>
      <c r="B11" s="24" t="s">
        <v>821</v>
      </c>
      <c r="C11" s="24" t="s">
        <v>822</v>
      </c>
      <c r="D11" s="24" t="s">
        <v>189</v>
      </c>
      <c r="E11" s="24" t="s">
        <v>964</v>
      </c>
      <c r="F11" s="24" t="s">
        <v>901</v>
      </c>
      <c r="G11" s="26" t="s">
        <v>28</v>
      </c>
      <c r="H11" s="26" t="s">
        <v>66</v>
      </c>
      <c r="I11" s="27" t="s">
        <v>29</v>
      </c>
      <c r="J11" s="25"/>
      <c r="K11" s="25" t="str">
        <f>"72,5"</f>
        <v>72,5</v>
      </c>
      <c r="L11" s="25" t="str">
        <f>"42,5321"</f>
        <v>42,5321</v>
      </c>
      <c r="M11" s="24" t="s">
        <v>823</v>
      </c>
    </row>
    <row r="12" spans="1:13">
      <c r="A12" s="10" t="s">
        <v>20</v>
      </c>
      <c r="B12" s="9" t="s">
        <v>821</v>
      </c>
      <c r="C12" s="9" t="s">
        <v>891</v>
      </c>
      <c r="D12" s="9" t="s">
        <v>189</v>
      </c>
      <c r="E12" s="9" t="s">
        <v>965</v>
      </c>
      <c r="F12" s="9" t="s">
        <v>901</v>
      </c>
      <c r="G12" s="20" t="s">
        <v>28</v>
      </c>
      <c r="H12" s="20" t="s">
        <v>66</v>
      </c>
      <c r="I12" s="21" t="s">
        <v>29</v>
      </c>
      <c r="J12" s="10"/>
      <c r="K12" s="10" t="str">
        <f>"72,5"</f>
        <v>72,5</v>
      </c>
      <c r="L12" s="10" t="str">
        <f>"46,6577"</f>
        <v>46,6577</v>
      </c>
      <c r="M12" s="9" t="s">
        <v>823</v>
      </c>
    </row>
    <row r="13" spans="1:13">
      <c r="B13" s="5" t="s">
        <v>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FD1EC-FA75-4BF6-9299-F00C4DF7B54B}">
  <dimension ref="A1:U49"/>
  <sheetViews>
    <sheetView workbookViewId="0">
      <selection activeCell="E40" sqref="E40"/>
    </sheetView>
  </sheetViews>
  <sheetFormatPr baseColWidth="10" defaultColWidth="9.1640625" defaultRowHeight="13"/>
  <cols>
    <col min="1" max="1" width="7.1640625" style="5" bestFit="1" customWidth="1"/>
    <col min="2" max="2" width="20.6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5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28" bestFit="1" customWidth="1"/>
    <col min="20" max="20" width="8.5" style="6" bestFit="1" customWidth="1"/>
    <col min="21" max="21" width="18.5" style="5" bestFit="1" customWidth="1"/>
    <col min="22" max="16384" width="9.1640625" style="3"/>
  </cols>
  <sheetData>
    <row r="1" spans="1:21" s="2" customFormat="1" ht="29" customHeight="1">
      <c r="A1" s="45" t="s">
        <v>863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56</v>
      </c>
      <c r="H3" s="39"/>
      <c r="I3" s="39"/>
      <c r="J3" s="39"/>
      <c r="K3" s="39" t="s">
        <v>57</v>
      </c>
      <c r="L3" s="39"/>
      <c r="M3" s="39"/>
      <c r="N3" s="39"/>
      <c r="O3" s="39" t="s">
        <v>58</v>
      </c>
      <c r="P3" s="39"/>
      <c r="Q3" s="39"/>
      <c r="R3" s="39"/>
      <c r="S3" s="37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40"/>
      <c r="U4" s="42"/>
    </row>
    <row r="5" spans="1:21" ht="16">
      <c r="A5" s="43" t="s">
        <v>80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12" t="s">
        <v>20</v>
      </c>
      <c r="B6" s="11" t="s">
        <v>81</v>
      </c>
      <c r="C6" s="11" t="s">
        <v>82</v>
      </c>
      <c r="D6" s="11" t="s">
        <v>83</v>
      </c>
      <c r="E6" s="11" t="s">
        <v>964</v>
      </c>
      <c r="F6" s="11" t="s">
        <v>898</v>
      </c>
      <c r="G6" s="23" t="s">
        <v>84</v>
      </c>
      <c r="H6" s="22" t="s">
        <v>84</v>
      </c>
      <c r="I6" s="22" t="s">
        <v>85</v>
      </c>
      <c r="J6" s="12"/>
      <c r="K6" s="22" t="s">
        <v>48</v>
      </c>
      <c r="L6" s="22" t="s">
        <v>54</v>
      </c>
      <c r="M6" s="23" t="s">
        <v>86</v>
      </c>
      <c r="N6" s="12"/>
      <c r="O6" s="22" t="s">
        <v>34</v>
      </c>
      <c r="P6" s="22" t="s">
        <v>87</v>
      </c>
      <c r="Q6" s="23" t="s">
        <v>35</v>
      </c>
      <c r="R6" s="12"/>
      <c r="S6" s="32" t="str">
        <f>"299,5"</f>
        <v>299,5</v>
      </c>
      <c r="T6" s="12" t="str">
        <f>"396,6578"</f>
        <v>396,6578</v>
      </c>
      <c r="U6" s="11" t="s">
        <v>88</v>
      </c>
    </row>
    <row r="7" spans="1:21">
      <c r="B7" s="5" t="s">
        <v>21</v>
      </c>
    </row>
    <row r="8" spans="1:21" ht="16">
      <c r="A8" s="33" t="s">
        <v>89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8" t="s">
        <v>20</v>
      </c>
      <c r="B9" s="7" t="s">
        <v>90</v>
      </c>
      <c r="C9" s="7" t="s">
        <v>91</v>
      </c>
      <c r="D9" s="7" t="s">
        <v>92</v>
      </c>
      <c r="E9" s="7" t="s">
        <v>964</v>
      </c>
      <c r="F9" s="7" t="s">
        <v>898</v>
      </c>
      <c r="G9" s="18" t="s">
        <v>24</v>
      </c>
      <c r="H9" s="18" t="s">
        <v>93</v>
      </c>
      <c r="I9" s="19" t="s">
        <v>94</v>
      </c>
      <c r="J9" s="8"/>
      <c r="K9" s="18" t="s">
        <v>95</v>
      </c>
      <c r="L9" s="18" t="s">
        <v>96</v>
      </c>
      <c r="M9" s="18" t="s">
        <v>23</v>
      </c>
      <c r="N9" s="8"/>
      <c r="O9" s="18" t="s">
        <v>97</v>
      </c>
      <c r="P9" s="19" t="s">
        <v>98</v>
      </c>
      <c r="Q9" s="18" t="s">
        <v>99</v>
      </c>
      <c r="R9" s="8"/>
      <c r="S9" s="29" t="str">
        <f>"265,0"</f>
        <v>265,0</v>
      </c>
      <c r="T9" s="8" t="str">
        <f>"312,2495"</f>
        <v>312,2495</v>
      </c>
      <c r="U9" s="7" t="s">
        <v>88</v>
      </c>
    </row>
    <row r="10" spans="1:21">
      <c r="A10" s="10" t="s">
        <v>45</v>
      </c>
      <c r="B10" s="9" t="s">
        <v>100</v>
      </c>
      <c r="C10" s="9" t="s">
        <v>101</v>
      </c>
      <c r="D10" s="9" t="s">
        <v>102</v>
      </c>
      <c r="E10" s="9" t="s">
        <v>964</v>
      </c>
      <c r="F10" s="9" t="s">
        <v>899</v>
      </c>
      <c r="G10" s="20" t="s">
        <v>103</v>
      </c>
      <c r="H10" s="20" t="s">
        <v>93</v>
      </c>
      <c r="I10" s="21" t="s">
        <v>94</v>
      </c>
      <c r="J10" s="10"/>
      <c r="K10" s="20" t="s">
        <v>104</v>
      </c>
      <c r="L10" s="20" t="s">
        <v>48</v>
      </c>
      <c r="M10" s="20" t="s">
        <v>54</v>
      </c>
      <c r="N10" s="10"/>
      <c r="O10" s="20" t="s">
        <v>105</v>
      </c>
      <c r="P10" s="21" t="s">
        <v>63</v>
      </c>
      <c r="Q10" s="21" t="s">
        <v>63</v>
      </c>
      <c r="R10" s="10"/>
      <c r="S10" s="31" t="str">
        <f>"247,5"</f>
        <v>247,5</v>
      </c>
      <c r="T10" s="10" t="str">
        <f>"292,4460"</f>
        <v>292,4460</v>
      </c>
      <c r="U10" s="9" t="s">
        <v>106</v>
      </c>
    </row>
    <row r="11" spans="1:21">
      <c r="B11" s="5" t="s">
        <v>21</v>
      </c>
    </row>
    <row r="12" spans="1:21" ht="16">
      <c r="A12" s="33" t="s">
        <v>107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1">
      <c r="A13" s="12" t="s">
        <v>20</v>
      </c>
      <c r="B13" s="11" t="s">
        <v>108</v>
      </c>
      <c r="C13" s="11" t="s">
        <v>109</v>
      </c>
      <c r="D13" s="11" t="s">
        <v>110</v>
      </c>
      <c r="E13" s="11" t="s">
        <v>964</v>
      </c>
      <c r="F13" s="11" t="s">
        <v>898</v>
      </c>
      <c r="G13" s="22" t="s">
        <v>94</v>
      </c>
      <c r="H13" s="22" t="s">
        <v>111</v>
      </c>
      <c r="I13" s="23" t="s">
        <v>84</v>
      </c>
      <c r="J13" s="12"/>
      <c r="K13" s="22" t="s">
        <v>48</v>
      </c>
      <c r="L13" s="23" t="s">
        <v>86</v>
      </c>
      <c r="M13" s="22" t="s">
        <v>86</v>
      </c>
      <c r="N13" s="12"/>
      <c r="O13" s="22" t="s">
        <v>112</v>
      </c>
      <c r="P13" s="22" t="s">
        <v>36</v>
      </c>
      <c r="Q13" s="23" t="s">
        <v>113</v>
      </c>
      <c r="R13" s="12"/>
      <c r="S13" s="32" t="str">
        <f>"305,0"</f>
        <v>305,0</v>
      </c>
      <c r="T13" s="12" t="str">
        <f>"340,9290"</f>
        <v>340,9290</v>
      </c>
      <c r="U13" s="11" t="s">
        <v>114</v>
      </c>
    </row>
    <row r="14" spans="1:21">
      <c r="B14" s="5" t="s">
        <v>21</v>
      </c>
    </row>
    <row r="15" spans="1:21" ht="16">
      <c r="A15" s="33" t="s">
        <v>59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1">
      <c r="A16" s="8" t="s">
        <v>20</v>
      </c>
      <c r="B16" s="7" t="s">
        <v>115</v>
      </c>
      <c r="C16" s="7" t="s">
        <v>116</v>
      </c>
      <c r="D16" s="7" t="s">
        <v>52</v>
      </c>
      <c r="E16" s="7" t="s">
        <v>964</v>
      </c>
      <c r="F16" s="7" t="s">
        <v>917</v>
      </c>
      <c r="G16" s="18" t="s">
        <v>34</v>
      </c>
      <c r="H16" s="18" t="s">
        <v>112</v>
      </c>
      <c r="I16" s="19" t="s">
        <v>36</v>
      </c>
      <c r="J16" s="8"/>
      <c r="K16" s="18" t="s">
        <v>28</v>
      </c>
      <c r="L16" s="18" t="s">
        <v>117</v>
      </c>
      <c r="M16" s="18" t="s">
        <v>118</v>
      </c>
      <c r="N16" s="8"/>
      <c r="O16" s="18" t="s">
        <v>34</v>
      </c>
      <c r="P16" s="18" t="s">
        <v>112</v>
      </c>
      <c r="Q16" s="18" t="s">
        <v>37</v>
      </c>
      <c r="R16" s="8"/>
      <c r="S16" s="29" t="str">
        <f>"372,5"</f>
        <v>372,5</v>
      </c>
      <c r="T16" s="8" t="str">
        <f>"383,8985"</f>
        <v>383,8985</v>
      </c>
      <c r="U16" s="7" t="s">
        <v>119</v>
      </c>
    </row>
    <row r="17" spans="1:21">
      <c r="A17" s="10" t="s">
        <v>45</v>
      </c>
      <c r="B17" s="9" t="s">
        <v>120</v>
      </c>
      <c r="C17" s="9" t="s">
        <v>121</v>
      </c>
      <c r="D17" s="9" t="s">
        <v>122</v>
      </c>
      <c r="E17" s="9" t="s">
        <v>964</v>
      </c>
      <c r="F17" s="9" t="s">
        <v>918</v>
      </c>
      <c r="G17" s="21" t="s">
        <v>29</v>
      </c>
      <c r="H17" s="20" t="s">
        <v>29</v>
      </c>
      <c r="I17" s="20" t="s">
        <v>24</v>
      </c>
      <c r="J17" s="10"/>
      <c r="K17" s="20" t="s">
        <v>123</v>
      </c>
      <c r="L17" s="20" t="s">
        <v>124</v>
      </c>
      <c r="M17" s="21" t="s">
        <v>125</v>
      </c>
      <c r="N17" s="10"/>
      <c r="O17" s="20" t="s">
        <v>25</v>
      </c>
      <c r="P17" s="20" t="s">
        <v>126</v>
      </c>
      <c r="Q17" s="21" t="s">
        <v>84</v>
      </c>
      <c r="R17" s="10"/>
      <c r="S17" s="31" t="str">
        <f>"215,0"</f>
        <v>215,0</v>
      </c>
      <c r="T17" s="10" t="str">
        <f>"219,4290"</f>
        <v>219,4290</v>
      </c>
      <c r="U17" s="9" t="s">
        <v>127</v>
      </c>
    </row>
    <row r="18" spans="1:21">
      <c r="B18" s="5" t="s">
        <v>21</v>
      </c>
    </row>
    <row r="19" spans="1:21" ht="16">
      <c r="A19" s="33" t="s">
        <v>128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21">
      <c r="A20" s="8" t="s">
        <v>20</v>
      </c>
      <c r="B20" s="7" t="s">
        <v>129</v>
      </c>
      <c r="C20" s="7" t="s">
        <v>130</v>
      </c>
      <c r="D20" s="7" t="s">
        <v>131</v>
      </c>
      <c r="E20" s="7" t="s">
        <v>964</v>
      </c>
      <c r="F20" s="7" t="s">
        <v>898</v>
      </c>
      <c r="G20" s="18" t="s">
        <v>132</v>
      </c>
      <c r="H20" s="18" t="s">
        <v>133</v>
      </c>
      <c r="I20" s="19" t="s">
        <v>134</v>
      </c>
      <c r="J20" s="8"/>
      <c r="K20" s="18" t="s">
        <v>38</v>
      </c>
      <c r="L20" s="18" t="s">
        <v>135</v>
      </c>
      <c r="M20" s="19" t="s">
        <v>136</v>
      </c>
      <c r="N20" s="8"/>
      <c r="O20" s="18" t="s">
        <v>137</v>
      </c>
      <c r="P20" s="18" t="s">
        <v>138</v>
      </c>
      <c r="Q20" s="8"/>
      <c r="R20" s="8"/>
      <c r="S20" s="29" t="str">
        <f>"625,0"</f>
        <v>625,0</v>
      </c>
      <c r="T20" s="8" t="str">
        <f>"418,6875"</f>
        <v>418,6875</v>
      </c>
      <c r="U20" s="7" t="s">
        <v>88</v>
      </c>
    </row>
    <row r="21" spans="1:21">
      <c r="A21" s="10" t="s">
        <v>45</v>
      </c>
      <c r="B21" s="9" t="s">
        <v>139</v>
      </c>
      <c r="C21" s="9" t="s">
        <v>140</v>
      </c>
      <c r="D21" s="9" t="s">
        <v>131</v>
      </c>
      <c r="E21" s="9" t="s">
        <v>964</v>
      </c>
      <c r="F21" s="9" t="s">
        <v>919</v>
      </c>
      <c r="G21" s="21" t="s">
        <v>42</v>
      </c>
      <c r="H21" s="20" t="s">
        <v>42</v>
      </c>
      <c r="I21" s="21" t="s">
        <v>132</v>
      </c>
      <c r="J21" s="10"/>
      <c r="K21" s="20" t="s">
        <v>141</v>
      </c>
      <c r="L21" s="21" t="s">
        <v>142</v>
      </c>
      <c r="M21" s="21" t="s">
        <v>55</v>
      </c>
      <c r="N21" s="10"/>
      <c r="O21" s="21" t="s">
        <v>143</v>
      </c>
      <c r="P21" s="20" t="s">
        <v>143</v>
      </c>
      <c r="Q21" s="21" t="s">
        <v>144</v>
      </c>
      <c r="R21" s="10"/>
      <c r="S21" s="31" t="str">
        <f>"515,0"</f>
        <v>515,0</v>
      </c>
      <c r="T21" s="10" t="str">
        <f>"344,9985"</f>
        <v>344,9985</v>
      </c>
      <c r="U21" s="9"/>
    </row>
    <row r="22" spans="1:21">
      <c r="B22" s="5" t="s">
        <v>21</v>
      </c>
    </row>
    <row r="23" spans="1:21" ht="16">
      <c r="A23" s="33" t="s">
        <v>47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21">
      <c r="A24" s="8" t="s">
        <v>20</v>
      </c>
      <c r="B24" s="7" t="s">
        <v>145</v>
      </c>
      <c r="C24" s="7" t="s">
        <v>146</v>
      </c>
      <c r="D24" s="7" t="s">
        <v>147</v>
      </c>
      <c r="E24" s="7" t="s">
        <v>964</v>
      </c>
      <c r="F24" s="7" t="s">
        <v>920</v>
      </c>
      <c r="G24" s="18" t="s">
        <v>148</v>
      </c>
      <c r="H24" s="18" t="s">
        <v>137</v>
      </c>
      <c r="I24" s="18" t="s">
        <v>149</v>
      </c>
      <c r="J24" s="8"/>
      <c r="K24" s="18" t="s">
        <v>150</v>
      </c>
      <c r="L24" s="18" t="s">
        <v>132</v>
      </c>
      <c r="M24" s="19" t="s">
        <v>143</v>
      </c>
      <c r="N24" s="8"/>
      <c r="O24" s="18" t="s">
        <v>151</v>
      </c>
      <c r="P24" s="18" t="s">
        <v>152</v>
      </c>
      <c r="Q24" s="19" t="s">
        <v>153</v>
      </c>
      <c r="R24" s="8"/>
      <c r="S24" s="29" t="str">
        <f>"737,5"</f>
        <v>737,5</v>
      </c>
      <c r="T24" s="8" t="str">
        <f>"472,9588"</f>
        <v>472,9588</v>
      </c>
      <c r="U24" s="7" t="s">
        <v>154</v>
      </c>
    </row>
    <row r="25" spans="1:21">
      <c r="A25" s="25" t="s">
        <v>45</v>
      </c>
      <c r="B25" s="24" t="s">
        <v>155</v>
      </c>
      <c r="C25" s="24" t="s">
        <v>156</v>
      </c>
      <c r="D25" s="24" t="s">
        <v>157</v>
      </c>
      <c r="E25" s="24" t="s">
        <v>964</v>
      </c>
      <c r="F25" s="24" t="s">
        <v>898</v>
      </c>
      <c r="G25" s="26" t="s">
        <v>133</v>
      </c>
      <c r="H25" s="26" t="s">
        <v>144</v>
      </c>
      <c r="I25" s="27" t="s">
        <v>158</v>
      </c>
      <c r="J25" s="25"/>
      <c r="K25" s="26" t="s">
        <v>36</v>
      </c>
      <c r="L25" s="27" t="s">
        <v>113</v>
      </c>
      <c r="M25" s="27" t="s">
        <v>113</v>
      </c>
      <c r="N25" s="25"/>
      <c r="O25" s="26" t="s">
        <v>159</v>
      </c>
      <c r="P25" s="27" t="s">
        <v>138</v>
      </c>
      <c r="Q25" s="25"/>
      <c r="R25" s="25"/>
      <c r="S25" s="30" t="str">
        <f>"610,0"</f>
        <v>610,0</v>
      </c>
      <c r="T25" s="25" t="str">
        <f>"398,9400"</f>
        <v>398,9400</v>
      </c>
      <c r="U25" s="24" t="s">
        <v>160</v>
      </c>
    </row>
    <row r="26" spans="1:21">
      <c r="A26" s="10" t="s">
        <v>213</v>
      </c>
      <c r="B26" s="9" t="s">
        <v>161</v>
      </c>
      <c r="C26" s="9" t="s">
        <v>162</v>
      </c>
      <c r="D26" s="9" t="s">
        <v>163</v>
      </c>
      <c r="E26" s="9" t="s">
        <v>964</v>
      </c>
      <c r="F26" s="9" t="s">
        <v>921</v>
      </c>
      <c r="G26" s="20" t="s">
        <v>41</v>
      </c>
      <c r="H26" s="21" t="s">
        <v>42</v>
      </c>
      <c r="I26" s="20" t="s">
        <v>42</v>
      </c>
      <c r="J26" s="10"/>
      <c r="K26" s="20" t="s">
        <v>164</v>
      </c>
      <c r="L26" s="20" t="s">
        <v>36</v>
      </c>
      <c r="M26" s="21" t="s">
        <v>113</v>
      </c>
      <c r="N26" s="10"/>
      <c r="O26" s="20" t="s">
        <v>42</v>
      </c>
      <c r="P26" s="20" t="s">
        <v>132</v>
      </c>
      <c r="Q26" s="10"/>
      <c r="R26" s="10"/>
      <c r="S26" s="31" t="str">
        <f>"540,0"</f>
        <v>540,0</v>
      </c>
      <c r="T26" s="10" t="str">
        <f>"348,5700"</f>
        <v>348,5700</v>
      </c>
      <c r="U26" s="9" t="s">
        <v>165</v>
      </c>
    </row>
    <row r="27" spans="1:21">
      <c r="B27" s="5" t="s">
        <v>21</v>
      </c>
    </row>
    <row r="28" spans="1:21" ht="16">
      <c r="A28" s="33" t="s">
        <v>6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21">
      <c r="A29" s="8" t="s">
        <v>20</v>
      </c>
      <c r="B29" s="7" t="s">
        <v>166</v>
      </c>
      <c r="C29" s="7" t="s">
        <v>167</v>
      </c>
      <c r="D29" s="7" t="s">
        <v>168</v>
      </c>
      <c r="E29" s="7" t="s">
        <v>964</v>
      </c>
      <c r="F29" s="7" t="s">
        <v>898</v>
      </c>
      <c r="G29" s="18" t="s">
        <v>169</v>
      </c>
      <c r="H29" s="18" t="s">
        <v>170</v>
      </c>
      <c r="I29" s="19" t="s">
        <v>171</v>
      </c>
      <c r="J29" s="8"/>
      <c r="K29" s="18" t="s">
        <v>133</v>
      </c>
      <c r="L29" s="18" t="s">
        <v>172</v>
      </c>
      <c r="M29" s="19" t="s">
        <v>144</v>
      </c>
      <c r="N29" s="8"/>
      <c r="O29" s="19" t="s">
        <v>173</v>
      </c>
      <c r="P29" s="19" t="s">
        <v>173</v>
      </c>
      <c r="Q29" s="18" t="s">
        <v>173</v>
      </c>
      <c r="R29" s="8"/>
      <c r="S29" s="29" t="str">
        <f>"870,0"</f>
        <v>870,0</v>
      </c>
      <c r="T29" s="8" t="str">
        <f>"533,6580"</f>
        <v>533,6580</v>
      </c>
      <c r="U29" s="7"/>
    </row>
    <row r="30" spans="1:21">
      <c r="A30" s="25" t="s">
        <v>45</v>
      </c>
      <c r="B30" s="24" t="s">
        <v>174</v>
      </c>
      <c r="C30" s="24" t="s">
        <v>175</v>
      </c>
      <c r="D30" s="24" t="s">
        <v>176</v>
      </c>
      <c r="E30" s="24" t="s">
        <v>964</v>
      </c>
      <c r="F30" s="24" t="s">
        <v>898</v>
      </c>
      <c r="G30" s="26" t="s">
        <v>177</v>
      </c>
      <c r="H30" s="26" t="s">
        <v>178</v>
      </c>
      <c r="I30" s="26" t="s">
        <v>151</v>
      </c>
      <c r="J30" s="25"/>
      <c r="K30" s="26" t="s">
        <v>42</v>
      </c>
      <c r="L30" s="27" t="s">
        <v>132</v>
      </c>
      <c r="M30" s="26" t="s">
        <v>132</v>
      </c>
      <c r="N30" s="25"/>
      <c r="O30" s="26" t="s">
        <v>153</v>
      </c>
      <c r="P30" s="27" t="s">
        <v>169</v>
      </c>
      <c r="Q30" s="27" t="s">
        <v>169</v>
      </c>
      <c r="R30" s="25"/>
      <c r="S30" s="30" t="str">
        <f>"775,0"</f>
        <v>775,0</v>
      </c>
      <c r="T30" s="25" t="str">
        <f>"472,8275"</f>
        <v>472,8275</v>
      </c>
      <c r="U30" s="24" t="s">
        <v>179</v>
      </c>
    </row>
    <row r="31" spans="1:21">
      <c r="A31" s="25" t="s">
        <v>213</v>
      </c>
      <c r="B31" s="24" t="s">
        <v>180</v>
      </c>
      <c r="C31" s="24" t="s">
        <v>181</v>
      </c>
      <c r="D31" s="24" t="s">
        <v>182</v>
      </c>
      <c r="E31" s="24" t="s">
        <v>964</v>
      </c>
      <c r="F31" s="24" t="s">
        <v>922</v>
      </c>
      <c r="G31" s="26" t="s">
        <v>183</v>
      </c>
      <c r="H31" s="26" t="s">
        <v>151</v>
      </c>
      <c r="I31" s="26" t="s">
        <v>184</v>
      </c>
      <c r="J31" s="25"/>
      <c r="K31" s="26" t="s">
        <v>72</v>
      </c>
      <c r="L31" s="26" t="s">
        <v>41</v>
      </c>
      <c r="M31" s="27" t="s">
        <v>185</v>
      </c>
      <c r="N31" s="25"/>
      <c r="O31" s="26" t="s">
        <v>169</v>
      </c>
      <c r="P31" s="27" t="s">
        <v>186</v>
      </c>
      <c r="Q31" s="27" t="s">
        <v>186</v>
      </c>
      <c r="R31" s="25"/>
      <c r="S31" s="30" t="str">
        <f>"772,5"</f>
        <v>772,5</v>
      </c>
      <c r="T31" s="25" t="str">
        <f>"471,6885"</f>
        <v>471,6885</v>
      </c>
      <c r="U31" s="24" t="s">
        <v>179</v>
      </c>
    </row>
    <row r="32" spans="1:21">
      <c r="A32" s="25" t="s">
        <v>20</v>
      </c>
      <c r="B32" s="24" t="s">
        <v>187</v>
      </c>
      <c r="C32" s="24" t="s">
        <v>188</v>
      </c>
      <c r="D32" s="24" t="s">
        <v>189</v>
      </c>
      <c r="E32" s="24" t="s">
        <v>969</v>
      </c>
      <c r="F32" s="24" t="s">
        <v>898</v>
      </c>
      <c r="G32" s="26" t="s">
        <v>144</v>
      </c>
      <c r="H32" s="26" t="s">
        <v>190</v>
      </c>
      <c r="I32" s="26" t="s">
        <v>191</v>
      </c>
      <c r="J32" s="25"/>
      <c r="K32" s="26" t="s">
        <v>164</v>
      </c>
      <c r="L32" s="26" t="s">
        <v>36</v>
      </c>
      <c r="M32" s="26" t="s">
        <v>192</v>
      </c>
      <c r="N32" s="25"/>
      <c r="O32" s="26" t="s">
        <v>158</v>
      </c>
      <c r="P32" s="26" t="s">
        <v>159</v>
      </c>
      <c r="Q32" s="26" t="s">
        <v>149</v>
      </c>
      <c r="R32" s="25"/>
      <c r="S32" s="30" t="str">
        <f>"630,0"</f>
        <v>630,0</v>
      </c>
      <c r="T32" s="25" t="str">
        <f>"451,7322"</f>
        <v>451,7322</v>
      </c>
      <c r="U32" s="24" t="s">
        <v>193</v>
      </c>
    </row>
    <row r="33" spans="1:21">
      <c r="A33" s="10" t="s">
        <v>45</v>
      </c>
      <c r="B33" s="9" t="s">
        <v>194</v>
      </c>
      <c r="C33" s="9" t="s">
        <v>195</v>
      </c>
      <c r="D33" s="9" t="s">
        <v>196</v>
      </c>
      <c r="E33" s="9" t="s">
        <v>969</v>
      </c>
      <c r="F33" s="9" t="s">
        <v>923</v>
      </c>
      <c r="G33" s="20" t="s">
        <v>40</v>
      </c>
      <c r="H33" s="20" t="s">
        <v>41</v>
      </c>
      <c r="I33" s="20" t="s">
        <v>197</v>
      </c>
      <c r="J33" s="10"/>
      <c r="K33" s="20" t="s">
        <v>142</v>
      </c>
      <c r="L33" s="21" t="s">
        <v>34</v>
      </c>
      <c r="M33" s="21" t="s">
        <v>34</v>
      </c>
      <c r="N33" s="10"/>
      <c r="O33" s="21" t="s">
        <v>132</v>
      </c>
      <c r="P33" s="20" t="s">
        <v>132</v>
      </c>
      <c r="Q33" s="21" t="s">
        <v>133</v>
      </c>
      <c r="R33" s="10"/>
      <c r="S33" s="31" t="str">
        <f>"505,0"</f>
        <v>505,0</v>
      </c>
      <c r="T33" s="10" t="str">
        <f>"372,2480"</f>
        <v>372,2480</v>
      </c>
      <c r="U33" s="9"/>
    </row>
    <row r="34" spans="1:21">
      <c r="B34" s="5" t="s">
        <v>21</v>
      </c>
    </row>
    <row r="35" spans="1:21" ht="16">
      <c r="A35" s="33" t="s">
        <v>7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21">
      <c r="A36" s="12" t="s">
        <v>20</v>
      </c>
      <c r="B36" s="11" t="s">
        <v>198</v>
      </c>
      <c r="C36" s="11" t="s">
        <v>199</v>
      </c>
      <c r="D36" s="11" t="s">
        <v>200</v>
      </c>
      <c r="E36" s="11" t="s">
        <v>964</v>
      </c>
      <c r="F36" s="11" t="s">
        <v>898</v>
      </c>
      <c r="G36" s="22" t="s">
        <v>158</v>
      </c>
      <c r="H36" s="22" t="s">
        <v>159</v>
      </c>
      <c r="I36" s="22" t="s">
        <v>138</v>
      </c>
      <c r="J36" s="12"/>
      <c r="K36" s="22" t="s">
        <v>72</v>
      </c>
      <c r="L36" s="23" t="s">
        <v>197</v>
      </c>
      <c r="M36" s="23" t="s">
        <v>197</v>
      </c>
      <c r="N36" s="12"/>
      <c r="O36" s="22" t="s">
        <v>138</v>
      </c>
      <c r="P36" s="22" t="s">
        <v>177</v>
      </c>
      <c r="Q36" s="22" t="s">
        <v>178</v>
      </c>
      <c r="R36" s="12"/>
      <c r="S36" s="32" t="str">
        <f>"695,0"</f>
        <v>695,0</v>
      </c>
      <c r="T36" s="12" t="str">
        <f>"412,4825"</f>
        <v>412,4825</v>
      </c>
      <c r="U36" s="11"/>
    </row>
    <row r="37" spans="1:21">
      <c r="B37" s="5" t="s">
        <v>21</v>
      </c>
    </row>
    <row r="38" spans="1:21" ht="16">
      <c r="A38" s="33" t="s">
        <v>201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21">
      <c r="A39" s="12" t="s">
        <v>214</v>
      </c>
      <c r="B39" s="11" t="s">
        <v>202</v>
      </c>
      <c r="C39" s="11" t="s">
        <v>203</v>
      </c>
      <c r="D39" s="11" t="s">
        <v>204</v>
      </c>
      <c r="E39" s="11" t="s">
        <v>964</v>
      </c>
      <c r="F39" s="11" t="s">
        <v>900</v>
      </c>
      <c r="G39" s="23" t="s">
        <v>158</v>
      </c>
      <c r="H39" s="23" t="s">
        <v>158</v>
      </c>
      <c r="I39" s="23" t="s">
        <v>158</v>
      </c>
      <c r="J39" s="12"/>
      <c r="K39" s="23"/>
      <c r="L39" s="12"/>
      <c r="M39" s="12"/>
      <c r="N39" s="12"/>
      <c r="O39" s="23"/>
      <c r="P39" s="12"/>
      <c r="Q39" s="12"/>
      <c r="R39" s="12"/>
      <c r="S39" s="32">
        <v>0</v>
      </c>
      <c r="T39" s="12" t="str">
        <f>"0,0000"</f>
        <v>0,0000</v>
      </c>
      <c r="U39" s="11" t="s">
        <v>179</v>
      </c>
    </row>
    <row r="40" spans="1:21">
      <c r="B40" s="5" t="s">
        <v>21</v>
      </c>
    </row>
    <row r="41" spans="1:21">
      <c r="B41" s="5" t="s">
        <v>21</v>
      </c>
    </row>
    <row r="42" spans="1:21">
      <c r="B42" s="5" t="s">
        <v>21</v>
      </c>
    </row>
    <row r="43" spans="1:21" ht="18">
      <c r="B43" s="13" t="s">
        <v>8</v>
      </c>
      <c r="C43" s="13"/>
      <c r="F43" s="3"/>
    </row>
    <row r="44" spans="1:21" ht="16">
      <c r="B44" s="14" t="s">
        <v>9</v>
      </c>
      <c r="C44" s="14"/>
      <c r="F44" s="3"/>
    </row>
    <row r="45" spans="1:21" ht="14">
      <c r="B45" s="15"/>
      <c r="C45" s="16" t="s">
        <v>16</v>
      </c>
      <c r="F45" s="3"/>
    </row>
    <row r="46" spans="1:21" ht="14">
      <c r="B46" s="17" t="s">
        <v>10</v>
      </c>
      <c r="C46" s="17" t="s">
        <v>11</v>
      </c>
      <c r="D46" s="17" t="s">
        <v>880</v>
      </c>
      <c r="E46" s="17" t="s">
        <v>12</v>
      </c>
      <c r="F46" s="17" t="s">
        <v>77</v>
      </c>
    </row>
    <row r="47" spans="1:21">
      <c r="B47" s="5" t="s">
        <v>166</v>
      </c>
      <c r="C47" s="5" t="s">
        <v>16</v>
      </c>
      <c r="D47" s="6" t="s">
        <v>15</v>
      </c>
      <c r="E47" s="6" t="s">
        <v>206</v>
      </c>
      <c r="F47" s="6" t="s">
        <v>207</v>
      </c>
    </row>
    <row r="48" spans="1:21">
      <c r="B48" s="5" t="s">
        <v>145</v>
      </c>
      <c r="C48" s="5" t="s">
        <v>16</v>
      </c>
      <c r="D48" s="6" t="s">
        <v>50</v>
      </c>
      <c r="E48" s="6" t="s">
        <v>208</v>
      </c>
      <c r="F48" s="6" t="s">
        <v>209</v>
      </c>
    </row>
    <row r="49" spans="2:6">
      <c r="B49" s="5" t="s">
        <v>174</v>
      </c>
      <c r="C49" s="5" t="s">
        <v>16</v>
      </c>
      <c r="D49" s="6" t="s">
        <v>15</v>
      </c>
      <c r="E49" s="6" t="s">
        <v>210</v>
      </c>
      <c r="F49" s="6" t="s">
        <v>211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5:R35"/>
    <mergeCell ref="A38:R38"/>
    <mergeCell ref="B3:B4"/>
    <mergeCell ref="A8:R8"/>
    <mergeCell ref="A12:R12"/>
    <mergeCell ref="A15:R15"/>
    <mergeCell ref="A19:R19"/>
    <mergeCell ref="A23:R23"/>
    <mergeCell ref="A28:R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2349E-0005-4DB8-8C6C-B41D352E6479}"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2.83203125" style="5" customWidth="1"/>
    <col min="3" max="3" width="26.5" style="5" bestFit="1" customWidth="1"/>
    <col min="4" max="4" width="20.83203125" style="5" bestFit="1" customWidth="1"/>
    <col min="5" max="5" width="10.1640625" style="5" bestFit="1" customWidth="1"/>
    <col min="6" max="6" width="24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45" t="s">
        <v>864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56</v>
      </c>
      <c r="H3" s="39"/>
      <c r="I3" s="39"/>
      <c r="J3" s="39"/>
      <c r="K3" s="39" t="s">
        <v>57</v>
      </c>
      <c r="L3" s="39"/>
      <c r="M3" s="39"/>
      <c r="N3" s="39"/>
      <c r="O3" s="39" t="s">
        <v>58</v>
      </c>
      <c r="P3" s="39"/>
      <c r="Q3" s="39"/>
      <c r="R3" s="39"/>
      <c r="S3" s="39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0"/>
      <c r="T4" s="40"/>
      <c r="U4" s="42"/>
    </row>
    <row r="5" spans="1:21" ht="16">
      <c r="A5" s="43" t="s">
        <v>59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12" t="s">
        <v>20</v>
      </c>
      <c r="B6" s="11" t="s">
        <v>60</v>
      </c>
      <c r="C6" s="11" t="s">
        <v>61</v>
      </c>
      <c r="D6" s="11" t="s">
        <v>62</v>
      </c>
      <c r="E6" s="11" t="s">
        <v>966</v>
      </c>
      <c r="F6" s="11" t="s">
        <v>898</v>
      </c>
      <c r="G6" s="22" t="s">
        <v>63</v>
      </c>
      <c r="H6" s="23" t="s">
        <v>64</v>
      </c>
      <c r="I6" s="23" t="s">
        <v>64</v>
      </c>
      <c r="J6" s="12"/>
      <c r="K6" s="22" t="s">
        <v>65</v>
      </c>
      <c r="L6" s="22" t="s">
        <v>66</v>
      </c>
      <c r="M6" s="23" t="s">
        <v>29</v>
      </c>
      <c r="N6" s="12"/>
      <c r="O6" s="22" t="s">
        <v>34</v>
      </c>
      <c r="P6" s="22" t="s">
        <v>67</v>
      </c>
      <c r="Q6" s="12"/>
      <c r="R6" s="12"/>
      <c r="S6" s="12" t="str">
        <f>"325,0"</f>
        <v>325,0</v>
      </c>
      <c r="T6" s="12" t="str">
        <f>"273,0650"</f>
        <v>273,0650</v>
      </c>
      <c r="U6" s="11" t="s">
        <v>68</v>
      </c>
    </row>
    <row r="7" spans="1:21">
      <c r="B7" s="5" t="s">
        <v>21</v>
      </c>
    </row>
    <row r="8" spans="1:21" ht="16">
      <c r="A8" s="33" t="s">
        <v>6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21">
      <c r="A9" s="12" t="s">
        <v>20</v>
      </c>
      <c r="B9" s="11" t="s">
        <v>69</v>
      </c>
      <c r="C9" s="11" t="s">
        <v>70</v>
      </c>
      <c r="D9" s="11" t="s">
        <v>71</v>
      </c>
      <c r="E9" s="11" t="s">
        <v>964</v>
      </c>
      <c r="F9" s="11" t="s">
        <v>898</v>
      </c>
      <c r="G9" s="23" t="s">
        <v>72</v>
      </c>
      <c r="H9" s="22" t="s">
        <v>41</v>
      </c>
      <c r="I9" s="23" t="s">
        <v>73</v>
      </c>
      <c r="J9" s="12"/>
      <c r="K9" s="22" t="s">
        <v>74</v>
      </c>
      <c r="L9" s="22" t="s">
        <v>35</v>
      </c>
      <c r="M9" s="23" t="s">
        <v>36</v>
      </c>
      <c r="N9" s="12"/>
      <c r="O9" s="22" t="s">
        <v>42</v>
      </c>
      <c r="P9" s="22" t="s">
        <v>75</v>
      </c>
      <c r="Q9" s="23" t="s">
        <v>76</v>
      </c>
      <c r="R9" s="12"/>
      <c r="S9" s="12" t="str">
        <f>"540,0"</f>
        <v>540,0</v>
      </c>
      <c r="T9" s="12" t="str">
        <f>"329,8320"</f>
        <v>329,8320</v>
      </c>
      <c r="U9" s="11"/>
    </row>
    <row r="10" spans="1:21">
      <c r="B10" s="5" t="s">
        <v>21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1D74-A570-4129-84E1-6F337801F5EC}">
  <dimension ref="A1:Q33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3.83203125" style="5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2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28" bestFit="1" customWidth="1"/>
    <col min="16" max="16" width="8.5" style="6" bestFit="1" customWidth="1"/>
    <col min="17" max="17" width="26" style="5" customWidth="1"/>
    <col min="18" max="16384" width="9.1640625" style="3"/>
  </cols>
  <sheetData>
    <row r="1" spans="1:17" s="2" customFormat="1" ht="29" customHeight="1">
      <c r="A1" s="45" t="s">
        <v>865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58</v>
      </c>
      <c r="L3" s="39"/>
      <c r="M3" s="39"/>
      <c r="N3" s="39"/>
      <c r="O3" s="37" t="s">
        <v>1</v>
      </c>
      <c r="P3" s="39" t="s">
        <v>3</v>
      </c>
      <c r="Q3" s="41" t="s">
        <v>2</v>
      </c>
    </row>
    <row r="4" spans="1:17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8"/>
      <c r="P4" s="40"/>
      <c r="Q4" s="42"/>
    </row>
    <row r="5" spans="1:17" ht="16">
      <c r="A5" s="43" t="s">
        <v>107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>
      <c r="A6" s="8" t="s">
        <v>20</v>
      </c>
      <c r="B6" s="7" t="s">
        <v>790</v>
      </c>
      <c r="C6" s="7" t="s">
        <v>791</v>
      </c>
      <c r="D6" s="7" t="s">
        <v>792</v>
      </c>
      <c r="E6" s="7" t="s">
        <v>967</v>
      </c>
      <c r="F6" s="7" t="s">
        <v>924</v>
      </c>
      <c r="G6" s="18" t="s">
        <v>54</v>
      </c>
      <c r="H6" s="19" t="s">
        <v>86</v>
      </c>
      <c r="I6" s="18" t="s">
        <v>86</v>
      </c>
      <c r="J6" s="8"/>
      <c r="K6" s="18" t="s">
        <v>63</v>
      </c>
      <c r="L6" s="18" t="s">
        <v>142</v>
      </c>
      <c r="M6" s="18" t="s">
        <v>55</v>
      </c>
      <c r="N6" s="8"/>
      <c r="O6" s="29" t="str">
        <f>"180,0"</f>
        <v>180,0</v>
      </c>
      <c r="P6" s="8" t="str">
        <f>"203,3100"</f>
        <v>203,3100</v>
      </c>
      <c r="Q6" s="7" t="s">
        <v>793</v>
      </c>
    </row>
    <row r="7" spans="1:17">
      <c r="A7" s="25" t="s">
        <v>20</v>
      </c>
      <c r="B7" s="24" t="s">
        <v>250</v>
      </c>
      <c r="C7" s="24" t="s">
        <v>251</v>
      </c>
      <c r="D7" s="24" t="s">
        <v>252</v>
      </c>
      <c r="E7" s="24" t="s">
        <v>964</v>
      </c>
      <c r="F7" s="24" t="s">
        <v>898</v>
      </c>
      <c r="G7" s="26" t="s">
        <v>53</v>
      </c>
      <c r="H7" s="26" t="s">
        <v>48</v>
      </c>
      <c r="I7" s="27" t="s">
        <v>54</v>
      </c>
      <c r="J7" s="25"/>
      <c r="K7" s="26" t="s">
        <v>105</v>
      </c>
      <c r="L7" s="26" t="s">
        <v>63</v>
      </c>
      <c r="M7" s="27" t="s">
        <v>142</v>
      </c>
      <c r="N7" s="25"/>
      <c r="O7" s="30" t="str">
        <f>"165,0"</f>
        <v>165,0</v>
      </c>
      <c r="P7" s="25" t="str">
        <f>"188,1165"</f>
        <v>188,1165</v>
      </c>
      <c r="Q7" s="24" t="s">
        <v>253</v>
      </c>
    </row>
    <row r="8" spans="1:17">
      <c r="A8" s="25" t="s">
        <v>45</v>
      </c>
      <c r="B8" s="24" t="s">
        <v>496</v>
      </c>
      <c r="C8" s="24" t="s">
        <v>794</v>
      </c>
      <c r="D8" s="24" t="s">
        <v>252</v>
      </c>
      <c r="E8" s="24" t="s">
        <v>964</v>
      </c>
      <c r="F8" s="24" t="s">
        <v>910</v>
      </c>
      <c r="G8" s="26" t="s">
        <v>125</v>
      </c>
      <c r="H8" s="26" t="s">
        <v>53</v>
      </c>
      <c r="I8" s="26" t="s">
        <v>104</v>
      </c>
      <c r="J8" s="25"/>
      <c r="K8" s="26" t="s">
        <v>25</v>
      </c>
      <c r="L8" s="26" t="s">
        <v>111</v>
      </c>
      <c r="M8" s="26" t="s">
        <v>84</v>
      </c>
      <c r="N8" s="25"/>
      <c r="O8" s="30" t="str">
        <f>"152,5"</f>
        <v>152,5</v>
      </c>
      <c r="P8" s="25" t="str">
        <f>"173,8653"</f>
        <v>173,8653</v>
      </c>
      <c r="Q8" s="24" t="s">
        <v>498</v>
      </c>
    </row>
    <row r="9" spans="1:17">
      <c r="A9" s="10" t="s">
        <v>213</v>
      </c>
      <c r="B9" s="9" t="s">
        <v>795</v>
      </c>
      <c r="C9" s="9" t="s">
        <v>796</v>
      </c>
      <c r="D9" s="9" t="s">
        <v>792</v>
      </c>
      <c r="E9" s="9" t="s">
        <v>964</v>
      </c>
      <c r="F9" s="9" t="s">
        <v>925</v>
      </c>
      <c r="G9" s="20" t="s">
        <v>125</v>
      </c>
      <c r="H9" s="20" t="s">
        <v>53</v>
      </c>
      <c r="I9" s="21" t="s">
        <v>104</v>
      </c>
      <c r="J9" s="10"/>
      <c r="K9" s="20" t="s">
        <v>218</v>
      </c>
      <c r="L9" s="20" t="s">
        <v>97</v>
      </c>
      <c r="M9" s="20" t="s">
        <v>84</v>
      </c>
      <c r="N9" s="10"/>
      <c r="O9" s="31" t="str">
        <f>"150,0"</f>
        <v>150,0</v>
      </c>
      <c r="P9" s="10" t="str">
        <f>"169,4250"</f>
        <v>169,4250</v>
      </c>
      <c r="Q9" s="9" t="s">
        <v>797</v>
      </c>
    </row>
    <row r="10" spans="1:17">
      <c r="B10" s="5" t="s">
        <v>21</v>
      </c>
    </row>
    <row r="11" spans="1:17" ht="16">
      <c r="A11" s="33" t="s">
        <v>59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7">
      <c r="A12" s="12" t="s">
        <v>20</v>
      </c>
      <c r="B12" s="11" t="s">
        <v>798</v>
      </c>
      <c r="C12" s="11" t="s">
        <v>799</v>
      </c>
      <c r="D12" s="11" t="s">
        <v>777</v>
      </c>
      <c r="E12" s="11" t="s">
        <v>965</v>
      </c>
      <c r="F12" s="11" t="s">
        <v>898</v>
      </c>
      <c r="G12" s="22" t="s">
        <v>48</v>
      </c>
      <c r="H12" s="22" t="s">
        <v>86</v>
      </c>
      <c r="I12" s="22" t="s">
        <v>95</v>
      </c>
      <c r="J12" s="12"/>
      <c r="K12" s="22" t="s">
        <v>49</v>
      </c>
      <c r="L12" s="22" t="s">
        <v>28</v>
      </c>
      <c r="M12" s="22" t="s">
        <v>24</v>
      </c>
      <c r="N12" s="12"/>
      <c r="O12" s="32" t="str">
        <f>"137,5"</f>
        <v>137,5</v>
      </c>
      <c r="P12" s="12" t="str">
        <f>"144,7463"</f>
        <v>144,7463</v>
      </c>
      <c r="Q12" s="11" t="s">
        <v>800</v>
      </c>
    </row>
    <row r="13" spans="1:17">
      <c r="B13" s="5" t="s">
        <v>21</v>
      </c>
    </row>
    <row r="14" spans="1:17" ht="16">
      <c r="A14" s="33" t="s">
        <v>22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7">
      <c r="A15" s="12" t="s">
        <v>20</v>
      </c>
      <c r="B15" s="11" t="s">
        <v>26</v>
      </c>
      <c r="C15" s="11" t="s">
        <v>801</v>
      </c>
      <c r="D15" s="11" t="s">
        <v>27</v>
      </c>
      <c r="E15" s="11" t="s">
        <v>965</v>
      </c>
      <c r="F15" s="11" t="s">
        <v>926</v>
      </c>
      <c r="G15" s="22" t="s">
        <v>125</v>
      </c>
      <c r="H15" s="22" t="s">
        <v>53</v>
      </c>
      <c r="I15" s="23" t="s">
        <v>104</v>
      </c>
      <c r="J15" s="12"/>
      <c r="K15" s="22" t="s">
        <v>218</v>
      </c>
      <c r="L15" s="22" t="s">
        <v>111</v>
      </c>
      <c r="M15" s="22" t="s">
        <v>84</v>
      </c>
      <c r="N15" s="12"/>
      <c r="O15" s="32" t="str">
        <f>"150,0"</f>
        <v>150,0</v>
      </c>
      <c r="P15" s="12" t="str">
        <f>"155,7857"</f>
        <v>155,7857</v>
      </c>
      <c r="Q15" s="11" t="s">
        <v>30</v>
      </c>
    </row>
    <row r="16" spans="1:17">
      <c r="B16" s="5" t="s">
        <v>21</v>
      </c>
    </row>
    <row r="17" spans="1:17" ht="16">
      <c r="A17" s="33" t="s">
        <v>59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7">
      <c r="A18" s="12" t="s">
        <v>20</v>
      </c>
      <c r="B18" s="11" t="s">
        <v>802</v>
      </c>
      <c r="C18" s="11" t="s">
        <v>803</v>
      </c>
      <c r="D18" s="11" t="s">
        <v>804</v>
      </c>
      <c r="E18" s="11" t="s">
        <v>964</v>
      </c>
      <c r="F18" s="11" t="s">
        <v>898</v>
      </c>
      <c r="G18" s="22" t="s">
        <v>23</v>
      </c>
      <c r="H18" s="23" t="s">
        <v>66</v>
      </c>
      <c r="I18" s="23" t="s">
        <v>66</v>
      </c>
      <c r="J18" s="12"/>
      <c r="K18" s="22" t="s">
        <v>24</v>
      </c>
      <c r="L18" s="22" t="s">
        <v>25</v>
      </c>
      <c r="M18" s="22" t="s">
        <v>111</v>
      </c>
      <c r="N18" s="12"/>
      <c r="O18" s="32" t="str">
        <f>"165,0"</f>
        <v>165,0</v>
      </c>
      <c r="P18" s="12" t="str">
        <f>"133,2870"</f>
        <v>133,2870</v>
      </c>
      <c r="Q18" s="11" t="s">
        <v>317</v>
      </c>
    </row>
    <row r="19" spans="1:17">
      <c r="B19" s="5" t="s">
        <v>21</v>
      </c>
    </row>
    <row r="20" spans="1:17" ht="16">
      <c r="A20" s="33" t="s">
        <v>128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7">
      <c r="A21" s="8" t="s">
        <v>20</v>
      </c>
      <c r="B21" s="7" t="s">
        <v>575</v>
      </c>
      <c r="C21" s="7" t="s">
        <v>576</v>
      </c>
      <c r="D21" s="7" t="s">
        <v>577</v>
      </c>
      <c r="E21" s="7" t="s">
        <v>964</v>
      </c>
      <c r="F21" s="7" t="s">
        <v>898</v>
      </c>
      <c r="G21" s="19" t="s">
        <v>55</v>
      </c>
      <c r="H21" s="19" t="s">
        <v>55</v>
      </c>
      <c r="I21" s="18" t="s">
        <v>55</v>
      </c>
      <c r="J21" s="8"/>
      <c r="K21" s="18" t="s">
        <v>135</v>
      </c>
      <c r="L21" s="18" t="s">
        <v>72</v>
      </c>
      <c r="M21" s="18" t="s">
        <v>42</v>
      </c>
      <c r="N21" s="8"/>
      <c r="O21" s="29" t="str">
        <f>"315,0"</f>
        <v>315,0</v>
      </c>
      <c r="P21" s="8" t="str">
        <f>"218,5785"</f>
        <v>218,5785</v>
      </c>
      <c r="Q21" s="7" t="s">
        <v>261</v>
      </c>
    </row>
    <row r="22" spans="1:17">
      <c r="A22" s="10" t="s">
        <v>20</v>
      </c>
      <c r="B22" s="9" t="s">
        <v>575</v>
      </c>
      <c r="C22" s="9" t="s">
        <v>583</v>
      </c>
      <c r="D22" s="9" t="s">
        <v>577</v>
      </c>
      <c r="E22" s="9" t="s">
        <v>965</v>
      </c>
      <c r="F22" s="9" t="s">
        <v>898</v>
      </c>
      <c r="G22" s="21" t="s">
        <v>55</v>
      </c>
      <c r="H22" s="21" t="s">
        <v>55</v>
      </c>
      <c r="I22" s="20" t="s">
        <v>55</v>
      </c>
      <c r="J22" s="10"/>
      <c r="K22" s="20" t="s">
        <v>135</v>
      </c>
      <c r="L22" s="20" t="s">
        <v>72</v>
      </c>
      <c r="M22" s="20" t="s">
        <v>42</v>
      </c>
      <c r="N22" s="10"/>
      <c r="O22" s="31" t="str">
        <f>"315,0"</f>
        <v>315,0</v>
      </c>
      <c r="P22" s="10" t="str">
        <f>"218,5785"</f>
        <v>218,5785</v>
      </c>
      <c r="Q22" s="9" t="s">
        <v>261</v>
      </c>
    </row>
    <row r="23" spans="1:17">
      <c r="B23" s="5" t="s">
        <v>21</v>
      </c>
    </row>
    <row r="24" spans="1:17" ht="16">
      <c r="A24" s="33" t="s">
        <v>47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7">
      <c r="A25" s="8" t="s">
        <v>20</v>
      </c>
      <c r="B25" s="7" t="s">
        <v>805</v>
      </c>
      <c r="C25" s="7" t="s">
        <v>806</v>
      </c>
      <c r="D25" s="7" t="s">
        <v>323</v>
      </c>
      <c r="E25" s="7" t="s">
        <v>964</v>
      </c>
      <c r="F25" s="7" t="s">
        <v>927</v>
      </c>
      <c r="G25" s="18" t="s">
        <v>111</v>
      </c>
      <c r="H25" s="18" t="s">
        <v>63</v>
      </c>
      <c r="I25" s="19" t="s">
        <v>64</v>
      </c>
      <c r="J25" s="8"/>
      <c r="K25" s="18" t="s">
        <v>39</v>
      </c>
      <c r="L25" s="19" t="s">
        <v>40</v>
      </c>
      <c r="M25" s="18" t="s">
        <v>40</v>
      </c>
      <c r="N25" s="8"/>
      <c r="O25" s="29" t="str">
        <f>"285,0"</f>
        <v>285,0</v>
      </c>
      <c r="P25" s="8" t="str">
        <f>"185,4495"</f>
        <v>185,4495</v>
      </c>
      <c r="Q25" s="7" t="s">
        <v>317</v>
      </c>
    </row>
    <row r="26" spans="1:17">
      <c r="A26" s="25" t="s">
        <v>214</v>
      </c>
      <c r="B26" s="24" t="s">
        <v>807</v>
      </c>
      <c r="C26" s="24" t="s">
        <v>808</v>
      </c>
      <c r="D26" s="24" t="s">
        <v>163</v>
      </c>
      <c r="E26" s="24" t="s">
        <v>964</v>
      </c>
      <c r="F26" s="24" t="s">
        <v>898</v>
      </c>
      <c r="G26" s="27" t="s">
        <v>63</v>
      </c>
      <c r="H26" s="26" t="s">
        <v>142</v>
      </c>
      <c r="I26" s="27" t="s">
        <v>64</v>
      </c>
      <c r="J26" s="25"/>
      <c r="K26" s="27" t="s">
        <v>132</v>
      </c>
      <c r="L26" s="27" t="s">
        <v>288</v>
      </c>
      <c r="M26" s="27" t="s">
        <v>288</v>
      </c>
      <c r="N26" s="25"/>
      <c r="O26" s="30">
        <v>0</v>
      </c>
      <c r="P26" s="25" t="str">
        <f>"0,0000"</f>
        <v>0,0000</v>
      </c>
      <c r="Q26" s="24"/>
    </row>
    <row r="27" spans="1:17">
      <c r="A27" s="25" t="s">
        <v>20</v>
      </c>
      <c r="B27" s="24" t="s">
        <v>598</v>
      </c>
      <c r="C27" s="24" t="s">
        <v>599</v>
      </c>
      <c r="D27" s="24" t="s">
        <v>314</v>
      </c>
      <c r="E27" s="24" t="s">
        <v>965</v>
      </c>
      <c r="F27" s="24" t="s">
        <v>898</v>
      </c>
      <c r="G27" s="26" t="s">
        <v>112</v>
      </c>
      <c r="H27" s="27" t="s">
        <v>37</v>
      </c>
      <c r="I27" s="27" t="s">
        <v>37</v>
      </c>
      <c r="J27" s="25"/>
      <c r="K27" s="26" t="s">
        <v>172</v>
      </c>
      <c r="L27" s="26" t="s">
        <v>148</v>
      </c>
      <c r="M27" s="26" t="s">
        <v>158</v>
      </c>
      <c r="N27" s="25"/>
      <c r="O27" s="30" t="str">
        <f>"370,0"</f>
        <v>370,0</v>
      </c>
      <c r="P27" s="25" t="str">
        <f>"236,3560"</f>
        <v>236,3560</v>
      </c>
      <c r="Q27" s="24"/>
    </row>
    <row r="28" spans="1:17">
      <c r="A28" s="10" t="s">
        <v>214</v>
      </c>
      <c r="B28" s="9" t="s">
        <v>600</v>
      </c>
      <c r="C28" s="9" t="s">
        <v>601</v>
      </c>
      <c r="D28" s="9" t="s">
        <v>602</v>
      </c>
      <c r="E28" s="9" t="s">
        <v>969</v>
      </c>
      <c r="F28" s="9" t="s">
        <v>898</v>
      </c>
      <c r="G28" s="21" t="s">
        <v>142</v>
      </c>
      <c r="H28" s="21" t="s">
        <v>64</v>
      </c>
      <c r="I28" s="21" t="s">
        <v>64</v>
      </c>
      <c r="J28" s="10"/>
      <c r="K28" s="20" t="s">
        <v>40</v>
      </c>
      <c r="L28" s="20" t="s">
        <v>41</v>
      </c>
      <c r="M28" s="21" t="s">
        <v>197</v>
      </c>
      <c r="N28" s="10"/>
      <c r="O28" s="31">
        <v>0</v>
      </c>
      <c r="P28" s="10" t="str">
        <f>"0,0000"</f>
        <v>0,0000</v>
      </c>
      <c r="Q28" s="9"/>
    </row>
    <row r="29" spans="1:17">
      <c r="B29" s="5" t="s">
        <v>21</v>
      </c>
    </row>
    <row r="30" spans="1:17" ht="16">
      <c r="A30" s="33" t="s">
        <v>6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7">
      <c r="A31" s="8" t="s">
        <v>20</v>
      </c>
      <c r="B31" s="7" t="s">
        <v>809</v>
      </c>
      <c r="C31" s="7" t="s">
        <v>810</v>
      </c>
      <c r="D31" s="7" t="s">
        <v>811</v>
      </c>
      <c r="E31" s="7" t="s">
        <v>964</v>
      </c>
      <c r="F31" s="7" t="s">
        <v>898</v>
      </c>
      <c r="G31" s="19" t="s">
        <v>192</v>
      </c>
      <c r="H31" s="18" t="s">
        <v>113</v>
      </c>
      <c r="I31" s="19" t="s">
        <v>311</v>
      </c>
      <c r="J31" s="8"/>
      <c r="K31" s="18" t="s">
        <v>132</v>
      </c>
      <c r="L31" s="18" t="s">
        <v>134</v>
      </c>
      <c r="M31" s="19" t="s">
        <v>75</v>
      </c>
      <c r="N31" s="8"/>
      <c r="O31" s="29" t="str">
        <f>"367,5"</f>
        <v>367,5</v>
      </c>
      <c r="P31" s="8" t="str">
        <f>"227,1150"</f>
        <v>227,1150</v>
      </c>
      <c r="Q31" s="7" t="s">
        <v>812</v>
      </c>
    </row>
    <row r="32" spans="1:17">
      <c r="A32" s="10" t="s">
        <v>45</v>
      </c>
      <c r="B32" s="9" t="s">
        <v>813</v>
      </c>
      <c r="C32" s="9" t="s">
        <v>814</v>
      </c>
      <c r="D32" s="9" t="s">
        <v>815</v>
      </c>
      <c r="E32" s="9" t="s">
        <v>964</v>
      </c>
      <c r="F32" s="9" t="s">
        <v>898</v>
      </c>
      <c r="G32" s="20" t="s">
        <v>112</v>
      </c>
      <c r="H32" s="20" t="s">
        <v>164</v>
      </c>
      <c r="I32" s="20" t="s">
        <v>36</v>
      </c>
      <c r="J32" s="10"/>
      <c r="K32" s="20" t="s">
        <v>41</v>
      </c>
      <c r="L32" s="20" t="s">
        <v>316</v>
      </c>
      <c r="M32" s="20" t="s">
        <v>133</v>
      </c>
      <c r="N32" s="10"/>
      <c r="O32" s="31" t="str">
        <f>"360,0"</f>
        <v>360,0</v>
      </c>
      <c r="P32" s="10" t="str">
        <f>"219,0960"</f>
        <v>219,0960</v>
      </c>
      <c r="Q32" s="9" t="s">
        <v>816</v>
      </c>
    </row>
    <row r="33" spans="2:2">
      <c r="B33" s="5" t="s">
        <v>21</v>
      </c>
    </row>
  </sheetData>
  <mergeCells count="19">
    <mergeCell ref="A1:Q2"/>
    <mergeCell ref="A3:A4"/>
    <mergeCell ref="C3:C4"/>
    <mergeCell ref="D3:D4"/>
    <mergeCell ref="E3:E4"/>
    <mergeCell ref="F3:F4"/>
    <mergeCell ref="G3:J3"/>
    <mergeCell ref="K3:N3"/>
    <mergeCell ref="A30:N30"/>
    <mergeCell ref="O3:O4"/>
    <mergeCell ref="P3:P4"/>
    <mergeCell ref="Q3:Q4"/>
    <mergeCell ref="A5:N5"/>
    <mergeCell ref="B3:B4"/>
    <mergeCell ref="A11:N11"/>
    <mergeCell ref="A14:N14"/>
    <mergeCell ref="A17:N17"/>
    <mergeCell ref="A20:N20"/>
    <mergeCell ref="A24:N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392B-3372-46AE-8E47-462CCE41E3E3}">
  <dimension ref="A1:Q23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3.1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45" t="s">
        <v>866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58</v>
      </c>
      <c r="L3" s="39"/>
      <c r="M3" s="39"/>
      <c r="N3" s="39"/>
      <c r="O3" s="39" t="s">
        <v>1</v>
      </c>
      <c r="P3" s="39" t="s">
        <v>3</v>
      </c>
      <c r="Q3" s="41" t="s">
        <v>2</v>
      </c>
    </row>
    <row r="4" spans="1:17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2"/>
    </row>
    <row r="5" spans="1:17" ht="16">
      <c r="A5" s="43" t="s">
        <v>59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>
      <c r="A6" s="12" t="s">
        <v>20</v>
      </c>
      <c r="B6" s="11" t="s">
        <v>775</v>
      </c>
      <c r="C6" s="11" t="s">
        <v>776</v>
      </c>
      <c r="D6" s="11" t="s">
        <v>777</v>
      </c>
      <c r="E6" s="11" t="s">
        <v>967</v>
      </c>
      <c r="F6" s="11" t="s">
        <v>928</v>
      </c>
      <c r="G6" s="22" t="s">
        <v>227</v>
      </c>
      <c r="H6" s="22" t="s">
        <v>104</v>
      </c>
      <c r="I6" s="23" t="s">
        <v>54</v>
      </c>
      <c r="J6" s="12"/>
      <c r="K6" s="22" t="s">
        <v>117</v>
      </c>
      <c r="L6" s="22" t="s">
        <v>24</v>
      </c>
      <c r="M6" s="22" t="s">
        <v>118</v>
      </c>
      <c r="N6" s="12"/>
      <c r="O6" s="12" t="str">
        <f>"132,5"</f>
        <v>132,5</v>
      </c>
      <c r="P6" s="12" t="str">
        <f>"139,4828"</f>
        <v>139,4828</v>
      </c>
      <c r="Q6" s="11"/>
    </row>
    <row r="7" spans="1:17">
      <c r="B7" s="5" t="s">
        <v>21</v>
      </c>
    </row>
    <row r="8" spans="1:17" ht="16">
      <c r="A8" s="33" t="s">
        <v>22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7">
      <c r="A9" s="12" t="s">
        <v>20</v>
      </c>
      <c r="B9" s="11" t="s">
        <v>778</v>
      </c>
      <c r="C9" s="11" t="s">
        <v>779</v>
      </c>
      <c r="D9" s="11" t="s">
        <v>780</v>
      </c>
      <c r="E9" s="11" t="s">
        <v>969</v>
      </c>
      <c r="F9" s="11" t="s">
        <v>928</v>
      </c>
      <c r="G9" s="22" t="s">
        <v>227</v>
      </c>
      <c r="H9" s="22" t="s">
        <v>53</v>
      </c>
      <c r="I9" s="22" t="s">
        <v>104</v>
      </c>
      <c r="J9" s="12"/>
      <c r="K9" s="22" t="s">
        <v>24</v>
      </c>
      <c r="L9" s="22" t="s">
        <v>118</v>
      </c>
      <c r="M9" s="22" t="s">
        <v>25</v>
      </c>
      <c r="N9" s="12"/>
      <c r="O9" s="12" t="str">
        <f>"137,5"</f>
        <v>137,5</v>
      </c>
      <c r="P9" s="12" t="str">
        <f>"171,4842"</f>
        <v>171,4842</v>
      </c>
      <c r="Q9" s="11"/>
    </row>
    <row r="10" spans="1:17">
      <c r="B10" s="5" t="s">
        <v>21</v>
      </c>
    </row>
    <row r="11" spans="1:17" ht="16">
      <c r="A11" s="33" t="s">
        <v>22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7">
      <c r="A12" s="12" t="s">
        <v>20</v>
      </c>
      <c r="B12" s="11" t="s">
        <v>781</v>
      </c>
      <c r="C12" s="11" t="s">
        <v>782</v>
      </c>
      <c r="D12" s="11" t="s">
        <v>783</v>
      </c>
      <c r="E12" s="11" t="s">
        <v>970</v>
      </c>
      <c r="F12" s="11" t="s">
        <v>929</v>
      </c>
      <c r="G12" s="22" t="s">
        <v>24</v>
      </c>
      <c r="H12" s="22" t="s">
        <v>118</v>
      </c>
      <c r="I12" s="23" t="s">
        <v>93</v>
      </c>
      <c r="J12" s="12"/>
      <c r="K12" s="22" t="s">
        <v>111</v>
      </c>
      <c r="L12" s="22" t="s">
        <v>98</v>
      </c>
      <c r="M12" s="23" t="s">
        <v>63</v>
      </c>
      <c r="N12" s="12"/>
      <c r="O12" s="12" t="str">
        <f>"195,0"</f>
        <v>195,0</v>
      </c>
      <c r="P12" s="12" t="str">
        <f>"256,5447"</f>
        <v>256,5447</v>
      </c>
      <c r="Q12" s="11"/>
    </row>
    <row r="13" spans="1:17">
      <c r="B13" s="5" t="s">
        <v>21</v>
      </c>
    </row>
    <row r="14" spans="1:17" ht="16">
      <c r="A14" s="33" t="s">
        <v>47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7">
      <c r="A15" s="12" t="s">
        <v>20</v>
      </c>
      <c r="B15" s="11" t="s">
        <v>784</v>
      </c>
      <c r="C15" s="11" t="s">
        <v>785</v>
      </c>
      <c r="D15" s="11" t="s">
        <v>589</v>
      </c>
      <c r="E15" s="11" t="s">
        <v>964</v>
      </c>
      <c r="F15" s="11" t="s">
        <v>930</v>
      </c>
      <c r="G15" s="23" t="s">
        <v>36</v>
      </c>
      <c r="H15" s="22" t="s">
        <v>36</v>
      </c>
      <c r="I15" s="23" t="s">
        <v>311</v>
      </c>
      <c r="J15" s="12"/>
      <c r="K15" s="22" t="s">
        <v>316</v>
      </c>
      <c r="L15" s="23" t="s">
        <v>396</v>
      </c>
      <c r="M15" s="23" t="s">
        <v>148</v>
      </c>
      <c r="N15" s="12"/>
      <c r="O15" s="12" t="str">
        <f>"352,5"</f>
        <v>352,5</v>
      </c>
      <c r="P15" s="12" t="str">
        <f>"227,1510"</f>
        <v>227,1510</v>
      </c>
      <c r="Q15" s="11" t="s">
        <v>786</v>
      </c>
    </row>
    <row r="16" spans="1:17">
      <c r="B16" s="5" t="s">
        <v>21</v>
      </c>
    </row>
    <row r="17" spans="1:17" ht="16">
      <c r="A17" s="33" t="s">
        <v>6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7">
      <c r="A18" s="8" t="s">
        <v>20</v>
      </c>
      <c r="B18" s="7" t="s">
        <v>166</v>
      </c>
      <c r="C18" s="7" t="s">
        <v>167</v>
      </c>
      <c r="D18" s="7" t="s">
        <v>168</v>
      </c>
      <c r="E18" s="7" t="s">
        <v>964</v>
      </c>
      <c r="F18" s="7" t="s">
        <v>898</v>
      </c>
      <c r="G18" s="18" t="s">
        <v>133</v>
      </c>
      <c r="H18" s="18" t="s">
        <v>172</v>
      </c>
      <c r="I18" s="19" t="s">
        <v>144</v>
      </c>
      <c r="J18" s="8"/>
      <c r="K18" s="19" t="s">
        <v>173</v>
      </c>
      <c r="L18" s="19" t="s">
        <v>173</v>
      </c>
      <c r="M18" s="18" t="s">
        <v>173</v>
      </c>
      <c r="N18" s="8"/>
      <c r="O18" s="8" t="str">
        <f>"550,0"</f>
        <v>550,0</v>
      </c>
      <c r="P18" s="8" t="str">
        <f>"337,3700"</f>
        <v>337,3700</v>
      </c>
      <c r="Q18" s="7"/>
    </row>
    <row r="19" spans="1:17">
      <c r="A19" s="10" t="s">
        <v>45</v>
      </c>
      <c r="B19" s="9" t="s">
        <v>787</v>
      </c>
      <c r="C19" s="9" t="s">
        <v>788</v>
      </c>
      <c r="D19" s="9" t="s">
        <v>789</v>
      </c>
      <c r="E19" s="9" t="s">
        <v>964</v>
      </c>
      <c r="F19" s="9" t="s">
        <v>903</v>
      </c>
      <c r="G19" s="20" t="s">
        <v>40</v>
      </c>
      <c r="H19" s="20" t="s">
        <v>41</v>
      </c>
      <c r="I19" s="21" t="s">
        <v>42</v>
      </c>
      <c r="J19" s="10"/>
      <c r="K19" s="20" t="s">
        <v>177</v>
      </c>
      <c r="L19" s="20" t="s">
        <v>178</v>
      </c>
      <c r="M19" s="21" t="s">
        <v>386</v>
      </c>
      <c r="N19" s="10"/>
      <c r="O19" s="10" t="str">
        <f>"450,0"</f>
        <v>450,0</v>
      </c>
      <c r="P19" s="10" t="str">
        <f>"280,4400"</f>
        <v>280,4400</v>
      </c>
      <c r="Q19" s="9"/>
    </row>
    <row r="20" spans="1:17">
      <c r="B20" s="5" t="s">
        <v>21</v>
      </c>
    </row>
    <row r="21" spans="1:17" ht="16">
      <c r="A21" s="33" t="s">
        <v>201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7">
      <c r="A22" s="12" t="s">
        <v>20</v>
      </c>
      <c r="B22" s="11" t="s">
        <v>202</v>
      </c>
      <c r="C22" s="11" t="s">
        <v>203</v>
      </c>
      <c r="D22" s="11" t="s">
        <v>204</v>
      </c>
      <c r="E22" s="11" t="s">
        <v>964</v>
      </c>
      <c r="F22" s="11" t="s">
        <v>900</v>
      </c>
      <c r="G22" s="22" t="s">
        <v>113</v>
      </c>
      <c r="H22" s="23" t="s">
        <v>311</v>
      </c>
      <c r="I22" s="23" t="s">
        <v>311</v>
      </c>
      <c r="J22" s="12"/>
      <c r="K22" s="22" t="s">
        <v>177</v>
      </c>
      <c r="L22" s="23" t="s">
        <v>178</v>
      </c>
      <c r="M22" s="12"/>
      <c r="N22" s="12"/>
      <c r="O22" s="12" t="str">
        <f>"415,0"</f>
        <v>415,0</v>
      </c>
      <c r="P22" s="12" t="str">
        <f>"236,5500"</f>
        <v>236,5500</v>
      </c>
      <c r="Q22" s="11" t="s">
        <v>179</v>
      </c>
    </row>
    <row r="23" spans="1:17">
      <c r="B23" s="5" t="s">
        <v>21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1:N21"/>
    <mergeCell ref="A5:N5"/>
    <mergeCell ref="A8:N8"/>
    <mergeCell ref="A11:N11"/>
    <mergeCell ref="A14:N14"/>
    <mergeCell ref="A17:N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A01F-5A77-41C0-8A36-38C1B28D45C3}">
  <dimension ref="A1:M121"/>
  <sheetViews>
    <sheetView workbookViewId="0">
      <selection activeCell="E98" sqref="E98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41.1640625" style="5" bestFit="1" customWidth="1"/>
    <col min="7" max="9" width="5.5" style="6" customWidth="1"/>
    <col min="10" max="10" width="4.5" style="6" customWidth="1"/>
    <col min="11" max="11" width="10.5" style="28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5" t="s">
        <v>867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7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38"/>
      <c r="L4" s="40"/>
      <c r="M4" s="42"/>
    </row>
    <row r="5" spans="1:13" ht="16">
      <c r="A5" s="43" t="s">
        <v>480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481</v>
      </c>
      <c r="C6" s="11" t="s">
        <v>482</v>
      </c>
      <c r="D6" s="11" t="s">
        <v>483</v>
      </c>
      <c r="E6" s="11" t="s">
        <v>964</v>
      </c>
      <c r="F6" s="11" t="s">
        <v>931</v>
      </c>
      <c r="G6" s="22" t="s">
        <v>53</v>
      </c>
      <c r="H6" s="22" t="s">
        <v>104</v>
      </c>
      <c r="I6" s="23" t="s">
        <v>48</v>
      </c>
      <c r="J6" s="12"/>
      <c r="K6" s="32" t="str">
        <f>"47,5"</f>
        <v>47,5</v>
      </c>
      <c r="L6" s="12" t="str">
        <f>"59,7455"</f>
        <v>59,7455</v>
      </c>
      <c r="M6" s="11" t="s">
        <v>484</v>
      </c>
    </row>
    <row r="7" spans="1:13">
      <c r="B7" s="5" t="s">
        <v>21</v>
      </c>
    </row>
    <row r="8" spans="1:13" ht="16">
      <c r="A8" s="33" t="s">
        <v>89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20</v>
      </c>
      <c r="B9" s="7" t="s">
        <v>485</v>
      </c>
      <c r="C9" s="7" t="s">
        <v>486</v>
      </c>
      <c r="D9" s="7" t="s">
        <v>487</v>
      </c>
      <c r="E9" s="7" t="s">
        <v>964</v>
      </c>
      <c r="F9" s="7" t="s">
        <v>898</v>
      </c>
      <c r="G9" s="18" t="s">
        <v>86</v>
      </c>
      <c r="H9" s="18" t="s">
        <v>95</v>
      </c>
      <c r="I9" s="18" t="s">
        <v>49</v>
      </c>
      <c r="J9" s="8"/>
      <c r="K9" s="29" t="str">
        <f>"60,0"</f>
        <v>60,0</v>
      </c>
      <c r="L9" s="8" t="str">
        <f>"71,8020"</f>
        <v>71,8020</v>
      </c>
      <c r="M9" s="7"/>
    </row>
    <row r="10" spans="1:13">
      <c r="A10" s="25" t="s">
        <v>45</v>
      </c>
      <c r="B10" s="24" t="s">
        <v>488</v>
      </c>
      <c r="C10" s="24" t="s">
        <v>489</v>
      </c>
      <c r="D10" s="24" t="s">
        <v>233</v>
      </c>
      <c r="E10" s="24" t="s">
        <v>964</v>
      </c>
      <c r="F10" s="24" t="s">
        <v>932</v>
      </c>
      <c r="G10" s="26" t="s">
        <v>86</v>
      </c>
      <c r="H10" s="26" t="s">
        <v>49</v>
      </c>
      <c r="I10" s="27" t="s">
        <v>96</v>
      </c>
      <c r="J10" s="25"/>
      <c r="K10" s="30" t="str">
        <f>"60,0"</f>
        <v>60,0</v>
      </c>
      <c r="L10" s="25" t="str">
        <f>"70,7940"</f>
        <v>70,7940</v>
      </c>
      <c r="M10" s="24" t="s">
        <v>490</v>
      </c>
    </row>
    <row r="11" spans="1:13">
      <c r="A11" s="25" t="s">
        <v>213</v>
      </c>
      <c r="B11" s="24" t="s">
        <v>491</v>
      </c>
      <c r="C11" s="24" t="s">
        <v>492</v>
      </c>
      <c r="D11" s="24" t="s">
        <v>487</v>
      </c>
      <c r="E11" s="24" t="s">
        <v>964</v>
      </c>
      <c r="F11" s="24" t="s">
        <v>930</v>
      </c>
      <c r="G11" s="26" t="s">
        <v>86</v>
      </c>
      <c r="H11" s="27" t="s">
        <v>95</v>
      </c>
      <c r="I11" s="25"/>
      <c r="J11" s="25"/>
      <c r="K11" s="30" t="str">
        <f>"55,0"</f>
        <v>55,0</v>
      </c>
      <c r="L11" s="25" t="str">
        <f>"65,8185"</f>
        <v>65,8185</v>
      </c>
      <c r="M11" s="24" t="s">
        <v>493</v>
      </c>
    </row>
    <row r="12" spans="1:13">
      <c r="A12" s="25" t="s">
        <v>405</v>
      </c>
      <c r="B12" s="24" t="s">
        <v>494</v>
      </c>
      <c r="C12" s="24" t="s">
        <v>495</v>
      </c>
      <c r="D12" s="24" t="s">
        <v>233</v>
      </c>
      <c r="E12" s="24" t="s">
        <v>964</v>
      </c>
      <c r="F12" s="24" t="s">
        <v>898</v>
      </c>
      <c r="G12" s="26" t="s">
        <v>125</v>
      </c>
      <c r="H12" s="26" t="s">
        <v>104</v>
      </c>
      <c r="I12" s="26" t="s">
        <v>54</v>
      </c>
      <c r="J12" s="25"/>
      <c r="K12" s="30" t="str">
        <f>"52,5"</f>
        <v>52,5</v>
      </c>
      <c r="L12" s="25" t="str">
        <f>"61,9448"</f>
        <v>61,9448</v>
      </c>
      <c r="M12" s="24" t="s">
        <v>881</v>
      </c>
    </row>
    <row r="13" spans="1:13">
      <c r="A13" s="10" t="s">
        <v>214</v>
      </c>
      <c r="B13" s="9" t="s">
        <v>215</v>
      </c>
      <c r="C13" s="9" t="s">
        <v>216</v>
      </c>
      <c r="D13" s="9" t="s">
        <v>217</v>
      </c>
      <c r="E13" s="9" t="s">
        <v>964</v>
      </c>
      <c r="F13" s="9" t="s">
        <v>898</v>
      </c>
      <c r="G13" s="21" t="s">
        <v>95</v>
      </c>
      <c r="H13" s="10"/>
      <c r="I13" s="10"/>
      <c r="J13" s="10"/>
      <c r="K13" s="31">
        <v>0</v>
      </c>
      <c r="L13" s="10" t="str">
        <f>"0,0000"</f>
        <v>0,0000</v>
      </c>
      <c r="M13" s="9" t="s">
        <v>219</v>
      </c>
    </row>
    <row r="14" spans="1:13">
      <c r="B14" s="5" t="s">
        <v>21</v>
      </c>
    </row>
    <row r="15" spans="1:13" ht="16">
      <c r="A15" s="33" t="s">
        <v>107</v>
      </c>
      <c r="B15" s="33"/>
      <c r="C15" s="34"/>
      <c r="D15" s="34"/>
      <c r="E15" s="34"/>
      <c r="F15" s="34"/>
      <c r="G15" s="34"/>
      <c r="H15" s="34"/>
      <c r="I15" s="34"/>
      <c r="J15" s="34"/>
    </row>
    <row r="16" spans="1:13">
      <c r="A16" s="8" t="s">
        <v>20</v>
      </c>
      <c r="B16" s="7" t="s">
        <v>496</v>
      </c>
      <c r="C16" s="7" t="s">
        <v>497</v>
      </c>
      <c r="D16" s="7" t="s">
        <v>252</v>
      </c>
      <c r="E16" s="7" t="s">
        <v>966</v>
      </c>
      <c r="F16" s="7" t="s">
        <v>910</v>
      </c>
      <c r="G16" s="18" t="s">
        <v>125</v>
      </c>
      <c r="H16" s="18" t="s">
        <v>53</v>
      </c>
      <c r="I16" s="18" t="s">
        <v>104</v>
      </c>
      <c r="J16" s="8"/>
      <c r="K16" s="29" t="str">
        <f>"47,5"</f>
        <v>47,5</v>
      </c>
      <c r="L16" s="8" t="str">
        <f>"54,1548"</f>
        <v>54,1548</v>
      </c>
      <c r="M16" s="7" t="s">
        <v>498</v>
      </c>
    </row>
    <row r="17" spans="1:13">
      <c r="A17" s="25" t="s">
        <v>20</v>
      </c>
      <c r="B17" s="24" t="s">
        <v>499</v>
      </c>
      <c r="C17" s="24" t="s">
        <v>500</v>
      </c>
      <c r="D17" s="24" t="s">
        <v>501</v>
      </c>
      <c r="E17" s="24" t="s">
        <v>964</v>
      </c>
      <c r="F17" s="24" t="s">
        <v>898</v>
      </c>
      <c r="G17" s="26" t="s">
        <v>49</v>
      </c>
      <c r="H17" s="26" t="s">
        <v>96</v>
      </c>
      <c r="I17" s="27" t="s">
        <v>23</v>
      </c>
      <c r="J17" s="25"/>
      <c r="K17" s="30" t="str">
        <f>"62,5"</f>
        <v>62,5</v>
      </c>
      <c r="L17" s="25" t="str">
        <f>"70,7813"</f>
        <v>70,7813</v>
      </c>
      <c r="M17" s="24" t="s">
        <v>264</v>
      </c>
    </row>
    <row r="18" spans="1:13">
      <c r="A18" s="25" t="s">
        <v>45</v>
      </c>
      <c r="B18" s="24" t="s">
        <v>502</v>
      </c>
      <c r="C18" s="24" t="s">
        <v>503</v>
      </c>
      <c r="D18" s="24" t="s">
        <v>501</v>
      </c>
      <c r="E18" s="24" t="s">
        <v>964</v>
      </c>
      <c r="F18" s="24" t="s">
        <v>898</v>
      </c>
      <c r="G18" s="26" t="s">
        <v>125</v>
      </c>
      <c r="H18" s="26" t="s">
        <v>53</v>
      </c>
      <c r="I18" s="26" t="s">
        <v>104</v>
      </c>
      <c r="J18" s="25"/>
      <c r="K18" s="30" t="str">
        <f>"47,5"</f>
        <v>47,5</v>
      </c>
      <c r="L18" s="25" t="str">
        <f>"53,7938"</f>
        <v>53,7938</v>
      </c>
      <c r="M18" s="24" t="s">
        <v>881</v>
      </c>
    </row>
    <row r="19" spans="1:13">
      <c r="A19" s="10" t="s">
        <v>214</v>
      </c>
      <c r="B19" s="9" t="s">
        <v>504</v>
      </c>
      <c r="C19" s="9" t="s">
        <v>505</v>
      </c>
      <c r="D19" s="9" t="s">
        <v>506</v>
      </c>
      <c r="E19" s="9" t="s">
        <v>964</v>
      </c>
      <c r="F19" s="9" t="s">
        <v>898</v>
      </c>
      <c r="G19" s="21" t="s">
        <v>53</v>
      </c>
      <c r="H19" s="21" t="s">
        <v>53</v>
      </c>
      <c r="I19" s="21" t="s">
        <v>53</v>
      </c>
      <c r="J19" s="10"/>
      <c r="K19" s="31">
        <v>0</v>
      </c>
      <c r="L19" s="10" t="str">
        <f>"0,0000"</f>
        <v>0,0000</v>
      </c>
      <c r="M19" s="9" t="s">
        <v>507</v>
      </c>
    </row>
    <row r="20" spans="1:13">
      <c r="B20" s="5" t="s">
        <v>21</v>
      </c>
    </row>
    <row r="21" spans="1:13" ht="16">
      <c r="A21" s="33" t="s">
        <v>59</v>
      </c>
      <c r="B21" s="33"/>
      <c r="C21" s="34"/>
      <c r="D21" s="34"/>
      <c r="E21" s="34"/>
      <c r="F21" s="34"/>
      <c r="G21" s="34"/>
      <c r="H21" s="34"/>
      <c r="I21" s="34"/>
      <c r="J21" s="34"/>
    </row>
    <row r="22" spans="1:13">
      <c r="A22" s="8" t="s">
        <v>20</v>
      </c>
      <c r="B22" s="7" t="s">
        <v>508</v>
      </c>
      <c r="C22" s="7" t="s">
        <v>509</v>
      </c>
      <c r="D22" s="7" t="s">
        <v>269</v>
      </c>
      <c r="E22" s="7" t="s">
        <v>964</v>
      </c>
      <c r="F22" s="7" t="s">
        <v>898</v>
      </c>
      <c r="G22" s="18" t="s">
        <v>29</v>
      </c>
      <c r="H22" s="19" t="s">
        <v>24</v>
      </c>
      <c r="I22" s="19" t="s">
        <v>24</v>
      </c>
      <c r="J22" s="8"/>
      <c r="K22" s="29" t="str">
        <f>"75,0"</f>
        <v>75,0</v>
      </c>
      <c r="L22" s="8" t="str">
        <f>"77,3775"</f>
        <v>77,3775</v>
      </c>
      <c r="M22" s="7"/>
    </row>
    <row r="23" spans="1:13">
      <c r="A23" s="25" t="s">
        <v>45</v>
      </c>
      <c r="B23" s="24" t="s">
        <v>265</v>
      </c>
      <c r="C23" s="24" t="s">
        <v>266</v>
      </c>
      <c r="D23" s="24" t="s">
        <v>267</v>
      </c>
      <c r="E23" s="24" t="s">
        <v>964</v>
      </c>
      <c r="F23" s="24" t="s">
        <v>904</v>
      </c>
      <c r="G23" s="26" t="s">
        <v>49</v>
      </c>
      <c r="H23" s="26" t="s">
        <v>23</v>
      </c>
      <c r="I23" s="27" t="s">
        <v>29</v>
      </c>
      <c r="J23" s="25"/>
      <c r="K23" s="30" t="str">
        <f>"65,0"</f>
        <v>65,0</v>
      </c>
      <c r="L23" s="25" t="str">
        <f>"69,3940"</f>
        <v>69,3940</v>
      </c>
      <c r="M23" s="24"/>
    </row>
    <row r="24" spans="1:13">
      <c r="A24" s="25" t="s">
        <v>213</v>
      </c>
      <c r="B24" s="24" t="s">
        <v>510</v>
      </c>
      <c r="C24" s="24" t="s">
        <v>511</v>
      </c>
      <c r="D24" s="24" t="s">
        <v>512</v>
      </c>
      <c r="E24" s="24" t="s">
        <v>964</v>
      </c>
      <c r="F24" s="24" t="s">
        <v>898</v>
      </c>
      <c r="G24" s="26" t="s">
        <v>96</v>
      </c>
      <c r="H24" s="26" t="s">
        <v>23</v>
      </c>
      <c r="I24" s="27" t="s">
        <v>28</v>
      </c>
      <c r="J24" s="25"/>
      <c r="K24" s="30" t="str">
        <f>"65,0"</f>
        <v>65,0</v>
      </c>
      <c r="L24" s="25" t="str">
        <f>"66,6965"</f>
        <v>66,6965</v>
      </c>
      <c r="M24" s="24" t="s">
        <v>513</v>
      </c>
    </row>
    <row r="25" spans="1:13">
      <c r="A25" s="10" t="s">
        <v>405</v>
      </c>
      <c r="B25" s="9" t="s">
        <v>514</v>
      </c>
      <c r="C25" s="9" t="s">
        <v>515</v>
      </c>
      <c r="D25" s="9" t="s">
        <v>516</v>
      </c>
      <c r="E25" s="9" t="s">
        <v>964</v>
      </c>
      <c r="F25" s="9" t="s">
        <v>898</v>
      </c>
      <c r="G25" s="20" t="s">
        <v>46</v>
      </c>
      <c r="H25" s="20" t="s">
        <v>517</v>
      </c>
      <c r="I25" s="20" t="s">
        <v>518</v>
      </c>
      <c r="J25" s="10"/>
      <c r="K25" s="31" t="str">
        <f>"32,5"</f>
        <v>32,5</v>
      </c>
      <c r="L25" s="10" t="str">
        <f>"34,6125"</f>
        <v>34,6125</v>
      </c>
      <c r="M25" s="9" t="s">
        <v>881</v>
      </c>
    </row>
    <row r="26" spans="1:13">
      <c r="B26" s="5" t="s">
        <v>21</v>
      </c>
    </row>
    <row r="27" spans="1:13" ht="16">
      <c r="A27" s="33" t="s">
        <v>22</v>
      </c>
      <c r="B27" s="33"/>
      <c r="C27" s="34"/>
      <c r="D27" s="34"/>
      <c r="E27" s="34"/>
      <c r="F27" s="34"/>
      <c r="G27" s="34"/>
      <c r="H27" s="34"/>
      <c r="I27" s="34"/>
      <c r="J27" s="34"/>
    </row>
    <row r="28" spans="1:13">
      <c r="A28" s="12" t="s">
        <v>20</v>
      </c>
      <c r="B28" s="11" t="s">
        <v>519</v>
      </c>
      <c r="C28" s="11" t="s">
        <v>520</v>
      </c>
      <c r="D28" s="11" t="s">
        <v>521</v>
      </c>
      <c r="E28" s="11" t="s">
        <v>965</v>
      </c>
      <c r="F28" s="11" t="s">
        <v>898</v>
      </c>
      <c r="G28" s="22" t="s">
        <v>95</v>
      </c>
      <c r="H28" s="22" t="s">
        <v>49</v>
      </c>
      <c r="I28" s="23" t="s">
        <v>96</v>
      </c>
      <c r="J28" s="12"/>
      <c r="K28" s="32" t="str">
        <f>"60,0"</f>
        <v>60,0</v>
      </c>
      <c r="L28" s="12" t="str">
        <f>"64,1818"</f>
        <v>64,1818</v>
      </c>
      <c r="M28" s="11"/>
    </row>
    <row r="29" spans="1:13">
      <c r="B29" s="5" t="s">
        <v>21</v>
      </c>
    </row>
    <row r="30" spans="1:13" ht="16">
      <c r="A30" s="33" t="s">
        <v>47</v>
      </c>
      <c r="B30" s="33"/>
      <c r="C30" s="34"/>
      <c r="D30" s="34"/>
      <c r="E30" s="34"/>
      <c r="F30" s="34"/>
      <c r="G30" s="34"/>
      <c r="H30" s="34"/>
      <c r="I30" s="34"/>
      <c r="J30" s="34"/>
    </row>
    <row r="31" spans="1:13">
      <c r="A31" s="12" t="s">
        <v>20</v>
      </c>
      <c r="B31" s="11" t="s">
        <v>522</v>
      </c>
      <c r="C31" s="11" t="s">
        <v>523</v>
      </c>
      <c r="D31" s="11" t="s">
        <v>524</v>
      </c>
      <c r="E31" s="11" t="s">
        <v>969</v>
      </c>
      <c r="F31" s="11" t="s">
        <v>898</v>
      </c>
      <c r="G31" s="22" t="s">
        <v>53</v>
      </c>
      <c r="H31" s="23" t="s">
        <v>104</v>
      </c>
      <c r="I31" s="23" t="s">
        <v>104</v>
      </c>
      <c r="J31" s="12"/>
      <c r="K31" s="32" t="str">
        <f>"45,0"</f>
        <v>45,0</v>
      </c>
      <c r="L31" s="12" t="str">
        <f>"50,5733"</f>
        <v>50,5733</v>
      </c>
      <c r="M31" s="11" t="s">
        <v>525</v>
      </c>
    </row>
    <row r="32" spans="1:13">
      <c r="B32" s="5" t="s">
        <v>21</v>
      </c>
    </row>
    <row r="33" spans="1:13" ht="16">
      <c r="A33" s="33" t="s">
        <v>59</v>
      </c>
      <c r="B33" s="33"/>
      <c r="C33" s="34"/>
      <c r="D33" s="34"/>
      <c r="E33" s="34"/>
      <c r="F33" s="34"/>
      <c r="G33" s="34"/>
      <c r="H33" s="34"/>
      <c r="I33" s="34"/>
      <c r="J33" s="34"/>
    </row>
    <row r="34" spans="1:13">
      <c r="A34" s="8" t="s">
        <v>20</v>
      </c>
      <c r="B34" s="7" t="s">
        <v>526</v>
      </c>
      <c r="C34" s="7" t="s">
        <v>527</v>
      </c>
      <c r="D34" s="7" t="s">
        <v>122</v>
      </c>
      <c r="E34" s="7" t="s">
        <v>971</v>
      </c>
      <c r="F34" s="7" t="s">
        <v>901</v>
      </c>
      <c r="G34" s="18" t="s">
        <v>94</v>
      </c>
      <c r="H34" s="18" t="s">
        <v>126</v>
      </c>
      <c r="I34" s="18" t="s">
        <v>97</v>
      </c>
      <c r="J34" s="8"/>
      <c r="K34" s="29" t="str">
        <f>"102,5"</f>
        <v>102,5</v>
      </c>
      <c r="L34" s="8" t="str">
        <f>"79,0275"</f>
        <v>79,0275</v>
      </c>
      <c r="M34" s="7" t="s">
        <v>528</v>
      </c>
    </row>
    <row r="35" spans="1:13">
      <c r="A35" s="25" t="s">
        <v>20</v>
      </c>
      <c r="B35" s="24" t="s">
        <v>529</v>
      </c>
      <c r="C35" s="24" t="s">
        <v>530</v>
      </c>
      <c r="D35" s="24" t="s">
        <v>531</v>
      </c>
      <c r="E35" s="24" t="s">
        <v>967</v>
      </c>
      <c r="F35" s="24" t="s">
        <v>933</v>
      </c>
      <c r="G35" s="26" t="s">
        <v>98</v>
      </c>
      <c r="H35" s="26" t="s">
        <v>99</v>
      </c>
      <c r="I35" s="26" t="s">
        <v>63</v>
      </c>
      <c r="J35" s="25"/>
      <c r="K35" s="30" t="str">
        <f>"115,0"</f>
        <v>115,0</v>
      </c>
      <c r="L35" s="25" t="str">
        <f>"89,8495"</f>
        <v>89,8495</v>
      </c>
      <c r="M35" s="24"/>
    </row>
    <row r="36" spans="1:13">
      <c r="A36" s="25" t="s">
        <v>20</v>
      </c>
      <c r="B36" s="24" t="s">
        <v>532</v>
      </c>
      <c r="C36" s="24" t="s">
        <v>533</v>
      </c>
      <c r="D36" s="24" t="s">
        <v>534</v>
      </c>
      <c r="E36" s="24" t="s">
        <v>964</v>
      </c>
      <c r="F36" s="24" t="s">
        <v>902</v>
      </c>
      <c r="G36" s="26" t="s">
        <v>35</v>
      </c>
      <c r="H36" s="27" t="s">
        <v>36</v>
      </c>
      <c r="I36" s="27" t="s">
        <v>36</v>
      </c>
      <c r="J36" s="25"/>
      <c r="K36" s="30" t="str">
        <f>"142,5"</f>
        <v>142,5</v>
      </c>
      <c r="L36" s="25" t="str">
        <f>"110,2665"</f>
        <v>110,2665</v>
      </c>
      <c r="M36" s="24"/>
    </row>
    <row r="37" spans="1:13">
      <c r="A37" s="25" t="s">
        <v>45</v>
      </c>
      <c r="B37" s="24" t="s">
        <v>535</v>
      </c>
      <c r="C37" s="24" t="s">
        <v>536</v>
      </c>
      <c r="D37" s="24" t="s">
        <v>537</v>
      </c>
      <c r="E37" s="24" t="s">
        <v>964</v>
      </c>
      <c r="F37" s="24" t="s">
        <v>934</v>
      </c>
      <c r="G37" s="26" t="s">
        <v>55</v>
      </c>
      <c r="H37" s="26" t="s">
        <v>34</v>
      </c>
      <c r="I37" s="26" t="s">
        <v>74</v>
      </c>
      <c r="J37" s="25"/>
      <c r="K37" s="30" t="str">
        <f>"135,0"</f>
        <v>135,0</v>
      </c>
      <c r="L37" s="25" t="str">
        <f>"107,6355"</f>
        <v>107,6355</v>
      </c>
      <c r="M37" s="24" t="s">
        <v>538</v>
      </c>
    </row>
    <row r="38" spans="1:13">
      <c r="A38" s="10" t="s">
        <v>213</v>
      </c>
      <c r="B38" s="9" t="s">
        <v>539</v>
      </c>
      <c r="C38" s="9" t="s">
        <v>109</v>
      </c>
      <c r="D38" s="9" t="s">
        <v>540</v>
      </c>
      <c r="E38" s="9" t="s">
        <v>964</v>
      </c>
      <c r="F38" s="9" t="s">
        <v>935</v>
      </c>
      <c r="G38" s="20" t="s">
        <v>84</v>
      </c>
      <c r="H38" s="20" t="s">
        <v>105</v>
      </c>
      <c r="I38" s="21" t="s">
        <v>98</v>
      </c>
      <c r="J38" s="10"/>
      <c r="K38" s="31" t="str">
        <f>"107,5"</f>
        <v>107,5</v>
      </c>
      <c r="L38" s="10" t="str">
        <f>"84,7208"</f>
        <v>84,7208</v>
      </c>
      <c r="M38" s="9"/>
    </row>
    <row r="39" spans="1:13">
      <c r="B39" s="5" t="s">
        <v>21</v>
      </c>
    </row>
    <row r="40" spans="1:13" ht="16">
      <c r="A40" s="33" t="s">
        <v>22</v>
      </c>
      <c r="B40" s="33"/>
      <c r="C40" s="34"/>
      <c r="D40" s="34"/>
      <c r="E40" s="34"/>
      <c r="F40" s="34"/>
      <c r="G40" s="34"/>
      <c r="H40" s="34"/>
      <c r="I40" s="34"/>
      <c r="J40" s="34"/>
    </row>
    <row r="41" spans="1:13">
      <c r="A41" s="8" t="s">
        <v>20</v>
      </c>
      <c r="B41" s="7" t="s">
        <v>541</v>
      </c>
      <c r="C41" s="7" t="s">
        <v>542</v>
      </c>
      <c r="D41" s="7" t="s">
        <v>276</v>
      </c>
      <c r="E41" s="7" t="s">
        <v>967</v>
      </c>
      <c r="F41" s="7" t="s">
        <v>922</v>
      </c>
      <c r="G41" s="18" t="s">
        <v>55</v>
      </c>
      <c r="H41" s="19" t="s">
        <v>74</v>
      </c>
      <c r="I41" s="19" t="s">
        <v>74</v>
      </c>
      <c r="J41" s="8"/>
      <c r="K41" s="29" t="str">
        <f>"125,0"</f>
        <v>125,0</v>
      </c>
      <c r="L41" s="8" t="str">
        <f>"89,6625"</f>
        <v>89,6625</v>
      </c>
      <c r="M41" s="7" t="s">
        <v>882</v>
      </c>
    </row>
    <row r="42" spans="1:13">
      <c r="A42" s="25" t="s">
        <v>20</v>
      </c>
      <c r="B42" s="24" t="s">
        <v>543</v>
      </c>
      <c r="C42" s="24" t="s">
        <v>544</v>
      </c>
      <c r="D42" s="24" t="s">
        <v>33</v>
      </c>
      <c r="E42" s="24" t="s">
        <v>964</v>
      </c>
      <c r="F42" s="24" t="s">
        <v>898</v>
      </c>
      <c r="G42" s="26" t="s">
        <v>164</v>
      </c>
      <c r="H42" s="26" t="s">
        <v>36</v>
      </c>
      <c r="I42" s="27" t="s">
        <v>192</v>
      </c>
      <c r="J42" s="25"/>
      <c r="K42" s="30" t="str">
        <f>"150,0"</f>
        <v>150,0</v>
      </c>
      <c r="L42" s="25" t="str">
        <f>"107,1900"</f>
        <v>107,1900</v>
      </c>
      <c r="M42" s="24" t="s">
        <v>545</v>
      </c>
    </row>
    <row r="43" spans="1:13">
      <c r="A43" s="25" t="s">
        <v>45</v>
      </c>
      <c r="B43" s="24" t="s">
        <v>546</v>
      </c>
      <c r="C43" s="24" t="s">
        <v>547</v>
      </c>
      <c r="D43" s="24" t="s">
        <v>292</v>
      </c>
      <c r="E43" s="24" t="s">
        <v>964</v>
      </c>
      <c r="F43" s="24" t="s">
        <v>907</v>
      </c>
      <c r="G43" s="26" t="s">
        <v>112</v>
      </c>
      <c r="H43" s="26" t="s">
        <v>35</v>
      </c>
      <c r="I43" s="26" t="s">
        <v>164</v>
      </c>
      <c r="J43" s="25"/>
      <c r="K43" s="30" t="str">
        <f>"145,0"</f>
        <v>145,0</v>
      </c>
      <c r="L43" s="25" t="str">
        <f>"103,3270"</f>
        <v>103,3270</v>
      </c>
      <c r="M43" s="24"/>
    </row>
    <row r="44" spans="1:13">
      <c r="A44" s="25" t="s">
        <v>213</v>
      </c>
      <c r="B44" s="24" t="s">
        <v>548</v>
      </c>
      <c r="C44" s="24" t="s">
        <v>549</v>
      </c>
      <c r="D44" s="24" t="s">
        <v>550</v>
      </c>
      <c r="E44" s="24" t="s">
        <v>964</v>
      </c>
      <c r="F44" s="24" t="s">
        <v>904</v>
      </c>
      <c r="G44" s="26" t="s">
        <v>34</v>
      </c>
      <c r="H44" s="26" t="s">
        <v>67</v>
      </c>
      <c r="I44" s="26" t="s">
        <v>112</v>
      </c>
      <c r="J44" s="25"/>
      <c r="K44" s="30" t="str">
        <f>"140,0"</f>
        <v>140,0</v>
      </c>
      <c r="L44" s="25" t="str">
        <f>"102,2980"</f>
        <v>102,2980</v>
      </c>
      <c r="M44" s="24"/>
    </row>
    <row r="45" spans="1:13">
      <c r="A45" s="25" t="s">
        <v>405</v>
      </c>
      <c r="B45" s="24" t="s">
        <v>551</v>
      </c>
      <c r="C45" s="24" t="s">
        <v>552</v>
      </c>
      <c r="D45" s="24" t="s">
        <v>553</v>
      </c>
      <c r="E45" s="24" t="s">
        <v>964</v>
      </c>
      <c r="F45" s="24" t="s">
        <v>898</v>
      </c>
      <c r="G45" s="26" t="s">
        <v>55</v>
      </c>
      <c r="H45" s="26" t="s">
        <v>74</v>
      </c>
      <c r="I45" s="26" t="s">
        <v>67</v>
      </c>
      <c r="J45" s="25"/>
      <c r="K45" s="30" t="str">
        <f>"137,5"</f>
        <v>137,5</v>
      </c>
      <c r="L45" s="25" t="str">
        <f>"98,1613"</f>
        <v>98,1613</v>
      </c>
      <c r="M45" s="24"/>
    </row>
    <row r="46" spans="1:13">
      <c r="A46" s="25" t="s">
        <v>406</v>
      </c>
      <c r="B46" s="24" t="s">
        <v>541</v>
      </c>
      <c r="C46" s="24" t="s">
        <v>554</v>
      </c>
      <c r="D46" s="24" t="s">
        <v>276</v>
      </c>
      <c r="E46" s="24" t="s">
        <v>964</v>
      </c>
      <c r="F46" s="24" t="s">
        <v>922</v>
      </c>
      <c r="G46" s="26" t="s">
        <v>55</v>
      </c>
      <c r="H46" s="27" t="s">
        <v>74</v>
      </c>
      <c r="I46" s="27" t="s">
        <v>74</v>
      </c>
      <c r="J46" s="25"/>
      <c r="K46" s="30" t="str">
        <f>"125,0"</f>
        <v>125,0</v>
      </c>
      <c r="L46" s="25" t="str">
        <f>"89,6625"</f>
        <v>89,6625</v>
      </c>
      <c r="M46" s="24" t="s">
        <v>882</v>
      </c>
    </row>
    <row r="47" spans="1:13">
      <c r="A47" s="25" t="s">
        <v>407</v>
      </c>
      <c r="B47" s="24" t="s">
        <v>555</v>
      </c>
      <c r="C47" s="24" t="s">
        <v>474</v>
      </c>
      <c r="D47" s="24" t="s">
        <v>556</v>
      </c>
      <c r="E47" s="24" t="s">
        <v>964</v>
      </c>
      <c r="F47" s="24" t="s">
        <v>898</v>
      </c>
      <c r="G47" s="26" t="s">
        <v>142</v>
      </c>
      <c r="H47" s="26" t="s">
        <v>64</v>
      </c>
      <c r="I47" s="27" t="s">
        <v>55</v>
      </c>
      <c r="J47" s="25"/>
      <c r="K47" s="30" t="str">
        <f>"122,5"</f>
        <v>122,5</v>
      </c>
      <c r="L47" s="25" t="str">
        <f>"89,6088"</f>
        <v>89,6088</v>
      </c>
      <c r="M47" s="24"/>
    </row>
    <row r="48" spans="1:13">
      <c r="A48" s="25" t="s">
        <v>408</v>
      </c>
      <c r="B48" s="24" t="s">
        <v>557</v>
      </c>
      <c r="C48" s="24" t="s">
        <v>558</v>
      </c>
      <c r="D48" s="24" t="s">
        <v>559</v>
      </c>
      <c r="E48" s="24" t="s">
        <v>964</v>
      </c>
      <c r="F48" s="24" t="s">
        <v>898</v>
      </c>
      <c r="G48" s="27" t="s">
        <v>84</v>
      </c>
      <c r="H48" s="26" t="s">
        <v>98</v>
      </c>
      <c r="I48" s="26" t="s">
        <v>142</v>
      </c>
      <c r="J48" s="25"/>
      <c r="K48" s="30" t="str">
        <f>"120,0"</f>
        <v>120,0</v>
      </c>
      <c r="L48" s="25" t="str">
        <f>"86,6520"</f>
        <v>86,6520</v>
      </c>
      <c r="M48" s="24"/>
    </row>
    <row r="49" spans="1:13">
      <c r="A49" s="25" t="s">
        <v>409</v>
      </c>
      <c r="B49" s="24" t="s">
        <v>560</v>
      </c>
      <c r="C49" s="24" t="s">
        <v>561</v>
      </c>
      <c r="D49" s="24" t="s">
        <v>562</v>
      </c>
      <c r="E49" s="24" t="s">
        <v>964</v>
      </c>
      <c r="F49" s="24" t="s">
        <v>936</v>
      </c>
      <c r="G49" s="26" t="s">
        <v>98</v>
      </c>
      <c r="H49" s="26" t="s">
        <v>63</v>
      </c>
      <c r="I49" s="26" t="s">
        <v>141</v>
      </c>
      <c r="J49" s="25"/>
      <c r="K49" s="30" t="str">
        <f>"117,5"</f>
        <v>117,5</v>
      </c>
      <c r="L49" s="25" t="str">
        <f>"84,3532"</f>
        <v>84,3532</v>
      </c>
      <c r="M49" s="24"/>
    </row>
    <row r="50" spans="1:13">
      <c r="A50" s="25" t="s">
        <v>20</v>
      </c>
      <c r="B50" s="24" t="s">
        <v>551</v>
      </c>
      <c r="C50" s="24" t="s">
        <v>563</v>
      </c>
      <c r="D50" s="24" t="s">
        <v>553</v>
      </c>
      <c r="E50" s="24" t="s">
        <v>965</v>
      </c>
      <c r="F50" s="24" t="s">
        <v>898</v>
      </c>
      <c r="G50" s="26" t="s">
        <v>55</v>
      </c>
      <c r="H50" s="26" t="s">
        <v>74</v>
      </c>
      <c r="I50" s="26" t="s">
        <v>67</v>
      </c>
      <c r="J50" s="25"/>
      <c r="K50" s="30" t="str">
        <f>"137,5"</f>
        <v>137,5</v>
      </c>
      <c r="L50" s="25" t="str">
        <f>"99,5355"</f>
        <v>99,5355</v>
      </c>
      <c r="M50" s="24"/>
    </row>
    <row r="51" spans="1:13">
      <c r="A51" s="25" t="s">
        <v>45</v>
      </c>
      <c r="B51" s="24" t="s">
        <v>564</v>
      </c>
      <c r="C51" s="24" t="s">
        <v>565</v>
      </c>
      <c r="D51" s="24" t="s">
        <v>566</v>
      </c>
      <c r="E51" s="24" t="s">
        <v>965</v>
      </c>
      <c r="F51" s="24" t="s">
        <v>937</v>
      </c>
      <c r="G51" s="26" t="s">
        <v>99</v>
      </c>
      <c r="H51" s="26" t="s">
        <v>141</v>
      </c>
      <c r="I51" s="26" t="s">
        <v>64</v>
      </c>
      <c r="J51" s="25"/>
      <c r="K51" s="30" t="str">
        <f>"122,5"</f>
        <v>122,5</v>
      </c>
      <c r="L51" s="25" t="str">
        <f>"90,4933"</f>
        <v>90,4933</v>
      </c>
      <c r="M51" s="24"/>
    </row>
    <row r="52" spans="1:13">
      <c r="A52" s="10" t="s">
        <v>20</v>
      </c>
      <c r="B52" s="9" t="s">
        <v>567</v>
      </c>
      <c r="C52" s="9" t="s">
        <v>568</v>
      </c>
      <c r="D52" s="9" t="s">
        <v>569</v>
      </c>
      <c r="E52" s="9" t="s">
        <v>970</v>
      </c>
      <c r="F52" s="9" t="s">
        <v>907</v>
      </c>
      <c r="G52" s="20" t="s">
        <v>111</v>
      </c>
      <c r="H52" s="20" t="s">
        <v>84</v>
      </c>
      <c r="I52" s="20" t="s">
        <v>98</v>
      </c>
      <c r="J52" s="10"/>
      <c r="K52" s="31" t="str">
        <f>"110,0"</f>
        <v>110,0</v>
      </c>
      <c r="L52" s="10" t="str">
        <f>"135,1636"</f>
        <v>135,1636</v>
      </c>
      <c r="M52" s="9"/>
    </row>
    <row r="53" spans="1:13">
      <c r="B53" s="5" t="s">
        <v>21</v>
      </c>
    </row>
    <row r="54" spans="1:13" ht="16">
      <c r="A54" s="33" t="s">
        <v>128</v>
      </c>
      <c r="B54" s="33"/>
      <c r="C54" s="34"/>
      <c r="D54" s="34"/>
      <c r="E54" s="34"/>
      <c r="F54" s="34"/>
      <c r="G54" s="34"/>
      <c r="H54" s="34"/>
      <c r="I54" s="34"/>
      <c r="J54" s="34"/>
    </row>
    <row r="55" spans="1:13">
      <c r="A55" s="8" t="s">
        <v>20</v>
      </c>
      <c r="B55" s="7" t="s">
        <v>570</v>
      </c>
      <c r="C55" s="7" t="s">
        <v>571</v>
      </c>
      <c r="D55" s="7" t="s">
        <v>307</v>
      </c>
      <c r="E55" s="7" t="s">
        <v>967</v>
      </c>
      <c r="F55" s="7" t="s">
        <v>898</v>
      </c>
      <c r="G55" s="18" t="s">
        <v>64</v>
      </c>
      <c r="H55" s="19" t="s">
        <v>234</v>
      </c>
      <c r="I55" s="19" t="s">
        <v>234</v>
      </c>
      <c r="J55" s="8"/>
      <c r="K55" s="29" t="str">
        <f>"122,5"</f>
        <v>122,5</v>
      </c>
      <c r="L55" s="8" t="str">
        <f>"82,4915"</f>
        <v>82,4915</v>
      </c>
      <c r="M55" s="7"/>
    </row>
    <row r="56" spans="1:13">
      <c r="A56" s="25" t="s">
        <v>20</v>
      </c>
      <c r="B56" s="24" t="s">
        <v>572</v>
      </c>
      <c r="C56" s="24" t="s">
        <v>573</v>
      </c>
      <c r="D56" s="24" t="s">
        <v>574</v>
      </c>
      <c r="E56" s="24" t="s">
        <v>964</v>
      </c>
      <c r="F56" s="24" t="s">
        <v>898</v>
      </c>
      <c r="G56" s="26" t="s">
        <v>112</v>
      </c>
      <c r="H56" s="26" t="s">
        <v>164</v>
      </c>
      <c r="I56" s="26" t="s">
        <v>36</v>
      </c>
      <c r="J56" s="25"/>
      <c r="K56" s="30" t="str">
        <f>"150,0"</f>
        <v>150,0</v>
      </c>
      <c r="L56" s="25" t="str">
        <f>"103,1400"</f>
        <v>103,1400</v>
      </c>
      <c r="M56" s="24"/>
    </row>
    <row r="57" spans="1:13">
      <c r="A57" s="25" t="s">
        <v>45</v>
      </c>
      <c r="B57" s="24" t="s">
        <v>575</v>
      </c>
      <c r="C57" s="24" t="s">
        <v>576</v>
      </c>
      <c r="D57" s="24" t="s">
        <v>577</v>
      </c>
      <c r="E57" s="24" t="s">
        <v>964</v>
      </c>
      <c r="F57" s="24" t="s">
        <v>898</v>
      </c>
      <c r="G57" s="27" t="s">
        <v>55</v>
      </c>
      <c r="H57" s="27" t="s">
        <v>55</v>
      </c>
      <c r="I57" s="26" t="s">
        <v>55</v>
      </c>
      <c r="J57" s="25"/>
      <c r="K57" s="30" t="str">
        <f>"125,0"</f>
        <v>125,0</v>
      </c>
      <c r="L57" s="25" t="str">
        <f>"86,7375"</f>
        <v>86,7375</v>
      </c>
      <c r="M57" s="24" t="s">
        <v>261</v>
      </c>
    </row>
    <row r="58" spans="1:13">
      <c r="A58" s="25" t="s">
        <v>213</v>
      </c>
      <c r="B58" s="24" t="s">
        <v>578</v>
      </c>
      <c r="C58" s="24" t="s">
        <v>579</v>
      </c>
      <c r="D58" s="24" t="s">
        <v>574</v>
      </c>
      <c r="E58" s="24" t="s">
        <v>964</v>
      </c>
      <c r="F58" s="24" t="s">
        <v>898</v>
      </c>
      <c r="G58" s="26" t="s">
        <v>141</v>
      </c>
      <c r="H58" s="26" t="s">
        <v>64</v>
      </c>
      <c r="I58" s="27" t="s">
        <v>234</v>
      </c>
      <c r="J58" s="25"/>
      <c r="K58" s="30" t="str">
        <f>"122,5"</f>
        <v>122,5</v>
      </c>
      <c r="L58" s="25" t="str">
        <f>"84,2310"</f>
        <v>84,2310</v>
      </c>
      <c r="M58" s="24" t="s">
        <v>372</v>
      </c>
    </row>
    <row r="59" spans="1:13">
      <c r="A59" s="25" t="s">
        <v>405</v>
      </c>
      <c r="B59" s="24" t="s">
        <v>580</v>
      </c>
      <c r="C59" s="24" t="s">
        <v>581</v>
      </c>
      <c r="D59" s="24" t="s">
        <v>582</v>
      </c>
      <c r="E59" s="24" t="s">
        <v>964</v>
      </c>
      <c r="F59" s="24" t="s">
        <v>898</v>
      </c>
      <c r="G59" s="26" t="s">
        <v>98</v>
      </c>
      <c r="H59" s="26" t="s">
        <v>63</v>
      </c>
      <c r="I59" s="27" t="s">
        <v>142</v>
      </c>
      <c r="J59" s="25"/>
      <c r="K59" s="30" t="str">
        <f>"115,0"</f>
        <v>115,0</v>
      </c>
      <c r="L59" s="25" t="str">
        <f>"79,5340"</f>
        <v>79,5340</v>
      </c>
      <c r="M59" s="24" t="s">
        <v>261</v>
      </c>
    </row>
    <row r="60" spans="1:13">
      <c r="A60" s="10" t="s">
        <v>20</v>
      </c>
      <c r="B60" s="9" t="s">
        <v>575</v>
      </c>
      <c r="C60" s="9" t="s">
        <v>583</v>
      </c>
      <c r="D60" s="9" t="s">
        <v>577</v>
      </c>
      <c r="E60" s="9" t="s">
        <v>965</v>
      </c>
      <c r="F60" s="9" t="s">
        <v>898</v>
      </c>
      <c r="G60" s="21" t="s">
        <v>55</v>
      </c>
      <c r="H60" s="21" t="s">
        <v>55</v>
      </c>
      <c r="I60" s="20" t="s">
        <v>55</v>
      </c>
      <c r="J60" s="10"/>
      <c r="K60" s="31" t="str">
        <f>"125,0"</f>
        <v>125,0</v>
      </c>
      <c r="L60" s="10" t="str">
        <f>"86,7375"</f>
        <v>86,7375</v>
      </c>
      <c r="M60" s="9" t="s">
        <v>261</v>
      </c>
    </row>
    <row r="61" spans="1:13">
      <c r="B61" s="5" t="s">
        <v>21</v>
      </c>
    </row>
    <row r="62" spans="1:13" ht="16">
      <c r="A62" s="33" t="s">
        <v>47</v>
      </c>
      <c r="B62" s="33"/>
      <c r="C62" s="34"/>
      <c r="D62" s="34"/>
      <c r="E62" s="34"/>
      <c r="F62" s="34"/>
      <c r="G62" s="34"/>
      <c r="H62" s="34"/>
      <c r="I62" s="34"/>
      <c r="J62" s="34"/>
    </row>
    <row r="63" spans="1:13">
      <c r="A63" s="8" t="s">
        <v>20</v>
      </c>
      <c r="B63" s="7" t="s">
        <v>584</v>
      </c>
      <c r="C63" s="7" t="s">
        <v>585</v>
      </c>
      <c r="D63" s="7" t="s">
        <v>349</v>
      </c>
      <c r="E63" s="7" t="s">
        <v>964</v>
      </c>
      <c r="F63" s="7" t="s">
        <v>898</v>
      </c>
      <c r="G63" s="18" t="s">
        <v>164</v>
      </c>
      <c r="H63" s="18" t="s">
        <v>36</v>
      </c>
      <c r="I63" s="19" t="s">
        <v>192</v>
      </c>
      <c r="J63" s="8"/>
      <c r="K63" s="29" t="str">
        <f>"150,0"</f>
        <v>150,0</v>
      </c>
      <c r="L63" s="8" t="str">
        <f>"96,4800"</f>
        <v>96,4800</v>
      </c>
      <c r="M63" s="7" t="s">
        <v>586</v>
      </c>
    </row>
    <row r="64" spans="1:13">
      <c r="A64" s="25" t="s">
        <v>45</v>
      </c>
      <c r="B64" s="24" t="s">
        <v>587</v>
      </c>
      <c r="C64" s="24" t="s">
        <v>588</v>
      </c>
      <c r="D64" s="24" t="s">
        <v>589</v>
      </c>
      <c r="E64" s="24" t="s">
        <v>964</v>
      </c>
      <c r="F64" s="24" t="s">
        <v>898</v>
      </c>
      <c r="G64" s="26" t="s">
        <v>234</v>
      </c>
      <c r="H64" s="26" t="s">
        <v>245</v>
      </c>
      <c r="I64" s="26" t="s">
        <v>67</v>
      </c>
      <c r="J64" s="25"/>
      <c r="K64" s="30" t="str">
        <f>"137,5"</f>
        <v>137,5</v>
      </c>
      <c r="L64" s="25" t="str">
        <f>"88,6050"</f>
        <v>88,6050</v>
      </c>
      <c r="M64" s="24" t="s">
        <v>590</v>
      </c>
    </row>
    <row r="65" spans="1:13">
      <c r="A65" s="25" t="s">
        <v>213</v>
      </c>
      <c r="B65" s="24" t="s">
        <v>591</v>
      </c>
      <c r="C65" s="24" t="s">
        <v>592</v>
      </c>
      <c r="D65" s="24" t="s">
        <v>163</v>
      </c>
      <c r="E65" s="24" t="s">
        <v>964</v>
      </c>
      <c r="F65" s="24" t="s">
        <v>938</v>
      </c>
      <c r="G65" s="26" t="s">
        <v>245</v>
      </c>
      <c r="H65" s="27" t="s">
        <v>164</v>
      </c>
      <c r="I65" s="27" t="s">
        <v>164</v>
      </c>
      <c r="J65" s="25"/>
      <c r="K65" s="30" t="str">
        <f>"132,5"</f>
        <v>132,5</v>
      </c>
      <c r="L65" s="25" t="str">
        <f>"85,5288"</f>
        <v>85,5288</v>
      </c>
      <c r="M65" s="24"/>
    </row>
    <row r="66" spans="1:13">
      <c r="A66" s="25" t="s">
        <v>405</v>
      </c>
      <c r="B66" s="24" t="s">
        <v>593</v>
      </c>
      <c r="C66" s="24" t="s">
        <v>594</v>
      </c>
      <c r="D66" s="24" t="s">
        <v>320</v>
      </c>
      <c r="E66" s="24" t="s">
        <v>964</v>
      </c>
      <c r="F66" s="24" t="s">
        <v>898</v>
      </c>
      <c r="G66" s="27" t="s">
        <v>245</v>
      </c>
      <c r="H66" s="27" t="s">
        <v>245</v>
      </c>
      <c r="I66" s="26" t="s">
        <v>245</v>
      </c>
      <c r="J66" s="25"/>
      <c r="K66" s="30" t="str">
        <f>"132,5"</f>
        <v>132,5</v>
      </c>
      <c r="L66" s="25" t="str">
        <f>"84,7338"</f>
        <v>84,7338</v>
      </c>
      <c r="M66" s="24"/>
    </row>
    <row r="67" spans="1:13">
      <c r="A67" s="25" t="s">
        <v>406</v>
      </c>
      <c r="B67" s="24" t="s">
        <v>595</v>
      </c>
      <c r="C67" s="24" t="s">
        <v>596</v>
      </c>
      <c r="D67" s="24" t="s">
        <v>597</v>
      </c>
      <c r="E67" s="24" t="s">
        <v>964</v>
      </c>
      <c r="F67" s="24" t="s">
        <v>898</v>
      </c>
      <c r="G67" s="26" t="s">
        <v>55</v>
      </c>
      <c r="H67" s="27" t="s">
        <v>245</v>
      </c>
      <c r="I67" s="27" t="s">
        <v>245</v>
      </c>
      <c r="J67" s="25"/>
      <c r="K67" s="30" t="str">
        <f>"125,0"</f>
        <v>125,0</v>
      </c>
      <c r="L67" s="25" t="str">
        <f>"80,7375"</f>
        <v>80,7375</v>
      </c>
      <c r="M67" s="24"/>
    </row>
    <row r="68" spans="1:13">
      <c r="A68" s="25" t="s">
        <v>20</v>
      </c>
      <c r="B68" s="24" t="s">
        <v>598</v>
      </c>
      <c r="C68" s="24" t="s">
        <v>599</v>
      </c>
      <c r="D68" s="24" t="s">
        <v>314</v>
      </c>
      <c r="E68" s="24" t="s">
        <v>965</v>
      </c>
      <c r="F68" s="24" t="s">
        <v>898</v>
      </c>
      <c r="G68" s="26" t="s">
        <v>112</v>
      </c>
      <c r="H68" s="27" t="s">
        <v>37</v>
      </c>
      <c r="I68" s="27" t="s">
        <v>37</v>
      </c>
      <c r="J68" s="25"/>
      <c r="K68" s="30" t="str">
        <f>"140,0"</f>
        <v>140,0</v>
      </c>
      <c r="L68" s="25" t="str">
        <f>"89,4320"</f>
        <v>89,4320</v>
      </c>
      <c r="M68" s="24"/>
    </row>
    <row r="69" spans="1:13">
      <c r="A69" s="25" t="s">
        <v>45</v>
      </c>
      <c r="B69" s="24" t="s">
        <v>354</v>
      </c>
      <c r="C69" s="24" t="s">
        <v>355</v>
      </c>
      <c r="D69" s="24" t="s">
        <v>356</v>
      </c>
      <c r="E69" s="24" t="s">
        <v>965</v>
      </c>
      <c r="F69" s="24" t="s">
        <v>898</v>
      </c>
      <c r="G69" s="26" t="s">
        <v>98</v>
      </c>
      <c r="H69" s="26" t="s">
        <v>142</v>
      </c>
      <c r="I69" s="27" t="s">
        <v>55</v>
      </c>
      <c r="J69" s="25"/>
      <c r="K69" s="30" t="str">
        <f>"120,0"</f>
        <v>120,0</v>
      </c>
      <c r="L69" s="25" t="str">
        <f>"82,2602"</f>
        <v>82,2602</v>
      </c>
      <c r="M69" s="24"/>
    </row>
    <row r="70" spans="1:13">
      <c r="A70" s="25" t="s">
        <v>20</v>
      </c>
      <c r="B70" s="24" t="s">
        <v>600</v>
      </c>
      <c r="C70" s="24" t="s">
        <v>601</v>
      </c>
      <c r="D70" s="24" t="s">
        <v>602</v>
      </c>
      <c r="E70" s="24" t="s">
        <v>969</v>
      </c>
      <c r="F70" s="24" t="s">
        <v>898</v>
      </c>
      <c r="G70" s="26" t="s">
        <v>142</v>
      </c>
      <c r="H70" s="27" t="s">
        <v>64</v>
      </c>
      <c r="I70" s="25"/>
      <c r="J70" s="25"/>
      <c r="K70" s="30" t="str">
        <f>"120,0"</f>
        <v>120,0</v>
      </c>
      <c r="L70" s="25" t="str">
        <f>"102,6559"</f>
        <v>102,6559</v>
      </c>
      <c r="M70" s="24"/>
    </row>
    <row r="71" spans="1:13">
      <c r="A71" s="10" t="s">
        <v>20</v>
      </c>
      <c r="B71" s="9" t="s">
        <v>603</v>
      </c>
      <c r="C71" s="9" t="s">
        <v>604</v>
      </c>
      <c r="D71" s="9" t="s">
        <v>605</v>
      </c>
      <c r="E71" s="9" t="s">
        <v>968</v>
      </c>
      <c r="F71" s="9" t="s">
        <v>898</v>
      </c>
      <c r="G71" s="20" t="s">
        <v>36</v>
      </c>
      <c r="H71" s="21" t="s">
        <v>113</v>
      </c>
      <c r="I71" s="10"/>
      <c r="J71" s="10"/>
      <c r="K71" s="31" t="str">
        <f>"150,0"</f>
        <v>150,0</v>
      </c>
      <c r="L71" s="10" t="str">
        <f>"139,8600"</f>
        <v>139,8600</v>
      </c>
      <c r="M71" s="9"/>
    </row>
    <row r="72" spans="1:13">
      <c r="B72" s="5" t="s">
        <v>21</v>
      </c>
    </row>
    <row r="73" spans="1:13" ht="16">
      <c r="A73" s="33" t="s">
        <v>6</v>
      </c>
      <c r="B73" s="33"/>
      <c r="C73" s="34"/>
      <c r="D73" s="34"/>
      <c r="E73" s="34"/>
      <c r="F73" s="34"/>
      <c r="G73" s="34"/>
      <c r="H73" s="34"/>
      <c r="I73" s="34"/>
      <c r="J73" s="34"/>
    </row>
    <row r="74" spans="1:13">
      <c r="A74" s="8" t="s">
        <v>20</v>
      </c>
      <c r="B74" s="7" t="s">
        <v>418</v>
      </c>
      <c r="C74" s="7" t="s">
        <v>419</v>
      </c>
      <c r="D74" s="7" t="s">
        <v>420</v>
      </c>
      <c r="E74" s="7" t="s">
        <v>964</v>
      </c>
      <c r="F74" s="7" t="s">
        <v>939</v>
      </c>
      <c r="G74" s="18" t="s">
        <v>132</v>
      </c>
      <c r="H74" s="19" t="s">
        <v>133</v>
      </c>
      <c r="I74" s="19" t="s">
        <v>133</v>
      </c>
      <c r="J74" s="8"/>
      <c r="K74" s="29" t="str">
        <f>"200,0"</f>
        <v>200,0</v>
      </c>
      <c r="L74" s="8" t="str">
        <f>"125,2600"</f>
        <v>125,2600</v>
      </c>
      <c r="M74" s="7" t="s">
        <v>179</v>
      </c>
    </row>
    <row r="75" spans="1:13">
      <c r="A75" s="25" t="s">
        <v>45</v>
      </c>
      <c r="B75" s="24" t="s">
        <v>606</v>
      </c>
      <c r="C75" s="24" t="s">
        <v>607</v>
      </c>
      <c r="D75" s="24" t="s">
        <v>182</v>
      </c>
      <c r="E75" s="24" t="s">
        <v>964</v>
      </c>
      <c r="F75" s="24" t="s">
        <v>898</v>
      </c>
      <c r="G75" s="26" t="s">
        <v>39</v>
      </c>
      <c r="H75" s="26" t="s">
        <v>135</v>
      </c>
      <c r="I75" s="27" t="s">
        <v>40</v>
      </c>
      <c r="J75" s="25"/>
      <c r="K75" s="30" t="str">
        <f>"165,0"</f>
        <v>165,0</v>
      </c>
      <c r="L75" s="25" t="str">
        <f>"100,7490"</f>
        <v>100,7490</v>
      </c>
      <c r="M75" s="24"/>
    </row>
    <row r="76" spans="1:13">
      <c r="A76" s="25" t="s">
        <v>213</v>
      </c>
      <c r="B76" s="24" t="s">
        <v>368</v>
      </c>
      <c r="C76" s="24" t="s">
        <v>369</v>
      </c>
      <c r="D76" s="24" t="s">
        <v>370</v>
      </c>
      <c r="E76" s="24" t="s">
        <v>964</v>
      </c>
      <c r="F76" s="24" t="s">
        <v>898</v>
      </c>
      <c r="G76" s="27" t="s">
        <v>112</v>
      </c>
      <c r="H76" s="26" t="s">
        <v>164</v>
      </c>
      <c r="I76" s="27" t="s">
        <v>192</v>
      </c>
      <c r="J76" s="25"/>
      <c r="K76" s="30" t="str">
        <f>"145,0"</f>
        <v>145,0</v>
      </c>
      <c r="L76" s="25" t="str">
        <f>"90,1030"</f>
        <v>90,1030</v>
      </c>
      <c r="M76" s="24" t="s">
        <v>372</v>
      </c>
    </row>
    <row r="77" spans="1:13">
      <c r="A77" s="25" t="s">
        <v>405</v>
      </c>
      <c r="B77" s="24" t="s">
        <v>608</v>
      </c>
      <c r="C77" s="24" t="s">
        <v>609</v>
      </c>
      <c r="D77" s="24" t="s">
        <v>610</v>
      </c>
      <c r="E77" s="24" t="s">
        <v>964</v>
      </c>
      <c r="F77" s="24" t="s">
        <v>938</v>
      </c>
      <c r="G77" s="26" t="s">
        <v>112</v>
      </c>
      <c r="H77" s="27" t="s">
        <v>164</v>
      </c>
      <c r="I77" s="27" t="s">
        <v>37</v>
      </c>
      <c r="J77" s="25"/>
      <c r="K77" s="30" t="str">
        <f>"140,0"</f>
        <v>140,0</v>
      </c>
      <c r="L77" s="25" t="str">
        <f>"89,3200"</f>
        <v>89,3200</v>
      </c>
      <c r="M77" s="24"/>
    </row>
    <row r="78" spans="1:13">
      <c r="A78" s="25" t="s">
        <v>406</v>
      </c>
      <c r="B78" s="24" t="s">
        <v>611</v>
      </c>
      <c r="C78" s="24" t="s">
        <v>612</v>
      </c>
      <c r="D78" s="24" t="s">
        <v>182</v>
      </c>
      <c r="E78" s="24" t="s">
        <v>964</v>
      </c>
      <c r="F78" s="24" t="s">
        <v>898</v>
      </c>
      <c r="G78" s="27" t="s">
        <v>55</v>
      </c>
      <c r="H78" s="26" t="s">
        <v>34</v>
      </c>
      <c r="I78" s="26" t="s">
        <v>74</v>
      </c>
      <c r="J78" s="25"/>
      <c r="K78" s="30" t="str">
        <f>"135,0"</f>
        <v>135,0</v>
      </c>
      <c r="L78" s="25" t="str">
        <f>"82,4310"</f>
        <v>82,4310</v>
      </c>
      <c r="M78" s="24" t="s">
        <v>613</v>
      </c>
    </row>
    <row r="79" spans="1:13">
      <c r="A79" s="25" t="s">
        <v>20</v>
      </c>
      <c r="B79" s="24" t="s">
        <v>614</v>
      </c>
      <c r="C79" s="24" t="s">
        <v>615</v>
      </c>
      <c r="D79" s="24" t="s">
        <v>616</v>
      </c>
      <c r="E79" s="24" t="s">
        <v>965</v>
      </c>
      <c r="F79" s="24" t="s">
        <v>940</v>
      </c>
      <c r="G79" s="26" t="s">
        <v>40</v>
      </c>
      <c r="H79" s="27" t="s">
        <v>197</v>
      </c>
      <c r="I79" s="27" t="s">
        <v>197</v>
      </c>
      <c r="J79" s="25"/>
      <c r="K79" s="30" t="str">
        <f>"170,0"</f>
        <v>170,0</v>
      </c>
      <c r="L79" s="25" t="str">
        <f>"110,0908"</f>
        <v>110,0908</v>
      </c>
      <c r="M79" s="24"/>
    </row>
    <row r="80" spans="1:13">
      <c r="A80" s="25" t="s">
        <v>45</v>
      </c>
      <c r="B80" s="24" t="s">
        <v>606</v>
      </c>
      <c r="C80" s="24" t="s">
        <v>617</v>
      </c>
      <c r="D80" s="24" t="s">
        <v>182</v>
      </c>
      <c r="E80" s="24" t="s">
        <v>965</v>
      </c>
      <c r="F80" s="24" t="s">
        <v>898</v>
      </c>
      <c r="G80" s="26" t="s">
        <v>39</v>
      </c>
      <c r="H80" s="26" t="s">
        <v>135</v>
      </c>
      <c r="I80" s="27" t="s">
        <v>40</v>
      </c>
      <c r="J80" s="25"/>
      <c r="K80" s="30" t="str">
        <f>"165,0"</f>
        <v>165,0</v>
      </c>
      <c r="L80" s="25" t="str">
        <f>"110,4209"</f>
        <v>110,4209</v>
      </c>
      <c r="M80" s="24"/>
    </row>
    <row r="81" spans="1:13">
      <c r="A81" s="25" t="s">
        <v>213</v>
      </c>
      <c r="B81" s="24" t="s">
        <v>618</v>
      </c>
      <c r="C81" s="24" t="s">
        <v>619</v>
      </c>
      <c r="D81" s="24" t="s">
        <v>620</v>
      </c>
      <c r="E81" s="24" t="s">
        <v>965</v>
      </c>
      <c r="F81" s="24" t="s">
        <v>898</v>
      </c>
      <c r="G81" s="26" t="s">
        <v>112</v>
      </c>
      <c r="H81" s="27" t="s">
        <v>35</v>
      </c>
      <c r="I81" s="27" t="s">
        <v>35</v>
      </c>
      <c r="J81" s="25"/>
      <c r="K81" s="30" t="str">
        <f>"140,0"</f>
        <v>140,0</v>
      </c>
      <c r="L81" s="25" t="str">
        <f>"88,4269"</f>
        <v>88,4269</v>
      </c>
      <c r="M81" s="24" t="s">
        <v>621</v>
      </c>
    </row>
    <row r="82" spans="1:13">
      <c r="A82" s="25" t="s">
        <v>405</v>
      </c>
      <c r="B82" s="24" t="s">
        <v>622</v>
      </c>
      <c r="C82" s="24" t="s">
        <v>623</v>
      </c>
      <c r="D82" s="24" t="s">
        <v>189</v>
      </c>
      <c r="E82" s="24" t="s">
        <v>965</v>
      </c>
      <c r="F82" s="24" t="s">
        <v>898</v>
      </c>
      <c r="G82" s="26" t="s">
        <v>112</v>
      </c>
      <c r="H82" s="27" t="s">
        <v>36</v>
      </c>
      <c r="I82" s="27" t="s">
        <v>36</v>
      </c>
      <c r="J82" s="25"/>
      <c r="K82" s="30" t="str">
        <f>"140,0"</f>
        <v>140,0</v>
      </c>
      <c r="L82" s="25" t="str">
        <f>"88,3525"</f>
        <v>88,3525</v>
      </c>
      <c r="M82" s="24" t="s">
        <v>160</v>
      </c>
    </row>
    <row r="83" spans="1:13">
      <c r="A83" s="10" t="s">
        <v>20</v>
      </c>
      <c r="B83" s="9" t="s">
        <v>418</v>
      </c>
      <c r="C83" s="9" t="s">
        <v>421</v>
      </c>
      <c r="D83" s="9" t="s">
        <v>420</v>
      </c>
      <c r="E83" s="9" t="s">
        <v>969</v>
      </c>
      <c r="F83" s="9" t="s">
        <v>939</v>
      </c>
      <c r="G83" s="20" t="s">
        <v>132</v>
      </c>
      <c r="H83" s="21" t="s">
        <v>133</v>
      </c>
      <c r="I83" s="21" t="s">
        <v>133</v>
      </c>
      <c r="J83" s="10"/>
      <c r="K83" s="31" t="str">
        <f>"200,0"</f>
        <v>200,0</v>
      </c>
      <c r="L83" s="10" t="str">
        <f>"162,4622"</f>
        <v>162,4622</v>
      </c>
      <c r="M83" s="9" t="s">
        <v>179</v>
      </c>
    </row>
    <row r="84" spans="1:13">
      <c r="B84" s="5" t="s">
        <v>21</v>
      </c>
    </row>
    <row r="85" spans="1:13" ht="16">
      <c r="A85" s="33" t="s">
        <v>7</v>
      </c>
      <c r="B85" s="33"/>
      <c r="C85" s="34"/>
      <c r="D85" s="34"/>
      <c r="E85" s="34"/>
      <c r="F85" s="34"/>
      <c r="G85" s="34"/>
      <c r="H85" s="34"/>
      <c r="I85" s="34"/>
      <c r="J85" s="34"/>
    </row>
    <row r="86" spans="1:13">
      <c r="A86" s="8" t="s">
        <v>20</v>
      </c>
      <c r="B86" s="7" t="s">
        <v>625</v>
      </c>
      <c r="C86" s="7" t="s">
        <v>626</v>
      </c>
      <c r="D86" s="7" t="s">
        <v>627</v>
      </c>
      <c r="E86" s="7" t="s">
        <v>964</v>
      </c>
      <c r="F86" s="7" t="s">
        <v>898</v>
      </c>
      <c r="G86" s="18" t="s">
        <v>135</v>
      </c>
      <c r="H86" s="19" t="s">
        <v>463</v>
      </c>
      <c r="I86" s="19" t="s">
        <v>463</v>
      </c>
      <c r="J86" s="8"/>
      <c r="K86" s="29" t="str">
        <f>"165,0"</f>
        <v>165,0</v>
      </c>
      <c r="L86" s="8" t="str">
        <f>"98,5710"</f>
        <v>98,5710</v>
      </c>
      <c r="M86" s="7"/>
    </row>
    <row r="87" spans="1:13">
      <c r="A87" s="25" t="s">
        <v>45</v>
      </c>
      <c r="B87" s="24" t="s">
        <v>628</v>
      </c>
      <c r="C87" s="24" t="s">
        <v>465</v>
      </c>
      <c r="D87" s="24" t="s">
        <v>629</v>
      </c>
      <c r="E87" s="24" t="s">
        <v>964</v>
      </c>
      <c r="F87" s="24" t="s">
        <v>938</v>
      </c>
      <c r="G87" s="26" t="s">
        <v>36</v>
      </c>
      <c r="H87" s="26" t="s">
        <v>113</v>
      </c>
      <c r="I87" s="27" t="s">
        <v>39</v>
      </c>
      <c r="J87" s="25"/>
      <c r="K87" s="30" t="str">
        <f>"155,0"</f>
        <v>155,0</v>
      </c>
      <c r="L87" s="25" t="str">
        <f>"92,9070"</f>
        <v>92,9070</v>
      </c>
      <c r="M87" s="24"/>
    </row>
    <row r="88" spans="1:13">
      <c r="A88" s="25" t="s">
        <v>213</v>
      </c>
      <c r="B88" s="24" t="s">
        <v>630</v>
      </c>
      <c r="C88" s="24" t="s">
        <v>631</v>
      </c>
      <c r="D88" s="24" t="s">
        <v>632</v>
      </c>
      <c r="E88" s="24" t="s">
        <v>964</v>
      </c>
      <c r="F88" s="24" t="s">
        <v>898</v>
      </c>
      <c r="G88" s="26" t="s">
        <v>36</v>
      </c>
      <c r="H88" s="27" t="s">
        <v>38</v>
      </c>
      <c r="I88" s="27" t="s">
        <v>38</v>
      </c>
      <c r="J88" s="25"/>
      <c r="K88" s="30" t="str">
        <f>"150,0"</f>
        <v>150,0</v>
      </c>
      <c r="L88" s="25" t="str">
        <f>"89,5500"</f>
        <v>89,5500</v>
      </c>
      <c r="M88" s="24"/>
    </row>
    <row r="89" spans="1:13">
      <c r="A89" s="25" t="s">
        <v>405</v>
      </c>
      <c r="B89" s="24" t="s">
        <v>633</v>
      </c>
      <c r="C89" s="24" t="s">
        <v>634</v>
      </c>
      <c r="D89" s="24" t="s">
        <v>200</v>
      </c>
      <c r="E89" s="24" t="s">
        <v>964</v>
      </c>
      <c r="F89" s="24" t="s">
        <v>898</v>
      </c>
      <c r="G89" s="26" t="s">
        <v>99</v>
      </c>
      <c r="H89" s="26" t="s">
        <v>142</v>
      </c>
      <c r="I89" s="26" t="s">
        <v>55</v>
      </c>
      <c r="J89" s="25"/>
      <c r="K89" s="30" t="str">
        <f>"125,0"</f>
        <v>125,0</v>
      </c>
      <c r="L89" s="25" t="str">
        <f>"74,1875"</f>
        <v>74,1875</v>
      </c>
      <c r="M89" s="24" t="s">
        <v>179</v>
      </c>
    </row>
    <row r="90" spans="1:13">
      <c r="A90" s="25" t="s">
        <v>20</v>
      </c>
      <c r="B90" s="24" t="s">
        <v>635</v>
      </c>
      <c r="C90" s="24" t="s">
        <v>636</v>
      </c>
      <c r="D90" s="24" t="s">
        <v>637</v>
      </c>
      <c r="E90" s="24" t="s">
        <v>965</v>
      </c>
      <c r="F90" s="24" t="s">
        <v>898</v>
      </c>
      <c r="G90" s="26" t="s">
        <v>39</v>
      </c>
      <c r="H90" s="26" t="s">
        <v>136</v>
      </c>
      <c r="I90" s="26" t="s">
        <v>72</v>
      </c>
      <c r="J90" s="25"/>
      <c r="K90" s="30" t="str">
        <f>"175,0"</f>
        <v>175,0</v>
      </c>
      <c r="L90" s="25" t="str">
        <f>"108,1019"</f>
        <v>108,1019</v>
      </c>
      <c r="M90" s="24"/>
    </row>
    <row r="91" spans="1:13">
      <c r="A91" s="10" t="s">
        <v>45</v>
      </c>
      <c r="B91" s="9" t="s">
        <v>638</v>
      </c>
      <c r="C91" s="9" t="s">
        <v>639</v>
      </c>
      <c r="D91" s="9" t="s">
        <v>640</v>
      </c>
      <c r="E91" s="9" t="s">
        <v>965</v>
      </c>
      <c r="F91" s="9" t="s">
        <v>898</v>
      </c>
      <c r="G91" s="21" t="s">
        <v>112</v>
      </c>
      <c r="H91" s="20" t="s">
        <v>112</v>
      </c>
      <c r="I91" s="20" t="s">
        <v>37</v>
      </c>
      <c r="J91" s="10"/>
      <c r="K91" s="31" t="str">
        <f>"147,5"</f>
        <v>147,5</v>
      </c>
      <c r="L91" s="10" t="str">
        <f>"87,5342"</f>
        <v>87,5342</v>
      </c>
      <c r="M91" s="9" t="s">
        <v>641</v>
      </c>
    </row>
    <row r="92" spans="1:13">
      <c r="B92" s="5" t="s">
        <v>21</v>
      </c>
    </row>
    <row r="93" spans="1:13" ht="16">
      <c r="A93" s="33" t="s">
        <v>201</v>
      </c>
      <c r="B93" s="33"/>
      <c r="C93" s="34"/>
      <c r="D93" s="34"/>
      <c r="E93" s="34"/>
      <c r="F93" s="34"/>
      <c r="G93" s="34"/>
      <c r="H93" s="34"/>
      <c r="I93" s="34"/>
      <c r="J93" s="34"/>
    </row>
    <row r="94" spans="1:13">
      <c r="A94" s="8" t="s">
        <v>20</v>
      </c>
      <c r="B94" s="7" t="s">
        <v>642</v>
      </c>
      <c r="C94" s="7" t="s">
        <v>643</v>
      </c>
      <c r="D94" s="7" t="s">
        <v>644</v>
      </c>
      <c r="E94" s="7" t="s">
        <v>964</v>
      </c>
      <c r="F94" s="7" t="s">
        <v>898</v>
      </c>
      <c r="G94" s="18" t="s">
        <v>463</v>
      </c>
      <c r="H94" s="18" t="s">
        <v>371</v>
      </c>
      <c r="I94" s="18" t="s">
        <v>41</v>
      </c>
      <c r="J94" s="8"/>
      <c r="K94" s="29" t="str">
        <f>"180,0"</f>
        <v>180,0</v>
      </c>
      <c r="L94" s="8" t="str">
        <f>"103,6080"</f>
        <v>103,6080</v>
      </c>
      <c r="M94" s="7" t="s">
        <v>645</v>
      </c>
    </row>
    <row r="95" spans="1:13">
      <c r="A95" s="25" t="s">
        <v>45</v>
      </c>
      <c r="B95" s="24" t="s">
        <v>646</v>
      </c>
      <c r="C95" s="24" t="s">
        <v>647</v>
      </c>
      <c r="D95" s="24" t="s">
        <v>648</v>
      </c>
      <c r="E95" s="24" t="s">
        <v>964</v>
      </c>
      <c r="F95" s="24" t="s">
        <v>906</v>
      </c>
      <c r="G95" s="26" t="s">
        <v>40</v>
      </c>
      <c r="H95" s="26" t="s">
        <v>41</v>
      </c>
      <c r="I95" s="27" t="s">
        <v>197</v>
      </c>
      <c r="J95" s="25"/>
      <c r="K95" s="30" t="str">
        <f>"180,0"</f>
        <v>180,0</v>
      </c>
      <c r="L95" s="25" t="str">
        <f>"103,1220"</f>
        <v>103,1220</v>
      </c>
      <c r="M95" s="24"/>
    </row>
    <row r="96" spans="1:13">
      <c r="A96" s="25" t="s">
        <v>20</v>
      </c>
      <c r="B96" s="24" t="s">
        <v>649</v>
      </c>
      <c r="C96" s="24" t="s">
        <v>650</v>
      </c>
      <c r="D96" s="24" t="s">
        <v>651</v>
      </c>
      <c r="E96" s="24" t="s">
        <v>965</v>
      </c>
      <c r="F96" s="24" t="s">
        <v>898</v>
      </c>
      <c r="G96" s="27" t="s">
        <v>42</v>
      </c>
      <c r="H96" s="26" t="s">
        <v>42</v>
      </c>
      <c r="I96" s="27" t="s">
        <v>150</v>
      </c>
      <c r="J96" s="25"/>
      <c r="K96" s="30" t="str">
        <f>"190,0"</f>
        <v>190,0</v>
      </c>
      <c r="L96" s="25" t="str">
        <f>"119,6131"</f>
        <v>119,6131</v>
      </c>
      <c r="M96" s="24" t="s">
        <v>652</v>
      </c>
    </row>
    <row r="97" spans="1:13">
      <c r="A97" s="10" t="s">
        <v>20</v>
      </c>
      <c r="B97" s="9" t="s">
        <v>653</v>
      </c>
      <c r="C97" s="9" t="s">
        <v>654</v>
      </c>
      <c r="D97" s="9" t="s">
        <v>655</v>
      </c>
      <c r="E97" s="9" t="s">
        <v>968</v>
      </c>
      <c r="F97" s="9" t="s">
        <v>898</v>
      </c>
      <c r="G97" s="20" t="s">
        <v>74</v>
      </c>
      <c r="H97" s="20" t="s">
        <v>164</v>
      </c>
      <c r="I97" s="20" t="s">
        <v>656</v>
      </c>
      <c r="J97" s="10"/>
      <c r="K97" s="31" t="str">
        <f>"151,0"</f>
        <v>151,0</v>
      </c>
      <c r="L97" s="10" t="str">
        <f>"138,2915"</f>
        <v>138,2915</v>
      </c>
      <c r="M97" s="9"/>
    </row>
    <row r="98" spans="1:13">
      <c r="B98" s="5" t="s">
        <v>21</v>
      </c>
    </row>
    <row r="99" spans="1:13">
      <c r="B99" s="5" t="s">
        <v>21</v>
      </c>
    </row>
    <row r="100" spans="1:13">
      <c r="B100" s="5" t="s">
        <v>21</v>
      </c>
    </row>
    <row r="101" spans="1:13" ht="18">
      <c r="B101" s="13" t="s">
        <v>8</v>
      </c>
      <c r="C101" s="13"/>
      <c r="F101" s="3"/>
    </row>
    <row r="102" spans="1:13" ht="16">
      <c r="B102" s="14" t="s">
        <v>43</v>
      </c>
      <c r="C102" s="14"/>
      <c r="F102" s="3"/>
    </row>
    <row r="103" spans="1:13" ht="14">
      <c r="B103" s="15"/>
      <c r="C103" s="16" t="s">
        <v>16</v>
      </c>
      <c r="F103" s="3"/>
    </row>
    <row r="104" spans="1:13" ht="14">
      <c r="B104" s="17" t="s">
        <v>10</v>
      </c>
      <c r="C104" s="17" t="s">
        <v>11</v>
      </c>
      <c r="D104" s="17" t="s">
        <v>860</v>
      </c>
      <c r="E104" s="17" t="s">
        <v>13</v>
      </c>
      <c r="F104" s="17" t="s">
        <v>77</v>
      </c>
    </row>
    <row r="105" spans="1:13">
      <c r="B105" s="5" t="s">
        <v>508</v>
      </c>
      <c r="C105" s="5" t="s">
        <v>16</v>
      </c>
      <c r="D105" s="6" t="s">
        <v>78</v>
      </c>
      <c r="E105" s="6" t="s">
        <v>29</v>
      </c>
      <c r="F105" s="6" t="s">
        <v>657</v>
      </c>
    </row>
    <row r="106" spans="1:13">
      <c r="B106" s="5" t="s">
        <v>485</v>
      </c>
      <c r="C106" s="5" t="s">
        <v>16</v>
      </c>
      <c r="D106" s="6" t="s">
        <v>394</v>
      </c>
      <c r="E106" s="6" t="s">
        <v>49</v>
      </c>
      <c r="F106" s="6" t="s">
        <v>658</v>
      </c>
    </row>
    <row r="107" spans="1:13">
      <c r="B107" s="5" t="s">
        <v>488</v>
      </c>
      <c r="C107" s="5" t="s">
        <v>16</v>
      </c>
      <c r="D107" s="6" t="s">
        <v>394</v>
      </c>
      <c r="E107" s="6" t="s">
        <v>49</v>
      </c>
      <c r="F107" s="6" t="s">
        <v>659</v>
      </c>
    </row>
    <row r="109" spans="1:13" ht="16">
      <c r="B109" s="14" t="s">
        <v>9</v>
      </c>
      <c r="C109" s="14"/>
    </row>
    <row r="110" spans="1:13" ht="14">
      <c r="B110" s="15"/>
      <c r="C110" s="16" t="s">
        <v>16</v>
      </c>
    </row>
    <row r="111" spans="1:13" ht="14">
      <c r="B111" s="17" t="s">
        <v>10</v>
      </c>
      <c r="C111" s="17" t="s">
        <v>11</v>
      </c>
      <c r="D111" s="17" t="s">
        <v>860</v>
      </c>
      <c r="E111" s="17" t="s">
        <v>13</v>
      </c>
      <c r="F111" s="17" t="s">
        <v>77</v>
      </c>
    </row>
    <row r="112" spans="1:13">
      <c r="B112" s="5" t="s">
        <v>418</v>
      </c>
      <c r="C112" s="5" t="s">
        <v>16</v>
      </c>
      <c r="D112" s="6" t="s">
        <v>15</v>
      </c>
      <c r="E112" s="6" t="s">
        <v>132</v>
      </c>
      <c r="F112" s="6" t="s">
        <v>660</v>
      </c>
    </row>
    <row r="113" spans="2:6">
      <c r="B113" s="5" t="s">
        <v>532</v>
      </c>
      <c r="C113" s="5" t="s">
        <v>16</v>
      </c>
      <c r="D113" s="6" t="s">
        <v>78</v>
      </c>
      <c r="E113" s="6" t="s">
        <v>35</v>
      </c>
      <c r="F113" s="6" t="s">
        <v>661</v>
      </c>
    </row>
    <row r="114" spans="2:6">
      <c r="B114" s="5" t="s">
        <v>535</v>
      </c>
      <c r="C114" s="5" t="s">
        <v>16</v>
      </c>
      <c r="D114" s="6" t="s">
        <v>78</v>
      </c>
      <c r="E114" s="6" t="s">
        <v>74</v>
      </c>
      <c r="F114" s="6" t="s">
        <v>662</v>
      </c>
    </row>
    <row r="116" spans="2:6" ht="14">
      <c r="B116" s="15"/>
      <c r="C116" s="16" t="s">
        <v>18</v>
      </c>
    </row>
    <row r="117" spans="2:6" ht="14">
      <c r="B117" s="17" t="s">
        <v>10</v>
      </c>
      <c r="C117" s="17" t="s">
        <v>11</v>
      </c>
      <c r="D117" s="17" t="s">
        <v>860</v>
      </c>
      <c r="E117" s="17" t="s">
        <v>13</v>
      </c>
      <c r="F117" s="17" t="s">
        <v>77</v>
      </c>
    </row>
    <row r="118" spans="2:6">
      <c r="B118" s="5" t="s">
        <v>418</v>
      </c>
      <c r="C118" s="5" t="s">
        <v>212</v>
      </c>
      <c r="D118" s="6" t="s">
        <v>15</v>
      </c>
      <c r="E118" s="6" t="s">
        <v>132</v>
      </c>
      <c r="F118" s="6" t="s">
        <v>663</v>
      </c>
    </row>
    <row r="119" spans="2:6">
      <c r="B119" s="5" t="s">
        <v>603</v>
      </c>
      <c r="C119" s="5" t="s">
        <v>404</v>
      </c>
      <c r="D119" s="6" t="s">
        <v>50</v>
      </c>
      <c r="E119" s="6" t="s">
        <v>36</v>
      </c>
      <c r="F119" s="6" t="s">
        <v>664</v>
      </c>
    </row>
    <row r="120" spans="2:6">
      <c r="B120" s="5" t="s">
        <v>653</v>
      </c>
      <c r="C120" s="5" t="s">
        <v>404</v>
      </c>
      <c r="D120" s="6" t="s">
        <v>426</v>
      </c>
      <c r="E120" s="6" t="s">
        <v>656</v>
      </c>
      <c r="F120" s="6" t="s">
        <v>665</v>
      </c>
    </row>
    <row r="121" spans="2:6">
      <c r="B121" s="5" t="s">
        <v>21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93:J93"/>
    <mergeCell ref="A8:J8"/>
    <mergeCell ref="A15:J15"/>
    <mergeCell ref="A21:J21"/>
    <mergeCell ref="A27:J27"/>
    <mergeCell ref="A30:J30"/>
    <mergeCell ref="A33:J33"/>
    <mergeCell ref="A40:J40"/>
    <mergeCell ref="A54:J54"/>
    <mergeCell ref="A62:J62"/>
    <mergeCell ref="A73:J73"/>
    <mergeCell ref="A85:J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3720-73A9-42E4-9128-F60E6086C6F3}">
  <dimension ref="A1:M44"/>
  <sheetViews>
    <sheetView workbookViewId="0">
      <selection activeCell="E35" sqref="E35"/>
    </sheetView>
  </sheetViews>
  <sheetFormatPr baseColWidth="10" defaultColWidth="9.1640625" defaultRowHeight="13"/>
  <cols>
    <col min="1" max="1" width="7.1640625" style="5" bestFit="1" customWidth="1"/>
    <col min="2" max="2" width="19.332031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33.1640625" style="5" bestFit="1" customWidth="1"/>
    <col min="7" max="9" width="5.5" style="6" customWidth="1"/>
    <col min="10" max="10" width="4.5" style="6" customWidth="1"/>
    <col min="11" max="11" width="10.5" style="28" bestFit="1" customWidth="1"/>
    <col min="12" max="12" width="8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45" t="s">
        <v>868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7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38"/>
      <c r="L4" s="40"/>
      <c r="M4" s="42"/>
    </row>
    <row r="5" spans="1:13" ht="16">
      <c r="A5" s="43" t="s">
        <v>22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214</v>
      </c>
      <c r="B6" s="11" t="s">
        <v>427</v>
      </c>
      <c r="C6" s="11" t="s">
        <v>428</v>
      </c>
      <c r="D6" s="11" t="s">
        <v>429</v>
      </c>
      <c r="E6" s="11" t="s">
        <v>970</v>
      </c>
      <c r="F6" s="11" t="s">
        <v>898</v>
      </c>
      <c r="G6" s="23" t="s">
        <v>49</v>
      </c>
      <c r="H6" s="23" t="s">
        <v>96</v>
      </c>
      <c r="I6" s="23" t="s">
        <v>96</v>
      </c>
      <c r="J6" s="12"/>
      <c r="K6" s="32">
        <v>0</v>
      </c>
      <c r="L6" s="12" t="str">
        <f>"0,0000"</f>
        <v>0,0000</v>
      </c>
      <c r="M6" s="11" t="s">
        <v>430</v>
      </c>
    </row>
    <row r="7" spans="1:13">
      <c r="B7" s="5" t="s">
        <v>21</v>
      </c>
    </row>
    <row r="8" spans="1:13" ht="16">
      <c r="A8" s="33" t="s">
        <v>128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8" t="s">
        <v>20</v>
      </c>
      <c r="B9" s="7" t="s">
        <v>431</v>
      </c>
      <c r="C9" s="7" t="s">
        <v>432</v>
      </c>
      <c r="D9" s="7" t="s">
        <v>433</v>
      </c>
      <c r="E9" s="7" t="s">
        <v>964</v>
      </c>
      <c r="F9" s="7" t="s">
        <v>898</v>
      </c>
      <c r="G9" s="18" t="s">
        <v>72</v>
      </c>
      <c r="H9" s="18" t="s">
        <v>185</v>
      </c>
      <c r="I9" s="18" t="s">
        <v>42</v>
      </c>
      <c r="J9" s="8"/>
      <c r="K9" s="29" t="str">
        <f>"190,0"</f>
        <v>190,0</v>
      </c>
      <c r="L9" s="8" t="str">
        <f>"130,5490"</f>
        <v>130,5490</v>
      </c>
      <c r="M9" s="7"/>
    </row>
    <row r="10" spans="1:13">
      <c r="A10" s="25" t="s">
        <v>45</v>
      </c>
      <c r="B10" s="24" t="s">
        <v>129</v>
      </c>
      <c r="C10" s="24" t="s">
        <v>130</v>
      </c>
      <c r="D10" s="24" t="s">
        <v>131</v>
      </c>
      <c r="E10" s="24" t="s">
        <v>964</v>
      </c>
      <c r="F10" s="24" t="s">
        <v>898</v>
      </c>
      <c r="G10" s="26" t="s">
        <v>38</v>
      </c>
      <c r="H10" s="26" t="s">
        <v>135</v>
      </c>
      <c r="I10" s="27" t="s">
        <v>136</v>
      </c>
      <c r="J10" s="25"/>
      <c r="K10" s="30" t="str">
        <f>"165,0"</f>
        <v>165,0</v>
      </c>
      <c r="L10" s="25" t="str">
        <f>"110,5335"</f>
        <v>110,5335</v>
      </c>
      <c r="M10" s="24" t="s">
        <v>88</v>
      </c>
    </row>
    <row r="11" spans="1:13">
      <c r="A11" s="25" t="s">
        <v>213</v>
      </c>
      <c r="B11" s="24" t="s">
        <v>434</v>
      </c>
      <c r="C11" s="24" t="s">
        <v>435</v>
      </c>
      <c r="D11" s="24" t="s">
        <v>436</v>
      </c>
      <c r="E11" s="24" t="s">
        <v>964</v>
      </c>
      <c r="F11" s="24" t="s">
        <v>898</v>
      </c>
      <c r="G11" s="26" t="s">
        <v>164</v>
      </c>
      <c r="H11" s="26" t="s">
        <v>192</v>
      </c>
      <c r="I11" s="27" t="s">
        <v>113</v>
      </c>
      <c r="J11" s="25"/>
      <c r="K11" s="30" t="str">
        <f>"152,5"</f>
        <v>152,5</v>
      </c>
      <c r="L11" s="25" t="str">
        <f>"103,6237"</f>
        <v>103,6237</v>
      </c>
      <c r="M11" s="24" t="s">
        <v>613</v>
      </c>
    </row>
    <row r="12" spans="1:13">
      <c r="A12" s="10" t="s">
        <v>405</v>
      </c>
      <c r="B12" s="9" t="s">
        <v>437</v>
      </c>
      <c r="C12" s="9" t="s">
        <v>438</v>
      </c>
      <c r="D12" s="9" t="s">
        <v>439</v>
      </c>
      <c r="E12" s="9" t="s">
        <v>964</v>
      </c>
      <c r="F12" s="9" t="s">
        <v>907</v>
      </c>
      <c r="G12" s="20" t="s">
        <v>164</v>
      </c>
      <c r="H12" s="21" t="s">
        <v>135</v>
      </c>
      <c r="I12" s="21" t="s">
        <v>135</v>
      </c>
      <c r="J12" s="10"/>
      <c r="K12" s="31" t="str">
        <f>"145,0"</f>
        <v>145,0</v>
      </c>
      <c r="L12" s="10" t="str">
        <f>"97,3530"</f>
        <v>97,3530</v>
      </c>
      <c r="M12" s="9" t="s">
        <v>440</v>
      </c>
    </row>
    <row r="13" spans="1:13">
      <c r="B13" s="5" t="s">
        <v>21</v>
      </c>
    </row>
    <row r="14" spans="1:13" ht="16">
      <c r="A14" s="33" t="s">
        <v>47</v>
      </c>
      <c r="B14" s="33"/>
      <c r="C14" s="34"/>
      <c r="D14" s="34"/>
      <c r="E14" s="34"/>
      <c r="F14" s="34"/>
      <c r="G14" s="34"/>
      <c r="H14" s="34"/>
      <c r="I14" s="34"/>
      <c r="J14" s="34"/>
    </row>
    <row r="15" spans="1:13">
      <c r="A15" s="8" t="s">
        <v>20</v>
      </c>
      <c r="B15" s="7" t="s">
        <v>441</v>
      </c>
      <c r="C15" s="7" t="s">
        <v>442</v>
      </c>
      <c r="D15" s="7" t="s">
        <v>443</v>
      </c>
      <c r="E15" s="7" t="s">
        <v>964</v>
      </c>
      <c r="F15" s="7" t="s">
        <v>941</v>
      </c>
      <c r="G15" s="18" t="s">
        <v>164</v>
      </c>
      <c r="H15" s="19" t="s">
        <v>113</v>
      </c>
      <c r="I15" s="18" t="s">
        <v>311</v>
      </c>
      <c r="J15" s="8"/>
      <c r="K15" s="29" t="str">
        <f>"162,5"</f>
        <v>162,5</v>
      </c>
      <c r="L15" s="8" t="str">
        <f>"105,0238"</f>
        <v>105,0238</v>
      </c>
      <c r="M15" s="7"/>
    </row>
    <row r="16" spans="1:13">
      <c r="A16" s="25" t="s">
        <v>45</v>
      </c>
      <c r="B16" s="24" t="s">
        <v>444</v>
      </c>
      <c r="C16" s="24" t="s">
        <v>445</v>
      </c>
      <c r="D16" s="24" t="s">
        <v>163</v>
      </c>
      <c r="E16" s="24" t="s">
        <v>964</v>
      </c>
      <c r="F16" s="24" t="s">
        <v>898</v>
      </c>
      <c r="G16" s="26" t="s">
        <v>192</v>
      </c>
      <c r="H16" s="26" t="s">
        <v>113</v>
      </c>
      <c r="I16" s="26" t="s">
        <v>38</v>
      </c>
      <c r="J16" s="25"/>
      <c r="K16" s="30" t="str">
        <f>"157,5"</f>
        <v>157,5</v>
      </c>
      <c r="L16" s="25" t="str">
        <f>"101,6663"</f>
        <v>101,6663</v>
      </c>
      <c r="M16" s="24"/>
    </row>
    <row r="17" spans="1:13">
      <c r="A17" s="10" t="s">
        <v>213</v>
      </c>
      <c r="B17" s="9" t="s">
        <v>446</v>
      </c>
      <c r="C17" s="9" t="s">
        <v>447</v>
      </c>
      <c r="D17" s="9" t="s">
        <v>163</v>
      </c>
      <c r="E17" s="9" t="s">
        <v>964</v>
      </c>
      <c r="F17" s="9" t="s">
        <v>898</v>
      </c>
      <c r="G17" s="20" t="s">
        <v>38</v>
      </c>
      <c r="H17" s="21" t="s">
        <v>311</v>
      </c>
      <c r="I17" s="21" t="s">
        <v>311</v>
      </c>
      <c r="J17" s="10"/>
      <c r="K17" s="31" t="str">
        <f>"157,5"</f>
        <v>157,5</v>
      </c>
      <c r="L17" s="10" t="str">
        <f>"101,6663"</f>
        <v>101,6663</v>
      </c>
      <c r="M17" s="9"/>
    </row>
    <row r="18" spans="1:13">
      <c r="B18" s="5" t="s">
        <v>21</v>
      </c>
    </row>
    <row r="19" spans="1:13" ht="16">
      <c r="A19" s="33" t="s">
        <v>6</v>
      </c>
      <c r="B19" s="33"/>
      <c r="C19" s="34"/>
      <c r="D19" s="34"/>
      <c r="E19" s="34"/>
      <c r="F19" s="34"/>
      <c r="G19" s="34"/>
      <c r="H19" s="34"/>
      <c r="I19" s="34"/>
      <c r="J19" s="34"/>
    </row>
    <row r="20" spans="1:13">
      <c r="A20" s="8" t="s">
        <v>20</v>
      </c>
      <c r="B20" s="7" t="s">
        <v>448</v>
      </c>
      <c r="C20" s="7" t="s">
        <v>449</v>
      </c>
      <c r="D20" s="7" t="s">
        <v>450</v>
      </c>
      <c r="E20" s="7" t="s">
        <v>964</v>
      </c>
      <c r="F20" s="7" t="s">
        <v>898</v>
      </c>
      <c r="G20" s="18" t="s">
        <v>143</v>
      </c>
      <c r="H20" s="18" t="s">
        <v>134</v>
      </c>
      <c r="I20" s="18" t="s">
        <v>172</v>
      </c>
      <c r="J20" s="8"/>
      <c r="K20" s="29" t="str">
        <f>"215,0"</f>
        <v>215,0</v>
      </c>
      <c r="L20" s="8" t="str">
        <f>"132,0960"</f>
        <v>132,0960</v>
      </c>
      <c r="M20" s="7" t="s">
        <v>883</v>
      </c>
    </row>
    <row r="21" spans="1:13">
      <c r="A21" s="10" t="s">
        <v>20</v>
      </c>
      <c r="B21" s="9" t="s">
        <v>451</v>
      </c>
      <c r="C21" s="9" t="s">
        <v>452</v>
      </c>
      <c r="D21" s="9" t="s">
        <v>453</v>
      </c>
      <c r="E21" s="9" t="s">
        <v>965</v>
      </c>
      <c r="F21" s="9" t="s">
        <v>898</v>
      </c>
      <c r="G21" s="20" t="s">
        <v>41</v>
      </c>
      <c r="H21" s="20" t="s">
        <v>42</v>
      </c>
      <c r="I21" s="21" t="s">
        <v>132</v>
      </c>
      <c r="J21" s="10"/>
      <c r="K21" s="31" t="str">
        <f>"190,0"</f>
        <v>190,0</v>
      </c>
      <c r="L21" s="10" t="str">
        <f>"119,6611"</f>
        <v>119,6611</v>
      </c>
      <c r="M21" s="9"/>
    </row>
    <row r="22" spans="1:13">
      <c r="B22" s="5" t="s">
        <v>21</v>
      </c>
    </row>
    <row r="23" spans="1:13" ht="16">
      <c r="A23" s="33" t="s">
        <v>7</v>
      </c>
      <c r="B23" s="33"/>
      <c r="C23" s="34"/>
      <c r="D23" s="34"/>
      <c r="E23" s="34"/>
      <c r="F23" s="34"/>
      <c r="G23" s="34"/>
      <c r="H23" s="34"/>
      <c r="I23" s="34"/>
      <c r="J23" s="34"/>
    </row>
    <row r="24" spans="1:13">
      <c r="A24" s="8" t="s">
        <v>20</v>
      </c>
      <c r="B24" s="7" t="s">
        <v>454</v>
      </c>
      <c r="C24" s="7" t="s">
        <v>455</v>
      </c>
      <c r="D24" s="7" t="s">
        <v>456</v>
      </c>
      <c r="E24" s="7" t="s">
        <v>964</v>
      </c>
      <c r="F24" s="7" t="s">
        <v>898</v>
      </c>
      <c r="G24" s="18" t="s">
        <v>144</v>
      </c>
      <c r="H24" s="18" t="s">
        <v>396</v>
      </c>
      <c r="I24" s="19" t="s">
        <v>158</v>
      </c>
      <c r="J24" s="8"/>
      <c r="K24" s="29" t="str">
        <f>"222,5"</f>
        <v>222,5</v>
      </c>
      <c r="L24" s="8" t="str">
        <f>"131,8535"</f>
        <v>131,8535</v>
      </c>
      <c r="M24" s="7"/>
    </row>
    <row r="25" spans="1:13">
      <c r="A25" s="25" t="s">
        <v>45</v>
      </c>
      <c r="B25" s="24" t="s">
        <v>457</v>
      </c>
      <c r="C25" s="24" t="s">
        <v>458</v>
      </c>
      <c r="D25" s="24" t="s">
        <v>459</v>
      </c>
      <c r="E25" s="24" t="s">
        <v>964</v>
      </c>
      <c r="F25" s="24" t="s">
        <v>942</v>
      </c>
      <c r="G25" s="26" t="s">
        <v>42</v>
      </c>
      <c r="H25" s="26" t="s">
        <v>150</v>
      </c>
      <c r="I25" s="25"/>
      <c r="J25" s="25"/>
      <c r="K25" s="30" t="str">
        <f>"195,0"</f>
        <v>195,0</v>
      </c>
      <c r="L25" s="25" t="str">
        <f>"116,9610"</f>
        <v>116,9610</v>
      </c>
      <c r="M25" s="24"/>
    </row>
    <row r="26" spans="1:13">
      <c r="A26" s="25" t="s">
        <v>213</v>
      </c>
      <c r="B26" s="24" t="s">
        <v>460</v>
      </c>
      <c r="C26" s="24" t="s">
        <v>461</v>
      </c>
      <c r="D26" s="24" t="s">
        <v>462</v>
      </c>
      <c r="E26" s="24" t="s">
        <v>964</v>
      </c>
      <c r="F26" s="24" t="s">
        <v>943</v>
      </c>
      <c r="G26" s="26" t="s">
        <v>463</v>
      </c>
      <c r="H26" s="26" t="s">
        <v>371</v>
      </c>
      <c r="I26" s="26" t="s">
        <v>185</v>
      </c>
      <c r="J26" s="25"/>
      <c r="K26" s="30" t="str">
        <f>"182,5"</f>
        <v>182,5</v>
      </c>
      <c r="L26" s="25" t="str">
        <f>"109,5730"</f>
        <v>109,5730</v>
      </c>
      <c r="M26" s="24"/>
    </row>
    <row r="27" spans="1:13">
      <c r="A27" s="10" t="s">
        <v>405</v>
      </c>
      <c r="B27" s="9" t="s">
        <v>464</v>
      </c>
      <c r="C27" s="9" t="s">
        <v>465</v>
      </c>
      <c r="D27" s="9" t="s">
        <v>466</v>
      </c>
      <c r="E27" s="9" t="s">
        <v>964</v>
      </c>
      <c r="F27" s="9" t="s">
        <v>903</v>
      </c>
      <c r="G27" s="20" t="s">
        <v>41</v>
      </c>
      <c r="H27" s="21" t="s">
        <v>350</v>
      </c>
      <c r="I27" s="21" t="s">
        <v>350</v>
      </c>
      <c r="J27" s="10"/>
      <c r="K27" s="31" t="str">
        <f>"180,0"</f>
        <v>180,0</v>
      </c>
      <c r="L27" s="10" t="str">
        <f>"106,5420"</f>
        <v>106,5420</v>
      </c>
      <c r="M27" s="9"/>
    </row>
    <row r="28" spans="1:13">
      <c r="B28" s="5" t="s">
        <v>21</v>
      </c>
    </row>
    <row r="29" spans="1:13" ht="16">
      <c r="A29" s="33" t="s">
        <v>201</v>
      </c>
      <c r="B29" s="33"/>
      <c r="C29" s="34"/>
      <c r="D29" s="34"/>
      <c r="E29" s="34"/>
      <c r="F29" s="34"/>
      <c r="G29" s="34"/>
      <c r="H29" s="34"/>
      <c r="I29" s="34"/>
      <c r="J29" s="34"/>
    </row>
    <row r="30" spans="1:13">
      <c r="A30" s="8" t="s">
        <v>20</v>
      </c>
      <c r="B30" s="7" t="s">
        <v>467</v>
      </c>
      <c r="C30" s="7" t="s">
        <v>468</v>
      </c>
      <c r="D30" s="7" t="s">
        <v>469</v>
      </c>
      <c r="E30" s="7" t="s">
        <v>964</v>
      </c>
      <c r="F30" s="7" t="s">
        <v>898</v>
      </c>
      <c r="G30" s="18" t="s">
        <v>144</v>
      </c>
      <c r="H30" s="18" t="s">
        <v>148</v>
      </c>
      <c r="I30" s="8"/>
      <c r="J30" s="8"/>
      <c r="K30" s="29" t="str">
        <f>"225,0"</f>
        <v>225,0</v>
      </c>
      <c r="L30" s="8" t="str">
        <f>"131,1750"</f>
        <v>131,1750</v>
      </c>
      <c r="M30" s="7"/>
    </row>
    <row r="31" spans="1:13">
      <c r="A31" s="10" t="s">
        <v>45</v>
      </c>
      <c r="B31" s="9" t="s">
        <v>470</v>
      </c>
      <c r="C31" s="9" t="s">
        <v>471</v>
      </c>
      <c r="D31" s="9" t="s">
        <v>389</v>
      </c>
      <c r="E31" s="9" t="s">
        <v>964</v>
      </c>
      <c r="F31" s="9" t="s">
        <v>898</v>
      </c>
      <c r="G31" s="21" t="s">
        <v>132</v>
      </c>
      <c r="H31" s="20" t="s">
        <v>132</v>
      </c>
      <c r="I31" s="20" t="s">
        <v>134</v>
      </c>
      <c r="J31" s="10"/>
      <c r="K31" s="31" t="str">
        <f>"212,5"</f>
        <v>212,5</v>
      </c>
      <c r="L31" s="10" t="str">
        <f>"121,3800"</f>
        <v>121,3800</v>
      </c>
      <c r="M31" s="9"/>
    </row>
    <row r="32" spans="1:13">
      <c r="B32" s="5" t="s">
        <v>21</v>
      </c>
    </row>
    <row r="33" spans="1:13" ht="16">
      <c r="A33" s="33" t="s">
        <v>472</v>
      </c>
      <c r="B33" s="33"/>
      <c r="C33" s="34"/>
      <c r="D33" s="34"/>
      <c r="E33" s="34"/>
      <c r="F33" s="34"/>
      <c r="G33" s="34"/>
      <c r="H33" s="34"/>
      <c r="I33" s="34"/>
      <c r="J33" s="34"/>
    </row>
    <row r="34" spans="1:13">
      <c r="A34" s="12" t="s">
        <v>20</v>
      </c>
      <c r="B34" s="11" t="s">
        <v>473</v>
      </c>
      <c r="C34" s="11" t="s">
        <v>474</v>
      </c>
      <c r="D34" s="11" t="s">
        <v>475</v>
      </c>
      <c r="E34" s="11" t="s">
        <v>964</v>
      </c>
      <c r="F34" s="11" t="s">
        <v>944</v>
      </c>
      <c r="G34" s="22" t="s">
        <v>75</v>
      </c>
      <c r="H34" s="22" t="s">
        <v>396</v>
      </c>
      <c r="I34" s="22" t="s">
        <v>148</v>
      </c>
      <c r="J34" s="12"/>
      <c r="K34" s="32" t="str">
        <f>"225,0"</f>
        <v>225,0</v>
      </c>
      <c r="L34" s="12" t="str">
        <f>"123,9975"</f>
        <v>123,9975</v>
      </c>
      <c r="M34" s="11" t="s">
        <v>476</v>
      </c>
    </row>
    <row r="35" spans="1:13">
      <c r="B35" s="5" t="s">
        <v>21</v>
      </c>
    </row>
    <row r="36" spans="1:13">
      <c r="B36" s="5" t="s">
        <v>21</v>
      </c>
    </row>
    <row r="37" spans="1:13">
      <c r="B37" s="5" t="s">
        <v>21</v>
      </c>
    </row>
    <row r="38" spans="1:13" ht="18">
      <c r="B38" s="13" t="s">
        <v>8</v>
      </c>
      <c r="C38" s="13"/>
      <c r="F38" s="3"/>
    </row>
    <row r="39" spans="1:13" ht="16">
      <c r="B39" s="14" t="s">
        <v>9</v>
      </c>
      <c r="C39" s="14"/>
      <c r="F39" s="3"/>
    </row>
    <row r="40" spans="1:13" ht="14">
      <c r="B40" s="15"/>
      <c r="C40" s="16" t="s">
        <v>16</v>
      </c>
      <c r="F40" s="3"/>
    </row>
    <row r="41" spans="1:13" ht="14">
      <c r="B41" s="17" t="s">
        <v>10</v>
      </c>
      <c r="C41" s="17" t="s">
        <v>11</v>
      </c>
      <c r="D41" s="17" t="s">
        <v>860</v>
      </c>
      <c r="E41" s="17" t="s">
        <v>13</v>
      </c>
      <c r="F41" s="17" t="s">
        <v>77</v>
      </c>
    </row>
    <row r="42" spans="1:13">
      <c r="B42" s="5" t="s">
        <v>448</v>
      </c>
      <c r="C42" s="5" t="s">
        <v>16</v>
      </c>
      <c r="D42" s="6" t="s">
        <v>15</v>
      </c>
      <c r="E42" s="6" t="s">
        <v>172</v>
      </c>
      <c r="F42" s="6" t="s">
        <v>477</v>
      </c>
    </row>
    <row r="43" spans="1:13">
      <c r="B43" s="5" t="s">
        <v>454</v>
      </c>
      <c r="C43" s="5" t="s">
        <v>16</v>
      </c>
      <c r="D43" s="6" t="s">
        <v>17</v>
      </c>
      <c r="E43" s="6" t="s">
        <v>396</v>
      </c>
      <c r="F43" s="6" t="s">
        <v>478</v>
      </c>
    </row>
    <row r="44" spans="1:13">
      <c r="B44" s="5" t="s">
        <v>467</v>
      </c>
      <c r="C44" s="5" t="s">
        <v>16</v>
      </c>
      <c r="D44" s="6" t="s">
        <v>426</v>
      </c>
      <c r="E44" s="6" t="s">
        <v>148</v>
      </c>
      <c r="F44" s="6" t="s">
        <v>479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3:J33"/>
    <mergeCell ref="K3:K4"/>
    <mergeCell ref="L3:L4"/>
    <mergeCell ref="M3:M4"/>
    <mergeCell ref="A5:J5"/>
    <mergeCell ref="B3:B4"/>
    <mergeCell ref="A8:J8"/>
    <mergeCell ref="A14:J14"/>
    <mergeCell ref="A19:J19"/>
    <mergeCell ref="A23:J23"/>
    <mergeCell ref="A29:J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177F-63DE-4B55-A756-FFD004B95D83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6640625" style="5" bestFit="1" customWidth="1"/>
    <col min="3" max="3" width="27.5" style="5" bestFit="1" customWidth="1"/>
    <col min="4" max="4" width="20.83203125" style="5" bestFit="1" customWidth="1"/>
    <col min="5" max="5" width="10.1640625" style="5" bestFit="1" customWidth="1"/>
    <col min="6" max="6" width="29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5" t="s">
        <v>869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128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666</v>
      </c>
      <c r="C6" s="11" t="s">
        <v>667</v>
      </c>
      <c r="D6" s="11" t="s">
        <v>668</v>
      </c>
      <c r="E6" s="11" t="s">
        <v>968</v>
      </c>
      <c r="F6" s="11" t="s">
        <v>907</v>
      </c>
      <c r="G6" s="22" t="s">
        <v>34</v>
      </c>
      <c r="H6" s="23" t="s">
        <v>112</v>
      </c>
      <c r="I6" s="23" t="s">
        <v>112</v>
      </c>
      <c r="J6" s="12"/>
      <c r="K6" s="12" t="str">
        <f>"130,0"</f>
        <v>130,0</v>
      </c>
      <c r="L6" s="12" t="str">
        <f>"121,0771"</f>
        <v>121,0771</v>
      </c>
      <c r="M6" s="11"/>
    </row>
    <row r="7" spans="1:13">
      <c r="B7" s="5" t="s">
        <v>21</v>
      </c>
    </row>
    <row r="8" spans="1:13" ht="16">
      <c r="A8" s="33" t="s">
        <v>6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2" t="s">
        <v>20</v>
      </c>
      <c r="B9" s="11" t="s">
        <v>669</v>
      </c>
      <c r="C9" s="11" t="s">
        <v>670</v>
      </c>
      <c r="D9" s="11" t="s">
        <v>671</v>
      </c>
      <c r="E9" s="11" t="s">
        <v>964</v>
      </c>
      <c r="F9" s="11" t="s">
        <v>907</v>
      </c>
      <c r="G9" s="22" t="s">
        <v>159</v>
      </c>
      <c r="H9" s="22" t="s">
        <v>138</v>
      </c>
      <c r="I9" s="23" t="s">
        <v>177</v>
      </c>
      <c r="J9" s="12"/>
      <c r="K9" s="12" t="str">
        <f>"250,0"</f>
        <v>250,0</v>
      </c>
      <c r="L9" s="12" t="str">
        <f>"154,2250"</f>
        <v>154,2250</v>
      </c>
      <c r="M9" s="11" t="s">
        <v>672</v>
      </c>
    </row>
    <row r="10" spans="1:13">
      <c r="B10" s="5" t="s">
        <v>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F21-5D14-450B-A585-6DAF48AC994E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8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8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5.1640625" style="5" customWidth="1"/>
    <col min="14" max="16384" width="9.1640625" style="3"/>
  </cols>
  <sheetData>
    <row r="1" spans="1:13" s="2" customFormat="1" ht="29" customHeight="1">
      <c r="A1" s="45" t="s">
        <v>870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897</v>
      </c>
      <c r="B3" s="35" t="s">
        <v>0</v>
      </c>
      <c r="C3" s="55" t="s">
        <v>962</v>
      </c>
      <c r="D3" s="55" t="s">
        <v>5</v>
      </c>
      <c r="E3" s="39" t="s">
        <v>963</v>
      </c>
      <c r="F3" s="39" t="s">
        <v>861</v>
      </c>
      <c r="G3" s="39" t="s">
        <v>57</v>
      </c>
      <c r="H3" s="39"/>
      <c r="I3" s="39"/>
      <c r="J3" s="39"/>
      <c r="K3" s="39" t="s">
        <v>19</v>
      </c>
      <c r="L3" s="39" t="s">
        <v>3</v>
      </c>
      <c r="M3" s="41" t="s">
        <v>2</v>
      </c>
    </row>
    <row r="4" spans="1:13" s="1" customFormat="1" ht="21" customHeight="1" thickBot="1">
      <c r="A4" s="54"/>
      <c r="B4" s="36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6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2" t="s">
        <v>20</v>
      </c>
      <c r="B6" s="11" t="s">
        <v>411</v>
      </c>
      <c r="C6" s="11" t="s">
        <v>412</v>
      </c>
      <c r="D6" s="11" t="s">
        <v>413</v>
      </c>
      <c r="E6" s="11" t="s">
        <v>964</v>
      </c>
      <c r="F6" s="11" t="s">
        <v>961</v>
      </c>
      <c r="G6" s="22" t="s">
        <v>148</v>
      </c>
      <c r="H6" s="23" t="s">
        <v>76</v>
      </c>
      <c r="I6" s="23" t="s">
        <v>76</v>
      </c>
      <c r="J6" s="12"/>
      <c r="K6" s="12" t="str">
        <f>"225,0"</f>
        <v>225,0</v>
      </c>
      <c r="L6" s="12" t="str">
        <f>"134,9213"</f>
        <v>134,9213</v>
      </c>
      <c r="M6" s="11"/>
    </row>
    <row r="7" spans="1:13">
      <c r="B7" s="5" t="s">
        <v>21</v>
      </c>
    </row>
    <row r="8" spans="1:13" ht="16">
      <c r="A8" s="33" t="s">
        <v>7</v>
      </c>
      <c r="B8" s="33"/>
      <c r="C8" s="34"/>
      <c r="D8" s="34"/>
      <c r="E8" s="34"/>
      <c r="F8" s="34"/>
      <c r="G8" s="34"/>
      <c r="H8" s="34"/>
      <c r="I8" s="34"/>
      <c r="J8" s="34"/>
    </row>
    <row r="9" spans="1:13">
      <c r="A9" s="12" t="s">
        <v>20</v>
      </c>
      <c r="B9" s="11" t="s">
        <v>414</v>
      </c>
      <c r="C9" s="11" t="s">
        <v>415</v>
      </c>
      <c r="D9" s="11" t="s">
        <v>416</v>
      </c>
      <c r="E9" s="11" t="s">
        <v>964</v>
      </c>
      <c r="F9" s="11" t="s">
        <v>898</v>
      </c>
      <c r="G9" s="22" t="s">
        <v>386</v>
      </c>
      <c r="H9" s="22" t="s">
        <v>390</v>
      </c>
      <c r="I9" s="23" t="s">
        <v>153</v>
      </c>
      <c r="J9" s="12"/>
      <c r="K9" s="12" t="str">
        <f>"290,0"</f>
        <v>290,0</v>
      </c>
      <c r="L9" s="12" t="str">
        <f>"163,7195"</f>
        <v>163,7195</v>
      </c>
      <c r="M9" s="11" t="s">
        <v>417</v>
      </c>
    </row>
    <row r="10" spans="1:13">
      <c r="B10" s="5" t="s">
        <v>21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WEPF Жим софт однопетельная</vt:lpstr>
      <vt:lpstr>WEPF Жим софт многопетельная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WEPF Тяга экип ДК</vt:lpstr>
      <vt:lpstr>WEPF Тяга экип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2022-02-28T14:57:52Z</dcterms:modified>
</cp:coreProperties>
</file>