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рт/"/>
    </mc:Choice>
  </mc:AlternateContent>
  <xr:revisionPtr revIDLastSave="0" documentId="13_ncr:1_{085EBD9A-0D55-5E42-99CE-ED438F2B01E0}" xr6:coauthVersionLast="45" xr6:coauthVersionMax="47" xr10:uidLastSave="{00000000-0000-0000-0000-000000000000}"/>
  <bookViews>
    <workbookView xWindow="0" yWindow="460" windowWidth="28800" windowHeight="15120" activeTab="5" xr2:uid="{00000000-000D-0000-FFFF-FFFF00000000}"/>
  </bookViews>
  <sheets>
    <sheet name="WRPF Жим лежа без экип ДК" sheetId="6" r:id="rId1"/>
    <sheet name="WRPF Жим лежа без экип" sheetId="5" r:id="rId2"/>
    <sheet name="WRPF Тяга без экипировки ДК" sheetId="8" r:id="rId3"/>
    <sheet name="WRPF Тяга без экипировки" sheetId="7" r:id="rId4"/>
    <sheet name="WRPF Подъем на бицепс ДК" sheetId="10" r:id="rId5"/>
    <sheet name="WRPF Подъем на бицепс" sheetId="9" r:id="rId6"/>
  </sheets>
  <definedNames>
    <definedName name="_FilterDatabase" localSheetId="1" hidden="1">'WRPF Жим лежа без экип'!$A$1:$K$3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10" l="1"/>
  <c r="K22" i="10"/>
  <c r="L19" i="10"/>
  <c r="K19" i="10"/>
  <c r="L16" i="10"/>
  <c r="K16" i="10"/>
  <c r="L15" i="10"/>
  <c r="K15" i="10"/>
  <c r="L12" i="10"/>
  <c r="K12" i="10"/>
  <c r="L11" i="10"/>
  <c r="K11" i="10"/>
  <c r="L10" i="10"/>
  <c r="K10" i="10"/>
  <c r="L7" i="10"/>
  <c r="K7" i="10"/>
  <c r="L6" i="10"/>
  <c r="K6" i="10"/>
  <c r="L31" i="9"/>
  <c r="K31" i="9"/>
  <c r="L28" i="9"/>
  <c r="K28" i="9"/>
  <c r="L27" i="9"/>
  <c r="K27" i="9"/>
  <c r="L24" i="9"/>
  <c r="K24" i="9"/>
  <c r="L23" i="9"/>
  <c r="K23" i="9"/>
  <c r="L22" i="9"/>
  <c r="K22" i="9"/>
  <c r="L19" i="9"/>
  <c r="K19" i="9"/>
  <c r="L18" i="9"/>
  <c r="K18" i="9"/>
  <c r="L17" i="9"/>
  <c r="K17" i="9"/>
  <c r="L14" i="9"/>
  <c r="K14" i="9"/>
  <c r="L11" i="9"/>
  <c r="K11" i="9"/>
  <c r="L10" i="9"/>
  <c r="K10" i="9"/>
  <c r="L9" i="9"/>
  <c r="K9" i="9"/>
  <c r="L6" i="9"/>
  <c r="K6" i="9"/>
  <c r="L64" i="8"/>
  <c r="K64" i="8"/>
  <c r="L63" i="8"/>
  <c r="K63" i="8"/>
  <c r="L60" i="8"/>
  <c r="K60" i="8"/>
  <c r="L59" i="8"/>
  <c r="K59" i="8"/>
  <c r="L58" i="8"/>
  <c r="K58" i="8"/>
  <c r="L57" i="8"/>
  <c r="K57" i="8"/>
  <c r="L54" i="8"/>
  <c r="K54" i="8"/>
  <c r="L53" i="8"/>
  <c r="K53" i="8"/>
  <c r="L52" i="8"/>
  <c r="K52" i="8"/>
  <c r="L49" i="8"/>
  <c r="K49" i="8"/>
  <c r="L48" i="8"/>
  <c r="K48" i="8"/>
  <c r="L47" i="8"/>
  <c r="K47" i="8"/>
  <c r="L46" i="8"/>
  <c r="K46" i="8"/>
  <c r="L45" i="8"/>
  <c r="K45" i="8"/>
  <c r="L42" i="8"/>
  <c r="K42" i="8"/>
  <c r="L41" i="8"/>
  <c r="K41" i="8"/>
  <c r="L40" i="8"/>
  <c r="K40" i="8"/>
  <c r="L39" i="8"/>
  <c r="K39" i="8"/>
  <c r="L38" i="8"/>
  <c r="K38" i="8"/>
  <c r="L37" i="8"/>
  <c r="K37" i="8"/>
  <c r="L34" i="8"/>
  <c r="K34" i="8"/>
  <c r="L33" i="8"/>
  <c r="K33" i="8"/>
  <c r="L32" i="8"/>
  <c r="K32" i="8"/>
  <c r="L31" i="8"/>
  <c r="K31" i="8"/>
  <c r="L28" i="8"/>
  <c r="K28" i="8"/>
  <c r="L27" i="8"/>
  <c r="K27" i="8"/>
  <c r="L26" i="8"/>
  <c r="K26" i="8"/>
  <c r="L25" i="8"/>
  <c r="K25" i="8"/>
  <c r="L22" i="8"/>
  <c r="K22" i="8"/>
  <c r="L21" i="8"/>
  <c r="K21" i="8"/>
  <c r="L20" i="8"/>
  <c r="K20" i="8"/>
  <c r="L17" i="8"/>
  <c r="K17" i="8"/>
  <c r="L14" i="8"/>
  <c r="K14" i="8"/>
  <c r="L13" i="8"/>
  <c r="K13" i="8"/>
  <c r="L12" i="8"/>
  <c r="K12" i="8"/>
  <c r="L9" i="8"/>
  <c r="K9" i="8"/>
  <c r="L6" i="8"/>
  <c r="K6" i="8"/>
  <c r="L35" i="7"/>
  <c r="K35" i="7"/>
  <c r="L32" i="7"/>
  <c r="K32" i="7"/>
  <c r="L31" i="7"/>
  <c r="K31" i="7"/>
  <c r="L28" i="7"/>
  <c r="K28" i="7"/>
  <c r="L25" i="7"/>
  <c r="K25" i="7"/>
  <c r="L24" i="7"/>
  <c r="K24" i="7"/>
  <c r="L21" i="7"/>
  <c r="K21" i="7"/>
  <c r="L20" i="7"/>
  <c r="K20" i="7"/>
  <c r="L17" i="7"/>
  <c r="K17" i="7"/>
  <c r="L16" i="7"/>
  <c r="K16" i="7"/>
  <c r="L13" i="7"/>
  <c r="K13" i="7"/>
  <c r="L12" i="7"/>
  <c r="K12" i="7"/>
  <c r="L9" i="7"/>
  <c r="K9" i="7"/>
  <c r="L6" i="7"/>
  <c r="K6" i="7"/>
  <c r="L26" i="6"/>
  <c r="K26" i="6"/>
  <c r="L23" i="6"/>
  <c r="K23" i="6"/>
  <c r="L22" i="6"/>
  <c r="K22" i="6"/>
  <c r="L19" i="6"/>
  <c r="K19" i="6"/>
  <c r="L18" i="6"/>
  <c r="L17" i="6"/>
  <c r="K17" i="6"/>
  <c r="L16" i="6"/>
  <c r="K16" i="6"/>
  <c r="L15" i="6"/>
  <c r="K15" i="6"/>
  <c r="L12" i="6"/>
  <c r="K12" i="6"/>
  <c r="L9" i="6"/>
  <c r="K9" i="6"/>
  <c r="L6" i="6"/>
  <c r="K6" i="6"/>
  <c r="L32" i="5"/>
  <c r="K32" i="5"/>
  <c r="L29" i="5"/>
  <c r="K29" i="5"/>
  <c r="L28" i="5"/>
  <c r="K28" i="5"/>
  <c r="L27" i="5"/>
  <c r="K27" i="5"/>
  <c r="L26" i="5"/>
  <c r="K26" i="5"/>
  <c r="L23" i="5"/>
  <c r="K23" i="5"/>
  <c r="L20" i="5"/>
  <c r="K20" i="5"/>
  <c r="L19" i="5"/>
  <c r="K19" i="5"/>
  <c r="L18" i="5"/>
  <c r="K18" i="5"/>
  <c r="L15" i="5"/>
  <c r="K15" i="5"/>
  <c r="L14" i="5"/>
  <c r="K14" i="5"/>
  <c r="L13" i="5"/>
  <c r="K13" i="5"/>
  <c r="L10" i="5"/>
  <c r="K10" i="5"/>
  <c r="L9" i="5"/>
  <c r="K9" i="5"/>
  <c r="L6" i="5"/>
  <c r="K6" i="5"/>
</calcChain>
</file>

<file path=xl/sharedStrings.xml><?xml version="1.0" encoding="utf-8"?>
<sst xmlns="http://schemas.openxmlformats.org/spreadsheetml/2006/main" count="1309" uniqueCount="446">
  <si>
    <t>ФИО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</si>
  <si>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</si>
  <si>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</si>
  <si>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</si>
  <si>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</si>
  <si>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</si>
  <si>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</si>
  <si>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75</t>
  </si>
  <si>
    <t>Косенко Екатерина</t>
  </si>
  <si>
    <t>Мастера 40-49 (24.02.1978)/44</t>
  </si>
  <si>
    <t>73,50</t>
  </si>
  <si>
    <t xml:space="preserve">Армавир/Краснодарский край </t>
  </si>
  <si>
    <t>90,0</t>
  </si>
  <si>
    <t>95,0</t>
  </si>
  <si>
    <t>97,5</t>
  </si>
  <si>
    <t>Ерижоков Алан</t>
  </si>
  <si>
    <t>Юноши 17-19 (29.04.2003)/18</t>
  </si>
  <si>
    <t>72,00</t>
  </si>
  <si>
    <t>100,0</t>
  </si>
  <si>
    <t>110,0</t>
  </si>
  <si>
    <t>112,5</t>
  </si>
  <si>
    <t xml:space="preserve">Тхамитлоков К. </t>
  </si>
  <si>
    <t>Открытая (29.04.2003)/18</t>
  </si>
  <si>
    <t>ВЕСОВАЯ КАТЕГОРИЯ   82.5</t>
  </si>
  <si>
    <t>Открытая (29.10.1994)/27</t>
  </si>
  <si>
    <t>79,00</t>
  </si>
  <si>
    <t>170,0</t>
  </si>
  <si>
    <t>175,0</t>
  </si>
  <si>
    <t>182,5</t>
  </si>
  <si>
    <t>Меркулов Максим</t>
  </si>
  <si>
    <t>Открытая (07.07.1995)/26</t>
  </si>
  <si>
    <t>76,00</t>
  </si>
  <si>
    <t xml:space="preserve">Георгиевск/Ставропольский край </t>
  </si>
  <si>
    <t>160,0</t>
  </si>
  <si>
    <t>165,0</t>
  </si>
  <si>
    <t>167,5</t>
  </si>
  <si>
    <t>Плахотин Иван</t>
  </si>
  <si>
    <t>Открытая (01.02.1995)/27</t>
  </si>
  <si>
    <t>76,50</t>
  </si>
  <si>
    <t xml:space="preserve">Будённовск/Ставропольский край </t>
  </si>
  <si>
    <t>140,0</t>
  </si>
  <si>
    <t>150,0</t>
  </si>
  <si>
    <t>152,5</t>
  </si>
  <si>
    <t xml:space="preserve">Бобряшов В. </t>
  </si>
  <si>
    <t>ВЕСОВАЯ КАТЕГОРИЯ   100</t>
  </si>
  <si>
    <t>Березгов Ибрагим</t>
  </si>
  <si>
    <t>Юниоры (13.04.2001)/20</t>
  </si>
  <si>
    <t>94,00</t>
  </si>
  <si>
    <t>Открытая (13.04.2001)/20</t>
  </si>
  <si>
    <t>Висуров Альберт</t>
  </si>
  <si>
    <t>Открытая (01.04.1997)/24</t>
  </si>
  <si>
    <t>95,90</t>
  </si>
  <si>
    <t>ВЕСОВАЯ КАТЕГОРИЯ   110</t>
  </si>
  <si>
    <t>Сабанчиев Мартин</t>
  </si>
  <si>
    <t>Открытая (01.12.1989)/32</t>
  </si>
  <si>
    <t>109,00</t>
  </si>
  <si>
    <t xml:space="preserve">Тырныауз/Кабардино-Балкария </t>
  </si>
  <si>
    <t>205,0</t>
  </si>
  <si>
    <t>215,0</t>
  </si>
  <si>
    <t>222,5</t>
  </si>
  <si>
    <t>ВЕСОВАЯ КАТЕГОРИЯ   125</t>
  </si>
  <si>
    <t>Шомахов Альберт</t>
  </si>
  <si>
    <t>Открытая (08.06.1968)/53</t>
  </si>
  <si>
    <t>115,00</t>
  </si>
  <si>
    <t>207,5</t>
  </si>
  <si>
    <t>225,0</t>
  </si>
  <si>
    <t>Галстян Самвел</t>
  </si>
  <si>
    <t>Открытая (05.12.1987)/34</t>
  </si>
  <si>
    <t>119,80</t>
  </si>
  <si>
    <t>185,0</t>
  </si>
  <si>
    <t>190,0</t>
  </si>
  <si>
    <t xml:space="preserve">Ступников Р. </t>
  </si>
  <si>
    <t>Кочкаров Заурбек</t>
  </si>
  <si>
    <t>Открытая (15.08.1982)/39</t>
  </si>
  <si>
    <t>123,00</t>
  </si>
  <si>
    <t>180,0</t>
  </si>
  <si>
    <t>Мастера 50-59 (08.06.1968)/53</t>
  </si>
  <si>
    <t>ВЕСОВАЯ КАТЕГОРИЯ   140+</t>
  </si>
  <si>
    <t>Бобряшов Владимир</t>
  </si>
  <si>
    <t>Открытая (22.12.1988)/33</t>
  </si>
  <si>
    <t>144,20</t>
  </si>
  <si>
    <t>220,0</t>
  </si>
  <si>
    <t>230,0</t>
  </si>
  <si>
    <t>235,0</t>
  </si>
  <si>
    <t xml:space="preserve">Подрез И. </t>
  </si>
  <si>
    <t xml:space="preserve">Абсолютный зачёт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</si>
  <si>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</si>
  <si>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</si>
  <si>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</si>
  <si>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</si>
  <si>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>75</t>
  </si>
  <si>
    <t xml:space="preserve">Мужчины </t>
  </si>
  <si>
    <t xml:space="preserve">Юноши </t>
  </si>
  <si>
    <t xml:space="preserve">Юноши 17-19 </t>
  </si>
  <si>
    <t>100</t>
  </si>
  <si>
    <t xml:space="preserve">Открытая </t>
  </si>
  <si>
    <t>140+</t>
  </si>
  <si>
    <t>127,9720</t>
  </si>
  <si>
    <t>110</t>
  </si>
  <si>
    <t>126,8930</t>
  </si>
  <si>
    <t>82.5</t>
  </si>
  <si>
    <t>125,5965</t>
  </si>
  <si>
    <t>Результат</t>
  </si>
  <si>
    <t>1</t>
  </si>
  <si>
    <t/>
  </si>
  <si>
    <t>2</t>
  </si>
  <si>
    <t>3</t>
  </si>
  <si>
    <t>ВЕСОВАЯ КАТЕГОРИЯ   44</t>
  </si>
  <si>
    <t>Гуренко Анна</t>
  </si>
  <si>
    <t>Открытая (25.10.1989)/32</t>
  </si>
  <si>
    <t>40,00</t>
  </si>
  <si>
    <t xml:space="preserve">Архангельск/Архангельская область </t>
  </si>
  <si>
    <t>40,0</t>
  </si>
  <si>
    <t>47,5</t>
  </si>
  <si>
    <t>ВЕСОВАЯ КАТЕГОРИЯ   56</t>
  </si>
  <si>
    <t>Багов Алим</t>
  </si>
  <si>
    <t>Юноши 14-16 (28.03.2005)/16</t>
  </si>
  <si>
    <t>56,00</t>
  </si>
  <si>
    <t>70,0</t>
  </si>
  <si>
    <t>72,5</t>
  </si>
  <si>
    <t>75,0</t>
  </si>
  <si>
    <t>Шарданов Мурат</t>
  </si>
  <si>
    <t>Юноши 14-16 (28.12.2005)/16</t>
  </si>
  <si>
    <t>75,00</t>
  </si>
  <si>
    <t>77,5</t>
  </si>
  <si>
    <t>80,0</t>
  </si>
  <si>
    <t>Тубаев Эльдар</t>
  </si>
  <si>
    <t>Юноши 14-16 (29.08.2007)/14</t>
  </si>
  <si>
    <t>82,10</t>
  </si>
  <si>
    <t>122,5</t>
  </si>
  <si>
    <t>130,0</t>
  </si>
  <si>
    <t>135,0</t>
  </si>
  <si>
    <t>Пшихачев Ислам</t>
  </si>
  <si>
    <t>Открытая (07.02.1991)/31</t>
  </si>
  <si>
    <t>81,50</t>
  </si>
  <si>
    <t>145,0</t>
  </si>
  <si>
    <t>Открытая (29.08.2007)/14</t>
  </si>
  <si>
    <t>Махотлов Ризуан</t>
  </si>
  <si>
    <t>Открытая (08.04.1984)/37</t>
  </si>
  <si>
    <t>81,80</t>
  </si>
  <si>
    <t>Аушев Александр</t>
  </si>
  <si>
    <t>Мастера 40-49 (05.05.1978)/43</t>
  </si>
  <si>
    <t>82,00</t>
  </si>
  <si>
    <t>ВЕСОВАЯ КАТЕГОРИЯ   90</t>
  </si>
  <si>
    <t>Калов Темирлан</t>
  </si>
  <si>
    <t>Юноши 14-16 (04.04.2002)/19</t>
  </si>
  <si>
    <t>86,40</t>
  </si>
  <si>
    <t>115,0</t>
  </si>
  <si>
    <t>117,5</t>
  </si>
  <si>
    <t>Шаваев Муса</t>
  </si>
  <si>
    <t>Юноши 14-16 (01.11.2007)/14</t>
  </si>
  <si>
    <t>85,00</t>
  </si>
  <si>
    <t>107,5</t>
  </si>
  <si>
    <t>Киляров Инал</t>
  </si>
  <si>
    <t>Открытая (13.02.1994)/28</t>
  </si>
  <si>
    <t>105,00</t>
  </si>
  <si>
    <t>192,5</t>
  </si>
  <si>
    <t>197,5</t>
  </si>
  <si>
    <t xml:space="preserve">Юноши 14-16 </t>
  </si>
  <si>
    <t>90,7065</t>
  </si>
  <si>
    <t>90</t>
  </si>
  <si>
    <t>115,0380</t>
  </si>
  <si>
    <t>102,9222</t>
  </si>
  <si>
    <t>-</t>
  </si>
  <si>
    <t>Становая тяга</t>
  </si>
  <si>
    <t>ВЕСОВАЯ КАТЕГОРИЯ   52</t>
  </si>
  <si>
    <t>Тезадов Алихан</t>
  </si>
  <si>
    <t>Юноши 14-16 (01.01.2012)/10</t>
  </si>
  <si>
    <t>30,00</t>
  </si>
  <si>
    <t>35,0</t>
  </si>
  <si>
    <t>45,0</t>
  </si>
  <si>
    <t>ВЕСОВАЯ КАТЕГОРИЯ   67.5</t>
  </si>
  <si>
    <t>Ахметов Дамир</t>
  </si>
  <si>
    <t>Юноши 14-16 (12.08.2008)/13</t>
  </si>
  <si>
    <t>62,70</t>
  </si>
  <si>
    <t>60,0</t>
  </si>
  <si>
    <t>Крутенко Максим</t>
  </si>
  <si>
    <t>Юниоры (03.08.1998)/23</t>
  </si>
  <si>
    <t xml:space="preserve">Пятигорск/Ставропольский край </t>
  </si>
  <si>
    <t xml:space="preserve">Гусаков М. </t>
  </si>
  <si>
    <t>Ступников Роман</t>
  </si>
  <si>
    <t>Открытая (21.01.1988)/34</t>
  </si>
  <si>
    <t>81,70</t>
  </si>
  <si>
    <t xml:space="preserve">Ставрополь/Ставропольский край </t>
  </si>
  <si>
    <t>340,0</t>
  </si>
  <si>
    <t>362,5</t>
  </si>
  <si>
    <t>Гукетлов Марат</t>
  </si>
  <si>
    <t>Открытая (03.11.1990)/31</t>
  </si>
  <si>
    <t>90,00</t>
  </si>
  <si>
    <t>290,0</t>
  </si>
  <si>
    <t>305,0</t>
  </si>
  <si>
    <t>320,0</t>
  </si>
  <si>
    <t>Гусаков Максим</t>
  </si>
  <si>
    <t>Открытая (17.03.1990)/32</t>
  </si>
  <si>
    <t>87,50</t>
  </si>
  <si>
    <t xml:space="preserve">Кисловодск/Ставропольский край </t>
  </si>
  <si>
    <t>280,0</t>
  </si>
  <si>
    <t xml:space="preserve">Перепелицын И. </t>
  </si>
  <si>
    <t>Сабанчиев Мурат</t>
  </si>
  <si>
    <t>Открытая (07.01.1988)/34</t>
  </si>
  <si>
    <t>92,30</t>
  </si>
  <si>
    <t>300,0</t>
  </si>
  <si>
    <t>Балкизов Руслан</t>
  </si>
  <si>
    <t>Открытая (26.05.1990)/31</t>
  </si>
  <si>
    <t>96,50</t>
  </si>
  <si>
    <t>272,5</t>
  </si>
  <si>
    <t>Иригов Аскер</t>
  </si>
  <si>
    <t>Открытая (07.06.1989)/32</t>
  </si>
  <si>
    <t>109,80</t>
  </si>
  <si>
    <t>360,0</t>
  </si>
  <si>
    <t>375,0</t>
  </si>
  <si>
    <t>390,0</t>
  </si>
  <si>
    <t>270,0</t>
  </si>
  <si>
    <t>ВЕСОВАЯ КАТЕГОРИЯ   140</t>
  </si>
  <si>
    <t>Симонов Павел</t>
  </si>
  <si>
    <t>Открытая (20.07.1989)/32</t>
  </si>
  <si>
    <t>139,80</t>
  </si>
  <si>
    <t xml:space="preserve">Буденновск/Ставоопольский край </t>
  </si>
  <si>
    <t>67.5</t>
  </si>
  <si>
    <t>229,1260</t>
  </si>
  <si>
    <t>220,8000</t>
  </si>
  <si>
    <t>204,2880</t>
  </si>
  <si>
    <t>Абазова Алина</t>
  </si>
  <si>
    <t>Открытая (22.05.1990)/31</t>
  </si>
  <si>
    <t>50,50</t>
  </si>
  <si>
    <t>105,0</t>
  </si>
  <si>
    <t xml:space="preserve">Касимов Ф. </t>
  </si>
  <si>
    <t>Горобец Елена</t>
  </si>
  <si>
    <t>Открытая (10.11.1994)/27</t>
  </si>
  <si>
    <t>74,00</t>
  </si>
  <si>
    <t xml:space="preserve">Минеральные Воды/Ставропольский край </t>
  </si>
  <si>
    <t>187,5</t>
  </si>
  <si>
    <t>195,0</t>
  </si>
  <si>
    <t xml:space="preserve">Мусаев Р. </t>
  </si>
  <si>
    <t>Закураев Эльдар</t>
  </si>
  <si>
    <t>Юноши 14-16 (03.02.2009)/13</t>
  </si>
  <si>
    <t>47,00</t>
  </si>
  <si>
    <t>Шублаков Амир</t>
  </si>
  <si>
    <t>Юноши 14-16 (30.07.2010)/11</t>
  </si>
  <si>
    <t>41,00</t>
  </si>
  <si>
    <t>65,0</t>
  </si>
  <si>
    <t>Артюхов Никита</t>
  </si>
  <si>
    <t>Юноши 14-16 (19.11.2011)/10</t>
  </si>
  <si>
    <t>40,50</t>
  </si>
  <si>
    <t>Балкаров Андемир</t>
  </si>
  <si>
    <t>Юноши 14-16 (28.08.2011)/10</t>
  </si>
  <si>
    <t>ВЕСОВАЯ КАТЕГОРИЯ   60</t>
  </si>
  <si>
    <t>Аюбов Алихан</t>
  </si>
  <si>
    <t>Юноши 14-16 (01.12.2005)/16</t>
  </si>
  <si>
    <t>59,20</t>
  </si>
  <si>
    <t>120,0</t>
  </si>
  <si>
    <t>125,0</t>
  </si>
  <si>
    <t>Шублаков Мурат</t>
  </si>
  <si>
    <t>Юноши 14-16 (20.08.2006)/15</t>
  </si>
  <si>
    <t>58,10</t>
  </si>
  <si>
    <t>Шогенов Дамир</t>
  </si>
  <si>
    <t>Юноши 14-16 (12.07.2010)/11</t>
  </si>
  <si>
    <t>59,00</t>
  </si>
  <si>
    <t>50,0</t>
  </si>
  <si>
    <t>Отаров Ислам</t>
  </si>
  <si>
    <t>Юноши 14-16 (29.07.2007)/14</t>
  </si>
  <si>
    <t>64,40</t>
  </si>
  <si>
    <t>Бакаев Абдулкерим</t>
  </si>
  <si>
    <t>Юноши 14-16 (10.06.2009)/12</t>
  </si>
  <si>
    <t>64,00</t>
  </si>
  <si>
    <t>87,5</t>
  </si>
  <si>
    <t>Алоев Руслан</t>
  </si>
  <si>
    <t>Юноши 14-16 (21.04.2011)/10</t>
  </si>
  <si>
    <t>66,60</t>
  </si>
  <si>
    <t>85,0</t>
  </si>
  <si>
    <t>Тутов Джамбулат</t>
  </si>
  <si>
    <t>Юноши 17-19 (16.06.2004)/17</t>
  </si>
  <si>
    <t>67,30</t>
  </si>
  <si>
    <t>Кипов Рамазан</t>
  </si>
  <si>
    <t>Юноши 14-16 (09.09.2009)/12</t>
  </si>
  <si>
    <t>71,00</t>
  </si>
  <si>
    <t>Журтов Ислам</t>
  </si>
  <si>
    <t>Открытая (24.08.1995)/26</t>
  </si>
  <si>
    <t>70,10</t>
  </si>
  <si>
    <t>200,0</t>
  </si>
  <si>
    <t xml:space="preserve">Алоев А. </t>
  </si>
  <si>
    <t>Давыдов Денис</t>
  </si>
  <si>
    <t>Открытая (29.10.1992)/29</t>
  </si>
  <si>
    <t>72,20</t>
  </si>
  <si>
    <t>172,5</t>
  </si>
  <si>
    <t>210,0</t>
  </si>
  <si>
    <t>Кабардов Артур</t>
  </si>
  <si>
    <t>Юноши 14-16 (30.01.2007)/15</t>
  </si>
  <si>
    <t>Темботов Рустам</t>
  </si>
  <si>
    <t>Юноши 14-16 (15.02.2006)/16</t>
  </si>
  <si>
    <t>76,60</t>
  </si>
  <si>
    <t>Теуважуков Астемир</t>
  </si>
  <si>
    <t>Юноши 14-16 (03.05.2008)/13</t>
  </si>
  <si>
    <t>147,5</t>
  </si>
  <si>
    <t>Кейтуков Идар</t>
  </si>
  <si>
    <t>Юноши 14-16 (22.08.2008)/13</t>
  </si>
  <si>
    <t>77,00</t>
  </si>
  <si>
    <t>Тхакумачев Хажмухамед</t>
  </si>
  <si>
    <t>Юноши 14-16 (18.01.2007)/15</t>
  </si>
  <si>
    <t>Балкизов Ислам</t>
  </si>
  <si>
    <t>Открытая (14.06.1985)/36</t>
  </si>
  <si>
    <t>87,90</t>
  </si>
  <si>
    <t>265,0</t>
  </si>
  <si>
    <t>285,0</t>
  </si>
  <si>
    <t>Алоев Анзор</t>
  </si>
  <si>
    <t>Открытая (10.08.1996)/25</t>
  </si>
  <si>
    <t>245,0</t>
  </si>
  <si>
    <t>255,0</t>
  </si>
  <si>
    <t>Дауров Мухамед</t>
  </si>
  <si>
    <t>Открытая (18.04.1995)/26</t>
  </si>
  <si>
    <t>86,80</t>
  </si>
  <si>
    <t>240,0</t>
  </si>
  <si>
    <t>Кунашев Руслан</t>
  </si>
  <si>
    <t>Мастера 60-69 (27.08.1956)/65</t>
  </si>
  <si>
    <t>87,00</t>
  </si>
  <si>
    <t>155,0</t>
  </si>
  <si>
    <t>Шогенов Амирбек</t>
  </si>
  <si>
    <t>Открытая (29.08.1983)/38</t>
  </si>
  <si>
    <t>97,00</t>
  </si>
  <si>
    <t>260,0</t>
  </si>
  <si>
    <t>Коков Аскер</t>
  </si>
  <si>
    <t>Открытая (24.09.1986)/35</t>
  </si>
  <si>
    <t>94,20</t>
  </si>
  <si>
    <t>Мастера 40-49 (20.02.1980)/42</t>
  </si>
  <si>
    <t>97,80</t>
  </si>
  <si>
    <t xml:space="preserve">Магадан/Магаданская область </t>
  </si>
  <si>
    <t>Коков Алихан</t>
  </si>
  <si>
    <t>Юноши 14-16 (13.06.2008)/13</t>
  </si>
  <si>
    <t>102,00</t>
  </si>
  <si>
    <t>Дыгов Алим</t>
  </si>
  <si>
    <t>Открытая (16.04.1985)/36</t>
  </si>
  <si>
    <t>250,0</t>
  </si>
  <si>
    <t>275,0</t>
  </si>
  <si>
    <t>Мизаушев Музачир</t>
  </si>
  <si>
    <t>Открытая (31.08.1992)/29</t>
  </si>
  <si>
    <t>105,30</t>
  </si>
  <si>
    <t>Деров Станислав</t>
  </si>
  <si>
    <t>Открытая (22.11.1996)/25</t>
  </si>
  <si>
    <t>103,10</t>
  </si>
  <si>
    <t>Черкашин Сергей</t>
  </si>
  <si>
    <t>Открытая (12.09.1993)/28</t>
  </si>
  <si>
    <t>121,40</t>
  </si>
  <si>
    <t>Кунашев Эдуард</t>
  </si>
  <si>
    <t>Открытая (11.07.1985)/36</t>
  </si>
  <si>
    <t>112,80</t>
  </si>
  <si>
    <t>141,0990</t>
  </si>
  <si>
    <t>139,1220</t>
  </si>
  <si>
    <t>112,4640</t>
  </si>
  <si>
    <t>180,9640</t>
  </si>
  <si>
    <t>170,3160</t>
  </si>
  <si>
    <t>164,6920</t>
  </si>
  <si>
    <t>4</t>
  </si>
  <si>
    <t>5</t>
  </si>
  <si>
    <t>Хажироков Кантемир</t>
  </si>
  <si>
    <t>Открытая (03.01.1992)/30</t>
  </si>
  <si>
    <t>74,80</t>
  </si>
  <si>
    <t>Шибзухов Эльдар</t>
  </si>
  <si>
    <t>Открытая (12.08.1989)/32</t>
  </si>
  <si>
    <t>80,70</t>
  </si>
  <si>
    <t>Шериев Асланбек</t>
  </si>
  <si>
    <t>Открытая (28.03.1987)/34</t>
  </si>
  <si>
    <t>81,30</t>
  </si>
  <si>
    <t>55,0</t>
  </si>
  <si>
    <t>62,5</t>
  </si>
  <si>
    <t>67,5</t>
  </si>
  <si>
    <t>Жемухов Замир</t>
  </si>
  <si>
    <t>Открытая (30.08.1990)/31</t>
  </si>
  <si>
    <t>88,10</t>
  </si>
  <si>
    <t xml:space="preserve">Заюково/Кабардино-Балкария республика </t>
  </si>
  <si>
    <t>82,5</t>
  </si>
  <si>
    <t>Сидякин Евгений</t>
  </si>
  <si>
    <t>Открытая (28.06.1981)/40</t>
  </si>
  <si>
    <t>99,50</t>
  </si>
  <si>
    <t xml:space="preserve">Астрахань/Астраханская область </t>
  </si>
  <si>
    <t>Тлапшоков Бетал</t>
  </si>
  <si>
    <t>Открытая (09.05.1994)/27</t>
  </si>
  <si>
    <t>106,00</t>
  </si>
  <si>
    <t>Мустапаев Хасан</t>
  </si>
  <si>
    <t>108,00</t>
  </si>
  <si>
    <t>Касимов Феликс</t>
  </si>
  <si>
    <t>Открытая (29.03.1993)/28</t>
  </si>
  <si>
    <t>112,60</t>
  </si>
  <si>
    <t>144,50</t>
  </si>
  <si>
    <t xml:space="preserve">Gloss </t>
  </si>
  <si>
    <t>53,5753</t>
  </si>
  <si>
    <t>51,7425</t>
  </si>
  <si>
    <t>51,3102</t>
  </si>
  <si>
    <t>Цримов Султан</t>
  </si>
  <si>
    <t>67,50</t>
  </si>
  <si>
    <t>Хагажеев Алим</t>
  </si>
  <si>
    <t>Открытая (26.11.1989)/32</t>
  </si>
  <si>
    <t>81,40</t>
  </si>
  <si>
    <t>52,5</t>
  </si>
  <si>
    <t>57,5</t>
  </si>
  <si>
    <t>Тавкешев Аскер</t>
  </si>
  <si>
    <t>Открытая (14.07.1997)/24</t>
  </si>
  <si>
    <t>81,90</t>
  </si>
  <si>
    <t>Свистухов Алексей</t>
  </si>
  <si>
    <t>78,50</t>
  </si>
  <si>
    <t>Апажев Кантемир</t>
  </si>
  <si>
    <t>Открытая (10.04.1994)/27</t>
  </si>
  <si>
    <t xml:space="preserve">Шалушка/Кабардино-Балкария республика </t>
  </si>
  <si>
    <t>Вороков Султан</t>
  </si>
  <si>
    <t>Открытая (24.03.1997)/24</t>
  </si>
  <si>
    <t>100,00</t>
  </si>
  <si>
    <t>Апажев Урусби</t>
  </si>
  <si>
    <t>Открытая (06.04.1992)/29</t>
  </si>
  <si>
    <t>104,00</t>
  </si>
  <si>
    <t>43,5975</t>
  </si>
  <si>
    <t>40,0785</t>
  </si>
  <si>
    <t>39,0150</t>
  </si>
  <si>
    <t>Весовая категория</t>
  </si>
  <si>
    <t xml:space="preserve">Хашпаков Муса </t>
  </si>
  <si>
    <t xml:space="preserve">Хашпаков М.  </t>
  </si>
  <si>
    <t xml:space="preserve">Хашпаков М.   </t>
  </si>
  <si>
    <t xml:space="preserve">Губжев Б.  </t>
  </si>
  <si>
    <t xml:space="preserve">Всероссийский мастерский турнир "Апажевский"
WRPF Жим лежа без экипировки ДК
Чегем/Республика Кабардино-Балкария, 20 марта 2022 года </t>
  </si>
  <si>
    <t xml:space="preserve">Всероссийский мастерский турнир "Апажевский"
WRPF Жим лежа без экипировки
Чегем/Республика Кабардино-Балкария, 20 марта 2022 года </t>
  </si>
  <si>
    <t xml:space="preserve">Всероссийский мастерский турнир "Апажевский"
WRPF Становая тяга без экипировки ДК
Чегем/Республика Кабардино-Балкария, 20 марта 2022 года </t>
  </si>
  <si>
    <t xml:space="preserve">Всероссийский мастерский турнир "Апажевский"
WRPF Становая тяга без экипировки
Чегем/Республика Кабардино-Балкария, 20 марта 2022 года </t>
  </si>
  <si>
    <t xml:space="preserve">Всероссийский мастерский турнир "Апажевский"
WRPF Строгий подъем штанги на бицепс ДК
Чегем/Республика Кабардино-Балкария, 20 марта 2022 года </t>
  </si>
  <si>
    <t xml:space="preserve">Всероссийский мастерский турнир "Апажевский"
WRPF Строгий подъем штанги на бицепс
Чегем/Республика Кабардино-Балкария, 20 марта 2022 года </t>
  </si>
  <si>
    <t xml:space="preserve">Баксан/Республика Кабардино-Балкария </t>
  </si>
  <si>
    <t xml:space="preserve">Нальчик/Республика Кабардино-Балкария </t>
  </si>
  <si>
    <t xml:space="preserve">Грозный/Республика Чечня </t>
  </si>
  <si>
    <t xml:space="preserve">Тырныауз/Республика Кабардино-Балкария </t>
  </si>
  <si>
    <t>Нальчик/Республика Кабардино-Балкария</t>
  </si>
  <si>
    <t>Юноши 13-19 (16.06.2004)/17</t>
  </si>
  <si>
    <t>Юниоры 20-23 (10.02.1999)/23</t>
  </si>
  <si>
    <t>Мастера 50-59 (14.12.1971)/50</t>
  </si>
  <si>
    <t>Юноши 13-19 (01.11.2007)/14</t>
  </si>
  <si>
    <t>Мастера 40-49 (28.06.1981)/40</t>
  </si>
  <si>
    <t>Мастера 40-49 (01.01.1978)/44</t>
  </si>
  <si>
    <t xml:space="preserve">с. Приречное/Республика Кабардино-Балкария </t>
  </si>
  <si>
    <t>Жим</t>
  </si>
  <si>
    <t>№</t>
  </si>
  <si>
    <t xml:space="preserve">
Дата рождения/Возраст</t>
  </si>
  <si>
    <t>Возрастная группа</t>
  </si>
  <si>
    <t>O</t>
  </si>
  <si>
    <t>T1</t>
  </si>
  <si>
    <t>M1</t>
  </si>
  <si>
    <t>T2</t>
  </si>
  <si>
    <t>J</t>
  </si>
  <si>
    <t>M2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</si>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</sst>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308DC-88F3-4669-8054-84F71064D50C}">
  <dimension ref="A1:M37"/>
  <sheetViews>
    <sheetView workbookViewId="0">
      <selection activeCell="E27" sqref="E27"/>
    </sheetView>
  </sheetViews>
  <sheetFormatPr baseColWidth="10" defaultColWidth="9.1640625" defaultRowHeight="13"/>
  <cols>
    <col min="1" max="1" width="7.1640625" style="5" bestFit="1" customWidth="1"/>
    <col min="2" max="2" width="20.83203125" style="5" customWidth="1"/>
    <col min="3" max="3" width="27" style="5" bestFit="1" customWidth="1"/>
    <col min="4" max="4" width="21" style="5" bestFit="1" customWidth="1"/>
    <col min="5" max="5" width="14" style="5" customWidth="1"/>
    <col min="6" max="6" width="44" style="5" bestFit="1" customWidth="1"/>
    <col min="7" max="9" width="5.33203125" style="6" customWidth="1"/>
    <col min="10" max="10" width="4.6640625" style="6" customWidth="1"/>
    <col min="11" max="11" width="12.33203125" style="28" customWidth="1"/>
    <col min="12" max="12" width="8.3320312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37" t="s">
        <v>416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435</v>
      </c>
      <c r="B3" s="50" t="s">
        <v>0</v>
      </c>
      <c r="C3" s="47" t="s">
        <v>436</v>
      </c>
      <c r="D3" s="47" t="s">
        <v>5</v>
      </c>
      <c r="E3" s="49" t="s">
        <v>437</v>
      </c>
      <c r="F3" s="49" t="s">
        <v>4</v>
      </c>
      <c r="G3" s="49" t="s">
        <v>6</v>
      </c>
      <c r="H3" s="49"/>
      <c r="I3" s="49"/>
      <c r="J3" s="49"/>
      <c r="K3" s="52" t="s">
        <v>102</v>
      </c>
      <c r="L3" s="49" t="s">
        <v>2</v>
      </c>
      <c r="M3" s="54" t="s">
        <v>1</v>
      </c>
    </row>
    <row r="4" spans="1:13" s="1" customFormat="1" ht="21.25" customHeight="1" thickBot="1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3</v>
      </c>
      <c r="K4" s="53"/>
      <c r="L4" s="48"/>
      <c r="M4" s="55"/>
    </row>
    <row r="5" spans="1:13" ht="16">
      <c r="A5" s="35" t="s">
        <v>107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103</v>
      </c>
      <c r="B6" s="7" t="s">
        <v>108</v>
      </c>
      <c r="C6" s="7" t="s">
        <v>109</v>
      </c>
      <c r="D6" s="7" t="s">
        <v>110</v>
      </c>
      <c r="E6" s="7" t="s">
        <v>438</v>
      </c>
      <c r="F6" s="7" t="s">
        <v>111</v>
      </c>
      <c r="G6" s="20" t="s">
        <v>112</v>
      </c>
      <c r="H6" s="21" t="s">
        <v>113</v>
      </c>
      <c r="I6" s="21" t="s">
        <v>113</v>
      </c>
      <c r="J6" s="8"/>
      <c r="K6" s="29" t="str">
        <f>"40,0"</f>
        <v>40,0</v>
      </c>
      <c r="L6" s="8" t="str">
        <f>"59,7440"</f>
        <v>59,7440</v>
      </c>
      <c r="M6" s="7"/>
    </row>
    <row r="7" spans="1:13">
      <c r="B7" s="5" t="s">
        <v>104</v>
      </c>
    </row>
    <row r="8" spans="1:13" ht="16">
      <c r="A8" s="33" t="s">
        <v>114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103</v>
      </c>
      <c r="B9" s="7" t="s">
        <v>115</v>
      </c>
      <c r="C9" s="7" t="s">
        <v>116</v>
      </c>
      <c r="D9" s="7" t="s">
        <v>117</v>
      </c>
      <c r="E9" s="7" t="s">
        <v>439</v>
      </c>
      <c r="F9" s="7" t="s">
        <v>422</v>
      </c>
      <c r="G9" s="20" t="s">
        <v>118</v>
      </c>
      <c r="H9" s="20" t="s">
        <v>119</v>
      </c>
      <c r="I9" s="20" t="s">
        <v>120</v>
      </c>
      <c r="J9" s="8"/>
      <c r="K9" s="29" t="str">
        <f>"75,0"</f>
        <v>75,0</v>
      </c>
      <c r="L9" s="8" t="str">
        <f>"68,2725"</f>
        <v>68,2725</v>
      </c>
      <c r="M9" s="7" t="s">
        <v>21</v>
      </c>
    </row>
    <row r="10" spans="1:13">
      <c r="B10" s="5" t="s">
        <v>104</v>
      </c>
    </row>
    <row r="11" spans="1:13" ht="16">
      <c r="A11" s="33" t="s">
        <v>7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8" t="s">
        <v>103</v>
      </c>
      <c r="B12" s="7" t="s">
        <v>121</v>
      </c>
      <c r="C12" s="7" t="s">
        <v>122</v>
      </c>
      <c r="D12" s="7" t="s">
        <v>123</v>
      </c>
      <c r="E12" s="7" t="s">
        <v>439</v>
      </c>
      <c r="F12" s="7" t="s">
        <v>422</v>
      </c>
      <c r="G12" s="20" t="s">
        <v>118</v>
      </c>
      <c r="H12" s="20" t="s">
        <v>124</v>
      </c>
      <c r="I12" s="21" t="s">
        <v>125</v>
      </c>
      <c r="J12" s="8"/>
      <c r="K12" s="29" t="str">
        <f>"77,5"</f>
        <v>77,5</v>
      </c>
      <c r="L12" s="8" t="str">
        <f>"55,2265"</f>
        <v>55,2265</v>
      </c>
      <c r="M12" s="7" t="s">
        <v>21</v>
      </c>
    </row>
    <row r="13" spans="1:13">
      <c r="B13" s="5" t="s">
        <v>104</v>
      </c>
    </row>
    <row r="14" spans="1:13" ht="16">
      <c r="A14" s="33" t="s">
        <v>23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10" t="s">
        <v>103</v>
      </c>
      <c r="B15" s="9" t="s">
        <v>126</v>
      </c>
      <c r="C15" s="9" t="s">
        <v>127</v>
      </c>
      <c r="D15" s="9" t="s">
        <v>128</v>
      </c>
      <c r="E15" s="9" t="s">
        <v>439</v>
      </c>
      <c r="F15" s="9" t="s">
        <v>423</v>
      </c>
      <c r="G15" s="22" t="s">
        <v>129</v>
      </c>
      <c r="H15" s="22" t="s">
        <v>130</v>
      </c>
      <c r="I15" s="22" t="s">
        <v>131</v>
      </c>
      <c r="J15" s="10"/>
      <c r="K15" s="30" t="str">
        <f>"135,0"</f>
        <v>135,0</v>
      </c>
      <c r="L15" s="10" t="str">
        <f>"90,7065"</f>
        <v>90,7065</v>
      </c>
      <c r="M15" s="9" t="s">
        <v>415</v>
      </c>
    </row>
    <row r="16" spans="1:13">
      <c r="A16" s="14" t="s">
        <v>103</v>
      </c>
      <c r="B16" s="13" t="s">
        <v>132</v>
      </c>
      <c r="C16" s="13" t="s">
        <v>133</v>
      </c>
      <c r="D16" s="13" t="s">
        <v>134</v>
      </c>
      <c r="E16" s="13" t="s">
        <v>438</v>
      </c>
      <c r="F16" s="13" t="s">
        <v>422</v>
      </c>
      <c r="G16" s="25" t="s">
        <v>135</v>
      </c>
      <c r="H16" s="25" t="s">
        <v>41</v>
      </c>
      <c r="I16" s="25" t="s">
        <v>42</v>
      </c>
      <c r="J16" s="14"/>
      <c r="K16" s="31" t="str">
        <f>"152,5"</f>
        <v>152,5</v>
      </c>
      <c r="L16" s="14" t="str">
        <f>"102,9222"</f>
        <v>102,9222</v>
      </c>
      <c r="M16" s="13" t="s">
        <v>413</v>
      </c>
    </row>
    <row r="17" spans="1:13">
      <c r="A17" s="14" t="s">
        <v>105</v>
      </c>
      <c r="B17" s="13" t="s">
        <v>126</v>
      </c>
      <c r="C17" s="13" t="s">
        <v>136</v>
      </c>
      <c r="D17" s="13" t="s">
        <v>128</v>
      </c>
      <c r="E17" s="13" t="s">
        <v>438</v>
      </c>
      <c r="F17" s="13" t="s">
        <v>423</v>
      </c>
      <c r="G17" s="25" t="s">
        <v>129</v>
      </c>
      <c r="H17" s="25" t="s">
        <v>130</v>
      </c>
      <c r="I17" s="25" t="s">
        <v>131</v>
      </c>
      <c r="J17" s="14"/>
      <c r="K17" s="31" t="str">
        <f>"135,0"</f>
        <v>135,0</v>
      </c>
      <c r="L17" s="14" t="str">
        <f>"90,7065"</f>
        <v>90,7065</v>
      </c>
      <c r="M17" s="13" t="s">
        <v>415</v>
      </c>
    </row>
    <row r="18" spans="1:13">
      <c r="A18" s="14" t="s">
        <v>163</v>
      </c>
      <c r="B18" s="13" t="s">
        <v>137</v>
      </c>
      <c r="C18" s="13" t="s">
        <v>138</v>
      </c>
      <c r="D18" s="13" t="s">
        <v>139</v>
      </c>
      <c r="E18" s="13" t="s">
        <v>438</v>
      </c>
      <c r="F18" s="13" t="s">
        <v>422</v>
      </c>
      <c r="G18" s="26" t="s">
        <v>40</v>
      </c>
      <c r="H18" s="26" t="s">
        <v>40</v>
      </c>
      <c r="I18" s="26" t="s">
        <v>40</v>
      </c>
      <c r="J18" s="14"/>
      <c r="K18" s="31">
        <v>0</v>
      </c>
      <c r="L18" s="14" t="str">
        <f>"0,0000"</f>
        <v>0,0000</v>
      </c>
      <c r="M18" s="13"/>
    </row>
    <row r="19" spans="1:13">
      <c r="A19" s="12" t="s">
        <v>103</v>
      </c>
      <c r="B19" s="11" t="s">
        <v>140</v>
      </c>
      <c r="C19" s="11" t="s">
        <v>141</v>
      </c>
      <c r="D19" s="11" t="s">
        <v>142</v>
      </c>
      <c r="E19" s="11" t="s">
        <v>440</v>
      </c>
      <c r="F19" s="11" t="s">
        <v>423</v>
      </c>
      <c r="G19" s="27" t="s">
        <v>131</v>
      </c>
      <c r="H19" s="27" t="s">
        <v>131</v>
      </c>
      <c r="I19" s="23" t="s">
        <v>131</v>
      </c>
      <c r="J19" s="12"/>
      <c r="K19" s="32" t="str">
        <f>"135,0"</f>
        <v>135,0</v>
      </c>
      <c r="L19" s="12" t="str">
        <f>"93,3157"</f>
        <v>93,3157</v>
      </c>
      <c r="M19" s="11"/>
    </row>
    <row r="20" spans="1:13">
      <c r="B20" s="5" t="s">
        <v>104</v>
      </c>
    </row>
    <row r="21" spans="1:13" ht="16">
      <c r="A21" s="33" t="s">
        <v>143</v>
      </c>
      <c r="B21" s="33"/>
      <c r="C21" s="34"/>
      <c r="D21" s="34"/>
      <c r="E21" s="34"/>
      <c r="F21" s="34"/>
      <c r="G21" s="34"/>
      <c r="H21" s="34"/>
      <c r="I21" s="34"/>
      <c r="J21" s="34"/>
    </row>
    <row r="22" spans="1:13">
      <c r="A22" s="10" t="s">
        <v>103</v>
      </c>
      <c r="B22" s="9" t="s">
        <v>144</v>
      </c>
      <c r="C22" s="9" t="s">
        <v>145</v>
      </c>
      <c r="D22" s="9" t="s">
        <v>146</v>
      </c>
      <c r="E22" s="9" t="s">
        <v>439</v>
      </c>
      <c r="F22" s="9" t="s">
        <v>423</v>
      </c>
      <c r="G22" s="22" t="s">
        <v>19</v>
      </c>
      <c r="H22" s="22" t="s">
        <v>147</v>
      </c>
      <c r="I22" s="22" t="s">
        <v>148</v>
      </c>
      <c r="J22" s="10"/>
      <c r="K22" s="30" t="str">
        <f>"117,5"</f>
        <v>117,5</v>
      </c>
      <c r="L22" s="10" t="str">
        <f>"76,6453"</f>
        <v>76,6453</v>
      </c>
      <c r="M22" s="9"/>
    </row>
    <row r="23" spans="1:13">
      <c r="A23" s="12" t="s">
        <v>105</v>
      </c>
      <c r="B23" s="11" t="s">
        <v>149</v>
      </c>
      <c r="C23" s="11" t="s">
        <v>150</v>
      </c>
      <c r="D23" s="11" t="s">
        <v>151</v>
      </c>
      <c r="E23" s="11" t="s">
        <v>439</v>
      </c>
      <c r="F23" s="11" t="s">
        <v>423</v>
      </c>
      <c r="G23" s="23" t="s">
        <v>152</v>
      </c>
      <c r="H23" s="27" t="s">
        <v>20</v>
      </c>
      <c r="I23" s="23" t="s">
        <v>20</v>
      </c>
      <c r="J23" s="12"/>
      <c r="K23" s="32" t="str">
        <f>"112,5"</f>
        <v>112,5</v>
      </c>
      <c r="L23" s="12" t="str">
        <f>"74,0587"</f>
        <v>74,0587</v>
      </c>
      <c r="M23" s="11" t="s">
        <v>413</v>
      </c>
    </row>
    <row r="24" spans="1:13">
      <c r="B24" s="5" t="s">
        <v>104</v>
      </c>
    </row>
    <row r="25" spans="1:13" ht="16">
      <c r="A25" s="33" t="s">
        <v>52</v>
      </c>
      <c r="B25" s="33"/>
      <c r="C25" s="34"/>
      <c r="D25" s="34"/>
      <c r="E25" s="34"/>
      <c r="F25" s="34"/>
      <c r="G25" s="34"/>
      <c r="H25" s="34"/>
      <c r="I25" s="34"/>
      <c r="J25" s="34"/>
    </row>
    <row r="26" spans="1:13">
      <c r="A26" s="8" t="s">
        <v>103</v>
      </c>
      <c r="B26" s="7" t="s">
        <v>153</v>
      </c>
      <c r="C26" s="7" t="s">
        <v>154</v>
      </c>
      <c r="D26" s="7" t="s">
        <v>155</v>
      </c>
      <c r="E26" s="7" t="s">
        <v>438</v>
      </c>
      <c r="F26" s="7" t="s">
        <v>422</v>
      </c>
      <c r="G26" s="20" t="s">
        <v>156</v>
      </c>
      <c r="H26" s="21" t="s">
        <v>157</v>
      </c>
      <c r="I26" s="21" t="s">
        <v>157</v>
      </c>
      <c r="J26" s="8"/>
      <c r="K26" s="29" t="str">
        <f>"192,5"</f>
        <v>192,5</v>
      </c>
      <c r="L26" s="8" t="str">
        <f>"115,0380"</f>
        <v>115,0380</v>
      </c>
      <c r="M26" s="7" t="s">
        <v>414</v>
      </c>
    </row>
    <row r="27" spans="1:13">
      <c r="B27" s="5" t="s">
        <v>104</v>
      </c>
    </row>
    <row r="28" spans="1:13">
      <c r="B28" s="5" t="s">
        <v>104</v>
      </c>
    </row>
    <row r="29" spans="1:13">
      <c r="B29" s="5" t="s">
        <v>104</v>
      </c>
    </row>
    <row r="30" spans="1:13" ht="18">
      <c r="B30" s="15" t="s">
        <v>85</v>
      </c>
      <c r="C30" s="15"/>
    </row>
    <row r="31" spans="1:13" ht="16">
      <c r="B31" s="16" t="s">
        <v>91</v>
      </c>
      <c r="C31" s="16"/>
    </row>
    <row r="32" spans="1:13" ht="14">
      <c r="B32" s="17"/>
      <c r="C32" s="18" t="s">
        <v>95</v>
      </c>
    </row>
    <row r="33" spans="2:6" ht="14">
      <c r="B33" s="19" t="s">
        <v>86</v>
      </c>
      <c r="C33" s="19" t="s">
        <v>87</v>
      </c>
      <c r="D33" s="19" t="s">
        <v>411</v>
      </c>
      <c r="E33" s="19" t="s">
        <v>88</v>
      </c>
      <c r="F33" s="19" t="s">
        <v>89</v>
      </c>
    </row>
    <row r="34" spans="2:6">
      <c r="B34" s="5" t="s">
        <v>153</v>
      </c>
      <c r="C34" s="5" t="s">
        <v>95</v>
      </c>
      <c r="D34" s="6" t="s">
        <v>98</v>
      </c>
      <c r="E34" s="6" t="s">
        <v>156</v>
      </c>
      <c r="F34" s="6" t="s">
        <v>161</v>
      </c>
    </row>
    <row r="35" spans="2:6">
      <c r="B35" s="5" t="s">
        <v>132</v>
      </c>
      <c r="C35" s="5" t="s">
        <v>95</v>
      </c>
      <c r="D35" s="6" t="s">
        <v>100</v>
      </c>
      <c r="E35" s="6" t="s">
        <v>42</v>
      </c>
      <c r="F35" s="6" t="s">
        <v>162</v>
      </c>
    </row>
    <row r="36" spans="2:6">
      <c r="B36" s="5" t="s">
        <v>126</v>
      </c>
      <c r="C36" s="5" t="s">
        <v>95</v>
      </c>
      <c r="D36" s="6" t="s">
        <v>100</v>
      </c>
      <c r="E36" s="6" t="s">
        <v>131</v>
      </c>
      <c r="F36" s="6" t="s">
        <v>159</v>
      </c>
    </row>
    <row r="37" spans="2:6">
      <c r="B37" s="5" t="s">
        <v>104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5:J25"/>
    <mergeCell ref="A5:J5"/>
    <mergeCell ref="A8:J8"/>
    <mergeCell ref="A11:J11"/>
    <mergeCell ref="A14:J14"/>
    <mergeCell ref="A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M43"/>
  <sheetViews>
    <sheetView workbookViewId="0">
      <selection activeCell="E33" sqref="E33"/>
    </sheetView>
  </sheetViews>
  <sheetFormatPr baseColWidth="10" defaultColWidth="9.1640625" defaultRowHeight="13"/>
  <cols>
    <col min="1" max="1" width="7.1640625" style="5" bestFit="1" customWidth="1"/>
    <col min="2" max="2" width="19" style="5" bestFit="1" customWidth="1"/>
    <col min="3" max="3" width="27" style="5" bestFit="1" customWidth="1"/>
    <col min="4" max="4" width="21" style="5" bestFit="1" customWidth="1"/>
    <col min="5" max="5" width="14.6640625" style="5" customWidth="1"/>
    <col min="6" max="6" width="38.6640625" style="5" customWidth="1"/>
    <col min="7" max="9" width="5.33203125" style="6" customWidth="1"/>
    <col min="10" max="10" width="4.6640625" style="6" customWidth="1"/>
    <col min="11" max="11" width="11.1640625" style="6" customWidth="1"/>
    <col min="12" max="12" width="8.3320312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7" t="s">
        <v>417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435</v>
      </c>
      <c r="B3" s="50" t="s">
        <v>0</v>
      </c>
      <c r="C3" s="47" t="s">
        <v>436</v>
      </c>
      <c r="D3" s="47" t="s">
        <v>5</v>
      </c>
      <c r="E3" s="49" t="s">
        <v>437</v>
      </c>
      <c r="F3" s="49" t="s">
        <v>4</v>
      </c>
      <c r="G3" s="49" t="s">
        <v>6</v>
      </c>
      <c r="H3" s="49"/>
      <c r="I3" s="49"/>
      <c r="J3" s="49"/>
      <c r="K3" s="49" t="s">
        <v>102</v>
      </c>
      <c r="L3" s="49" t="s">
        <v>2</v>
      </c>
      <c r="M3" s="54" t="s">
        <v>1</v>
      </c>
    </row>
    <row r="4" spans="1:13" s="1" customFormat="1" ht="21.25" customHeight="1" thickBot="1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3</v>
      </c>
      <c r="K4" s="48"/>
      <c r="L4" s="48"/>
      <c r="M4" s="55"/>
    </row>
    <row r="5" spans="1:13" ht="16">
      <c r="A5" s="35" t="s">
        <v>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103</v>
      </c>
      <c r="B6" s="7" t="s">
        <v>8</v>
      </c>
      <c r="C6" s="7" t="s">
        <v>9</v>
      </c>
      <c r="D6" s="7" t="s">
        <v>10</v>
      </c>
      <c r="E6" s="7" t="s">
        <v>440</v>
      </c>
      <c r="F6" s="7" t="s">
        <v>11</v>
      </c>
      <c r="G6" s="20" t="s">
        <v>12</v>
      </c>
      <c r="H6" s="20" t="s">
        <v>13</v>
      </c>
      <c r="I6" s="21" t="s">
        <v>14</v>
      </c>
      <c r="J6" s="8"/>
      <c r="K6" s="8" t="str">
        <f>"95,0"</f>
        <v>95,0</v>
      </c>
      <c r="L6" s="8" t="str">
        <f>"95,5004"</f>
        <v>95,5004</v>
      </c>
      <c r="M6" s="7"/>
    </row>
    <row r="7" spans="1:13">
      <c r="B7" s="5" t="s">
        <v>104</v>
      </c>
    </row>
    <row r="8" spans="1:13" ht="16">
      <c r="A8" s="33" t="s">
        <v>7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0" t="s">
        <v>103</v>
      </c>
      <c r="B9" s="9" t="s">
        <v>15</v>
      </c>
      <c r="C9" s="9" t="s">
        <v>16</v>
      </c>
      <c r="D9" s="9" t="s">
        <v>17</v>
      </c>
      <c r="E9" s="9" t="s">
        <v>441</v>
      </c>
      <c r="F9" s="9" t="s">
        <v>422</v>
      </c>
      <c r="G9" s="22" t="s">
        <v>18</v>
      </c>
      <c r="H9" s="22" t="s">
        <v>19</v>
      </c>
      <c r="I9" s="22" t="s">
        <v>20</v>
      </c>
      <c r="J9" s="10"/>
      <c r="K9" s="10" t="str">
        <f>"112,5"</f>
        <v>112,5</v>
      </c>
      <c r="L9" s="10" t="str">
        <f>"82,5412"</f>
        <v>82,5412</v>
      </c>
      <c r="M9" s="9" t="s">
        <v>21</v>
      </c>
    </row>
    <row r="10" spans="1:13">
      <c r="A10" s="12" t="s">
        <v>103</v>
      </c>
      <c r="B10" s="11" t="s">
        <v>15</v>
      </c>
      <c r="C10" s="11" t="s">
        <v>22</v>
      </c>
      <c r="D10" s="11" t="s">
        <v>17</v>
      </c>
      <c r="E10" s="11" t="s">
        <v>438</v>
      </c>
      <c r="F10" s="11" t="s">
        <v>422</v>
      </c>
      <c r="G10" s="23" t="s">
        <v>18</v>
      </c>
      <c r="H10" s="23" t="s">
        <v>19</v>
      </c>
      <c r="I10" s="23" t="s">
        <v>20</v>
      </c>
      <c r="J10" s="12"/>
      <c r="K10" s="12" t="str">
        <f>"112,5"</f>
        <v>112,5</v>
      </c>
      <c r="L10" s="12" t="str">
        <f>"82,5412"</f>
        <v>82,5412</v>
      </c>
      <c r="M10" s="11" t="s">
        <v>21</v>
      </c>
    </row>
    <row r="11" spans="1:13">
      <c r="B11" s="5" t="s">
        <v>104</v>
      </c>
    </row>
    <row r="12" spans="1:13" ht="16">
      <c r="A12" s="33" t="s">
        <v>23</v>
      </c>
      <c r="B12" s="33"/>
      <c r="C12" s="34"/>
      <c r="D12" s="34"/>
      <c r="E12" s="34"/>
      <c r="F12" s="34"/>
      <c r="G12" s="34"/>
      <c r="H12" s="34"/>
      <c r="I12" s="34"/>
      <c r="J12" s="34"/>
    </row>
    <row r="13" spans="1:13">
      <c r="A13" s="10" t="s">
        <v>103</v>
      </c>
      <c r="B13" s="9" t="s">
        <v>412</v>
      </c>
      <c r="C13" s="9" t="s">
        <v>24</v>
      </c>
      <c r="D13" s="9" t="s">
        <v>25</v>
      </c>
      <c r="E13" s="9" t="s">
        <v>438</v>
      </c>
      <c r="F13" s="9" t="s">
        <v>422</v>
      </c>
      <c r="G13" s="24" t="s">
        <v>26</v>
      </c>
      <c r="H13" s="22" t="s">
        <v>27</v>
      </c>
      <c r="I13" s="22" t="s">
        <v>28</v>
      </c>
      <c r="J13" s="10"/>
      <c r="K13" s="10" t="str">
        <f>"182,5"</f>
        <v>182,5</v>
      </c>
      <c r="L13" s="10" t="str">
        <f>"125,5965"</f>
        <v>125,5965</v>
      </c>
      <c r="M13" s="9" t="s">
        <v>413</v>
      </c>
    </row>
    <row r="14" spans="1:13">
      <c r="A14" s="14" t="s">
        <v>105</v>
      </c>
      <c r="B14" s="13" t="s">
        <v>29</v>
      </c>
      <c r="C14" s="13" t="s">
        <v>30</v>
      </c>
      <c r="D14" s="13" t="s">
        <v>31</v>
      </c>
      <c r="E14" s="13" t="s">
        <v>438</v>
      </c>
      <c r="F14" s="13" t="s">
        <v>32</v>
      </c>
      <c r="G14" s="25" t="s">
        <v>33</v>
      </c>
      <c r="H14" s="26" t="s">
        <v>34</v>
      </c>
      <c r="I14" s="25" t="s">
        <v>35</v>
      </c>
      <c r="J14" s="14"/>
      <c r="K14" s="14" t="str">
        <f>"167,5"</f>
        <v>167,5</v>
      </c>
      <c r="L14" s="14" t="str">
        <f>"118,2717"</f>
        <v>118,2717</v>
      </c>
      <c r="M14" s="13"/>
    </row>
    <row r="15" spans="1:13">
      <c r="A15" s="12" t="s">
        <v>106</v>
      </c>
      <c r="B15" s="11" t="s">
        <v>36</v>
      </c>
      <c r="C15" s="11" t="s">
        <v>37</v>
      </c>
      <c r="D15" s="11" t="s">
        <v>38</v>
      </c>
      <c r="E15" s="11" t="s">
        <v>438</v>
      </c>
      <c r="F15" s="11" t="s">
        <v>39</v>
      </c>
      <c r="G15" s="23" t="s">
        <v>40</v>
      </c>
      <c r="H15" s="23" t="s">
        <v>41</v>
      </c>
      <c r="I15" s="27" t="s">
        <v>42</v>
      </c>
      <c r="J15" s="12"/>
      <c r="K15" s="12" t="str">
        <f>"150,0"</f>
        <v>150,0</v>
      </c>
      <c r="L15" s="12" t="str">
        <f>"105,4350"</f>
        <v>105,4350</v>
      </c>
      <c r="M15" s="11" t="s">
        <v>43</v>
      </c>
    </row>
    <row r="16" spans="1:13">
      <c r="B16" s="5" t="s">
        <v>104</v>
      </c>
    </row>
    <row r="17" spans="1:13" ht="16">
      <c r="A17" s="33" t="s">
        <v>44</v>
      </c>
      <c r="B17" s="33"/>
      <c r="C17" s="34"/>
      <c r="D17" s="34"/>
      <c r="E17" s="34"/>
      <c r="F17" s="34"/>
      <c r="G17" s="34"/>
      <c r="H17" s="34"/>
      <c r="I17" s="34"/>
      <c r="J17" s="34"/>
    </row>
    <row r="18" spans="1:13">
      <c r="A18" s="10" t="s">
        <v>103</v>
      </c>
      <c r="B18" s="9" t="s">
        <v>45</v>
      </c>
      <c r="C18" s="9" t="s">
        <v>46</v>
      </c>
      <c r="D18" s="9" t="s">
        <v>47</v>
      </c>
      <c r="E18" s="9" t="s">
        <v>442</v>
      </c>
      <c r="F18" s="9" t="s">
        <v>422</v>
      </c>
      <c r="G18" s="22" t="s">
        <v>33</v>
      </c>
      <c r="H18" s="22" t="s">
        <v>26</v>
      </c>
      <c r="I18" s="22" t="s">
        <v>27</v>
      </c>
      <c r="J18" s="10"/>
      <c r="K18" s="10" t="str">
        <f>"175,0"</f>
        <v>175,0</v>
      </c>
      <c r="L18" s="10" t="str">
        <f>"109,3750"</f>
        <v>109,3750</v>
      </c>
      <c r="M18" s="9" t="s">
        <v>21</v>
      </c>
    </row>
    <row r="19" spans="1:13">
      <c r="A19" s="14" t="s">
        <v>103</v>
      </c>
      <c r="B19" s="13" t="s">
        <v>45</v>
      </c>
      <c r="C19" s="13" t="s">
        <v>48</v>
      </c>
      <c r="D19" s="13" t="s">
        <v>47</v>
      </c>
      <c r="E19" s="13" t="s">
        <v>438</v>
      </c>
      <c r="F19" s="13" t="s">
        <v>422</v>
      </c>
      <c r="G19" s="25" t="s">
        <v>33</v>
      </c>
      <c r="H19" s="25" t="s">
        <v>26</v>
      </c>
      <c r="I19" s="25" t="s">
        <v>27</v>
      </c>
      <c r="J19" s="14"/>
      <c r="K19" s="14" t="str">
        <f>"175,0"</f>
        <v>175,0</v>
      </c>
      <c r="L19" s="14" t="str">
        <f>"109,3750"</f>
        <v>109,3750</v>
      </c>
      <c r="M19" s="13" t="s">
        <v>21</v>
      </c>
    </row>
    <row r="20" spans="1:13">
      <c r="A20" s="12" t="s">
        <v>105</v>
      </c>
      <c r="B20" s="11" t="s">
        <v>49</v>
      </c>
      <c r="C20" s="11" t="s">
        <v>50</v>
      </c>
      <c r="D20" s="11" t="s">
        <v>51</v>
      </c>
      <c r="E20" s="11" t="s">
        <v>438</v>
      </c>
      <c r="F20" s="11" t="s">
        <v>424</v>
      </c>
      <c r="G20" s="23" t="s">
        <v>41</v>
      </c>
      <c r="H20" s="23" t="s">
        <v>33</v>
      </c>
      <c r="I20" s="23" t="s">
        <v>34</v>
      </c>
      <c r="J20" s="12"/>
      <c r="K20" s="12" t="str">
        <f>"165,0"</f>
        <v>165,0</v>
      </c>
      <c r="L20" s="12" t="str">
        <f>"102,2010"</f>
        <v>102,2010</v>
      </c>
      <c r="M20" s="11"/>
    </row>
    <row r="21" spans="1:13">
      <c r="B21" s="5" t="s">
        <v>104</v>
      </c>
    </row>
    <row r="22" spans="1:13" ht="16">
      <c r="A22" s="33" t="s">
        <v>52</v>
      </c>
      <c r="B22" s="33"/>
      <c r="C22" s="34"/>
      <c r="D22" s="34"/>
      <c r="E22" s="34"/>
      <c r="F22" s="34"/>
      <c r="G22" s="34"/>
      <c r="H22" s="34"/>
      <c r="I22" s="34"/>
      <c r="J22" s="34"/>
    </row>
    <row r="23" spans="1:13">
      <c r="A23" s="8" t="s">
        <v>103</v>
      </c>
      <c r="B23" s="7" t="s">
        <v>53</v>
      </c>
      <c r="C23" s="7" t="s">
        <v>54</v>
      </c>
      <c r="D23" s="7" t="s">
        <v>55</v>
      </c>
      <c r="E23" s="7" t="s">
        <v>438</v>
      </c>
      <c r="F23" s="7" t="s">
        <v>425</v>
      </c>
      <c r="G23" s="21" t="s">
        <v>57</v>
      </c>
      <c r="H23" s="20" t="s">
        <v>58</v>
      </c>
      <c r="I23" s="21" t="s">
        <v>59</v>
      </c>
      <c r="J23" s="8"/>
      <c r="K23" s="8" t="str">
        <f>"215,0"</f>
        <v>215,0</v>
      </c>
      <c r="L23" s="8" t="str">
        <f>"126,8930"</f>
        <v>126,8930</v>
      </c>
      <c r="M23" s="7"/>
    </row>
    <row r="24" spans="1:13">
      <c r="B24" s="5" t="s">
        <v>104</v>
      </c>
    </row>
    <row r="25" spans="1:13" ht="16">
      <c r="A25" s="33" t="s">
        <v>60</v>
      </c>
      <c r="B25" s="33"/>
      <c r="C25" s="34"/>
      <c r="D25" s="34"/>
      <c r="E25" s="34"/>
      <c r="F25" s="34"/>
      <c r="G25" s="34"/>
      <c r="H25" s="34"/>
      <c r="I25" s="34"/>
      <c r="J25" s="34"/>
    </row>
    <row r="26" spans="1:13">
      <c r="A26" s="10" t="s">
        <v>103</v>
      </c>
      <c r="B26" s="9" t="s">
        <v>61</v>
      </c>
      <c r="C26" s="9" t="s">
        <v>62</v>
      </c>
      <c r="D26" s="9" t="s">
        <v>63</v>
      </c>
      <c r="E26" s="9" t="s">
        <v>438</v>
      </c>
      <c r="F26" s="9" t="s">
        <v>422</v>
      </c>
      <c r="G26" s="22" t="s">
        <v>64</v>
      </c>
      <c r="H26" s="22" t="s">
        <v>58</v>
      </c>
      <c r="I26" s="24" t="s">
        <v>65</v>
      </c>
      <c r="J26" s="10"/>
      <c r="K26" s="10" t="str">
        <f>"215,0"</f>
        <v>215,0</v>
      </c>
      <c r="L26" s="10" t="str">
        <f>"124,9365"</f>
        <v>124,9365</v>
      </c>
      <c r="M26" s="9" t="s">
        <v>413</v>
      </c>
    </row>
    <row r="27" spans="1:13">
      <c r="A27" s="14" t="s">
        <v>105</v>
      </c>
      <c r="B27" s="13" t="s">
        <v>66</v>
      </c>
      <c r="C27" s="13" t="s">
        <v>67</v>
      </c>
      <c r="D27" s="13" t="s">
        <v>68</v>
      </c>
      <c r="E27" s="13" t="s">
        <v>438</v>
      </c>
      <c r="F27" s="13" t="s">
        <v>32</v>
      </c>
      <c r="G27" s="25" t="s">
        <v>27</v>
      </c>
      <c r="H27" s="25" t="s">
        <v>69</v>
      </c>
      <c r="I27" s="25" t="s">
        <v>70</v>
      </c>
      <c r="J27" s="14"/>
      <c r="K27" s="14" t="str">
        <f>"190,0"</f>
        <v>190,0</v>
      </c>
      <c r="L27" s="14" t="str">
        <f>"109,2690"</f>
        <v>109,2690</v>
      </c>
      <c r="M27" s="13" t="s">
        <v>71</v>
      </c>
    </row>
    <row r="28" spans="1:13">
      <c r="A28" s="14" t="s">
        <v>106</v>
      </c>
      <c r="B28" s="13" t="s">
        <v>72</v>
      </c>
      <c r="C28" s="13" t="s">
        <v>73</v>
      </c>
      <c r="D28" s="13" t="s">
        <v>74</v>
      </c>
      <c r="E28" s="13" t="s">
        <v>438</v>
      </c>
      <c r="F28" s="13" t="s">
        <v>422</v>
      </c>
      <c r="G28" s="25" t="s">
        <v>26</v>
      </c>
      <c r="H28" s="25" t="s">
        <v>75</v>
      </c>
      <c r="I28" s="25" t="s">
        <v>70</v>
      </c>
      <c r="J28" s="14"/>
      <c r="K28" s="14" t="str">
        <f>"190,0"</f>
        <v>190,0</v>
      </c>
      <c r="L28" s="14" t="str">
        <f>"108,6420"</f>
        <v>108,6420</v>
      </c>
      <c r="M28" s="13" t="s">
        <v>21</v>
      </c>
    </row>
    <row r="29" spans="1:13">
      <c r="A29" s="12" t="s">
        <v>103</v>
      </c>
      <c r="B29" s="11" t="s">
        <v>61</v>
      </c>
      <c r="C29" s="11" t="s">
        <v>76</v>
      </c>
      <c r="D29" s="11" t="s">
        <v>63</v>
      </c>
      <c r="E29" s="11" t="s">
        <v>443</v>
      </c>
      <c r="F29" s="11" t="s">
        <v>422</v>
      </c>
      <c r="G29" s="23" t="s">
        <v>64</v>
      </c>
      <c r="H29" s="23" t="s">
        <v>58</v>
      </c>
      <c r="I29" s="27" t="s">
        <v>65</v>
      </c>
      <c r="J29" s="12"/>
      <c r="K29" s="12" t="str">
        <f>"215,0"</f>
        <v>215,0</v>
      </c>
      <c r="L29" s="12" t="str">
        <f>"150,7984"</f>
        <v>150,7984</v>
      </c>
      <c r="M29" s="11" t="s">
        <v>413</v>
      </c>
    </row>
    <row r="30" spans="1:13">
      <c r="B30" s="5" t="s">
        <v>104</v>
      </c>
    </row>
    <row r="31" spans="1:13" ht="16">
      <c r="A31" s="33" t="s">
        <v>77</v>
      </c>
      <c r="B31" s="33"/>
      <c r="C31" s="34"/>
      <c r="D31" s="34"/>
      <c r="E31" s="34"/>
      <c r="F31" s="34"/>
      <c r="G31" s="34"/>
      <c r="H31" s="34"/>
      <c r="I31" s="34"/>
      <c r="J31" s="34"/>
    </row>
    <row r="32" spans="1:13">
      <c r="A32" s="8" t="s">
        <v>103</v>
      </c>
      <c r="B32" s="7" t="s">
        <v>78</v>
      </c>
      <c r="C32" s="7" t="s">
        <v>79</v>
      </c>
      <c r="D32" s="7" t="s">
        <v>80</v>
      </c>
      <c r="E32" s="7" t="s">
        <v>438</v>
      </c>
      <c r="F32" s="7" t="s">
        <v>39</v>
      </c>
      <c r="G32" s="20" t="s">
        <v>81</v>
      </c>
      <c r="H32" s="20" t="s">
        <v>82</v>
      </c>
      <c r="I32" s="21" t="s">
        <v>83</v>
      </c>
      <c r="J32" s="8"/>
      <c r="K32" s="8" t="str">
        <f>"230,0"</f>
        <v>230,0</v>
      </c>
      <c r="L32" s="8" t="str">
        <f>"127,9720"</f>
        <v>127,9720</v>
      </c>
      <c r="M32" s="7" t="s">
        <v>84</v>
      </c>
    </row>
    <row r="33" spans="2:6">
      <c r="B33" s="5" t="s">
        <v>104</v>
      </c>
    </row>
    <row r="34" spans="2:6">
      <c r="B34" s="5" t="s">
        <v>104</v>
      </c>
    </row>
    <row r="35" spans="2:6">
      <c r="B35" s="5" t="s">
        <v>104</v>
      </c>
    </row>
    <row r="36" spans="2:6" ht="18">
      <c r="B36" s="15" t="s">
        <v>85</v>
      </c>
      <c r="C36" s="15"/>
    </row>
    <row r="37" spans="2:6" ht="16">
      <c r="B37" s="16" t="s">
        <v>91</v>
      </c>
      <c r="C37" s="16"/>
    </row>
    <row r="38" spans="2:6" ht="14">
      <c r="B38" s="17"/>
      <c r="C38" s="18" t="s">
        <v>95</v>
      </c>
    </row>
    <row r="39" spans="2:6" ht="14">
      <c r="B39" s="19" t="s">
        <v>86</v>
      </c>
      <c r="C39" s="19" t="s">
        <v>87</v>
      </c>
      <c r="D39" s="19" t="s">
        <v>411</v>
      </c>
      <c r="E39" s="19" t="s">
        <v>88</v>
      </c>
      <c r="F39" s="19" t="s">
        <v>89</v>
      </c>
    </row>
    <row r="40" spans="2:6">
      <c r="B40" s="5" t="s">
        <v>78</v>
      </c>
      <c r="C40" s="5" t="s">
        <v>95</v>
      </c>
      <c r="D40" s="6" t="s">
        <v>96</v>
      </c>
      <c r="E40" s="6" t="s">
        <v>82</v>
      </c>
      <c r="F40" s="6" t="s">
        <v>97</v>
      </c>
    </row>
    <row r="41" spans="2:6">
      <c r="B41" s="5" t="s">
        <v>53</v>
      </c>
      <c r="C41" s="5" t="s">
        <v>95</v>
      </c>
      <c r="D41" s="6" t="s">
        <v>98</v>
      </c>
      <c r="E41" s="6" t="s">
        <v>58</v>
      </c>
      <c r="F41" s="6" t="s">
        <v>99</v>
      </c>
    </row>
    <row r="42" spans="2:6">
      <c r="B42" s="5" t="s">
        <v>412</v>
      </c>
      <c r="C42" s="5" t="s">
        <v>95</v>
      </c>
      <c r="D42" s="6" t="s">
        <v>100</v>
      </c>
      <c r="E42" s="6" t="s">
        <v>28</v>
      </c>
      <c r="F42" s="6" t="s">
        <v>101</v>
      </c>
    </row>
    <row r="43" spans="2:6">
      <c r="B43" s="5" t="s">
        <v>104</v>
      </c>
    </row>
  </sheetData>
  <mergeCells count="18"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A25:J25"/>
    <mergeCell ref="A31:J31"/>
    <mergeCell ref="B3:B4"/>
    <mergeCell ref="A5:J5"/>
    <mergeCell ref="A8:J8"/>
    <mergeCell ref="A12:J12"/>
    <mergeCell ref="A17:J17"/>
    <mergeCell ref="A22:J22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A0D48-B92B-4D1E-A1F1-32C2C0532687}">
  <dimension ref="A1:M81"/>
  <sheetViews>
    <sheetView topLeftCell="A37" workbookViewId="0">
      <selection activeCell="E65" sqref="E65"/>
    </sheetView>
  </sheetViews>
  <sheetFormatPr baseColWidth="10" defaultColWidth="9.1640625" defaultRowHeight="13"/>
  <cols>
    <col min="1" max="1" width="7.1640625" style="5" bestFit="1" customWidth="1"/>
    <col min="2" max="2" width="22.33203125" style="5" bestFit="1" customWidth="1"/>
    <col min="3" max="3" width="27" style="5" bestFit="1" customWidth="1"/>
    <col min="4" max="4" width="21" style="5" bestFit="1" customWidth="1"/>
    <col min="5" max="5" width="14.5" style="5" customWidth="1"/>
    <col min="6" max="6" width="38.33203125" style="5" bestFit="1" customWidth="1"/>
    <col min="7" max="9" width="5.33203125" style="6" customWidth="1"/>
    <col min="10" max="10" width="4.6640625" style="6" customWidth="1"/>
    <col min="11" max="11" width="15.1640625" style="6" customWidth="1"/>
    <col min="12" max="12" width="8.3320312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37" t="s">
        <v>418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435</v>
      </c>
      <c r="B3" s="50" t="s">
        <v>0</v>
      </c>
      <c r="C3" s="47" t="s">
        <v>436</v>
      </c>
      <c r="D3" s="47" t="s">
        <v>5</v>
      </c>
      <c r="E3" s="49" t="s">
        <v>437</v>
      </c>
      <c r="F3" s="49" t="s">
        <v>4</v>
      </c>
      <c r="G3" s="49" t="s">
        <v>164</v>
      </c>
      <c r="H3" s="49"/>
      <c r="I3" s="49"/>
      <c r="J3" s="49"/>
      <c r="K3" s="49" t="s">
        <v>102</v>
      </c>
      <c r="L3" s="49" t="s">
        <v>2</v>
      </c>
      <c r="M3" s="54" t="s">
        <v>1</v>
      </c>
    </row>
    <row r="4" spans="1:13" s="1" customFormat="1" ht="21.25" customHeight="1" thickBot="1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3</v>
      </c>
      <c r="K4" s="48"/>
      <c r="L4" s="48"/>
      <c r="M4" s="55"/>
    </row>
    <row r="5" spans="1:13" ht="16">
      <c r="A5" s="35" t="s">
        <v>165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103</v>
      </c>
      <c r="B6" s="7" t="s">
        <v>222</v>
      </c>
      <c r="C6" s="7" t="s">
        <v>223</v>
      </c>
      <c r="D6" s="7" t="s">
        <v>224</v>
      </c>
      <c r="E6" s="7" t="s">
        <v>438</v>
      </c>
      <c r="F6" s="7" t="s">
        <v>423</v>
      </c>
      <c r="G6" s="20" t="s">
        <v>13</v>
      </c>
      <c r="H6" s="20" t="s">
        <v>225</v>
      </c>
      <c r="I6" s="21" t="s">
        <v>19</v>
      </c>
      <c r="J6" s="8"/>
      <c r="K6" s="8" t="str">
        <f>"105,0"</f>
        <v>105,0</v>
      </c>
      <c r="L6" s="8" t="str">
        <f>"133,8750"</f>
        <v>133,8750</v>
      </c>
      <c r="M6" s="7" t="s">
        <v>226</v>
      </c>
    </row>
    <row r="7" spans="1:13">
      <c r="B7" s="5" t="s">
        <v>104</v>
      </c>
    </row>
    <row r="8" spans="1:13" ht="16">
      <c r="A8" s="33" t="s">
        <v>7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103</v>
      </c>
      <c r="B9" s="7" t="s">
        <v>227</v>
      </c>
      <c r="C9" s="7" t="s">
        <v>228</v>
      </c>
      <c r="D9" s="7" t="s">
        <v>229</v>
      </c>
      <c r="E9" s="7" t="s">
        <v>438</v>
      </c>
      <c r="F9" s="7" t="s">
        <v>230</v>
      </c>
      <c r="G9" s="20" t="s">
        <v>75</v>
      </c>
      <c r="H9" s="20" t="s">
        <v>231</v>
      </c>
      <c r="I9" s="20" t="s">
        <v>232</v>
      </c>
      <c r="J9" s="8"/>
      <c r="K9" s="8" t="str">
        <f>"195,0"</f>
        <v>195,0</v>
      </c>
      <c r="L9" s="8" t="str">
        <f>"186,9465"</f>
        <v>186,9465</v>
      </c>
      <c r="M9" s="7" t="s">
        <v>233</v>
      </c>
    </row>
    <row r="10" spans="1:13">
      <c r="B10" s="5" t="s">
        <v>104</v>
      </c>
    </row>
    <row r="11" spans="1:13" ht="16">
      <c r="A11" s="33" t="s">
        <v>165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10" t="s">
        <v>103</v>
      </c>
      <c r="B12" s="9" t="s">
        <v>234</v>
      </c>
      <c r="C12" s="9" t="s">
        <v>235</v>
      </c>
      <c r="D12" s="9" t="s">
        <v>236</v>
      </c>
      <c r="E12" s="9" t="s">
        <v>439</v>
      </c>
      <c r="F12" s="9" t="s">
        <v>422</v>
      </c>
      <c r="G12" s="22" t="s">
        <v>175</v>
      </c>
      <c r="H12" s="22" t="s">
        <v>118</v>
      </c>
      <c r="I12" s="22" t="s">
        <v>125</v>
      </c>
      <c r="J12" s="10"/>
      <c r="K12" s="10" t="str">
        <f>"80,0"</f>
        <v>80,0</v>
      </c>
      <c r="L12" s="10" t="str">
        <f>"87,6960"</f>
        <v>87,6960</v>
      </c>
      <c r="M12" s="9" t="s">
        <v>413</v>
      </c>
    </row>
    <row r="13" spans="1:13">
      <c r="A13" s="14" t="s">
        <v>105</v>
      </c>
      <c r="B13" s="13" t="s">
        <v>237</v>
      </c>
      <c r="C13" s="13" t="s">
        <v>238</v>
      </c>
      <c r="D13" s="13" t="s">
        <v>239</v>
      </c>
      <c r="E13" s="13" t="s">
        <v>439</v>
      </c>
      <c r="F13" s="13" t="s">
        <v>422</v>
      </c>
      <c r="G13" s="25" t="s">
        <v>175</v>
      </c>
      <c r="H13" s="25" t="s">
        <v>240</v>
      </c>
      <c r="I13" s="25" t="s">
        <v>118</v>
      </c>
      <c r="J13" s="14"/>
      <c r="K13" s="14" t="str">
        <f>"70,0"</f>
        <v>70,0</v>
      </c>
      <c r="L13" s="14" t="str">
        <f>"90,5380"</f>
        <v>90,5380</v>
      </c>
      <c r="M13" s="13" t="s">
        <v>21</v>
      </c>
    </row>
    <row r="14" spans="1:13">
      <c r="A14" s="12" t="s">
        <v>106</v>
      </c>
      <c r="B14" s="11" t="s">
        <v>241</v>
      </c>
      <c r="C14" s="11" t="s">
        <v>242</v>
      </c>
      <c r="D14" s="11" t="s">
        <v>243</v>
      </c>
      <c r="E14" s="11" t="s">
        <v>439</v>
      </c>
      <c r="F14" s="11" t="s">
        <v>422</v>
      </c>
      <c r="G14" s="23" t="s">
        <v>175</v>
      </c>
      <c r="H14" s="27" t="s">
        <v>240</v>
      </c>
      <c r="I14" s="23" t="s">
        <v>240</v>
      </c>
      <c r="J14" s="12"/>
      <c r="K14" s="12" t="str">
        <f>"65,0"</f>
        <v>65,0</v>
      </c>
      <c r="L14" s="12" t="str">
        <f>"85,4100"</f>
        <v>85,4100</v>
      </c>
      <c r="M14" s="11" t="s">
        <v>21</v>
      </c>
    </row>
    <row r="15" spans="1:13">
      <c r="B15" s="5" t="s">
        <v>104</v>
      </c>
    </row>
    <row r="16" spans="1:13" ht="16">
      <c r="A16" s="33" t="s">
        <v>114</v>
      </c>
      <c r="B16" s="33"/>
      <c r="C16" s="34"/>
      <c r="D16" s="34"/>
      <c r="E16" s="34"/>
      <c r="F16" s="34"/>
      <c r="G16" s="34"/>
      <c r="H16" s="34"/>
      <c r="I16" s="34"/>
      <c r="J16" s="34"/>
    </row>
    <row r="17" spans="1:13">
      <c r="A17" s="8" t="s">
        <v>103</v>
      </c>
      <c r="B17" s="7" t="s">
        <v>244</v>
      </c>
      <c r="C17" s="7" t="s">
        <v>245</v>
      </c>
      <c r="D17" s="7" t="s">
        <v>117</v>
      </c>
      <c r="E17" s="7" t="s">
        <v>439</v>
      </c>
      <c r="F17" s="7" t="s">
        <v>422</v>
      </c>
      <c r="G17" s="20" t="s">
        <v>125</v>
      </c>
      <c r="H17" s="20" t="s">
        <v>12</v>
      </c>
      <c r="I17" s="21" t="s">
        <v>13</v>
      </c>
      <c r="J17" s="8"/>
      <c r="K17" s="8" t="str">
        <f>"90,0"</f>
        <v>90,0</v>
      </c>
      <c r="L17" s="8" t="str">
        <f>"81,9270"</f>
        <v>81,9270</v>
      </c>
      <c r="M17" s="7" t="s">
        <v>413</v>
      </c>
    </row>
    <row r="18" spans="1:13">
      <c r="B18" s="5" t="s">
        <v>104</v>
      </c>
    </row>
    <row r="19" spans="1:13" ht="16">
      <c r="A19" s="33" t="s">
        <v>246</v>
      </c>
      <c r="B19" s="33"/>
      <c r="C19" s="34"/>
      <c r="D19" s="34"/>
      <c r="E19" s="34"/>
      <c r="F19" s="34"/>
      <c r="G19" s="34"/>
      <c r="H19" s="34"/>
      <c r="I19" s="34"/>
      <c r="J19" s="34"/>
    </row>
    <row r="20" spans="1:13">
      <c r="A20" s="10" t="s">
        <v>103</v>
      </c>
      <c r="B20" s="9" t="s">
        <v>247</v>
      </c>
      <c r="C20" s="9" t="s">
        <v>248</v>
      </c>
      <c r="D20" s="9" t="s">
        <v>249</v>
      </c>
      <c r="E20" s="9" t="s">
        <v>439</v>
      </c>
      <c r="F20" s="9" t="s">
        <v>422</v>
      </c>
      <c r="G20" s="22" t="s">
        <v>19</v>
      </c>
      <c r="H20" s="22" t="s">
        <v>250</v>
      </c>
      <c r="I20" s="22" t="s">
        <v>251</v>
      </c>
      <c r="J20" s="10"/>
      <c r="K20" s="10" t="str">
        <f>"125,0"</f>
        <v>125,0</v>
      </c>
      <c r="L20" s="10" t="str">
        <f>"107,9375"</f>
        <v>107,9375</v>
      </c>
      <c r="M20" s="9" t="s">
        <v>21</v>
      </c>
    </row>
    <row r="21" spans="1:13">
      <c r="A21" s="14" t="s">
        <v>105</v>
      </c>
      <c r="B21" s="13" t="s">
        <v>252</v>
      </c>
      <c r="C21" s="13" t="s">
        <v>253</v>
      </c>
      <c r="D21" s="13" t="s">
        <v>254</v>
      </c>
      <c r="E21" s="13" t="s">
        <v>439</v>
      </c>
      <c r="F21" s="13" t="s">
        <v>422</v>
      </c>
      <c r="G21" s="25" t="s">
        <v>12</v>
      </c>
      <c r="H21" s="25" t="s">
        <v>225</v>
      </c>
      <c r="I21" s="25" t="s">
        <v>250</v>
      </c>
      <c r="J21" s="14"/>
      <c r="K21" s="14" t="str">
        <f>"120,0"</f>
        <v>120,0</v>
      </c>
      <c r="L21" s="14" t="str">
        <f>"105,4440"</f>
        <v>105,4440</v>
      </c>
      <c r="M21" s="13" t="s">
        <v>21</v>
      </c>
    </row>
    <row r="22" spans="1:13">
      <c r="A22" s="12" t="s">
        <v>106</v>
      </c>
      <c r="B22" s="11" t="s">
        <v>255</v>
      </c>
      <c r="C22" s="11" t="s">
        <v>256</v>
      </c>
      <c r="D22" s="11" t="s">
        <v>257</v>
      </c>
      <c r="E22" s="11" t="s">
        <v>439</v>
      </c>
      <c r="F22" s="11" t="s">
        <v>422</v>
      </c>
      <c r="G22" s="23" t="s">
        <v>112</v>
      </c>
      <c r="H22" s="23" t="s">
        <v>170</v>
      </c>
      <c r="I22" s="23" t="s">
        <v>258</v>
      </c>
      <c r="J22" s="12"/>
      <c r="K22" s="12" t="str">
        <f>"50,0"</f>
        <v>50,0</v>
      </c>
      <c r="L22" s="12" t="str">
        <f>"43,3100"</f>
        <v>43,3100</v>
      </c>
      <c r="M22" s="11" t="s">
        <v>413</v>
      </c>
    </row>
    <row r="23" spans="1:13">
      <c r="B23" s="5" t="s">
        <v>104</v>
      </c>
    </row>
    <row r="24" spans="1:13" ht="16">
      <c r="A24" s="33" t="s">
        <v>171</v>
      </c>
      <c r="B24" s="33"/>
      <c r="C24" s="34"/>
      <c r="D24" s="34"/>
      <c r="E24" s="34"/>
      <c r="F24" s="34"/>
      <c r="G24" s="34"/>
      <c r="H24" s="34"/>
      <c r="I24" s="34"/>
      <c r="J24" s="34"/>
    </row>
    <row r="25" spans="1:13">
      <c r="A25" s="10" t="s">
        <v>103</v>
      </c>
      <c r="B25" s="9" t="s">
        <v>259</v>
      </c>
      <c r="C25" s="9" t="s">
        <v>260</v>
      </c>
      <c r="D25" s="9" t="s">
        <v>261</v>
      </c>
      <c r="E25" s="9" t="s">
        <v>439</v>
      </c>
      <c r="F25" s="9" t="s">
        <v>422</v>
      </c>
      <c r="G25" s="22" t="s">
        <v>19</v>
      </c>
      <c r="H25" s="22" t="s">
        <v>147</v>
      </c>
      <c r="I25" s="22" t="s">
        <v>250</v>
      </c>
      <c r="J25" s="10"/>
      <c r="K25" s="10" t="str">
        <f>"120,0"</f>
        <v>120,0</v>
      </c>
      <c r="L25" s="10" t="str">
        <f>"96,1680"</f>
        <v>96,1680</v>
      </c>
      <c r="M25" s="9" t="s">
        <v>21</v>
      </c>
    </row>
    <row r="26" spans="1:13">
      <c r="A26" s="14" t="s">
        <v>105</v>
      </c>
      <c r="B26" s="13" t="s">
        <v>262</v>
      </c>
      <c r="C26" s="13" t="s">
        <v>263</v>
      </c>
      <c r="D26" s="13" t="s">
        <v>264</v>
      </c>
      <c r="E26" s="13" t="s">
        <v>439</v>
      </c>
      <c r="F26" s="13" t="s">
        <v>422</v>
      </c>
      <c r="G26" s="25" t="s">
        <v>125</v>
      </c>
      <c r="H26" s="25" t="s">
        <v>265</v>
      </c>
      <c r="I26" s="25" t="s">
        <v>13</v>
      </c>
      <c r="J26" s="14"/>
      <c r="K26" s="14" t="str">
        <f>"95,0"</f>
        <v>95,0</v>
      </c>
      <c r="L26" s="14" t="str">
        <f>"76,5415"</f>
        <v>76,5415</v>
      </c>
      <c r="M26" s="13" t="s">
        <v>413</v>
      </c>
    </row>
    <row r="27" spans="1:13">
      <c r="A27" s="14" t="s">
        <v>106</v>
      </c>
      <c r="B27" s="13" t="s">
        <v>266</v>
      </c>
      <c r="C27" s="13" t="s">
        <v>267</v>
      </c>
      <c r="D27" s="13" t="s">
        <v>268</v>
      </c>
      <c r="E27" s="13" t="s">
        <v>439</v>
      </c>
      <c r="F27" s="13" t="s">
        <v>422</v>
      </c>
      <c r="G27" s="25" t="s">
        <v>175</v>
      </c>
      <c r="H27" s="25" t="s">
        <v>120</v>
      </c>
      <c r="I27" s="25" t="s">
        <v>269</v>
      </c>
      <c r="J27" s="14"/>
      <c r="K27" s="14" t="str">
        <f>"85,0"</f>
        <v>85,0</v>
      </c>
      <c r="L27" s="14" t="str">
        <f>"66,2490"</f>
        <v>66,2490</v>
      </c>
      <c r="M27" s="13"/>
    </row>
    <row r="28" spans="1:13">
      <c r="A28" s="12" t="s">
        <v>103</v>
      </c>
      <c r="B28" s="11" t="s">
        <v>270</v>
      </c>
      <c r="C28" s="11" t="s">
        <v>271</v>
      </c>
      <c r="D28" s="11" t="s">
        <v>272</v>
      </c>
      <c r="E28" s="11" t="s">
        <v>441</v>
      </c>
      <c r="F28" s="11" t="s">
        <v>422</v>
      </c>
      <c r="G28" s="23" t="s">
        <v>41</v>
      </c>
      <c r="H28" s="23" t="s">
        <v>26</v>
      </c>
      <c r="I28" s="23" t="s">
        <v>75</v>
      </c>
      <c r="J28" s="12"/>
      <c r="K28" s="12" t="str">
        <f>"180,0"</f>
        <v>180,0</v>
      </c>
      <c r="L28" s="12" t="str">
        <f>"139,1220"</f>
        <v>139,1220</v>
      </c>
      <c r="M28" s="11" t="s">
        <v>21</v>
      </c>
    </row>
    <row r="29" spans="1:13">
      <c r="B29" s="5" t="s">
        <v>104</v>
      </c>
    </row>
    <row r="30" spans="1:13" ht="16">
      <c r="A30" s="33" t="s">
        <v>7</v>
      </c>
      <c r="B30" s="33"/>
      <c r="C30" s="34"/>
      <c r="D30" s="34"/>
      <c r="E30" s="34"/>
      <c r="F30" s="34"/>
      <c r="G30" s="34"/>
      <c r="H30" s="34"/>
      <c r="I30" s="34"/>
      <c r="J30" s="34"/>
    </row>
    <row r="31" spans="1:13">
      <c r="A31" s="10" t="s">
        <v>103</v>
      </c>
      <c r="B31" s="9" t="s">
        <v>121</v>
      </c>
      <c r="C31" s="9" t="s">
        <v>122</v>
      </c>
      <c r="D31" s="9" t="s">
        <v>123</v>
      </c>
      <c r="E31" s="9" t="s">
        <v>439</v>
      </c>
      <c r="F31" s="9" t="s">
        <v>422</v>
      </c>
      <c r="G31" s="22" t="s">
        <v>130</v>
      </c>
      <c r="H31" s="22" t="s">
        <v>135</v>
      </c>
      <c r="I31" s="22" t="s">
        <v>41</v>
      </c>
      <c r="J31" s="10"/>
      <c r="K31" s="10" t="str">
        <f>"150,0"</f>
        <v>150,0</v>
      </c>
      <c r="L31" s="10" t="str">
        <f>"106,8900"</f>
        <v>106,8900</v>
      </c>
      <c r="M31" s="9" t="s">
        <v>21</v>
      </c>
    </row>
    <row r="32" spans="1:13">
      <c r="A32" s="14" t="s">
        <v>105</v>
      </c>
      <c r="B32" s="13" t="s">
        <v>273</v>
      </c>
      <c r="C32" s="13" t="s">
        <v>274</v>
      </c>
      <c r="D32" s="13" t="s">
        <v>275</v>
      </c>
      <c r="E32" s="13" t="s">
        <v>439</v>
      </c>
      <c r="F32" s="13" t="s">
        <v>422</v>
      </c>
      <c r="G32" s="25" t="s">
        <v>175</v>
      </c>
      <c r="H32" s="25" t="s">
        <v>118</v>
      </c>
      <c r="I32" s="25" t="s">
        <v>125</v>
      </c>
      <c r="J32" s="14"/>
      <c r="K32" s="14" t="str">
        <f>"80,0"</f>
        <v>80,0</v>
      </c>
      <c r="L32" s="14" t="str">
        <f>"59,3120"</f>
        <v>59,3120</v>
      </c>
      <c r="M32" s="13" t="s">
        <v>21</v>
      </c>
    </row>
    <row r="33" spans="1:13">
      <c r="A33" s="14" t="s">
        <v>103</v>
      </c>
      <c r="B33" s="13" t="s">
        <v>276</v>
      </c>
      <c r="C33" s="13" t="s">
        <v>277</v>
      </c>
      <c r="D33" s="13" t="s">
        <v>278</v>
      </c>
      <c r="E33" s="13" t="s">
        <v>438</v>
      </c>
      <c r="F33" s="13" t="s">
        <v>426</v>
      </c>
      <c r="G33" s="25" t="s">
        <v>279</v>
      </c>
      <c r="H33" s="25" t="s">
        <v>81</v>
      </c>
      <c r="I33" s="26" t="s">
        <v>82</v>
      </c>
      <c r="J33" s="14"/>
      <c r="K33" s="14" t="str">
        <f>"220,0"</f>
        <v>220,0</v>
      </c>
      <c r="L33" s="14" t="str">
        <f>"164,6920"</f>
        <v>164,6920</v>
      </c>
      <c r="M33" s="13" t="s">
        <v>280</v>
      </c>
    </row>
    <row r="34" spans="1:13">
      <c r="A34" s="12" t="s">
        <v>105</v>
      </c>
      <c r="B34" s="11" t="s">
        <v>281</v>
      </c>
      <c r="C34" s="11" t="s">
        <v>282</v>
      </c>
      <c r="D34" s="11" t="s">
        <v>283</v>
      </c>
      <c r="E34" s="11" t="s">
        <v>438</v>
      </c>
      <c r="F34" s="11" t="s">
        <v>178</v>
      </c>
      <c r="G34" s="23" t="s">
        <v>284</v>
      </c>
      <c r="H34" s="23" t="s">
        <v>28</v>
      </c>
      <c r="I34" s="27" t="s">
        <v>231</v>
      </c>
      <c r="J34" s="12"/>
      <c r="K34" s="12" t="str">
        <f>"182,5"</f>
        <v>182,5</v>
      </c>
      <c r="L34" s="12" t="str">
        <f>"133,6265"</f>
        <v>133,6265</v>
      </c>
      <c r="M34" s="11" t="s">
        <v>179</v>
      </c>
    </row>
    <row r="35" spans="1:13">
      <c r="B35" s="5" t="s">
        <v>104</v>
      </c>
    </row>
    <row r="36" spans="1:13" ht="16">
      <c r="A36" s="33" t="s">
        <v>23</v>
      </c>
      <c r="B36" s="33"/>
      <c r="C36" s="34"/>
      <c r="D36" s="34"/>
      <c r="E36" s="34"/>
      <c r="F36" s="34"/>
      <c r="G36" s="34"/>
      <c r="H36" s="34"/>
      <c r="I36" s="34"/>
      <c r="J36" s="34"/>
    </row>
    <row r="37" spans="1:13">
      <c r="A37" s="10" t="s">
        <v>103</v>
      </c>
      <c r="B37" s="9" t="s">
        <v>126</v>
      </c>
      <c r="C37" s="9" t="s">
        <v>127</v>
      </c>
      <c r="D37" s="9" t="s">
        <v>128</v>
      </c>
      <c r="E37" s="9" t="s">
        <v>439</v>
      </c>
      <c r="F37" s="9" t="s">
        <v>423</v>
      </c>
      <c r="G37" s="22" t="s">
        <v>285</v>
      </c>
      <c r="H37" s="24" t="s">
        <v>65</v>
      </c>
      <c r="I37" s="24" t="s">
        <v>65</v>
      </c>
      <c r="J37" s="10"/>
      <c r="K37" s="10" t="str">
        <f>"210,0"</f>
        <v>210,0</v>
      </c>
      <c r="L37" s="10" t="str">
        <f>"141,0990"</f>
        <v>141,0990</v>
      </c>
      <c r="M37" s="9" t="s">
        <v>415</v>
      </c>
    </row>
    <row r="38" spans="1:13">
      <c r="A38" s="14" t="s">
        <v>105</v>
      </c>
      <c r="B38" s="13" t="s">
        <v>286</v>
      </c>
      <c r="C38" s="13" t="s">
        <v>287</v>
      </c>
      <c r="D38" s="13" t="s">
        <v>38</v>
      </c>
      <c r="E38" s="13" t="s">
        <v>439</v>
      </c>
      <c r="F38" s="13" t="s">
        <v>422</v>
      </c>
      <c r="G38" s="25" t="s">
        <v>40</v>
      </c>
      <c r="H38" s="25" t="s">
        <v>41</v>
      </c>
      <c r="I38" s="25" t="s">
        <v>33</v>
      </c>
      <c r="J38" s="14"/>
      <c r="K38" s="14" t="str">
        <f>"160,0"</f>
        <v>160,0</v>
      </c>
      <c r="L38" s="14" t="str">
        <f>"112,4640"</f>
        <v>112,4640</v>
      </c>
      <c r="M38" s="13" t="s">
        <v>21</v>
      </c>
    </row>
    <row r="39" spans="1:13">
      <c r="A39" s="14" t="s">
        <v>106</v>
      </c>
      <c r="B39" s="13" t="s">
        <v>288</v>
      </c>
      <c r="C39" s="13" t="s">
        <v>289</v>
      </c>
      <c r="D39" s="13" t="s">
        <v>290</v>
      </c>
      <c r="E39" s="13" t="s">
        <v>439</v>
      </c>
      <c r="F39" s="13" t="s">
        <v>422</v>
      </c>
      <c r="G39" s="25" t="s">
        <v>40</v>
      </c>
      <c r="H39" s="25" t="s">
        <v>41</v>
      </c>
      <c r="I39" s="25" t="s">
        <v>33</v>
      </c>
      <c r="J39" s="14"/>
      <c r="K39" s="14" t="str">
        <f>"160,0"</f>
        <v>160,0</v>
      </c>
      <c r="L39" s="14" t="str">
        <f>"112,3680"</f>
        <v>112,3680</v>
      </c>
      <c r="M39" s="13" t="s">
        <v>21</v>
      </c>
    </row>
    <row r="40" spans="1:13">
      <c r="A40" s="14" t="s">
        <v>351</v>
      </c>
      <c r="B40" s="13" t="s">
        <v>291</v>
      </c>
      <c r="C40" s="13" t="s">
        <v>292</v>
      </c>
      <c r="D40" s="13" t="s">
        <v>38</v>
      </c>
      <c r="E40" s="13" t="s">
        <v>439</v>
      </c>
      <c r="F40" s="13" t="s">
        <v>422</v>
      </c>
      <c r="G40" s="25" t="s">
        <v>40</v>
      </c>
      <c r="H40" s="25" t="s">
        <v>293</v>
      </c>
      <c r="I40" s="25" t="s">
        <v>42</v>
      </c>
      <c r="J40" s="14"/>
      <c r="K40" s="14" t="str">
        <f>"152,5"</f>
        <v>152,5</v>
      </c>
      <c r="L40" s="14" t="str">
        <f>"107,1922"</f>
        <v>107,1922</v>
      </c>
      <c r="M40" s="13" t="s">
        <v>21</v>
      </c>
    </row>
    <row r="41" spans="1:13">
      <c r="A41" s="14" t="s">
        <v>352</v>
      </c>
      <c r="B41" s="13" t="s">
        <v>294</v>
      </c>
      <c r="C41" s="13" t="s">
        <v>295</v>
      </c>
      <c r="D41" s="13" t="s">
        <v>296</v>
      </c>
      <c r="E41" s="13" t="s">
        <v>439</v>
      </c>
      <c r="F41" s="13" t="s">
        <v>422</v>
      </c>
      <c r="G41" s="25" t="s">
        <v>18</v>
      </c>
      <c r="H41" s="25" t="s">
        <v>19</v>
      </c>
      <c r="I41" s="25" t="s">
        <v>20</v>
      </c>
      <c r="J41" s="14"/>
      <c r="K41" s="14" t="str">
        <f>"112,5"</f>
        <v>112,5</v>
      </c>
      <c r="L41" s="14" t="str">
        <f>"78,7387"</f>
        <v>78,7387</v>
      </c>
      <c r="M41" s="13" t="s">
        <v>21</v>
      </c>
    </row>
    <row r="42" spans="1:13">
      <c r="A42" s="12" t="s">
        <v>103</v>
      </c>
      <c r="B42" s="11" t="s">
        <v>126</v>
      </c>
      <c r="C42" s="11" t="s">
        <v>136</v>
      </c>
      <c r="D42" s="11" t="s">
        <v>128</v>
      </c>
      <c r="E42" s="11" t="s">
        <v>438</v>
      </c>
      <c r="F42" s="11" t="s">
        <v>423</v>
      </c>
      <c r="G42" s="23" t="s">
        <v>285</v>
      </c>
      <c r="H42" s="27" t="s">
        <v>65</v>
      </c>
      <c r="I42" s="27" t="s">
        <v>65</v>
      </c>
      <c r="J42" s="12"/>
      <c r="K42" s="12" t="str">
        <f>"210,0"</f>
        <v>210,0</v>
      </c>
      <c r="L42" s="12" t="str">
        <f>"141,0990"</f>
        <v>141,0990</v>
      </c>
      <c r="M42" s="11" t="s">
        <v>415</v>
      </c>
    </row>
    <row r="43" spans="1:13">
      <c r="B43" s="5" t="s">
        <v>104</v>
      </c>
    </row>
    <row r="44" spans="1:13" ht="16">
      <c r="A44" s="33" t="s">
        <v>143</v>
      </c>
      <c r="B44" s="33"/>
      <c r="C44" s="34"/>
      <c r="D44" s="34"/>
      <c r="E44" s="34"/>
      <c r="F44" s="34"/>
      <c r="G44" s="34"/>
      <c r="H44" s="34"/>
      <c r="I44" s="34"/>
      <c r="J44" s="34"/>
    </row>
    <row r="45" spans="1:13">
      <c r="A45" s="10" t="s">
        <v>103</v>
      </c>
      <c r="B45" s="9" t="s">
        <v>297</v>
      </c>
      <c r="C45" s="9" t="s">
        <v>298</v>
      </c>
      <c r="D45" s="9" t="s">
        <v>151</v>
      </c>
      <c r="E45" s="9" t="s">
        <v>439</v>
      </c>
      <c r="F45" s="9" t="s">
        <v>422</v>
      </c>
      <c r="G45" s="22" t="s">
        <v>250</v>
      </c>
      <c r="H45" s="22" t="s">
        <v>130</v>
      </c>
      <c r="I45" s="22" t="s">
        <v>40</v>
      </c>
      <c r="J45" s="10"/>
      <c r="K45" s="10" t="str">
        <f>"140,0"</f>
        <v>140,0</v>
      </c>
      <c r="L45" s="10" t="str">
        <f>"92,1620"</f>
        <v>92,1620</v>
      </c>
      <c r="M45" s="9" t="s">
        <v>21</v>
      </c>
    </row>
    <row r="46" spans="1:13">
      <c r="A46" s="14" t="s">
        <v>103</v>
      </c>
      <c r="B46" s="13" t="s">
        <v>299</v>
      </c>
      <c r="C46" s="13" t="s">
        <v>300</v>
      </c>
      <c r="D46" s="13" t="s">
        <v>301</v>
      </c>
      <c r="E46" s="13" t="s">
        <v>438</v>
      </c>
      <c r="F46" s="13" t="s">
        <v>423</v>
      </c>
      <c r="G46" s="25" t="s">
        <v>302</v>
      </c>
      <c r="H46" s="25" t="s">
        <v>196</v>
      </c>
      <c r="I46" s="26" t="s">
        <v>303</v>
      </c>
      <c r="J46" s="14"/>
      <c r="K46" s="14" t="str">
        <f>"280,0"</f>
        <v>280,0</v>
      </c>
      <c r="L46" s="14" t="str">
        <f>"180,9640"</f>
        <v>180,9640</v>
      </c>
      <c r="M46" s="13"/>
    </row>
    <row r="47" spans="1:13">
      <c r="A47" s="14" t="s">
        <v>105</v>
      </c>
      <c r="B47" s="13" t="s">
        <v>304</v>
      </c>
      <c r="C47" s="13" t="s">
        <v>305</v>
      </c>
      <c r="D47" s="13" t="s">
        <v>188</v>
      </c>
      <c r="E47" s="13" t="s">
        <v>438</v>
      </c>
      <c r="F47" s="13" t="s">
        <v>423</v>
      </c>
      <c r="G47" s="25" t="s">
        <v>306</v>
      </c>
      <c r="H47" s="26" t="s">
        <v>307</v>
      </c>
      <c r="I47" s="25" t="s">
        <v>307</v>
      </c>
      <c r="J47" s="14"/>
      <c r="K47" s="14" t="str">
        <f>"255,0"</f>
        <v>255,0</v>
      </c>
      <c r="L47" s="14" t="str">
        <f>"162,7920"</f>
        <v>162,7920</v>
      </c>
      <c r="M47" s="13" t="s">
        <v>226</v>
      </c>
    </row>
    <row r="48" spans="1:13">
      <c r="A48" s="14" t="s">
        <v>106</v>
      </c>
      <c r="B48" s="13" t="s">
        <v>308</v>
      </c>
      <c r="C48" s="13" t="s">
        <v>309</v>
      </c>
      <c r="D48" s="13" t="s">
        <v>310</v>
      </c>
      <c r="E48" s="13" t="s">
        <v>438</v>
      </c>
      <c r="F48" s="13" t="s">
        <v>422</v>
      </c>
      <c r="G48" s="25" t="s">
        <v>285</v>
      </c>
      <c r="H48" s="25" t="s">
        <v>65</v>
      </c>
      <c r="I48" s="25" t="s">
        <v>311</v>
      </c>
      <c r="J48" s="14"/>
      <c r="K48" s="14" t="str">
        <f>"240,0"</f>
        <v>240,0</v>
      </c>
      <c r="L48" s="14" t="str">
        <f>"156,1680"</f>
        <v>156,1680</v>
      </c>
      <c r="M48" s="13" t="s">
        <v>21</v>
      </c>
    </row>
    <row r="49" spans="1:13">
      <c r="A49" s="12" t="s">
        <v>103</v>
      </c>
      <c r="B49" s="11" t="s">
        <v>312</v>
      </c>
      <c r="C49" s="11" t="s">
        <v>313</v>
      </c>
      <c r="D49" s="11" t="s">
        <v>314</v>
      </c>
      <c r="E49" s="11" t="s">
        <v>444</v>
      </c>
      <c r="F49" s="11" t="s">
        <v>422</v>
      </c>
      <c r="G49" s="23" t="s">
        <v>135</v>
      </c>
      <c r="H49" s="23" t="s">
        <v>41</v>
      </c>
      <c r="I49" s="23" t="s">
        <v>315</v>
      </c>
      <c r="J49" s="12"/>
      <c r="K49" s="12" t="str">
        <f>"155,0"</f>
        <v>155,0</v>
      </c>
      <c r="L49" s="12" t="str">
        <f>"154,4260"</f>
        <v>154,4260</v>
      </c>
      <c r="M49" s="11" t="s">
        <v>413</v>
      </c>
    </row>
    <row r="50" spans="1:13">
      <c r="B50" s="5" t="s">
        <v>104</v>
      </c>
    </row>
    <row r="51" spans="1:13" ht="16">
      <c r="A51" s="33" t="s">
        <v>44</v>
      </c>
      <c r="B51" s="33"/>
      <c r="C51" s="34"/>
      <c r="D51" s="34"/>
      <c r="E51" s="34"/>
      <c r="F51" s="34"/>
      <c r="G51" s="34"/>
      <c r="H51" s="34"/>
      <c r="I51" s="34"/>
      <c r="J51" s="34"/>
    </row>
    <row r="52" spans="1:13">
      <c r="A52" s="10" t="s">
        <v>103</v>
      </c>
      <c r="B52" s="9" t="s">
        <v>316</v>
      </c>
      <c r="C52" s="9" t="s">
        <v>317</v>
      </c>
      <c r="D52" s="9" t="s">
        <v>318</v>
      </c>
      <c r="E52" s="9" t="s">
        <v>438</v>
      </c>
      <c r="F52" s="9" t="s">
        <v>423</v>
      </c>
      <c r="G52" s="22" t="s">
        <v>319</v>
      </c>
      <c r="H52" s="24" t="s">
        <v>212</v>
      </c>
      <c r="I52" s="24" t="s">
        <v>212</v>
      </c>
      <c r="J52" s="10"/>
      <c r="K52" s="10" t="str">
        <f>"260,0"</f>
        <v>260,0</v>
      </c>
      <c r="L52" s="10" t="str">
        <f>"160,2380"</f>
        <v>160,2380</v>
      </c>
      <c r="M52" s="9"/>
    </row>
    <row r="53" spans="1:13">
      <c r="A53" s="14" t="s">
        <v>105</v>
      </c>
      <c r="B53" s="13" t="s">
        <v>320</v>
      </c>
      <c r="C53" s="13" t="s">
        <v>321</v>
      </c>
      <c r="D53" s="13" t="s">
        <v>322</v>
      </c>
      <c r="E53" s="13" t="s">
        <v>438</v>
      </c>
      <c r="F53" s="13" t="s">
        <v>422</v>
      </c>
      <c r="G53" s="25" t="s">
        <v>285</v>
      </c>
      <c r="H53" s="26" t="s">
        <v>65</v>
      </c>
      <c r="I53" s="25" t="s">
        <v>65</v>
      </c>
      <c r="J53" s="14"/>
      <c r="K53" s="14" t="str">
        <f>"225,0"</f>
        <v>225,0</v>
      </c>
      <c r="L53" s="14" t="str">
        <f>"140,4900"</f>
        <v>140,4900</v>
      </c>
      <c r="M53" s="13"/>
    </row>
    <row r="54" spans="1:13">
      <c r="A54" s="12" t="s">
        <v>103</v>
      </c>
      <c r="B54" s="11" t="s">
        <v>202</v>
      </c>
      <c r="C54" s="11" t="s">
        <v>323</v>
      </c>
      <c r="D54" s="11" t="s">
        <v>324</v>
      </c>
      <c r="E54" s="11" t="s">
        <v>440</v>
      </c>
      <c r="F54" s="11" t="s">
        <v>325</v>
      </c>
      <c r="G54" s="23" t="s">
        <v>285</v>
      </c>
      <c r="H54" s="27" t="s">
        <v>311</v>
      </c>
      <c r="I54" s="27" t="s">
        <v>311</v>
      </c>
      <c r="J54" s="12"/>
      <c r="K54" s="12" t="str">
        <f>"210,0"</f>
        <v>210,0</v>
      </c>
      <c r="L54" s="12" t="str">
        <f>"130,7877"</f>
        <v>130,7877</v>
      </c>
      <c r="M54" s="11"/>
    </row>
    <row r="55" spans="1:13">
      <c r="B55" s="5" t="s">
        <v>104</v>
      </c>
    </row>
    <row r="56" spans="1:13" ht="16">
      <c r="A56" s="33" t="s">
        <v>52</v>
      </c>
      <c r="B56" s="33"/>
      <c r="C56" s="34"/>
      <c r="D56" s="34"/>
      <c r="E56" s="34"/>
      <c r="F56" s="34"/>
      <c r="G56" s="34"/>
      <c r="H56" s="34"/>
      <c r="I56" s="34"/>
      <c r="J56" s="34"/>
    </row>
    <row r="57" spans="1:13">
      <c r="A57" s="10" t="s">
        <v>103</v>
      </c>
      <c r="B57" s="9" t="s">
        <v>326</v>
      </c>
      <c r="C57" s="9" t="s">
        <v>327</v>
      </c>
      <c r="D57" s="9" t="s">
        <v>328</v>
      </c>
      <c r="E57" s="9" t="s">
        <v>439</v>
      </c>
      <c r="F57" s="9" t="s">
        <v>422</v>
      </c>
      <c r="G57" s="22" t="s">
        <v>19</v>
      </c>
      <c r="H57" s="22" t="s">
        <v>147</v>
      </c>
      <c r="I57" s="22" t="s">
        <v>130</v>
      </c>
      <c r="J57" s="10"/>
      <c r="K57" s="10" t="str">
        <f>"130,0"</f>
        <v>130,0</v>
      </c>
      <c r="L57" s="10" t="str">
        <f>"78,5070"</f>
        <v>78,5070</v>
      </c>
      <c r="M57" s="9" t="s">
        <v>21</v>
      </c>
    </row>
    <row r="58" spans="1:13">
      <c r="A58" s="14" t="s">
        <v>103</v>
      </c>
      <c r="B58" s="13" t="s">
        <v>329</v>
      </c>
      <c r="C58" s="13" t="s">
        <v>330</v>
      </c>
      <c r="D58" s="13" t="s">
        <v>155</v>
      </c>
      <c r="E58" s="13" t="s">
        <v>438</v>
      </c>
      <c r="F58" s="13" t="s">
        <v>422</v>
      </c>
      <c r="G58" s="25" t="s">
        <v>331</v>
      </c>
      <c r="H58" s="25" t="s">
        <v>332</v>
      </c>
      <c r="I58" s="25" t="s">
        <v>303</v>
      </c>
      <c r="J58" s="14"/>
      <c r="K58" s="14" t="str">
        <f>"285,0"</f>
        <v>285,0</v>
      </c>
      <c r="L58" s="14" t="str">
        <f>"170,3160"</f>
        <v>170,3160</v>
      </c>
      <c r="M58" s="13" t="s">
        <v>413</v>
      </c>
    </row>
    <row r="59" spans="1:13">
      <c r="A59" s="14" t="s">
        <v>105</v>
      </c>
      <c r="B59" s="13" t="s">
        <v>333</v>
      </c>
      <c r="C59" s="13" t="s">
        <v>334</v>
      </c>
      <c r="D59" s="13" t="s">
        <v>335</v>
      </c>
      <c r="E59" s="13" t="s">
        <v>438</v>
      </c>
      <c r="F59" s="13" t="s">
        <v>422</v>
      </c>
      <c r="G59" s="25" t="s">
        <v>306</v>
      </c>
      <c r="H59" s="25" t="s">
        <v>307</v>
      </c>
      <c r="I59" s="25" t="s">
        <v>319</v>
      </c>
      <c r="J59" s="14"/>
      <c r="K59" s="14" t="str">
        <f>"260,0"</f>
        <v>260,0</v>
      </c>
      <c r="L59" s="14" t="str">
        <f>"155,2200"</f>
        <v>155,2200</v>
      </c>
      <c r="M59" s="13" t="s">
        <v>413</v>
      </c>
    </row>
    <row r="60" spans="1:13">
      <c r="A60" s="12" t="s">
        <v>106</v>
      </c>
      <c r="B60" s="11" t="s">
        <v>336</v>
      </c>
      <c r="C60" s="11" t="s">
        <v>337</v>
      </c>
      <c r="D60" s="11" t="s">
        <v>338</v>
      </c>
      <c r="E60" s="11" t="s">
        <v>438</v>
      </c>
      <c r="F60" s="11" t="s">
        <v>422</v>
      </c>
      <c r="G60" s="23" t="s">
        <v>83</v>
      </c>
      <c r="H60" s="23" t="s">
        <v>331</v>
      </c>
      <c r="I60" s="27" t="s">
        <v>307</v>
      </c>
      <c r="J60" s="12"/>
      <c r="K60" s="12" t="str">
        <f>"250,0"</f>
        <v>250,0</v>
      </c>
      <c r="L60" s="12" t="str">
        <f>"150,3750"</f>
        <v>150,3750</v>
      </c>
      <c r="M60" s="11" t="s">
        <v>413</v>
      </c>
    </row>
    <row r="61" spans="1:13">
      <c r="B61" s="5" t="s">
        <v>104</v>
      </c>
    </row>
    <row r="62" spans="1:13" ht="16">
      <c r="A62" s="33" t="s">
        <v>60</v>
      </c>
      <c r="B62" s="33"/>
      <c r="C62" s="34"/>
      <c r="D62" s="34"/>
      <c r="E62" s="34"/>
      <c r="F62" s="34"/>
      <c r="G62" s="34"/>
      <c r="H62" s="34"/>
      <c r="I62" s="34"/>
      <c r="J62" s="34"/>
    </row>
    <row r="63" spans="1:13">
      <c r="A63" s="10" t="s">
        <v>103</v>
      </c>
      <c r="B63" s="9" t="s">
        <v>339</v>
      </c>
      <c r="C63" s="9" t="s">
        <v>340</v>
      </c>
      <c r="D63" s="9" t="s">
        <v>341</v>
      </c>
      <c r="E63" s="9" t="s">
        <v>438</v>
      </c>
      <c r="F63" s="9" t="s">
        <v>178</v>
      </c>
      <c r="G63" s="22" t="s">
        <v>285</v>
      </c>
      <c r="H63" s="22" t="s">
        <v>65</v>
      </c>
      <c r="I63" s="24" t="s">
        <v>82</v>
      </c>
      <c r="J63" s="10"/>
      <c r="K63" s="10" t="str">
        <f>"225,0"</f>
        <v>225,0</v>
      </c>
      <c r="L63" s="10" t="str">
        <f>"129,0150"</f>
        <v>129,0150</v>
      </c>
      <c r="M63" s="9" t="s">
        <v>179</v>
      </c>
    </row>
    <row r="64" spans="1:13">
      <c r="A64" s="12" t="s">
        <v>105</v>
      </c>
      <c r="B64" s="11" t="s">
        <v>342</v>
      </c>
      <c r="C64" s="11" t="s">
        <v>343</v>
      </c>
      <c r="D64" s="11" t="s">
        <v>344</v>
      </c>
      <c r="E64" s="11" t="s">
        <v>438</v>
      </c>
      <c r="F64" s="11" t="s">
        <v>422</v>
      </c>
      <c r="G64" s="23" t="s">
        <v>75</v>
      </c>
      <c r="H64" s="27" t="s">
        <v>279</v>
      </c>
      <c r="I64" s="27" t="s">
        <v>279</v>
      </c>
      <c r="J64" s="12"/>
      <c r="K64" s="12" t="str">
        <f>"180,0"</f>
        <v>180,0</v>
      </c>
      <c r="L64" s="12" t="str">
        <f>"105,1380"</f>
        <v>105,1380</v>
      </c>
      <c r="M64" s="11" t="s">
        <v>21</v>
      </c>
    </row>
    <row r="65" spans="2:6">
      <c r="B65" s="5" t="s">
        <v>104</v>
      </c>
    </row>
    <row r="66" spans="2:6">
      <c r="B66" s="5" t="s">
        <v>104</v>
      </c>
    </row>
    <row r="67" spans="2:6">
      <c r="B67" s="5" t="s">
        <v>104</v>
      </c>
    </row>
    <row r="68" spans="2:6" ht="18">
      <c r="B68" s="15" t="s">
        <v>85</v>
      </c>
      <c r="C68" s="15"/>
    </row>
    <row r="69" spans="2:6" ht="16">
      <c r="B69" s="16" t="s">
        <v>91</v>
      </c>
      <c r="C69" s="16"/>
    </row>
    <row r="70" spans="2:6" ht="14">
      <c r="B70" s="17"/>
      <c r="C70" s="18" t="s">
        <v>92</v>
      </c>
    </row>
    <row r="71" spans="2:6" ht="14">
      <c r="B71" s="19" t="s">
        <v>86</v>
      </c>
      <c r="C71" s="19" t="s">
        <v>87</v>
      </c>
      <c r="D71" s="19" t="s">
        <v>411</v>
      </c>
      <c r="E71" s="19" t="s">
        <v>88</v>
      </c>
      <c r="F71" s="19" t="s">
        <v>89</v>
      </c>
    </row>
    <row r="72" spans="2:6">
      <c r="B72" s="5" t="s">
        <v>126</v>
      </c>
      <c r="C72" s="5" t="s">
        <v>158</v>
      </c>
      <c r="D72" s="6" t="s">
        <v>100</v>
      </c>
      <c r="E72" s="6" t="s">
        <v>285</v>
      </c>
      <c r="F72" s="6" t="s">
        <v>345</v>
      </c>
    </row>
    <row r="73" spans="2:6">
      <c r="B73" s="5" t="s">
        <v>270</v>
      </c>
      <c r="C73" s="5" t="s">
        <v>93</v>
      </c>
      <c r="D73" s="6" t="s">
        <v>218</v>
      </c>
      <c r="E73" s="6" t="s">
        <v>75</v>
      </c>
      <c r="F73" s="6" t="s">
        <v>346</v>
      </c>
    </row>
    <row r="74" spans="2:6">
      <c r="B74" s="5" t="s">
        <v>286</v>
      </c>
      <c r="C74" s="5" t="s">
        <v>158</v>
      </c>
      <c r="D74" s="6" t="s">
        <v>100</v>
      </c>
      <c r="E74" s="6" t="s">
        <v>33</v>
      </c>
      <c r="F74" s="6" t="s">
        <v>347</v>
      </c>
    </row>
    <row r="76" spans="2:6" ht="14">
      <c r="B76" s="17"/>
      <c r="C76" s="18" t="s">
        <v>95</v>
      </c>
    </row>
    <row r="77" spans="2:6" ht="14">
      <c r="B77" s="19" t="s">
        <v>86</v>
      </c>
      <c r="C77" s="19" t="s">
        <v>87</v>
      </c>
      <c r="D77" s="19" t="s">
        <v>411</v>
      </c>
      <c r="E77" s="19" t="s">
        <v>88</v>
      </c>
      <c r="F77" s="19" t="s">
        <v>89</v>
      </c>
    </row>
    <row r="78" spans="2:6">
      <c r="B78" s="5" t="s">
        <v>299</v>
      </c>
      <c r="C78" s="5" t="s">
        <v>95</v>
      </c>
      <c r="D78" s="6" t="s">
        <v>160</v>
      </c>
      <c r="E78" s="6" t="s">
        <v>196</v>
      </c>
      <c r="F78" s="6" t="s">
        <v>348</v>
      </c>
    </row>
    <row r="79" spans="2:6">
      <c r="B79" s="5" t="s">
        <v>329</v>
      </c>
      <c r="C79" s="5" t="s">
        <v>95</v>
      </c>
      <c r="D79" s="6" t="s">
        <v>98</v>
      </c>
      <c r="E79" s="6" t="s">
        <v>303</v>
      </c>
      <c r="F79" s="6" t="s">
        <v>349</v>
      </c>
    </row>
    <row r="80" spans="2:6">
      <c r="B80" s="5" t="s">
        <v>276</v>
      </c>
      <c r="C80" s="5" t="s">
        <v>95</v>
      </c>
      <c r="D80" s="6" t="s">
        <v>90</v>
      </c>
      <c r="E80" s="6" t="s">
        <v>81</v>
      </c>
      <c r="F80" s="6" t="s">
        <v>350</v>
      </c>
    </row>
    <row r="81" spans="2:2">
      <c r="B81" s="5" t="s">
        <v>104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24:J24"/>
    <mergeCell ref="A30:J30"/>
    <mergeCell ref="K3:K4"/>
    <mergeCell ref="L3:L4"/>
    <mergeCell ref="M3:M4"/>
    <mergeCell ref="A5:J5"/>
    <mergeCell ref="B3:B4"/>
    <mergeCell ref="A8:J8"/>
    <mergeCell ref="A11:J11"/>
    <mergeCell ref="A16:J16"/>
    <mergeCell ref="A19:J19"/>
    <mergeCell ref="A36:J36"/>
    <mergeCell ref="A44:J44"/>
    <mergeCell ref="A51:J51"/>
    <mergeCell ref="A56:J56"/>
    <mergeCell ref="A62:J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9AA7-DCAD-49D4-A324-C378EC192067}">
  <dimension ref="A1:M46"/>
  <sheetViews>
    <sheetView workbookViewId="0">
      <selection activeCell="E36" sqref="E36"/>
    </sheetView>
  </sheetViews>
  <sheetFormatPr baseColWidth="10" defaultColWidth="9.1640625" defaultRowHeight="13"/>
  <cols>
    <col min="1" max="1" width="7.1640625" style="5" bestFit="1" customWidth="1"/>
    <col min="2" max="2" width="16.5" style="5" bestFit="1" customWidth="1"/>
    <col min="3" max="3" width="26" style="5" bestFit="1" customWidth="1"/>
    <col min="4" max="4" width="21" style="5" bestFit="1" customWidth="1"/>
    <col min="5" max="5" width="14.5" style="5" customWidth="1"/>
    <col min="6" max="6" width="34.1640625" style="5" bestFit="1" customWidth="1"/>
    <col min="7" max="9" width="5.33203125" style="6" customWidth="1"/>
    <col min="10" max="10" width="4.6640625" style="6" customWidth="1"/>
    <col min="11" max="11" width="13" style="6" customWidth="1"/>
    <col min="12" max="12" width="8.33203125" style="6" bestFit="1" customWidth="1"/>
    <col min="13" max="13" width="23" style="5" customWidth="1"/>
    <col min="14" max="16384" width="9.1640625" style="3"/>
  </cols>
  <sheetData>
    <row r="1" spans="1:13" s="2" customFormat="1" ht="29" customHeight="1">
      <c r="A1" s="37" t="s">
        <v>419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435</v>
      </c>
      <c r="B3" s="50" t="s">
        <v>0</v>
      </c>
      <c r="C3" s="47" t="s">
        <v>436</v>
      </c>
      <c r="D3" s="47" t="s">
        <v>5</v>
      </c>
      <c r="E3" s="49" t="s">
        <v>437</v>
      </c>
      <c r="F3" s="49" t="s">
        <v>4</v>
      </c>
      <c r="G3" s="49" t="s">
        <v>164</v>
      </c>
      <c r="H3" s="49"/>
      <c r="I3" s="49"/>
      <c r="J3" s="49"/>
      <c r="K3" s="49" t="s">
        <v>102</v>
      </c>
      <c r="L3" s="49" t="s">
        <v>2</v>
      </c>
      <c r="M3" s="54" t="s">
        <v>1</v>
      </c>
    </row>
    <row r="4" spans="1:13" s="1" customFormat="1" ht="21.25" customHeight="1" thickBot="1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3</v>
      </c>
      <c r="K4" s="48"/>
      <c r="L4" s="48"/>
      <c r="M4" s="55"/>
    </row>
    <row r="5" spans="1:13" ht="16">
      <c r="A5" s="35" t="s">
        <v>165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103</v>
      </c>
      <c r="B6" s="7" t="s">
        <v>166</v>
      </c>
      <c r="C6" s="7" t="s">
        <v>167</v>
      </c>
      <c r="D6" s="7" t="s">
        <v>168</v>
      </c>
      <c r="E6" s="7" t="s">
        <v>439</v>
      </c>
      <c r="F6" s="7" t="s">
        <v>422</v>
      </c>
      <c r="G6" s="20" t="s">
        <v>169</v>
      </c>
      <c r="H6" s="20" t="s">
        <v>112</v>
      </c>
      <c r="I6" s="20" t="s">
        <v>170</v>
      </c>
      <c r="J6" s="8"/>
      <c r="K6" s="8" t="str">
        <f>"45,0"</f>
        <v>45,0</v>
      </c>
      <c r="L6" s="8" t="str">
        <f>"60,0930"</f>
        <v>60,0930</v>
      </c>
      <c r="M6" s="7" t="s">
        <v>413</v>
      </c>
    </row>
    <row r="7" spans="1:13">
      <c r="B7" s="5" t="s">
        <v>104</v>
      </c>
    </row>
    <row r="8" spans="1:13" ht="16">
      <c r="A8" s="33" t="s">
        <v>171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103</v>
      </c>
      <c r="B9" s="7" t="s">
        <v>172</v>
      </c>
      <c r="C9" s="7" t="s">
        <v>173</v>
      </c>
      <c r="D9" s="7" t="s">
        <v>174</v>
      </c>
      <c r="E9" s="7" t="s">
        <v>439</v>
      </c>
      <c r="F9" s="7" t="s">
        <v>422</v>
      </c>
      <c r="G9" s="20" t="s">
        <v>170</v>
      </c>
      <c r="H9" s="20" t="s">
        <v>175</v>
      </c>
      <c r="I9" s="20" t="s">
        <v>118</v>
      </c>
      <c r="J9" s="8"/>
      <c r="K9" s="8" t="str">
        <f>"70,0"</f>
        <v>70,0</v>
      </c>
      <c r="L9" s="8" t="str">
        <f>"57,4000"</f>
        <v>57,4000</v>
      </c>
      <c r="M9" s="7" t="s">
        <v>413</v>
      </c>
    </row>
    <row r="10" spans="1:13">
      <c r="B10" s="5" t="s">
        <v>104</v>
      </c>
    </row>
    <row r="11" spans="1:13" ht="16">
      <c r="A11" s="33" t="s">
        <v>7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10" t="s">
        <v>103</v>
      </c>
      <c r="B12" s="9" t="s">
        <v>15</v>
      </c>
      <c r="C12" s="9" t="s">
        <v>16</v>
      </c>
      <c r="D12" s="9" t="s">
        <v>17</v>
      </c>
      <c r="E12" s="9" t="s">
        <v>441</v>
      </c>
      <c r="F12" s="9" t="s">
        <v>422</v>
      </c>
      <c r="G12" s="22" t="s">
        <v>70</v>
      </c>
      <c r="H12" s="24" t="s">
        <v>57</v>
      </c>
      <c r="I12" s="10"/>
      <c r="J12" s="10"/>
      <c r="K12" s="10" t="str">
        <f>"190,0"</f>
        <v>190,0</v>
      </c>
      <c r="L12" s="10" t="str">
        <f>"139,4030"</f>
        <v>139,4030</v>
      </c>
      <c r="M12" s="9" t="s">
        <v>21</v>
      </c>
    </row>
    <row r="13" spans="1:13">
      <c r="A13" s="12" t="s">
        <v>103</v>
      </c>
      <c r="B13" s="11" t="s">
        <v>15</v>
      </c>
      <c r="C13" s="11" t="s">
        <v>22</v>
      </c>
      <c r="D13" s="11" t="s">
        <v>17</v>
      </c>
      <c r="E13" s="11" t="s">
        <v>438</v>
      </c>
      <c r="F13" s="11" t="s">
        <v>422</v>
      </c>
      <c r="G13" s="23" t="s">
        <v>70</v>
      </c>
      <c r="H13" s="27" t="s">
        <v>57</v>
      </c>
      <c r="I13" s="12"/>
      <c r="J13" s="12"/>
      <c r="K13" s="12" t="str">
        <f>"190,0"</f>
        <v>190,0</v>
      </c>
      <c r="L13" s="12" t="str">
        <f>"139,4030"</f>
        <v>139,4030</v>
      </c>
      <c r="M13" s="11" t="s">
        <v>21</v>
      </c>
    </row>
    <row r="14" spans="1:13">
      <c r="B14" s="5" t="s">
        <v>104</v>
      </c>
    </row>
    <row r="15" spans="1:13" ht="16">
      <c r="A15" s="33" t="s">
        <v>23</v>
      </c>
      <c r="B15" s="33"/>
      <c r="C15" s="34"/>
      <c r="D15" s="34"/>
      <c r="E15" s="34"/>
      <c r="F15" s="34"/>
      <c r="G15" s="34"/>
      <c r="H15" s="34"/>
      <c r="I15" s="34"/>
      <c r="J15" s="34"/>
    </row>
    <row r="16" spans="1:13">
      <c r="A16" s="10" t="s">
        <v>103</v>
      </c>
      <c r="B16" s="9" t="s">
        <v>176</v>
      </c>
      <c r="C16" s="9" t="s">
        <v>177</v>
      </c>
      <c r="D16" s="9" t="s">
        <v>134</v>
      </c>
      <c r="E16" s="9" t="s">
        <v>442</v>
      </c>
      <c r="F16" s="9" t="s">
        <v>178</v>
      </c>
      <c r="G16" s="24" t="s">
        <v>75</v>
      </c>
      <c r="H16" s="22" t="s">
        <v>75</v>
      </c>
      <c r="I16" s="22" t="s">
        <v>70</v>
      </c>
      <c r="J16" s="10"/>
      <c r="K16" s="10" t="str">
        <f>"190,0"</f>
        <v>190,0</v>
      </c>
      <c r="L16" s="10" t="str">
        <f>"128,2310"</f>
        <v>128,2310</v>
      </c>
      <c r="M16" s="9" t="s">
        <v>179</v>
      </c>
    </row>
    <row r="17" spans="1:13">
      <c r="A17" s="12" t="s">
        <v>103</v>
      </c>
      <c r="B17" s="11" t="s">
        <v>180</v>
      </c>
      <c r="C17" s="11" t="s">
        <v>181</v>
      </c>
      <c r="D17" s="11" t="s">
        <v>182</v>
      </c>
      <c r="E17" s="11" t="s">
        <v>438</v>
      </c>
      <c r="F17" s="11" t="s">
        <v>183</v>
      </c>
      <c r="G17" s="23" t="s">
        <v>184</v>
      </c>
      <c r="H17" s="27" t="s">
        <v>185</v>
      </c>
      <c r="I17" s="27" t="s">
        <v>185</v>
      </c>
      <c r="J17" s="12"/>
      <c r="K17" s="12" t="str">
        <f>"340,0"</f>
        <v>340,0</v>
      </c>
      <c r="L17" s="12" t="str">
        <f>"229,1260"</f>
        <v>229,1260</v>
      </c>
      <c r="M17" s="11"/>
    </row>
    <row r="18" spans="1:13">
      <c r="B18" s="5" t="s">
        <v>104</v>
      </c>
    </row>
    <row r="19" spans="1:13" ht="16">
      <c r="A19" s="33" t="s">
        <v>143</v>
      </c>
      <c r="B19" s="33"/>
      <c r="C19" s="34"/>
      <c r="D19" s="34"/>
      <c r="E19" s="34"/>
      <c r="F19" s="34"/>
      <c r="G19" s="34"/>
      <c r="H19" s="34"/>
      <c r="I19" s="34"/>
      <c r="J19" s="34"/>
    </row>
    <row r="20" spans="1:13">
      <c r="A20" s="10" t="s">
        <v>103</v>
      </c>
      <c r="B20" s="9" t="s">
        <v>186</v>
      </c>
      <c r="C20" s="9" t="s">
        <v>187</v>
      </c>
      <c r="D20" s="9" t="s">
        <v>188</v>
      </c>
      <c r="E20" s="9" t="s">
        <v>438</v>
      </c>
      <c r="F20" s="9" t="s">
        <v>422</v>
      </c>
      <c r="G20" s="22" t="s">
        <v>189</v>
      </c>
      <c r="H20" s="22" t="s">
        <v>190</v>
      </c>
      <c r="I20" s="22" t="s">
        <v>191</v>
      </c>
      <c r="J20" s="10"/>
      <c r="K20" s="10" t="str">
        <f>"320,0"</f>
        <v>320,0</v>
      </c>
      <c r="L20" s="10" t="str">
        <f>"204,2880"</f>
        <v>204,2880</v>
      </c>
      <c r="M20" s="9" t="s">
        <v>21</v>
      </c>
    </row>
    <row r="21" spans="1:13">
      <c r="A21" s="12" t="s">
        <v>105</v>
      </c>
      <c r="B21" s="11" t="s">
        <v>192</v>
      </c>
      <c r="C21" s="11" t="s">
        <v>193</v>
      </c>
      <c r="D21" s="11" t="s">
        <v>194</v>
      </c>
      <c r="E21" s="11" t="s">
        <v>438</v>
      </c>
      <c r="F21" s="11" t="s">
        <v>195</v>
      </c>
      <c r="G21" s="23" t="s">
        <v>196</v>
      </c>
      <c r="H21" s="27" t="s">
        <v>189</v>
      </c>
      <c r="I21" s="27" t="s">
        <v>189</v>
      </c>
      <c r="J21" s="12"/>
      <c r="K21" s="12" t="str">
        <f>"280,0"</f>
        <v>280,0</v>
      </c>
      <c r="L21" s="12" t="str">
        <f>"181,4120"</f>
        <v>181,4120</v>
      </c>
      <c r="M21" s="11" t="s">
        <v>197</v>
      </c>
    </row>
    <row r="22" spans="1:13">
      <c r="B22" s="5" t="s">
        <v>104</v>
      </c>
    </row>
    <row r="23" spans="1:13" ht="16">
      <c r="A23" s="33" t="s">
        <v>44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3">
      <c r="A24" s="10" t="s">
        <v>103</v>
      </c>
      <c r="B24" s="9" t="s">
        <v>198</v>
      </c>
      <c r="C24" s="9" t="s">
        <v>199</v>
      </c>
      <c r="D24" s="9" t="s">
        <v>200</v>
      </c>
      <c r="E24" s="9" t="s">
        <v>438</v>
      </c>
      <c r="F24" s="9" t="s">
        <v>422</v>
      </c>
      <c r="G24" s="22" t="s">
        <v>189</v>
      </c>
      <c r="H24" s="22" t="s">
        <v>201</v>
      </c>
      <c r="I24" s="24" t="s">
        <v>190</v>
      </c>
      <c r="J24" s="10"/>
      <c r="K24" s="10" t="str">
        <f>"300,0"</f>
        <v>300,0</v>
      </c>
      <c r="L24" s="10" t="str">
        <f>"189,1500"</f>
        <v>189,1500</v>
      </c>
      <c r="M24" s="9" t="s">
        <v>413</v>
      </c>
    </row>
    <row r="25" spans="1:13">
      <c r="A25" s="12" t="s">
        <v>105</v>
      </c>
      <c r="B25" s="11" t="s">
        <v>202</v>
      </c>
      <c r="C25" s="11" t="s">
        <v>203</v>
      </c>
      <c r="D25" s="11" t="s">
        <v>204</v>
      </c>
      <c r="E25" s="11" t="s">
        <v>438</v>
      </c>
      <c r="F25" s="11" t="s">
        <v>422</v>
      </c>
      <c r="G25" s="23" t="s">
        <v>205</v>
      </c>
      <c r="H25" s="23" t="s">
        <v>196</v>
      </c>
      <c r="I25" s="27" t="s">
        <v>201</v>
      </c>
      <c r="J25" s="12"/>
      <c r="K25" s="12" t="str">
        <f>"280,0"</f>
        <v>280,0</v>
      </c>
      <c r="L25" s="12" t="str">
        <f>"172,9560"</f>
        <v>172,9560</v>
      </c>
      <c r="M25" s="11" t="s">
        <v>21</v>
      </c>
    </row>
    <row r="26" spans="1:13">
      <c r="B26" s="5" t="s">
        <v>104</v>
      </c>
    </row>
    <row r="27" spans="1:13" ht="16">
      <c r="A27" s="33" t="s">
        <v>52</v>
      </c>
      <c r="B27" s="33"/>
      <c r="C27" s="34"/>
      <c r="D27" s="34"/>
      <c r="E27" s="34"/>
      <c r="F27" s="34"/>
      <c r="G27" s="34"/>
      <c r="H27" s="34"/>
      <c r="I27" s="34"/>
      <c r="J27" s="34"/>
    </row>
    <row r="28" spans="1:13">
      <c r="A28" s="8" t="s">
        <v>103</v>
      </c>
      <c r="B28" s="7" t="s">
        <v>206</v>
      </c>
      <c r="C28" s="7" t="s">
        <v>207</v>
      </c>
      <c r="D28" s="7" t="s">
        <v>208</v>
      </c>
      <c r="E28" s="7" t="s">
        <v>438</v>
      </c>
      <c r="F28" s="7" t="s">
        <v>422</v>
      </c>
      <c r="G28" s="20" t="s">
        <v>209</v>
      </c>
      <c r="H28" s="20" t="s">
        <v>210</v>
      </c>
      <c r="I28" s="21" t="s">
        <v>211</v>
      </c>
      <c r="J28" s="8"/>
      <c r="K28" s="8" t="str">
        <f>"375,0"</f>
        <v>375,0</v>
      </c>
      <c r="L28" s="8" t="str">
        <f>"220,8000"</f>
        <v>220,8000</v>
      </c>
      <c r="M28" s="7" t="s">
        <v>21</v>
      </c>
    </row>
    <row r="29" spans="1:13">
      <c r="B29" s="5" t="s">
        <v>104</v>
      </c>
    </row>
    <row r="30" spans="1:13" ht="16">
      <c r="A30" s="33" t="s">
        <v>60</v>
      </c>
      <c r="B30" s="33"/>
      <c r="C30" s="34"/>
      <c r="D30" s="34"/>
      <c r="E30" s="34"/>
      <c r="F30" s="34"/>
      <c r="G30" s="34"/>
      <c r="H30" s="34"/>
      <c r="I30" s="34"/>
      <c r="J30" s="34"/>
    </row>
    <row r="31" spans="1:13">
      <c r="A31" s="10" t="s">
        <v>103</v>
      </c>
      <c r="B31" s="9" t="s">
        <v>72</v>
      </c>
      <c r="C31" s="9" t="s">
        <v>73</v>
      </c>
      <c r="D31" s="9" t="s">
        <v>74</v>
      </c>
      <c r="E31" s="9" t="s">
        <v>438</v>
      </c>
      <c r="F31" s="9" t="s">
        <v>422</v>
      </c>
      <c r="G31" s="22" t="s">
        <v>212</v>
      </c>
      <c r="H31" s="22" t="s">
        <v>196</v>
      </c>
      <c r="I31" s="24" t="s">
        <v>189</v>
      </c>
      <c r="J31" s="10"/>
      <c r="K31" s="10" t="str">
        <f>"280,0"</f>
        <v>280,0</v>
      </c>
      <c r="L31" s="10" t="str">
        <f>"160,1040"</f>
        <v>160,1040</v>
      </c>
      <c r="M31" s="9" t="s">
        <v>21</v>
      </c>
    </row>
    <row r="32" spans="1:13">
      <c r="A32" s="12" t="s">
        <v>105</v>
      </c>
      <c r="B32" s="11" t="s">
        <v>66</v>
      </c>
      <c r="C32" s="11" t="s">
        <v>67</v>
      </c>
      <c r="D32" s="11" t="s">
        <v>68</v>
      </c>
      <c r="E32" s="11" t="s">
        <v>438</v>
      </c>
      <c r="F32" s="11" t="s">
        <v>32</v>
      </c>
      <c r="G32" s="23" t="s">
        <v>212</v>
      </c>
      <c r="H32" s="27" t="s">
        <v>196</v>
      </c>
      <c r="I32" s="27" t="s">
        <v>196</v>
      </c>
      <c r="J32" s="12"/>
      <c r="K32" s="12" t="str">
        <f>"270,0"</f>
        <v>270,0</v>
      </c>
      <c r="L32" s="12" t="str">
        <f>"155,2770"</f>
        <v>155,2770</v>
      </c>
      <c r="M32" s="11" t="s">
        <v>71</v>
      </c>
    </row>
    <row r="33" spans="1:13">
      <c r="B33" s="5" t="s">
        <v>104</v>
      </c>
    </row>
    <row r="34" spans="1:13" ht="16">
      <c r="A34" s="33" t="s">
        <v>213</v>
      </c>
      <c r="B34" s="33"/>
      <c r="C34" s="34"/>
      <c r="D34" s="34"/>
      <c r="E34" s="34"/>
      <c r="F34" s="34"/>
      <c r="G34" s="34"/>
      <c r="H34" s="34"/>
      <c r="I34" s="34"/>
      <c r="J34" s="34"/>
    </row>
    <row r="35" spans="1:13">
      <c r="A35" s="8" t="s">
        <v>103</v>
      </c>
      <c r="B35" s="7" t="s">
        <v>214</v>
      </c>
      <c r="C35" s="7" t="s">
        <v>215</v>
      </c>
      <c r="D35" s="7" t="s">
        <v>216</v>
      </c>
      <c r="E35" s="7" t="s">
        <v>438</v>
      </c>
      <c r="F35" s="7" t="s">
        <v>217</v>
      </c>
      <c r="G35" s="20" t="s">
        <v>196</v>
      </c>
      <c r="H35" s="20" t="s">
        <v>189</v>
      </c>
      <c r="I35" s="21" t="s">
        <v>201</v>
      </c>
      <c r="J35" s="8"/>
      <c r="K35" s="8" t="str">
        <f>"290,0"</f>
        <v>290,0</v>
      </c>
      <c r="L35" s="8" t="str">
        <f>"162,0810"</f>
        <v>162,0810</v>
      </c>
      <c r="M35" s="7" t="s">
        <v>43</v>
      </c>
    </row>
    <row r="36" spans="1:13">
      <c r="B36" s="5" t="s">
        <v>104</v>
      </c>
    </row>
    <row r="37" spans="1:13">
      <c r="B37" s="5" t="s">
        <v>104</v>
      </c>
    </row>
    <row r="38" spans="1:13">
      <c r="B38" s="5" t="s">
        <v>104</v>
      </c>
    </row>
    <row r="39" spans="1:13" ht="18">
      <c r="B39" s="15" t="s">
        <v>85</v>
      </c>
      <c r="C39" s="15"/>
    </row>
    <row r="40" spans="1:13" ht="16">
      <c r="B40" s="16" t="s">
        <v>91</v>
      </c>
      <c r="C40" s="16"/>
    </row>
    <row r="41" spans="1:13" ht="14">
      <c r="B41" s="17"/>
      <c r="C41" s="18" t="s">
        <v>95</v>
      </c>
    </row>
    <row r="42" spans="1:13" ht="14">
      <c r="B42" s="19" t="s">
        <v>86</v>
      </c>
      <c r="C42" s="19" t="s">
        <v>87</v>
      </c>
      <c r="D42" s="19" t="s">
        <v>411</v>
      </c>
      <c r="E42" s="19" t="s">
        <v>88</v>
      </c>
      <c r="F42" s="19" t="s">
        <v>89</v>
      </c>
    </row>
    <row r="43" spans="1:13">
      <c r="B43" s="5" t="s">
        <v>180</v>
      </c>
      <c r="C43" s="5" t="s">
        <v>95</v>
      </c>
      <c r="D43" s="6" t="s">
        <v>100</v>
      </c>
      <c r="E43" s="6" t="s">
        <v>184</v>
      </c>
      <c r="F43" s="6" t="s">
        <v>219</v>
      </c>
    </row>
    <row r="44" spans="1:13">
      <c r="B44" s="5" t="s">
        <v>206</v>
      </c>
      <c r="C44" s="5" t="s">
        <v>95</v>
      </c>
      <c r="D44" s="6" t="s">
        <v>98</v>
      </c>
      <c r="E44" s="6" t="s">
        <v>210</v>
      </c>
      <c r="F44" s="6" t="s">
        <v>220</v>
      </c>
    </row>
    <row r="45" spans="1:13">
      <c r="B45" s="5" t="s">
        <v>186</v>
      </c>
      <c r="C45" s="5" t="s">
        <v>95</v>
      </c>
      <c r="D45" s="6" t="s">
        <v>160</v>
      </c>
      <c r="E45" s="6" t="s">
        <v>191</v>
      </c>
      <c r="F45" s="6" t="s">
        <v>221</v>
      </c>
    </row>
    <row r="46" spans="1:13">
      <c r="B46" s="5" t="s">
        <v>104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0:J30"/>
    <mergeCell ref="A34:J34"/>
    <mergeCell ref="B3:B4"/>
    <mergeCell ref="A8:J8"/>
    <mergeCell ref="A11:J11"/>
    <mergeCell ref="A15:J15"/>
    <mergeCell ref="A19:J19"/>
    <mergeCell ref="A23:J23"/>
    <mergeCell ref="A27:J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EBDD-5ADF-4E7E-A64B-82369EBAB940}">
  <dimension ref="A1:M32"/>
  <sheetViews>
    <sheetView workbookViewId="0">
      <selection activeCell="E23" sqref="E23"/>
    </sheetView>
  </sheetViews>
  <sheetFormatPr baseColWidth="10" defaultColWidth="9.1640625" defaultRowHeight="13"/>
  <cols>
    <col min="1" max="1" width="7.1640625" style="5" bestFit="1" customWidth="1"/>
    <col min="2" max="2" width="23.1640625" style="5" customWidth="1"/>
    <col min="3" max="3" width="28" style="5" bestFit="1" customWidth="1"/>
    <col min="4" max="4" width="21" style="5" bestFit="1" customWidth="1"/>
    <col min="5" max="5" width="15.33203125" style="5" customWidth="1"/>
    <col min="6" max="6" width="39.1640625" style="5" bestFit="1" customWidth="1"/>
    <col min="7" max="9" width="5.5" style="6" customWidth="1"/>
    <col min="10" max="10" width="4.6640625" style="6" customWidth="1"/>
    <col min="11" max="11" width="10.5" style="6" bestFit="1" customWidth="1"/>
    <col min="12" max="12" width="7.3320312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37" t="s">
        <v>420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435</v>
      </c>
      <c r="B3" s="50" t="s">
        <v>0</v>
      </c>
      <c r="C3" s="47" t="s">
        <v>436</v>
      </c>
      <c r="D3" s="47" t="s">
        <v>5</v>
      </c>
      <c r="E3" s="49" t="s">
        <v>437</v>
      </c>
      <c r="F3" s="49" t="s">
        <v>4</v>
      </c>
      <c r="G3" s="49" t="s">
        <v>434</v>
      </c>
      <c r="H3" s="49"/>
      <c r="I3" s="49"/>
      <c r="J3" s="49"/>
      <c r="K3" s="49" t="s">
        <v>102</v>
      </c>
      <c r="L3" s="49" t="s">
        <v>2</v>
      </c>
      <c r="M3" s="54" t="s">
        <v>1</v>
      </c>
    </row>
    <row r="4" spans="1:13" s="1" customFormat="1" ht="21.25" customHeight="1" thickBot="1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3</v>
      </c>
      <c r="K4" s="48"/>
      <c r="L4" s="48"/>
      <c r="M4" s="55"/>
    </row>
    <row r="5" spans="1:13" ht="16">
      <c r="A5" s="35" t="s">
        <v>171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0" t="s">
        <v>103</v>
      </c>
      <c r="B6" s="9" t="s">
        <v>270</v>
      </c>
      <c r="C6" s="9" t="s">
        <v>427</v>
      </c>
      <c r="D6" s="9" t="s">
        <v>272</v>
      </c>
      <c r="E6" s="9" t="s">
        <v>445</v>
      </c>
      <c r="F6" s="9" t="s">
        <v>422</v>
      </c>
      <c r="G6" s="24" t="s">
        <v>258</v>
      </c>
      <c r="H6" s="22" t="s">
        <v>362</v>
      </c>
      <c r="I6" s="22" t="s">
        <v>175</v>
      </c>
      <c r="J6" s="10"/>
      <c r="K6" s="10" t="str">
        <f>"60,0"</f>
        <v>60,0</v>
      </c>
      <c r="L6" s="10" t="str">
        <f>"45,0210"</f>
        <v>45,0210</v>
      </c>
      <c r="M6" s="9" t="s">
        <v>21</v>
      </c>
    </row>
    <row r="7" spans="1:13">
      <c r="A7" s="12" t="s">
        <v>103</v>
      </c>
      <c r="B7" s="11" t="s">
        <v>387</v>
      </c>
      <c r="C7" s="11" t="s">
        <v>428</v>
      </c>
      <c r="D7" s="11" t="s">
        <v>388</v>
      </c>
      <c r="E7" s="11" t="s">
        <v>442</v>
      </c>
      <c r="F7" s="11" t="s">
        <v>422</v>
      </c>
      <c r="G7" s="23" t="s">
        <v>170</v>
      </c>
      <c r="H7" s="23" t="s">
        <v>258</v>
      </c>
      <c r="I7" s="23" t="s">
        <v>362</v>
      </c>
      <c r="J7" s="12"/>
      <c r="K7" s="12" t="str">
        <f>"55,0"</f>
        <v>55,0</v>
      </c>
      <c r="L7" s="12" t="str">
        <f>"41,1620"</f>
        <v>41,1620</v>
      </c>
      <c r="M7" s="11"/>
    </row>
    <row r="8" spans="1:13">
      <c r="B8" s="5" t="s">
        <v>104</v>
      </c>
    </row>
    <row r="9" spans="1:13" ht="16">
      <c r="A9" s="33" t="s">
        <v>23</v>
      </c>
      <c r="B9" s="33"/>
      <c r="C9" s="34"/>
      <c r="D9" s="34"/>
      <c r="E9" s="34"/>
      <c r="F9" s="34"/>
      <c r="G9" s="34"/>
      <c r="H9" s="34"/>
      <c r="I9" s="34"/>
      <c r="J9" s="34"/>
    </row>
    <row r="10" spans="1:13">
      <c r="A10" s="10" t="s">
        <v>103</v>
      </c>
      <c r="B10" s="9" t="s">
        <v>389</v>
      </c>
      <c r="C10" s="9" t="s">
        <v>390</v>
      </c>
      <c r="D10" s="9" t="s">
        <v>391</v>
      </c>
      <c r="E10" s="9" t="s">
        <v>438</v>
      </c>
      <c r="F10" s="9" t="s">
        <v>423</v>
      </c>
      <c r="G10" s="22" t="s">
        <v>392</v>
      </c>
      <c r="H10" s="22" t="s">
        <v>393</v>
      </c>
      <c r="I10" s="22" t="s">
        <v>175</v>
      </c>
      <c r="J10" s="10"/>
      <c r="K10" s="10" t="str">
        <f>"60,0"</f>
        <v>60,0</v>
      </c>
      <c r="L10" s="10" t="str">
        <f>"39,0150"</f>
        <v>39,0150</v>
      </c>
      <c r="M10" s="9"/>
    </row>
    <row r="11" spans="1:13">
      <c r="A11" s="14" t="s">
        <v>105</v>
      </c>
      <c r="B11" s="13" t="s">
        <v>394</v>
      </c>
      <c r="C11" s="13" t="s">
        <v>395</v>
      </c>
      <c r="D11" s="13" t="s">
        <v>396</v>
      </c>
      <c r="E11" s="13" t="s">
        <v>438</v>
      </c>
      <c r="F11" s="13" t="s">
        <v>422</v>
      </c>
      <c r="G11" s="26" t="s">
        <v>393</v>
      </c>
      <c r="H11" s="25" t="s">
        <v>393</v>
      </c>
      <c r="I11" s="25" t="s">
        <v>175</v>
      </c>
      <c r="J11" s="14"/>
      <c r="K11" s="14" t="str">
        <f>"60,0"</f>
        <v>60,0</v>
      </c>
      <c r="L11" s="14" t="str">
        <f>"38,8590"</f>
        <v>38,8590</v>
      </c>
      <c r="M11" s="13" t="s">
        <v>413</v>
      </c>
    </row>
    <row r="12" spans="1:13">
      <c r="A12" s="12" t="s">
        <v>103</v>
      </c>
      <c r="B12" s="11" t="s">
        <v>397</v>
      </c>
      <c r="C12" s="11" t="s">
        <v>429</v>
      </c>
      <c r="D12" s="11" t="s">
        <v>398</v>
      </c>
      <c r="E12" s="11" t="s">
        <v>443</v>
      </c>
      <c r="F12" s="11" t="s">
        <v>423</v>
      </c>
      <c r="G12" s="23" t="s">
        <v>170</v>
      </c>
      <c r="H12" s="23" t="s">
        <v>113</v>
      </c>
      <c r="I12" s="23" t="s">
        <v>258</v>
      </c>
      <c r="J12" s="12"/>
      <c r="K12" s="12" t="str">
        <f>"50,0"</f>
        <v>50,0</v>
      </c>
      <c r="L12" s="12" t="str">
        <f>"37,6516"</f>
        <v>37,6516</v>
      </c>
      <c r="M12" s="11"/>
    </row>
    <row r="13" spans="1:13">
      <c r="B13" s="5" t="s">
        <v>104</v>
      </c>
    </row>
    <row r="14" spans="1:13" ht="16">
      <c r="A14" s="33" t="s">
        <v>143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10" t="s">
        <v>103</v>
      </c>
      <c r="B15" s="9" t="s">
        <v>149</v>
      </c>
      <c r="C15" s="9" t="s">
        <v>430</v>
      </c>
      <c r="D15" s="9" t="s">
        <v>151</v>
      </c>
      <c r="E15" s="9" t="s">
        <v>445</v>
      </c>
      <c r="F15" s="9" t="s">
        <v>423</v>
      </c>
      <c r="G15" s="22" t="s">
        <v>258</v>
      </c>
      <c r="H15" s="22" t="s">
        <v>393</v>
      </c>
      <c r="I15" s="22" t="s">
        <v>363</v>
      </c>
      <c r="J15" s="10"/>
      <c r="K15" s="10" t="str">
        <f>"62,5"</f>
        <v>62,5</v>
      </c>
      <c r="L15" s="10" t="str">
        <f>"39,5375"</f>
        <v>39,5375</v>
      </c>
      <c r="M15" s="9" t="s">
        <v>413</v>
      </c>
    </row>
    <row r="16" spans="1:13">
      <c r="A16" s="12" t="s">
        <v>103</v>
      </c>
      <c r="B16" s="11" t="s">
        <v>399</v>
      </c>
      <c r="C16" s="11" t="s">
        <v>400</v>
      </c>
      <c r="D16" s="11" t="s">
        <v>314</v>
      </c>
      <c r="E16" s="11" t="s">
        <v>438</v>
      </c>
      <c r="F16" s="11" t="s">
        <v>401</v>
      </c>
      <c r="G16" s="27" t="s">
        <v>258</v>
      </c>
      <c r="H16" s="23" t="s">
        <v>175</v>
      </c>
      <c r="I16" s="27" t="s">
        <v>240</v>
      </c>
      <c r="J16" s="12"/>
      <c r="K16" s="12" t="str">
        <f>"60,0"</f>
        <v>60,0</v>
      </c>
      <c r="L16" s="12" t="str">
        <f>"37,4310"</f>
        <v>37,4310</v>
      </c>
      <c r="M16" s="11"/>
    </row>
    <row r="17" spans="1:13">
      <c r="B17" s="5" t="s">
        <v>104</v>
      </c>
    </row>
    <row r="18" spans="1:13" ht="16">
      <c r="A18" s="33" t="s">
        <v>44</v>
      </c>
      <c r="B18" s="33"/>
      <c r="C18" s="34"/>
      <c r="D18" s="34"/>
      <c r="E18" s="34"/>
      <c r="F18" s="34"/>
      <c r="G18" s="34"/>
      <c r="H18" s="34"/>
      <c r="I18" s="34"/>
      <c r="J18" s="34"/>
    </row>
    <row r="19" spans="1:13">
      <c r="A19" s="8" t="s">
        <v>103</v>
      </c>
      <c r="B19" s="7" t="s">
        <v>402</v>
      </c>
      <c r="C19" s="7" t="s">
        <v>403</v>
      </c>
      <c r="D19" s="7" t="s">
        <v>404</v>
      </c>
      <c r="E19" s="7" t="s">
        <v>438</v>
      </c>
      <c r="F19" s="7" t="s">
        <v>423</v>
      </c>
      <c r="G19" s="21" t="s">
        <v>364</v>
      </c>
      <c r="H19" s="20" t="s">
        <v>119</v>
      </c>
      <c r="I19" s="20" t="s">
        <v>120</v>
      </c>
      <c r="J19" s="8"/>
      <c r="K19" s="8" t="str">
        <f>"75,0"</f>
        <v>75,0</v>
      </c>
      <c r="L19" s="8" t="str">
        <f>"43,5975"</f>
        <v>43,5975</v>
      </c>
      <c r="M19" s="7" t="s">
        <v>415</v>
      </c>
    </row>
    <row r="20" spans="1:13">
      <c r="B20" s="5" t="s">
        <v>104</v>
      </c>
    </row>
    <row r="21" spans="1:13" ht="16">
      <c r="A21" s="33" t="s">
        <v>52</v>
      </c>
      <c r="B21" s="33"/>
      <c r="C21" s="34"/>
      <c r="D21" s="34"/>
      <c r="E21" s="34"/>
      <c r="F21" s="34"/>
      <c r="G21" s="34"/>
      <c r="H21" s="34"/>
      <c r="I21" s="34"/>
      <c r="J21" s="34"/>
    </row>
    <row r="22" spans="1:13">
      <c r="A22" s="8" t="s">
        <v>103</v>
      </c>
      <c r="B22" s="7" t="s">
        <v>405</v>
      </c>
      <c r="C22" s="7" t="s">
        <v>406</v>
      </c>
      <c r="D22" s="7" t="s">
        <v>407</v>
      </c>
      <c r="E22" s="7" t="s">
        <v>438</v>
      </c>
      <c r="F22" s="7" t="s">
        <v>401</v>
      </c>
      <c r="G22" s="20" t="s">
        <v>240</v>
      </c>
      <c r="H22" s="20" t="s">
        <v>118</v>
      </c>
      <c r="I22" s="21" t="s">
        <v>119</v>
      </c>
      <c r="J22" s="8"/>
      <c r="K22" s="8" t="str">
        <f>"70,0"</f>
        <v>70,0</v>
      </c>
      <c r="L22" s="8" t="str">
        <f>"40,0785"</f>
        <v>40,0785</v>
      </c>
      <c r="M22" s="7" t="s">
        <v>413</v>
      </c>
    </row>
    <row r="23" spans="1:13">
      <c r="B23" s="5" t="s">
        <v>104</v>
      </c>
    </row>
    <row r="24" spans="1:13">
      <c r="B24" s="5" t="s">
        <v>104</v>
      </c>
    </row>
    <row r="25" spans="1:13">
      <c r="B25" s="5" t="s">
        <v>104</v>
      </c>
    </row>
    <row r="26" spans="1:13" ht="18">
      <c r="B26" s="15" t="s">
        <v>85</v>
      </c>
      <c r="C26" s="15"/>
    </row>
    <row r="27" spans="1:13" ht="16">
      <c r="B27" s="16" t="s">
        <v>91</v>
      </c>
      <c r="C27" s="16"/>
    </row>
    <row r="28" spans="1:13" ht="14">
      <c r="B28" s="17"/>
      <c r="C28" s="18" t="s">
        <v>95</v>
      </c>
    </row>
    <row r="29" spans="1:13" ht="14">
      <c r="B29" s="19" t="s">
        <v>86</v>
      </c>
      <c r="C29" s="19" t="s">
        <v>87</v>
      </c>
      <c r="D29" s="19" t="s">
        <v>411</v>
      </c>
      <c r="E29" s="19" t="s">
        <v>88</v>
      </c>
      <c r="F29" s="19" t="s">
        <v>383</v>
      </c>
    </row>
    <row r="30" spans="1:13">
      <c r="B30" s="5" t="s">
        <v>402</v>
      </c>
      <c r="C30" s="5" t="s">
        <v>95</v>
      </c>
      <c r="D30" s="6" t="s">
        <v>94</v>
      </c>
      <c r="E30" s="6" t="s">
        <v>120</v>
      </c>
      <c r="F30" s="6" t="s">
        <v>408</v>
      </c>
    </row>
    <row r="31" spans="1:13">
      <c r="B31" s="5" t="s">
        <v>405</v>
      </c>
      <c r="C31" s="5" t="s">
        <v>95</v>
      </c>
      <c r="D31" s="6" t="s">
        <v>98</v>
      </c>
      <c r="E31" s="6" t="s">
        <v>118</v>
      </c>
      <c r="F31" s="6" t="s">
        <v>409</v>
      </c>
    </row>
    <row r="32" spans="1:13">
      <c r="B32" s="5" t="s">
        <v>389</v>
      </c>
      <c r="C32" s="5" t="s">
        <v>95</v>
      </c>
      <c r="D32" s="6" t="s">
        <v>100</v>
      </c>
      <c r="E32" s="6" t="s">
        <v>175</v>
      </c>
      <c r="F32" s="6" t="s">
        <v>410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4:J14"/>
    <mergeCell ref="A18:J18"/>
    <mergeCell ref="A21:J21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2BDD-3986-4852-A0AF-04B8781FA8CD}">
  <dimension ref="A1:M41"/>
  <sheetViews>
    <sheetView tabSelected="1" workbookViewId="0">
      <selection activeCell="E32" sqref="E32"/>
    </sheetView>
  </sheetViews>
  <sheetFormatPr baseColWidth="10" defaultColWidth="9.1640625" defaultRowHeight="13"/>
  <cols>
    <col min="1" max="1" width="7.1640625" style="5" bestFit="1" customWidth="1"/>
    <col min="2" max="2" width="19" style="5" bestFit="1" customWidth="1"/>
    <col min="3" max="3" width="28" style="5" bestFit="1" customWidth="1"/>
    <col min="4" max="4" width="21" style="5" bestFit="1" customWidth="1"/>
    <col min="5" max="5" width="10.1640625" style="5" bestFit="1" customWidth="1"/>
    <col min="6" max="6" width="38.6640625" style="5" bestFit="1" customWidth="1"/>
    <col min="7" max="9" width="5.5" style="6" customWidth="1"/>
    <col min="10" max="10" width="4.6640625" style="6" customWidth="1"/>
    <col min="11" max="11" width="10.5" style="6" bestFit="1" customWidth="1"/>
    <col min="12" max="12" width="7.3320312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37" t="s">
        <v>421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435</v>
      </c>
      <c r="B3" s="50" t="s">
        <v>0</v>
      </c>
      <c r="C3" s="47" t="s">
        <v>436</v>
      </c>
      <c r="D3" s="47" t="s">
        <v>5</v>
      </c>
      <c r="E3" s="49" t="s">
        <v>437</v>
      </c>
      <c r="F3" s="49" t="s">
        <v>4</v>
      </c>
      <c r="G3" s="49" t="s">
        <v>434</v>
      </c>
      <c r="H3" s="49"/>
      <c r="I3" s="49"/>
      <c r="J3" s="49"/>
      <c r="K3" s="49" t="s">
        <v>102</v>
      </c>
      <c r="L3" s="49" t="s">
        <v>2</v>
      </c>
      <c r="M3" s="54" t="s">
        <v>1</v>
      </c>
    </row>
    <row r="4" spans="1:13" s="1" customFormat="1" ht="21.25" customHeight="1" thickBot="1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3</v>
      </c>
      <c r="K4" s="48"/>
      <c r="L4" s="48"/>
      <c r="M4" s="55"/>
    </row>
    <row r="5" spans="1:13" ht="16">
      <c r="A5" s="35" t="s">
        <v>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103</v>
      </c>
      <c r="B6" s="7" t="s">
        <v>353</v>
      </c>
      <c r="C6" s="7" t="s">
        <v>354</v>
      </c>
      <c r="D6" s="7" t="s">
        <v>355</v>
      </c>
      <c r="E6" s="7" t="s">
        <v>438</v>
      </c>
      <c r="F6" s="7" t="s">
        <v>422</v>
      </c>
      <c r="G6" s="20" t="s">
        <v>240</v>
      </c>
      <c r="H6" s="20" t="s">
        <v>119</v>
      </c>
      <c r="I6" s="20" t="s">
        <v>120</v>
      </c>
      <c r="J6" s="8"/>
      <c r="K6" s="8" t="str">
        <f>"75,0"</f>
        <v>75,0</v>
      </c>
      <c r="L6" s="8" t="str">
        <f>"51,7425"</f>
        <v>51,7425</v>
      </c>
      <c r="M6" s="7" t="s">
        <v>413</v>
      </c>
    </row>
    <row r="7" spans="1:13">
      <c r="B7" s="5" t="s">
        <v>104</v>
      </c>
    </row>
    <row r="8" spans="1:13" ht="16">
      <c r="A8" s="33" t="s">
        <v>23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0" t="s">
        <v>103</v>
      </c>
      <c r="B9" s="9" t="s">
        <v>356</v>
      </c>
      <c r="C9" s="9" t="s">
        <v>357</v>
      </c>
      <c r="D9" s="9" t="s">
        <v>358</v>
      </c>
      <c r="E9" s="9" t="s">
        <v>438</v>
      </c>
      <c r="F9" s="9" t="s">
        <v>423</v>
      </c>
      <c r="G9" s="22" t="s">
        <v>240</v>
      </c>
      <c r="H9" s="22" t="s">
        <v>118</v>
      </c>
      <c r="I9" s="22" t="s">
        <v>120</v>
      </c>
      <c r="J9" s="10"/>
      <c r="K9" s="10" t="str">
        <f>"75,0"</f>
        <v>75,0</v>
      </c>
      <c r="L9" s="10" t="str">
        <f>"49,0500"</f>
        <v>49,0500</v>
      </c>
      <c r="M9" s="9"/>
    </row>
    <row r="10" spans="1:13">
      <c r="A10" s="14" t="s">
        <v>105</v>
      </c>
      <c r="B10" s="13" t="s">
        <v>359</v>
      </c>
      <c r="C10" s="13" t="s">
        <v>360</v>
      </c>
      <c r="D10" s="13" t="s">
        <v>361</v>
      </c>
      <c r="E10" s="13" t="s">
        <v>438</v>
      </c>
      <c r="F10" s="13" t="s">
        <v>433</v>
      </c>
      <c r="G10" s="25" t="s">
        <v>240</v>
      </c>
      <c r="H10" s="25" t="s">
        <v>119</v>
      </c>
      <c r="I10" s="25" t="s">
        <v>120</v>
      </c>
      <c r="J10" s="14"/>
      <c r="K10" s="14" t="str">
        <f>"75,0"</f>
        <v>75,0</v>
      </c>
      <c r="L10" s="14" t="str">
        <f>"48,8100"</f>
        <v>48,8100</v>
      </c>
      <c r="M10" s="13"/>
    </row>
    <row r="11" spans="1:13">
      <c r="A11" s="12" t="s">
        <v>106</v>
      </c>
      <c r="B11" s="11" t="s">
        <v>29</v>
      </c>
      <c r="C11" s="11" t="s">
        <v>30</v>
      </c>
      <c r="D11" s="11" t="s">
        <v>31</v>
      </c>
      <c r="E11" s="11" t="s">
        <v>438</v>
      </c>
      <c r="F11" s="11" t="s">
        <v>32</v>
      </c>
      <c r="G11" s="23" t="s">
        <v>362</v>
      </c>
      <c r="H11" s="23" t="s">
        <v>363</v>
      </c>
      <c r="I11" s="27" t="s">
        <v>364</v>
      </c>
      <c r="J11" s="12"/>
      <c r="K11" s="12" t="str">
        <f>"62,5"</f>
        <v>62,5</v>
      </c>
      <c r="L11" s="12" t="str">
        <f>"42,6188"</f>
        <v>42,6188</v>
      </c>
      <c r="M11" s="11"/>
    </row>
    <row r="12" spans="1:13">
      <c r="B12" s="5" t="s">
        <v>104</v>
      </c>
    </row>
    <row r="13" spans="1:13" ht="16">
      <c r="A13" s="33" t="s">
        <v>143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3">
      <c r="A14" s="8" t="s">
        <v>103</v>
      </c>
      <c r="B14" s="7" t="s">
        <v>365</v>
      </c>
      <c r="C14" s="7" t="s">
        <v>366</v>
      </c>
      <c r="D14" s="7" t="s">
        <v>367</v>
      </c>
      <c r="E14" s="7" t="s">
        <v>438</v>
      </c>
      <c r="F14" s="7" t="s">
        <v>368</v>
      </c>
      <c r="G14" s="20" t="s">
        <v>364</v>
      </c>
      <c r="H14" s="20" t="s">
        <v>119</v>
      </c>
      <c r="I14" s="20" t="s">
        <v>120</v>
      </c>
      <c r="J14" s="8"/>
      <c r="K14" s="8" t="str">
        <f>"75,0"</f>
        <v>75,0</v>
      </c>
      <c r="L14" s="8" t="str">
        <f>"46,4437"</f>
        <v>46,4437</v>
      </c>
      <c r="M14" s="7"/>
    </row>
    <row r="15" spans="1:13">
      <c r="B15" s="5" t="s">
        <v>104</v>
      </c>
    </row>
    <row r="16" spans="1:13" ht="16">
      <c r="A16" s="33" t="s">
        <v>44</v>
      </c>
      <c r="B16" s="33"/>
      <c r="C16" s="34"/>
      <c r="D16" s="34"/>
      <c r="E16" s="34"/>
      <c r="F16" s="34"/>
      <c r="G16" s="34"/>
      <c r="H16" s="34"/>
      <c r="I16" s="34"/>
      <c r="J16" s="34"/>
    </row>
    <row r="17" spans="1:13">
      <c r="A17" s="10" t="s">
        <v>103</v>
      </c>
      <c r="B17" s="9" t="s">
        <v>198</v>
      </c>
      <c r="C17" s="9" t="s">
        <v>199</v>
      </c>
      <c r="D17" s="9" t="s">
        <v>200</v>
      </c>
      <c r="E17" s="9" t="s">
        <v>438</v>
      </c>
      <c r="F17" s="9" t="s">
        <v>422</v>
      </c>
      <c r="G17" s="22" t="s">
        <v>124</v>
      </c>
      <c r="H17" s="22" t="s">
        <v>369</v>
      </c>
      <c r="I17" s="22" t="s">
        <v>269</v>
      </c>
      <c r="J17" s="10"/>
      <c r="K17" s="10" t="str">
        <f>"85,0"</f>
        <v>85,0</v>
      </c>
      <c r="L17" s="10" t="str">
        <f>"51,3102"</f>
        <v>51,3102</v>
      </c>
      <c r="M17" s="9" t="s">
        <v>413</v>
      </c>
    </row>
    <row r="18" spans="1:13">
      <c r="A18" s="14" t="s">
        <v>105</v>
      </c>
      <c r="B18" s="13" t="s">
        <v>370</v>
      </c>
      <c r="C18" s="13" t="s">
        <v>371</v>
      </c>
      <c r="D18" s="13" t="s">
        <v>372</v>
      </c>
      <c r="E18" s="13" t="s">
        <v>438</v>
      </c>
      <c r="F18" s="13" t="s">
        <v>373</v>
      </c>
      <c r="G18" s="25" t="s">
        <v>119</v>
      </c>
      <c r="H18" s="25" t="s">
        <v>124</v>
      </c>
      <c r="I18" s="25" t="s">
        <v>125</v>
      </c>
      <c r="J18" s="14"/>
      <c r="K18" s="14" t="str">
        <f>"80,0"</f>
        <v>80,0</v>
      </c>
      <c r="L18" s="14" t="str">
        <f>"46,6040"</f>
        <v>46,6040</v>
      </c>
      <c r="M18" s="13"/>
    </row>
    <row r="19" spans="1:13">
      <c r="A19" s="12" t="s">
        <v>103</v>
      </c>
      <c r="B19" s="11" t="s">
        <v>370</v>
      </c>
      <c r="C19" s="11" t="s">
        <v>431</v>
      </c>
      <c r="D19" s="11" t="s">
        <v>372</v>
      </c>
      <c r="E19" s="11" t="s">
        <v>440</v>
      </c>
      <c r="F19" s="11" t="s">
        <v>373</v>
      </c>
      <c r="G19" s="23" t="s">
        <v>119</v>
      </c>
      <c r="H19" s="23" t="s">
        <v>124</v>
      </c>
      <c r="I19" s="23" t="s">
        <v>125</v>
      </c>
      <c r="J19" s="12"/>
      <c r="K19" s="12" t="str">
        <f>"80,0"</f>
        <v>80,0</v>
      </c>
      <c r="L19" s="12" t="str">
        <f>"46,6040"</f>
        <v>46,6040</v>
      </c>
      <c r="M19" s="11"/>
    </row>
    <row r="20" spans="1:13">
      <c r="B20" s="5" t="s">
        <v>104</v>
      </c>
    </row>
    <row r="21" spans="1:13" ht="16">
      <c r="A21" s="33" t="s">
        <v>52</v>
      </c>
      <c r="B21" s="33"/>
      <c r="C21" s="34"/>
      <c r="D21" s="34"/>
      <c r="E21" s="34"/>
      <c r="F21" s="34"/>
      <c r="G21" s="34"/>
      <c r="H21" s="34"/>
      <c r="I21" s="34"/>
      <c r="J21" s="34"/>
    </row>
    <row r="22" spans="1:13">
      <c r="A22" s="10" t="s">
        <v>103</v>
      </c>
      <c r="B22" s="9" t="s">
        <v>53</v>
      </c>
      <c r="C22" s="9" t="s">
        <v>54</v>
      </c>
      <c r="D22" s="9" t="s">
        <v>55</v>
      </c>
      <c r="E22" s="9" t="s">
        <v>438</v>
      </c>
      <c r="F22" s="9" t="s">
        <v>56</v>
      </c>
      <c r="G22" s="22" t="s">
        <v>269</v>
      </c>
      <c r="H22" s="22" t="s">
        <v>12</v>
      </c>
      <c r="I22" s="22" t="s">
        <v>13</v>
      </c>
      <c r="J22" s="10"/>
      <c r="K22" s="10" t="str">
        <f>"95,0"</f>
        <v>95,0</v>
      </c>
      <c r="L22" s="10" t="str">
        <f>"53,5753"</f>
        <v>53,5753</v>
      </c>
      <c r="M22" s="9"/>
    </row>
    <row r="23" spans="1:13">
      <c r="A23" s="14" t="s">
        <v>105</v>
      </c>
      <c r="B23" s="13" t="s">
        <v>374</v>
      </c>
      <c r="C23" s="13" t="s">
        <v>375</v>
      </c>
      <c r="D23" s="13" t="s">
        <v>376</v>
      </c>
      <c r="E23" s="13" t="s">
        <v>438</v>
      </c>
      <c r="F23" s="13" t="s">
        <v>423</v>
      </c>
      <c r="G23" s="25" t="s">
        <v>118</v>
      </c>
      <c r="H23" s="26" t="s">
        <v>124</v>
      </c>
      <c r="I23" s="25" t="s">
        <v>125</v>
      </c>
      <c r="J23" s="14"/>
      <c r="K23" s="14" t="str">
        <f>"80,0"</f>
        <v>80,0</v>
      </c>
      <c r="L23" s="14" t="str">
        <f>"45,5080"</f>
        <v>45,5080</v>
      </c>
      <c r="M23" s="13"/>
    </row>
    <row r="24" spans="1:13">
      <c r="A24" s="12" t="s">
        <v>103</v>
      </c>
      <c r="B24" s="11" t="s">
        <v>377</v>
      </c>
      <c r="C24" s="11" t="s">
        <v>432</v>
      </c>
      <c r="D24" s="11" t="s">
        <v>378</v>
      </c>
      <c r="E24" s="11" t="s">
        <v>440</v>
      </c>
      <c r="F24" s="11" t="s">
        <v>424</v>
      </c>
      <c r="G24" s="23" t="s">
        <v>369</v>
      </c>
      <c r="H24" s="23" t="s">
        <v>269</v>
      </c>
      <c r="I24" s="23" t="s">
        <v>265</v>
      </c>
      <c r="J24" s="12"/>
      <c r="K24" s="12" t="str">
        <f>"87,5"</f>
        <v>87,5</v>
      </c>
      <c r="L24" s="12" t="str">
        <f>"51,6089"</f>
        <v>51,6089</v>
      </c>
      <c r="M24" s="11"/>
    </row>
    <row r="25" spans="1:13">
      <c r="B25" s="5" t="s">
        <v>104</v>
      </c>
    </row>
    <row r="26" spans="1:13" ht="16">
      <c r="A26" s="33" t="s">
        <v>60</v>
      </c>
      <c r="B26" s="33"/>
      <c r="C26" s="34"/>
      <c r="D26" s="34"/>
      <c r="E26" s="34"/>
      <c r="F26" s="34"/>
      <c r="G26" s="34"/>
      <c r="H26" s="34"/>
      <c r="I26" s="34"/>
      <c r="J26" s="34"/>
    </row>
    <row r="27" spans="1:13">
      <c r="A27" s="10" t="s">
        <v>103</v>
      </c>
      <c r="B27" s="9" t="s">
        <v>379</v>
      </c>
      <c r="C27" s="9" t="s">
        <v>380</v>
      </c>
      <c r="D27" s="9" t="s">
        <v>381</v>
      </c>
      <c r="E27" s="9" t="s">
        <v>438</v>
      </c>
      <c r="F27" s="9" t="s">
        <v>423</v>
      </c>
      <c r="G27" s="22" t="s">
        <v>120</v>
      </c>
      <c r="H27" s="24" t="s">
        <v>269</v>
      </c>
      <c r="I27" s="24" t="s">
        <v>265</v>
      </c>
      <c r="J27" s="10"/>
      <c r="K27" s="10" t="str">
        <f>"75,0"</f>
        <v>75,0</v>
      </c>
      <c r="L27" s="10" t="str">
        <f>"41,9250"</f>
        <v>41,9250</v>
      </c>
      <c r="M27" s="9"/>
    </row>
    <row r="28" spans="1:13">
      <c r="A28" s="12" t="s">
        <v>105</v>
      </c>
      <c r="B28" s="11" t="s">
        <v>66</v>
      </c>
      <c r="C28" s="11" t="s">
        <v>67</v>
      </c>
      <c r="D28" s="11" t="s">
        <v>68</v>
      </c>
      <c r="E28" s="11" t="s">
        <v>438</v>
      </c>
      <c r="F28" s="11" t="s">
        <v>32</v>
      </c>
      <c r="G28" s="23" t="s">
        <v>175</v>
      </c>
      <c r="H28" s="23" t="s">
        <v>118</v>
      </c>
      <c r="I28" s="27" t="s">
        <v>120</v>
      </c>
      <c r="J28" s="12"/>
      <c r="K28" s="12" t="str">
        <f>"70,0"</f>
        <v>70,0</v>
      </c>
      <c r="L28" s="12" t="str">
        <f>"38,5805"</f>
        <v>38,5805</v>
      </c>
      <c r="M28" s="11" t="s">
        <v>71</v>
      </c>
    </row>
    <row r="29" spans="1:13">
      <c r="B29" s="5" t="s">
        <v>104</v>
      </c>
    </row>
    <row r="30" spans="1:13" ht="16">
      <c r="A30" s="33" t="s">
        <v>77</v>
      </c>
      <c r="B30" s="33"/>
      <c r="C30" s="34"/>
      <c r="D30" s="34"/>
      <c r="E30" s="34"/>
      <c r="F30" s="34"/>
      <c r="G30" s="34"/>
      <c r="H30" s="34"/>
      <c r="I30" s="34"/>
      <c r="J30" s="34"/>
    </row>
    <row r="31" spans="1:13">
      <c r="A31" s="8" t="s">
        <v>103</v>
      </c>
      <c r="B31" s="7" t="s">
        <v>78</v>
      </c>
      <c r="C31" s="7" t="s">
        <v>79</v>
      </c>
      <c r="D31" s="7" t="s">
        <v>382</v>
      </c>
      <c r="E31" s="7" t="s">
        <v>438</v>
      </c>
      <c r="F31" s="7" t="s">
        <v>39</v>
      </c>
      <c r="G31" s="20" t="s">
        <v>120</v>
      </c>
      <c r="H31" s="20" t="s">
        <v>269</v>
      </c>
      <c r="I31" s="20" t="s">
        <v>12</v>
      </c>
      <c r="J31" s="8"/>
      <c r="K31" s="8" t="str">
        <f>"90,0"</f>
        <v>90,0</v>
      </c>
      <c r="L31" s="8" t="str">
        <f>"47,4656"</f>
        <v>47,4656</v>
      </c>
      <c r="M31" s="7" t="s">
        <v>84</v>
      </c>
    </row>
    <row r="32" spans="1:13">
      <c r="B32" s="5" t="s">
        <v>104</v>
      </c>
    </row>
    <row r="33" spans="2:6">
      <c r="B33" s="5" t="s">
        <v>104</v>
      </c>
    </row>
    <row r="34" spans="2:6">
      <c r="B34" s="5" t="s">
        <v>104</v>
      </c>
    </row>
    <row r="35" spans="2:6" ht="18">
      <c r="B35" s="15" t="s">
        <v>85</v>
      </c>
      <c r="C35" s="15"/>
    </row>
    <row r="36" spans="2:6" ht="16">
      <c r="B36" s="16" t="s">
        <v>91</v>
      </c>
      <c r="C36" s="16"/>
    </row>
    <row r="37" spans="2:6" ht="14">
      <c r="B37" s="17"/>
      <c r="C37" s="18" t="s">
        <v>95</v>
      </c>
    </row>
    <row r="38" spans="2:6" ht="14">
      <c r="B38" s="19" t="s">
        <v>86</v>
      </c>
      <c r="C38" s="19" t="s">
        <v>87</v>
      </c>
      <c r="D38" s="19" t="s">
        <v>411</v>
      </c>
      <c r="E38" s="19" t="s">
        <v>88</v>
      </c>
      <c r="F38" s="19" t="s">
        <v>383</v>
      </c>
    </row>
    <row r="39" spans="2:6">
      <c r="B39" s="5" t="s">
        <v>53</v>
      </c>
      <c r="C39" s="5" t="s">
        <v>95</v>
      </c>
      <c r="D39" s="6" t="s">
        <v>98</v>
      </c>
      <c r="E39" s="6" t="s">
        <v>13</v>
      </c>
      <c r="F39" s="6" t="s">
        <v>384</v>
      </c>
    </row>
    <row r="40" spans="2:6">
      <c r="B40" s="5" t="s">
        <v>353</v>
      </c>
      <c r="C40" s="5" t="s">
        <v>95</v>
      </c>
      <c r="D40" s="6" t="s">
        <v>90</v>
      </c>
      <c r="E40" s="6" t="s">
        <v>120</v>
      </c>
      <c r="F40" s="6" t="s">
        <v>385</v>
      </c>
    </row>
    <row r="41" spans="2:6">
      <c r="B41" s="5" t="s">
        <v>198</v>
      </c>
      <c r="C41" s="5" t="s">
        <v>95</v>
      </c>
      <c r="D41" s="6" t="s">
        <v>94</v>
      </c>
      <c r="E41" s="6" t="s">
        <v>269</v>
      </c>
      <c r="F41" s="6" t="s">
        <v>386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0:J30"/>
    <mergeCell ref="K3:K4"/>
    <mergeCell ref="L3:L4"/>
    <mergeCell ref="M3:M4"/>
    <mergeCell ref="A5:J5"/>
    <mergeCell ref="B3:B4"/>
    <mergeCell ref="A8:J8"/>
    <mergeCell ref="A13:J13"/>
    <mergeCell ref="A16:J16"/>
    <mergeCell ref="A21:J21"/>
    <mergeCell ref="A26:J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2022-03-21T18:30:31Z</dcterms:modified>
</cp:coreProperties>
</file>