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F6572838-AC9B-2D47-915E-3034A465957A}" xr6:coauthVersionLast="45" xr6:coauthVersionMax="45" xr10:uidLastSave="{00000000-0000-0000-0000-000000000000}"/>
  <bookViews>
    <workbookView xWindow="480" yWindow="460" windowWidth="28320" windowHeight="16080" firstSheet="10" activeTab="14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8" r:id="rId5"/>
    <sheet name="WRPF Двоеборье без экип" sheetId="17" r:id="rId6"/>
    <sheet name="WRPF Жим лежа без экип ДК" sheetId="12" r:id="rId7"/>
    <sheet name="WRPF Жим лежа без экип" sheetId="11" r:id="rId8"/>
    <sheet name="WEPF Жим софт однопетельная ДК" sheetId="13" r:id="rId9"/>
    <sheet name="WEPF Жим софт однопетельная" sheetId="9" r:id="rId10"/>
    <sheet name="WRPF Военный жим ДК" sheetId="14" r:id="rId11"/>
    <sheet name="WRPF Военный жим" sheetId="10" r:id="rId12"/>
    <sheet name="WRPF Жим СФО" sheetId="19" r:id="rId13"/>
    <sheet name="WRPF Тяга без экипировки ДК" sheetId="16" r:id="rId14"/>
    <sheet name="WRPF Тяга без экипировки" sheetId="15" r:id="rId15"/>
    <sheet name="WRPF Подъем на бицепс ДК" sheetId="25" r:id="rId16"/>
    <sheet name="WRPF Подъем на бицепс" sheetId="24" r:id="rId17"/>
    <sheet name="СПР Подъем на бицепс ДК" sheetId="27" r:id="rId18"/>
    <sheet name="СПР Подъем на бицепс" sheetId="26" r:id="rId19"/>
  </sheets>
  <definedNames>
    <definedName name="_FilterDatabase" localSheetId="3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27" l="1"/>
  <c r="K12" i="27"/>
  <c r="L9" i="27"/>
  <c r="K9" i="27"/>
  <c r="L6" i="27"/>
  <c r="K6" i="27"/>
  <c r="L6" i="26"/>
  <c r="K6" i="26"/>
  <c r="L6" i="25"/>
  <c r="K6" i="25"/>
  <c r="L13" i="24"/>
  <c r="K13" i="24"/>
  <c r="L12" i="24"/>
  <c r="K12" i="24"/>
  <c r="L9" i="24"/>
  <c r="K9" i="24"/>
  <c r="L6" i="24"/>
  <c r="K6" i="24"/>
  <c r="L9" i="19"/>
  <c r="K9" i="19"/>
  <c r="L6" i="19"/>
  <c r="K6" i="19"/>
  <c r="P12" i="18"/>
  <c r="O12" i="18"/>
  <c r="P9" i="18"/>
  <c r="O9" i="18"/>
  <c r="P6" i="18"/>
  <c r="O6" i="18"/>
  <c r="P9" i="17"/>
  <c r="O9" i="17"/>
  <c r="P6" i="17"/>
  <c r="O6" i="17"/>
  <c r="L22" i="16"/>
  <c r="K22" i="16"/>
  <c r="L21" i="16"/>
  <c r="K21" i="16"/>
  <c r="L18" i="16"/>
  <c r="K18" i="16"/>
  <c r="L15" i="16"/>
  <c r="K15" i="16"/>
  <c r="L12" i="16"/>
  <c r="K12" i="16"/>
  <c r="L9" i="16"/>
  <c r="K9" i="16"/>
  <c r="L6" i="16"/>
  <c r="K6" i="16"/>
  <c r="L22" i="15"/>
  <c r="K22" i="15"/>
  <c r="L19" i="15"/>
  <c r="K19" i="15"/>
  <c r="L18" i="15"/>
  <c r="K18" i="15"/>
  <c r="L15" i="15"/>
  <c r="K15" i="15"/>
  <c r="L12" i="15"/>
  <c r="K12" i="15"/>
  <c r="L9" i="15"/>
  <c r="K9" i="15"/>
  <c r="L6" i="15"/>
  <c r="K6" i="15"/>
  <c r="L7" i="14"/>
  <c r="K7" i="14"/>
  <c r="L6" i="14"/>
  <c r="K6" i="14"/>
  <c r="L19" i="13"/>
  <c r="K19" i="13"/>
  <c r="L18" i="13"/>
  <c r="K18" i="13"/>
  <c r="L15" i="13"/>
  <c r="K15" i="13"/>
  <c r="L12" i="13"/>
  <c r="K12" i="13"/>
  <c r="L9" i="13"/>
  <c r="K9" i="13"/>
  <c r="L6" i="13"/>
  <c r="K6" i="13"/>
  <c r="L57" i="12"/>
  <c r="K57" i="12"/>
  <c r="L56" i="12"/>
  <c r="K56" i="12"/>
  <c r="L53" i="12"/>
  <c r="K53" i="12"/>
  <c r="L52" i="12"/>
  <c r="K52" i="12"/>
  <c r="L51" i="12"/>
  <c r="K51" i="12"/>
  <c r="L50" i="12"/>
  <c r="K50" i="12"/>
  <c r="L49" i="12"/>
  <c r="K49" i="12"/>
  <c r="L48" i="12"/>
  <c r="K48" i="12"/>
  <c r="L45" i="12"/>
  <c r="K45" i="12"/>
  <c r="L44" i="12"/>
  <c r="K44" i="12"/>
  <c r="L41" i="12"/>
  <c r="K41" i="12"/>
  <c r="L40" i="12"/>
  <c r="K40" i="12"/>
  <c r="L39" i="12"/>
  <c r="K39" i="12"/>
  <c r="L38" i="12"/>
  <c r="K38" i="12"/>
  <c r="L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5" i="12"/>
  <c r="K25" i="12"/>
  <c r="L22" i="12"/>
  <c r="K22" i="12"/>
  <c r="L21" i="12"/>
  <c r="K21" i="12"/>
  <c r="L18" i="12"/>
  <c r="K18" i="12"/>
  <c r="L17" i="12"/>
  <c r="K17" i="12"/>
  <c r="L14" i="12"/>
  <c r="K14" i="12"/>
  <c r="L11" i="12"/>
  <c r="K11" i="12"/>
  <c r="L10" i="12"/>
  <c r="K10" i="12"/>
  <c r="L9" i="12"/>
  <c r="K9" i="12"/>
  <c r="L6" i="12"/>
  <c r="K6" i="12"/>
  <c r="L64" i="11"/>
  <c r="K64" i="11"/>
  <c r="L61" i="11"/>
  <c r="K61" i="11"/>
  <c r="L60" i="11"/>
  <c r="K60" i="11"/>
  <c r="L59" i="11"/>
  <c r="K59" i="11"/>
  <c r="L58" i="11"/>
  <c r="K58" i="11"/>
  <c r="L55" i="11"/>
  <c r="K55" i="11"/>
  <c r="L54" i="11"/>
  <c r="K54" i="11"/>
  <c r="L53" i="11"/>
  <c r="K53" i="11"/>
  <c r="L52" i="11"/>
  <c r="K52" i="11"/>
  <c r="L51" i="11"/>
  <c r="K51" i="11"/>
  <c r="L50" i="11"/>
  <c r="K50" i="11"/>
  <c r="L49" i="11"/>
  <c r="K49" i="11"/>
  <c r="L46" i="11"/>
  <c r="K46" i="11"/>
  <c r="L45" i="11"/>
  <c r="K45" i="11"/>
  <c r="L44" i="11"/>
  <c r="K44" i="11"/>
  <c r="L41" i="11"/>
  <c r="K41" i="11"/>
  <c r="L40" i="11"/>
  <c r="K40" i="11"/>
  <c r="L39" i="11"/>
  <c r="K39" i="11"/>
  <c r="L38" i="11"/>
  <c r="K38" i="11"/>
  <c r="L37" i="11"/>
  <c r="K37" i="11"/>
  <c r="L34" i="11"/>
  <c r="K34" i="11"/>
  <c r="L33" i="11"/>
  <c r="K33" i="11"/>
  <c r="L32" i="11"/>
  <c r="K32" i="11"/>
  <c r="L29" i="11"/>
  <c r="K29" i="11"/>
  <c r="L26" i="11"/>
  <c r="K26" i="11"/>
  <c r="L23" i="11"/>
  <c r="K23" i="11"/>
  <c r="L20" i="11"/>
  <c r="K20" i="11"/>
  <c r="L17" i="11"/>
  <c r="K17" i="11"/>
  <c r="L14" i="11"/>
  <c r="K14" i="11"/>
  <c r="L11" i="11"/>
  <c r="K11" i="11"/>
  <c r="L10" i="11"/>
  <c r="K10" i="11"/>
  <c r="L9" i="11"/>
  <c r="K9" i="11"/>
  <c r="L6" i="11"/>
  <c r="K6" i="11"/>
  <c r="L13" i="10"/>
  <c r="K13" i="10"/>
  <c r="L12" i="10"/>
  <c r="K12" i="10"/>
  <c r="L11" i="10"/>
  <c r="K11" i="10"/>
  <c r="L8" i="10"/>
  <c r="K8" i="10"/>
  <c r="L7" i="10"/>
  <c r="K7" i="10"/>
  <c r="L6" i="10"/>
  <c r="K6" i="10"/>
  <c r="L15" i="9"/>
  <c r="K15" i="9"/>
  <c r="L12" i="9"/>
  <c r="K12" i="9"/>
  <c r="L11" i="9"/>
  <c r="K11" i="9"/>
  <c r="L10" i="9"/>
  <c r="K10" i="9"/>
  <c r="L7" i="9"/>
  <c r="K7" i="9"/>
  <c r="L6" i="9"/>
  <c r="K6" i="9"/>
  <c r="T12" i="8"/>
  <c r="S12" i="8"/>
  <c r="T9" i="8"/>
  <c r="S9" i="8"/>
  <c r="T6" i="8"/>
  <c r="T20" i="7"/>
  <c r="S20" i="7"/>
  <c r="T19" i="7"/>
  <c r="S19" i="7"/>
  <c r="T18" i="7"/>
  <c r="S18" i="7"/>
  <c r="T15" i="7"/>
  <c r="S15" i="7"/>
  <c r="T12" i="7"/>
  <c r="S12" i="7"/>
  <c r="T9" i="7"/>
  <c r="S9" i="7"/>
  <c r="T6" i="7"/>
  <c r="S6" i="7"/>
  <c r="T10" i="6"/>
  <c r="S10" i="6"/>
  <c r="T9" i="6"/>
  <c r="S9" i="6"/>
  <c r="T6" i="6"/>
  <c r="S6" i="6"/>
  <c r="T12" i="5"/>
  <c r="S12" i="5"/>
  <c r="T9" i="5"/>
  <c r="T6" i="5"/>
  <c r="S6" i="5"/>
</calcChain>
</file>

<file path=xl/sharedStrings.xml><?xml version="1.0" encoding="utf-8"?>
<sst xmlns="http://schemas.openxmlformats.org/spreadsheetml/2006/main" count="1833" uniqueCount="555">
  <si>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</si>
  <si>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</si>
  <si>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</si>
  <si>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</si>
  <si>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</si>
  <si>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</si>
  <si>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</si>
  <si>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</si>
  <si>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</si>
  <si>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</si>
  <si>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</si>
  <si>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Новиков Георгий</t>
  </si>
  <si>
    <t>Открытая (23.07.1987)/34</t>
  </si>
  <si>
    <t>73,70</t>
  </si>
  <si>
    <t xml:space="preserve">Соликамск/Пермский край </t>
  </si>
  <si>
    <t>175,0</t>
  </si>
  <si>
    <t>195,0</t>
  </si>
  <si>
    <t>200,0</t>
  </si>
  <si>
    <t>95,0</t>
  </si>
  <si>
    <t>100,0</t>
  </si>
  <si>
    <t>105,0</t>
  </si>
  <si>
    <t>190,0</t>
  </si>
  <si>
    <t>ВЕСОВАЯ КАТЕГОРИЯ   90</t>
  </si>
  <si>
    <t>Лобанов Константин</t>
  </si>
  <si>
    <t>Открытая (26.03.1991)/31</t>
  </si>
  <si>
    <t>82,60</t>
  </si>
  <si>
    <t xml:space="preserve">Пермь/Пермский край </t>
  </si>
  <si>
    <t>160,0</t>
  </si>
  <si>
    <t>120,0</t>
  </si>
  <si>
    <t>180,0</t>
  </si>
  <si>
    <t>ВЕСОВАЯ КАТЕГОРИЯ   125</t>
  </si>
  <si>
    <t>Новиков Иван</t>
  </si>
  <si>
    <t>Открытая (23.05.1996)/25</t>
  </si>
  <si>
    <t>117,90</t>
  </si>
  <si>
    <t>250,0</t>
  </si>
  <si>
    <t>265,0</t>
  </si>
  <si>
    <t>280,0</t>
  </si>
  <si>
    <t>172,5</t>
  </si>
  <si>
    <t>182,5</t>
  </si>
  <si>
    <t>192,5</t>
  </si>
  <si>
    <t>310,0</t>
  </si>
  <si>
    <t>330,0</t>
  </si>
  <si>
    <t>350,0</t>
  </si>
  <si>
    <t xml:space="preserve">Насонов Д.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</si>
  <si>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</si>
  <si>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</si>
  <si>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</si>
  <si>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</si>
  <si>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</si>
  <si>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</si>
  <si>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75</t>
  </si>
  <si>
    <t>1</t>
  </si>
  <si>
    <t/>
  </si>
  <si>
    <t>-</t>
  </si>
  <si>
    <t>ВЕСОВАЯ КАТЕГОРИЯ   67.5</t>
  </si>
  <si>
    <t>Заплатина Полина</t>
  </si>
  <si>
    <t>Девушки 17-19 (24.09.2002)/19</t>
  </si>
  <si>
    <t>67,00</t>
  </si>
  <si>
    <t xml:space="preserve">Чайковский/Пермский край </t>
  </si>
  <si>
    <t>125,0</t>
  </si>
  <si>
    <t>135,0</t>
  </si>
  <si>
    <t>140,0</t>
  </si>
  <si>
    <t>45,0</t>
  </si>
  <si>
    <t>52,5</t>
  </si>
  <si>
    <t>115,0</t>
  </si>
  <si>
    <t xml:space="preserve">Килин Р. </t>
  </si>
  <si>
    <t>ВЕСОВАЯ КАТЕГОРИЯ   100</t>
  </si>
  <si>
    <t>Катраев Александр</t>
  </si>
  <si>
    <t>Юноши 17-19 (21.11.2003)/18</t>
  </si>
  <si>
    <t>98,70</t>
  </si>
  <si>
    <t>155,0</t>
  </si>
  <si>
    <t>165,0</t>
  </si>
  <si>
    <t>130,0</t>
  </si>
  <si>
    <t>185,0</t>
  </si>
  <si>
    <t xml:space="preserve">Новиков И. </t>
  </si>
  <si>
    <t>Петров Максим</t>
  </si>
  <si>
    <t>Открытая (08.08.1997)/24</t>
  </si>
  <si>
    <t>96,80</t>
  </si>
  <si>
    <t>170,0</t>
  </si>
  <si>
    <t xml:space="preserve">Петров В. </t>
  </si>
  <si>
    <t xml:space="preserve">Женщины </t>
  </si>
  <si>
    <t>295,0</t>
  </si>
  <si>
    <t>100</t>
  </si>
  <si>
    <t>ВЕСОВАЯ КАТЕГОРИЯ   82.5</t>
  </si>
  <si>
    <t>Колкутина Вера</t>
  </si>
  <si>
    <t>Мастера 40-49 (23.08.1979)/42</t>
  </si>
  <si>
    <t>76,40</t>
  </si>
  <si>
    <t>60,0</t>
  </si>
  <si>
    <t>65,0</t>
  </si>
  <si>
    <t>80,0</t>
  </si>
  <si>
    <t>55,0</t>
  </si>
  <si>
    <t>70,0</t>
  </si>
  <si>
    <t>90,0</t>
  </si>
  <si>
    <t xml:space="preserve">Смирнов Д. </t>
  </si>
  <si>
    <t>Дёмина Анна</t>
  </si>
  <si>
    <t>Открытая (24.09.1996)/25</t>
  </si>
  <si>
    <t>87,50</t>
  </si>
  <si>
    <t xml:space="preserve">Фуражков Д. </t>
  </si>
  <si>
    <t>Аптуков Денис</t>
  </si>
  <si>
    <t>Юноши 14-16 (20.05.2005)/16</t>
  </si>
  <si>
    <t>60,70</t>
  </si>
  <si>
    <t xml:space="preserve">Барда/Пермский край </t>
  </si>
  <si>
    <t>110,0</t>
  </si>
  <si>
    <t>145,0</t>
  </si>
  <si>
    <t xml:space="preserve">Матюшев Ф. </t>
  </si>
  <si>
    <t>Боголюбов Алексей</t>
  </si>
  <si>
    <t>Открытая (30.11.1994)/27</t>
  </si>
  <si>
    <t>89,50</t>
  </si>
  <si>
    <t>Машанов Егор</t>
  </si>
  <si>
    <t>Открытая (17.06.1991)/30</t>
  </si>
  <si>
    <t>99,00</t>
  </si>
  <si>
    <t xml:space="preserve">Верещагино/Пермский край </t>
  </si>
  <si>
    <t>260,0</t>
  </si>
  <si>
    <t>202,5</t>
  </si>
  <si>
    <t>312,5</t>
  </si>
  <si>
    <t>320,0</t>
  </si>
  <si>
    <t>Верхоланцев Алексей</t>
  </si>
  <si>
    <t>Открытая (21.06.1989)/32</t>
  </si>
  <si>
    <t>99,60</t>
  </si>
  <si>
    <t>240,0</t>
  </si>
  <si>
    <t>247,5</t>
  </si>
  <si>
    <t>255,0</t>
  </si>
  <si>
    <t>167,5</t>
  </si>
  <si>
    <t>235,0</t>
  </si>
  <si>
    <t>245,0</t>
  </si>
  <si>
    <t>Усов Степан</t>
  </si>
  <si>
    <t>Открытая (24.05.1996)/25</t>
  </si>
  <si>
    <t>220,0</t>
  </si>
  <si>
    <t>230,0</t>
  </si>
  <si>
    <t xml:space="preserve">Луговой А. </t>
  </si>
  <si>
    <t>90</t>
  </si>
  <si>
    <t>82.5</t>
  </si>
  <si>
    <t>225,0</t>
  </si>
  <si>
    <t>2</t>
  </si>
  <si>
    <t>3</t>
  </si>
  <si>
    <t>Хисматулин Тигран</t>
  </si>
  <si>
    <t>Юноши 14-16 (21.04.2005)/16</t>
  </si>
  <si>
    <t>68,40</t>
  </si>
  <si>
    <t>Хисматулин Марат</t>
  </si>
  <si>
    <t>Мастера 40-49 (08.02.1975)/47</t>
  </si>
  <si>
    <t>81,60</t>
  </si>
  <si>
    <t>150,0</t>
  </si>
  <si>
    <t>107,5</t>
  </si>
  <si>
    <t>112,5</t>
  </si>
  <si>
    <t>Зуев Владислав</t>
  </si>
  <si>
    <t>Юноши 17-19 (10.02.2004)/18</t>
  </si>
  <si>
    <t>99,80</t>
  </si>
  <si>
    <t>97,5</t>
  </si>
  <si>
    <t>102,5</t>
  </si>
  <si>
    <t xml:space="preserve">Крутиков А. </t>
  </si>
  <si>
    <t>Попов Максим</t>
  </si>
  <si>
    <t>Открытая (18.09.1979)/42</t>
  </si>
  <si>
    <t>78,05</t>
  </si>
  <si>
    <t xml:space="preserve">Нытва/Пермский край </t>
  </si>
  <si>
    <t xml:space="preserve">Койков Е. </t>
  </si>
  <si>
    <t>Политов Сергей</t>
  </si>
  <si>
    <t>Открытая (04.09.1991)/30</t>
  </si>
  <si>
    <t>80,60</t>
  </si>
  <si>
    <t>210,0</t>
  </si>
  <si>
    <t xml:space="preserve">Машанов Е. </t>
  </si>
  <si>
    <t>Южаков Антон</t>
  </si>
  <si>
    <t>Открытая (18.02.1995)/27</t>
  </si>
  <si>
    <t>83,90</t>
  </si>
  <si>
    <t>275,0</t>
  </si>
  <si>
    <t>300,0</t>
  </si>
  <si>
    <t>Матюшев Фанис</t>
  </si>
  <si>
    <t>Открытая (12.07.1985)/36</t>
  </si>
  <si>
    <t>89,65</t>
  </si>
  <si>
    <t>205,0</t>
  </si>
  <si>
    <t>212,5</t>
  </si>
  <si>
    <t>Койков Стас</t>
  </si>
  <si>
    <t>Открытая (10.11.1990)/31</t>
  </si>
  <si>
    <t>86,15</t>
  </si>
  <si>
    <t>ВЕСОВАЯ КАТЕГОРИЯ   110</t>
  </si>
  <si>
    <t>Койков Егор</t>
  </si>
  <si>
    <t>Открытая (27.03.1985)/37</t>
  </si>
  <si>
    <t>105,50</t>
  </si>
  <si>
    <t>307,5</t>
  </si>
  <si>
    <t>315,0</t>
  </si>
  <si>
    <t xml:space="preserve">Результат </t>
  </si>
  <si>
    <t>Результат</t>
  </si>
  <si>
    <t>Килин Роман</t>
  </si>
  <si>
    <t>Юниоры (02.06.1998)/23</t>
  </si>
  <si>
    <t>81,10</t>
  </si>
  <si>
    <t>Гончарук Дмитрий</t>
  </si>
  <si>
    <t>Открытая (30.03.1990)/32</t>
  </si>
  <si>
    <t>79,90</t>
  </si>
  <si>
    <t>Каримуллин Илья</t>
  </si>
  <si>
    <t>Открытая (25.04.1985)/36</t>
  </si>
  <si>
    <t>80,90</t>
  </si>
  <si>
    <t xml:space="preserve">Баландин С. </t>
  </si>
  <si>
    <t>Бурнин Артём</t>
  </si>
  <si>
    <t>Открытая (09.06.1988)/33</t>
  </si>
  <si>
    <t>91,00</t>
  </si>
  <si>
    <t>Лепнев Владислав</t>
  </si>
  <si>
    <t>Открытая (19.11.1978)/43</t>
  </si>
  <si>
    <t>97,20</t>
  </si>
  <si>
    <t>Козлов Николай</t>
  </si>
  <si>
    <t>Мастера 40-49 (08.06.1978)/43</t>
  </si>
  <si>
    <t>97,50</t>
  </si>
  <si>
    <t>ВЕСОВАЯ КАТЕГОРИЯ   52</t>
  </si>
  <si>
    <t>Ерофеева Елена</t>
  </si>
  <si>
    <t>Открытая (27.05.1984)/37</t>
  </si>
  <si>
    <t>51,50</t>
  </si>
  <si>
    <t>57,5</t>
  </si>
  <si>
    <t>ВЕСОВАЯ КАТЕГОРИЯ   56</t>
  </si>
  <si>
    <t>Борисенко Анна</t>
  </si>
  <si>
    <t>Открытая (27.09.1997)/24</t>
  </si>
  <si>
    <t>55,80</t>
  </si>
  <si>
    <t>50,0</t>
  </si>
  <si>
    <t>Лоскутова Инна</t>
  </si>
  <si>
    <t>Открытая (05.10.1964)/57</t>
  </si>
  <si>
    <t>55,20</t>
  </si>
  <si>
    <t xml:space="preserve">Габов В. </t>
  </si>
  <si>
    <t>Мастера 50-59 (05.10.1964)/57</t>
  </si>
  <si>
    <t>ВЕСОВАЯ КАТЕГОРИЯ   60</t>
  </si>
  <si>
    <t>Шаламова Ольга</t>
  </si>
  <si>
    <t>Открытая (15.09.1977)/44</t>
  </si>
  <si>
    <t>59,30</t>
  </si>
  <si>
    <t>Пан Наталья</t>
  </si>
  <si>
    <t>Открытая (19.09.1994)/27</t>
  </si>
  <si>
    <t>65,90</t>
  </si>
  <si>
    <t>47,5</t>
  </si>
  <si>
    <t xml:space="preserve">Полыгалова О. </t>
  </si>
  <si>
    <t>Кузнецова Ирина</t>
  </si>
  <si>
    <t>Открытая (28.01.1982)/40</t>
  </si>
  <si>
    <t>74,70</t>
  </si>
  <si>
    <t>Брылякова Ксения</t>
  </si>
  <si>
    <t>Открытая (07.01.1989)/33</t>
  </si>
  <si>
    <t>Киселев Денис</t>
  </si>
  <si>
    <t>Мастера 40-49 (23.02.1980)/42</t>
  </si>
  <si>
    <t>66,20</t>
  </si>
  <si>
    <t>Куликов Ярослав</t>
  </si>
  <si>
    <t>Юноши 14-16 (12.07.2005)/16</t>
  </si>
  <si>
    <t>74,20</t>
  </si>
  <si>
    <t xml:space="preserve">Шестаков М. </t>
  </si>
  <si>
    <t>Кожухов Петр</t>
  </si>
  <si>
    <t>Мастера 40-49 (10.02.1980)/42</t>
  </si>
  <si>
    <t xml:space="preserve">Верхоланцев А. </t>
  </si>
  <si>
    <t>Деткин Александр</t>
  </si>
  <si>
    <t>Мастера 50-59 (28.06.1970)/51</t>
  </si>
  <si>
    <t>72,80</t>
  </si>
  <si>
    <t>Андерс Егор</t>
  </si>
  <si>
    <t>Юноши 17-19 (23.04.2002)/19</t>
  </si>
  <si>
    <t>81,90</t>
  </si>
  <si>
    <t>Лусников Иван</t>
  </si>
  <si>
    <t>Открытая (25.12.1985)/36</t>
  </si>
  <si>
    <t>82,20</t>
  </si>
  <si>
    <t>152,5</t>
  </si>
  <si>
    <t>Николаев Александр</t>
  </si>
  <si>
    <t>Мастера 60-69 (08.07.1959)/62</t>
  </si>
  <si>
    <t>79,00</t>
  </si>
  <si>
    <t>Поносов Владимир</t>
  </si>
  <si>
    <t>Мастера 60-69 (19.06.1955)/66</t>
  </si>
  <si>
    <t>81,80</t>
  </si>
  <si>
    <t>72,5</t>
  </si>
  <si>
    <t>75,0</t>
  </si>
  <si>
    <t xml:space="preserve">Черноморец А. </t>
  </si>
  <si>
    <t>215,0</t>
  </si>
  <si>
    <t>Турдиев Азиз</t>
  </si>
  <si>
    <t>Открытая (27.05.1992)/29</t>
  </si>
  <si>
    <t xml:space="preserve">Рогожников Е. </t>
  </si>
  <si>
    <t>Копылов Владимир</t>
  </si>
  <si>
    <t>Мастера 40-49 (02.06.1974)/47</t>
  </si>
  <si>
    <t>83,20</t>
  </si>
  <si>
    <t>117,5</t>
  </si>
  <si>
    <t xml:space="preserve">Малышев И. </t>
  </si>
  <si>
    <t>Холмогоров Алексей</t>
  </si>
  <si>
    <t>Открытая (28.08.1976)/45</t>
  </si>
  <si>
    <t>98,90</t>
  </si>
  <si>
    <t>Стариков Дмитрий</t>
  </si>
  <si>
    <t>Открытая (02.12.1991)/30</t>
  </si>
  <si>
    <t>96,00</t>
  </si>
  <si>
    <t xml:space="preserve">Лысьва/Пермский край </t>
  </si>
  <si>
    <t>177,5</t>
  </si>
  <si>
    <t>Степанов Илья</t>
  </si>
  <si>
    <t>Открытая (27.08.1987)/34</t>
  </si>
  <si>
    <t>97,40</t>
  </si>
  <si>
    <t xml:space="preserve">Некрасов И. </t>
  </si>
  <si>
    <t>Абашкин Антон</t>
  </si>
  <si>
    <t>Открытая (08.01.1989)/33</t>
  </si>
  <si>
    <t>Черноморец Андрей</t>
  </si>
  <si>
    <t>Мастера 70-79 (20.06.1946)/75</t>
  </si>
  <si>
    <t>92,80</t>
  </si>
  <si>
    <t>85,0</t>
  </si>
  <si>
    <t>Лихачев Михаил</t>
  </si>
  <si>
    <t>Открытая (29.05.1976)/45</t>
  </si>
  <si>
    <t>106,10</t>
  </si>
  <si>
    <t>Мастера 40-49 (29.05.1976)/45</t>
  </si>
  <si>
    <t>Зебзеев Андрей</t>
  </si>
  <si>
    <t>Мастера 40-49 (08.09.1973)/48</t>
  </si>
  <si>
    <t>105,40</t>
  </si>
  <si>
    <t xml:space="preserve">Яйва/Пермский край </t>
  </si>
  <si>
    <t>Тройников Сергей</t>
  </si>
  <si>
    <t>Мастера 50-59 (26.09.1971)/50</t>
  </si>
  <si>
    <t>107,70</t>
  </si>
  <si>
    <t>ВЕСОВАЯ КАТЕГОРИЯ   140</t>
  </si>
  <si>
    <t>Бронников Игорь</t>
  </si>
  <si>
    <t>Открытая (11.01.1975)/47</t>
  </si>
  <si>
    <t>135,50</t>
  </si>
  <si>
    <t>222,5</t>
  </si>
  <si>
    <t>227,5</t>
  </si>
  <si>
    <t>87,4600</t>
  </si>
  <si>
    <t>52</t>
  </si>
  <si>
    <t>72,2200</t>
  </si>
  <si>
    <t>56</t>
  </si>
  <si>
    <t>67,8443</t>
  </si>
  <si>
    <t>142,6095</t>
  </si>
  <si>
    <t>128,3730</t>
  </si>
  <si>
    <t>140</t>
  </si>
  <si>
    <t>127,7640</t>
  </si>
  <si>
    <t>4</t>
  </si>
  <si>
    <t>5</t>
  </si>
  <si>
    <t>6</t>
  </si>
  <si>
    <t>ВЕСОВАЯ КАТЕГОРИЯ   48</t>
  </si>
  <si>
    <t>Бурнышева Марина</t>
  </si>
  <si>
    <t>Открытая (09.08.1996)/25</t>
  </si>
  <si>
    <t>48,00</t>
  </si>
  <si>
    <t>37,5</t>
  </si>
  <si>
    <t>Ефимова Дарья</t>
  </si>
  <si>
    <t>Открытая (29.10.1985)/36</t>
  </si>
  <si>
    <t>50,60</t>
  </si>
  <si>
    <t xml:space="preserve">Бахматов В. </t>
  </si>
  <si>
    <t>Атлас Елена</t>
  </si>
  <si>
    <t>Открытая (21.03.1986)/36</t>
  </si>
  <si>
    <t>51,40</t>
  </si>
  <si>
    <t>40,0</t>
  </si>
  <si>
    <t>Геташвили Мария</t>
  </si>
  <si>
    <t>Открытая (18.06.1980)/41</t>
  </si>
  <si>
    <t>55,90</t>
  </si>
  <si>
    <t>77,5</t>
  </si>
  <si>
    <t>82,5</t>
  </si>
  <si>
    <t>Боронникова Мария</t>
  </si>
  <si>
    <t>Открытая (23.08.1987)/34</t>
  </si>
  <si>
    <t>58,30</t>
  </si>
  <si>
    <t>32,5</t>
  </si>
  <si>
    <t>35,0</t>
  </si>
  <si>
    <t xml:space="preserve">Степанов И. </t>
  </si>
  <si>
    <t>Мастера 40-49 (15.09.1977)/44</t>
  </si>
  <si>
    <t>Мартюшев Алексей</t>
  </si>
  <si>
    <t>Юноши 17-19 (09.06.2003)/18</t>
  </si>
  <si>
    <t>57,80</t>
  </si>
  <si>
    <t>Тиунов Денис</t>
  </si>
  <si>
    <t>Юноши 17-19 (25.05.2003)/18</t>
  </si>
  <si>
    <t>59,00</t>
  </si>
  <si>
    <t>Субботин Максим</t>
  </si>
  <si>
    <t>Юноши 17-19 (12.07.2004)/17</t>
  </si>
  <si>
    <t>66,00</t>
  </si>
  <si>
    <t>Александров Вячеслав</t>
  </si>
  <si>
    <t>Юноши 14-16 (08.09.2006)/15</t>
  </si>
  <si>
    <t>70,50</t>
  </si>
  <si>
    <t xml:space="preserve">Москвин А. </t>
  </si>
  <si>
    <t>Чуманов Кирилл</t>
  </si>
  <si>
    <t>Юноши 17-19 (04.03.2004)/18</t>
  </si>
  <si>
    <t>73,20</t>
  </si>
  <si>
    <t xml:space="preserve">Звёздный/Пермский край </t>
  </si>
  <si>
    <t xml:space="preserve">Паштаренко В. </t>
  </si>
  <si>
    <t>Гудков Александр</t>
  </si>
  <si>
    <t>Открытая (11.06.1987)/34</t>
  </si>
  <si>
    <t>73,60</t>
  </si>
  <si>
    <t>Шавшуков Петр</t>
  </si>
  <si>
    <t>Открытая (04.09.1986)/35</t>
  </si>
  <si>
    <t>72,40</t>
  </si>
  <si>
    <t>137,5</t>
  </si>
  <si>
    <t>Носков Владимир</t>
  </si>
  <si>
    <t>Открытая (18.06.1986)/35</t>
  </si>
  <si>
    <t>74,40</t>
  </si>
  <si>
    <t>Перевощиков Илья</t>
  </si>
  <si>
    <t>Открытая (31.07.1996)/25</t>
  </si>
  <si>
    <t>75,00</t>
  </si>
  <si>
    <t>122,5</t>
  </si>
  <si>
    <t>ElKaram Ismail</t>
  </si>
  <si>
    <t>Открытая (01.05.1994)/27</t>
  </si>
  <si>
    <t>74,90</t>
  </si>
  <si>
    <t>Багаев Эрик</t>
  </si>
  <si>
    <t>Открытая (01.06.1990)/31</t>
  </si>
  <si>
    <t>74,50</t>
  </si>
  <si>
    <t>Ямалов Виталий</t>
  </si>
  <si>
    <t>Юноши 17-19 (24.05.2004)/17</t>
  </si>
  <si>
    <t>75,60</t>
  </si>
  <si>
    <t>Никифоров Андрей</t>
  </si>
  <si>
    <t>Открытая (21.10.1995)/26</t>
  </si>
  <si>
    <t>82,50</t>
  </si>
  <si>
    <t xml:space="preserve">Березники/Пермский край </t>
  </si>
  <si>
    <t xml:space="preserve">Глазачев В. </t>
  </si>
  <si>
    <t>Метельский Виталий</t>
  </si>
  <si>
    <t>Открытая (12.03.1985)/37</t>
  </si>
  <si>
    <t>80,70</t>
  </si>
  <si>
    <t>Болков Сергей</t>
  </si>
  <si>
    <t>Мастера 40-49 (26.03.1978)/44</t>
  </si>
  <si>
    <t>127,5</t>
  </si>
  <si>
    <t xml:space="preserve">Сячин А. </t>
  </si>
  <si>
    <t>Беляев Андрей</t>
  </si>
  <si>
    <t>Открытая (08.08.1993)/28</t>
  </si>
  <si>
    <t>88,00</t>
  </si>
  <si>
    <t xml:space="preserve">Холмогоров А. </t>
  </si>
  <si>
    <t>Шахаров Леонид</t>
  </si>
  <si>
    <t>Открытая (02.04.1983)/39</t>
  </si>
  <si>
    <t>88,90</t>
  </si>
  <si>
    <t>132,5</t>
  </si>
  <si>
    <t>Бояркин Владимир</t>
  </si>
  <si>
    <t>Открытая (06.12.1972)/49</t>
  </si>
  <si>
    <t>99,20</t>
  </si>
  <si>
    <t xml:space="preserve">Чусовой/Пермский край </t>
  </si>
  <si>
    <t>162,5</t>
  </si>
  <si>
    <t>Сасунов Максим</t>
  </si>
  <si>
    <t>Открытая (02.04.1996)/26</t>
  </si>
  <si>
    <t>98,30</t>
  </si>
  <si>
    <t>Садыков Рустам</t>
  </si>
  <si>
    <t>Открытая (02.06.1992)/29</t>
  </si>
  <si>
    <t>Куликов Олег</t>
  </si>
  <si>
    <t>Открытая (09.03.1985)/37</t>
  </si>
  <si>
    <t>98,50</t>
  </si>
  <si>
    <t>Каменских Владислав</t>
  </si>
  <si>
    <t>Открытая (18.11.1995)/26</t>
  </si>
  <si>
    <t>Мастера 40-49 (06.12.1972)/49</t>
  </si>
  <si>
    <t>Пшеничный Николай</t>
  </si>
  <si>
    <t>Открытая (25.08.1971)/50</t>
  </si>
  <si>
    <t>127,60</t>
  </si>
  <si>
    <t>207,5</t>
  </si>
  <si>
    <t>Мастера 50-59 (25.08.1971)/50</t>
  </si>
  <si>
    <t>117,7562</t>
  </si>
  <si>
    <t>117,2325</t>
  </si>
  <si>
    <t>108,3150</t>
  </si>
  <si>
    <t>Попков Александр</t>
  </si>
  <si>
    <t>Открытая (24.12.1983)/38</t>
  </si>
  <si>
    <t>58,60</t>
  </si>
  <si>
    <t>Открытая (03.09.1985)/36</t>
  </si>
  <si>
    <t>74,25</t>
  </si>
  <si>
    <t xml:space="preserve">Новоильинский/Пермский край </t>
  </si>
  <si>
    <t>Сидельцев Роман</t>
  </si>
  <si>
    <t>Открытая (22.02.1991)/31</t>
  </si>
  <si>
    <t>81,45</t>
  </si>
  <si>
    <t>Ксёнушко Олег</t>
  </si>
  <si>
    <t>Мастера 70-79 (01.06.1951)/70</t>
  </si>
  <si>
    <t>87,05</t>
  </si>
  <si>
    <t>Тохтуев Андрей</t>
  </si>
  <si>
    <t>Открытая (06.06.1982)/39</t>
  </si>
  <si>
    <t>97,05</t>
  </si>
  <si>
    <t xml:space="preserve">Нарыков О. </t>
  </si>
  <si>
    <t>98,45</t>
  </si>
  <si>
    <t>232,5</t>
  </si>
  <si>
    <t>Токарев Илья</t>
  </si>
  <si>
    <t>Открытая (28.06.1968)/53</t>
  </si>
  <si>
    <t xml:space="preserve">Кунгур/Пермский край </t>
  </si>
  <si>
    <t>Мастера 50-59 (28.06.1968)/53</t>
  </si>
  <si>
    <t>Щербакова Виктория</t>
  </si>
  <si>
    <t>Девушки 14-16 (31.05.2006)/15</t>
  </si>
  <si>
    <t>59,20</t>
  </si>
  <si>
    <t xml:space="preserve">Попков А. </t>
  </si>
  <si>
    <t>Фадеев Алексей</t>
  </si>
  <si>
    <t>Юноши 14-16 (10.07.2006)/15</t>
  </si>
  <si>
    <t>54,60</t>
  </si>
  <si>
    <t>Семуха Михаил</t>
  </si>
  <si>
    <t>Юноши 14-16 (02.12.2007)/14</t>
  </si>
  <si>
    <t>57,20</t>
  </si>
  <si>
    <t>Пшеницын Владимир</t>
  </si>
  <si>
    <t>Открытая (06.05.1982)/39</t>
  </si>
  <si>
    <t>89,10</t>
  </si>
  <si>
    <t>270,0</t>
  </si>
  <si>
    <t>282,5</t>
  </si>
  <si>
    <t>290,0</t>
  </si>
  <si>
    <t xml:space="preserve">Максимов В. </t>
  </si>
  <si>
    <t>Мишланов Артем</t>
  </si>
  <si>
    <t>Открытая (01.09.1986)/35</t>
  </si>
  <si>
    <t>98,20</t>
  </si>
  <si>
    <t>Кислова Кристина</t>
  </si>
  <si>
    <t>Открытая (23.12.1983)/38</t>
  </si>
  <si>
    <t>65,30</t>
  </si>
  <si>
    <t>Шайехова Ирина</t>
  </si>
  <si>
    <t>Открытая (13.07.1982)/39</t>
  </si>
  <si>
    <t>81,00</t>
  </si>
  <si>
    <t xml:space="preserve">Тройников С. </t>
  </si>
  <si>
    <t>Бекреев Александр</t>
  </si>
  <si>
    <t>Юноши 17-19 (07.11.2002)/19</t>
  </si>
  <si>
    <t>Шелунцов Алексей</t>
  </si>
  <si>
    <t>Открытая (18.12.1996)/25</t>
  </si>
  <si>
    <t xml:space="preserve">Южаков А. </t>
  </si>
  <si>
    <t>Петров Владимир</t>
  </si>
  <si>
    <t>Мастера 50-59 (17.06.1968)/53</t>
  </si>
  <si>
    <t>98,80</t>
  </si>
  <si>
    <t>Шарыбкин Евгений</t>
  </si>
  <si>
    <t>Открытая (23.04.1993)/28</t>
  </si>
  <si>
    <t>109,00</t>
  </si>
  <si>
    <t>Косков Сергей</t>
  </si>
  <si>
    <t>Мастера 60-69 (03.01.1957)/65</t>
  </si>
  <si>
    <t>100,40</t>
  </si>
  <si>
    <t>Мальцев Егор</t>
  </si>
  <si>
    <t>Юниоры (19.03.2002)/20</t>
  </si>
  <si>
    <t>62,40</t>
  </si>
  <si>
    <t>87,5</t>
  </si>
  <si>
    <t>Мальцев Алексей</t>
  </si>
  <si>
    <t>Открытая (11.04.1988)/33</t>
  </si>
  <si>
    <t>71,60</t>
  </si>
  <si>
    <t>92,5</t>
  </si>
  <si>
    <t>Тагиров Раушан</t>
  </si>
  <si>
    <t>Открытая (30.01.1987)/35</t>
  </si>
  <si>
    <t>67,5</t>
  </si>
  <si>
    <t>Тагилов Александр</t>
  </si>
  <si>
    <t>93,15</t>
  </si>
  <si>
    <t>Акулян Ашот</t>
  </si>
  <si>
    <t>Открытая (28.06.1995)/26</t>
  </si>
  <si>
    <t>110,00</t>
  </si>
  <si>
    <t>Макарова Оксана</t>
  </si>
  <si>
    <t>Открытая (05.10.1987)/34</t>
  </si>
  <si>
    <t>50,95</t>
  </si>
  <si>
    <t>25,0</t>
  </si>
  <si>
    <t>27,5</t>
  </si>
  <si>
    <t xml:space="preserve">Гузнищев А. </t>
  </si>
  <si>
    <t>51,45</t>
  </si>
  <si>
    <t>59,25</t>
  </si>
  <si>
    <t>30,0</t>
  </si>
  <si>
    <t>Чагин Алексей</t>
  </si>
  <si>
    <t>Открытая (27.10.1985)/36</t>
  </si>
  <si>
    <t>73,85</t>
  </si>
  <si>
    <t xml:space="preserve">Гамово/Пермский край </t>
  </si>
  <si>
    <t xml:space="preserve">Пригодский Ю. </t>
  </si>
  <si>
    <t>Кирово-Чепецк/Кировская область</t>
  </si>
  <si>
    <t>Всероссийский мастерский турнир «Большой Урал»
WRPF Пауэрлифтинг без экипировки ДК
Пермь/Пермский край, 09 апреля 2022 года</t>
  </si>
  <si>
    <t>Всероссийский мастерский турнир «Большой Урал»
WRPF Пауэрлифтинг без экипировки
Пермь/Пермский край, 09 апреля 2022 года</t>
  </si>
  <si>
    <t>Всероссийский мастерский турнир «Большой Урал»
WRPF Пауэрлифтинг классический в бинтах ДК
Пермь/Пермский край, 09 апреля 2022 года</t>
  </si>
  <si>
    <t>Всероссийский мастерский турнир «Большой Урал»
WRPF Пауэрлифтинг классический в бинтах
Пермь/Пермский край, 09 апреля 2022 года</t>
  </si>
  <si>
    <t>Всероссийский мастерский турнир «Большой Урал»
WRPF Силовое двоеборье без экипировки ДК
Пермь/Пермский край, 09 апреля 2022 года</t>
  </si>
  <si>
    <t>Всероссийский мастерский турнир «Большой Урал»
WRPF Силовое двоеборье без экипировки
Пермь/Пермский край, 09 апреля 2022 года</t>
  </si>
  <si>
    <t>Всероссийский мастерский турнир «Большой Урал»
WRPF Жим лежа без экипировки ДК
Пермь/Пермский край, 09 апреля 2022 года</t>
  </si>
  <si>
    <t>Всероссийский мастерский турнир «Большой Урал»
WRPF Жим лежа без экипировки
Пермь/Пермский край, 09 апреля 2022 года</t>
  </si>
  <si>
    <t>Всероссийский мастерский турнир «Большой Урал»
WEPF Жим лежа в однопетельной софт экипировке ДК
Пермь/Пермский край, 09 апреля 2022 года</t>
  </si>
  <si>
    <t>Всероссийский мастерский турнир «Большой Урал»
WEPF Жим лежа в однопетельной софт экипировке
Пермь/Пермский край, 09 апреля 2022 года</t>
  </si>
  <si>
    <t>Всероссийский мастерский турнир «Большой Урал»
WRPF Военный жим лежа с ДК
Пермь/Пермский край, 09 апреля 2022 года</t>
  </si>
  <si>
    <t>Всероссийский мастерский турнир «Большой Урал»
WRPF Военный жим лежа
Пермь/Пермский край, 09 апреля 2022 года</t>
  </si>
  <si>
    <t>Всероссийский мастерский турнир «Большой Урал»
WRPF Жим лежа среди спортсменов с физическими особенностями
Пермь/Пермский край, 09 апреля 2022 года</t>
  </si>
  <si>
    <t>Всероссийский мастерский турнир «Большой Урал»
WRPF Становая тяга без экипировки ДК
Пермь/Пермский край, 09 апреля 2022 года</t>
  </si>
  <si>
    <t>Всероссийский мастерский турнир «Большой Урал»
WRPF Становая тяга без экипировки
Пермь/Пермский край, 09 апреля 2022 года</t>
  </si>
  <si>
    <t>Всероссийский мастерский турнир «Большой Урал»
WRPF Строгий подъем штанги на бицепс ДК
Пермь/Пермский край, 09 апреля 2022 года</t>
  </si>
  <si>
    <t>Всероссийский мастерский турнир «Большой Урал»
WRPF Строгий подъем штанги на бицепс
Пермь/Пермский край, 09 апреля 2022 года</t>
  </si>
  <si>
    <t>Всероссийский мастерский турнир «Большой Урал»
СПР Строгий подъем штанги на бицепс ДК
Пермь/Пермский край, 09 апреля 2022 года</t>
  </si>
  <si>
    <t>Всероссийский мастерский турнир «Большой Урал»
СПР Строгий подъем штанги на бицепс
Пермь/Пермский край, 09 апреля 2022 года</t>
  </si>
  <si>
    <t>Весовая категория</t>
  </si>
  <si>
    <t xml:space="preserve">Ижевск/Республика Удмуртия </t>
  </si>
  <si>
    <t xml:space="preserve">Екатеринбург/Свердловская область </t>
  </si>
  <si>
    <t xml:space="preserve">Нижнекамск/Республика Татарстан </t>
  </si>
  <si>
    <t>Мастера 50-59 (14.07.1971)/50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</si>
  <si>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</si>
  <si>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</si>
  <si>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</si>
  <si>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</si>
  <si>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</si>
  <si>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</si>
  <si>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M2</t>
  </si>
  <si>
    <t>T1</t>
  </si>
  <si>
    <t>T2</t>
  </si>
  <si>
    <t>J</t>
  </si>
  <si>
    <t>M3</t>
  </si>
  <si>
    <t>Rabat/Марокко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</si>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</sst>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zoomScaleNormal="100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3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34" bestFit="1" customWidth="1"/>
    <col min="20" max="20" width="8.5" style="6" bestFit="1" customWidth="1"/>
    <col min="21" max="21" width="21.6640625" style="5" customWidth="1"/>
    <col min="22" max="16384" width="9.1640625" style="3"/>
  </cols>
  <sheetData>
    <row r="1" spans="1:21" s="2" customFormat="1" ht="29" customHeight="1">
      <c r="A1" s="43" t="s">
        <v>518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7</v>
      </c>
      <c r="H3" s="55"/>
      <c r="I3" s="55"/>
      <c r="J3" s="55"/>
      <c r="K3" s="55" t="s">
        <v>8</v>
      </c>
      <c r="L3" s="55"/>
      <c r="M3" s="55"/>
      <c r="N3" s="55"/>
      <c r="O3" s="55" t="s">
        <v>9</v>
      </c>
      <c r="P3" s="55"/>
      <c r="Q3" s="55"/>
      <c r="R3" s="55"/>
      <c r="S3" s="60" t="s">
        <v>1</v>
      </c>
      <c r="T3" s="55" t="s">
        <v>3</v>
      </c>
      <c r="U3" s="39" t="s">
        <v>2</v>
      </c>
    </row>
    <row r="4" spans="1:21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54"/>
      <c r="U4" s="40"/>
    </row>
    <row r="5" spans="1:21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53</v>
      </c>
      <c r="B6" s="7" t="s">
        <v>135</v>
      </c>
      <c r="C6" s="7" t="s">
        <v>136</v>
      </c>
      <c r="D6" s="7" t="s">
        <v>137</v>
      </c>
      <c r="E6" s="7" t="s">
        <v>549</v>
      </c>
      <c r="F6" s="7" t="s">
        <v>26</v>
      </c>
      <c r="G6" s="17" t="s">
        <v>19</v>
      </c>
      <c r="H6" s="17" t="s">
        <v>20</v>
      </c>
      <c r="I6" s="17" t="s">
        <v>20</v>
      </c>
      <c r="J6" s="8"/>
      <c r="K6" s="17"/>
      <c r="L6" s="8"/>
      <c r="M6" s="8"/>
      <c r="N6" s="8"/>
      <c r="O6" s="17"/>
      <c r="P6" s="8"/>
      <c r="Q6" s="8"/>
      <c r="R6" s="8"/>
      <c r="S6" s="35">
        <v>0</v>
      </c>
      <c r="T6" s="8" t="str">
        <f>"0,0000"</f>
        <v>0,0000</v>
      </c>
      <c r="U6" s="7" t="s">
        <v>79</v>
      </c>
    </row>
    <row r="7" spans="1:21">
      <c r="B7" s="5" t="s">
        <v>52</v>
      </c>
    </row>
    <row r="8" spans="1:21" ht="16">
      <c r="A8" s="56" t="s">
        <v>83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8" t="s">
        <v>51</v>
      </c>
      <c r="B9" s="7" t="s">
        <v>138</v>
      </c>
      <c r="C9" s="7" t="s">
        <v>139</v>
      </c>
      <c r="D9" s="7" t="s">
        <v>140</v>
      </c>
      <c r="E9" s="7" t="s">
        <v>547</v>
      </c>
      <c r="F9" s="7" t="s">
        <v>26</v>
      </c>
      <c r="G9" s="16" t="s">
        <v>61</v>
      </c>
      <c r="H9" s="17" t="s">
        <v>141</v>
      </c>
      <c r="I9" s="17" t="s">
        <v>141</v>
      </c>
      <c r="J9" s="8"/>
      <c r="K9" s="16" t="s">
        <v>19</v>
      </c>
      <c r="L9" s="16" t="s">
        <v>142</v>
      </c>
      <c r="M9" s="17" t="s">
        <v>143</v>
      </c>
      <c r="N9" s="8"/>
      <c r="O9" s="16" t="s">
        <v>27</v>
      </c>
      <c r="P9" s="16" t="s">
        <v>78</v>
      </c>
      <c r="Q9" s="16" t="s">
        <v>29</v>
      </c>
      <c r="R9" s="8"/>
      <c r="S9" s="35" t="str">
        <f>"427,5"</f>
        <v>427,5</v>
      </c>
      <c r="T9" s="8" t="str">
        <f>"315,9834"</f>
        <v>315,9834</v>
      </c>
      <c r="U9" s="7" t="s">
        <v>79</v>
      </c>
    </row>
    <row r="10" spans="1:21">
      <c r="B10" s="5" t="s">
        <v>52</v>
      </c>
    </row>
    <row r="11" spans="1:21" ht="16">
      <c r="A11" s="56" t="s">
        <v>66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1">
      <c r="A12" s="8" t="s">
        <v>51</v>
      </c>
      <c r="B12" s="7" t="s">
        <v>144</v>
      </c>
      <c r="C12" s="7" t="s">
        <v>145</v>
      </c>
      <c r="D12" s="7" t="s">
        <v>146</v>
      </c>
      <c r="E12" s="7" t="s">
        <v>550</v>
      </c>
      <c r="F12" s="7" t="s">
        <v>26</v>
      </c>
      <c r="G12" s="16" t="s">
        <v>103</v>
      </c>
      <c r="H12" s="16" t="s">
        <v>70</v>
      </c>
      <c r="I12" s="16" t="s">
        <v>27</v>
      </c>
      <c r="J12" s="8"/>
      <c r="K12" s="16" t="s">
        <v>147</v>
      </c>
      <c r="L12" s="17" t="s">
        <v>148</v>
      </c>
      <c r="M12" s="17" t="s">
        <v>148</v>
      </c>
      <c r="N12" s="8"/>
      <c r="O12" s="16" t="s">
        <v>71</v>
      </c>
      <c r="P12" s="16" t="s">
        <v>15</v>
      </c>
      <c r="Q12" s="16" t="s">
        <v>29</v>
      </c>
      <c r="R12" s="8"/>
      <c r="S12" s="35" t="str">
        <f>"437,5"</f>
        <v>437,5</v>
      </c>
      <c r="T12" s="8" t="str">
        <f>"266,4812"</f>
        <v>266,4812</v>
      </c>
      <c r="U12" s="7" t="s">
        <v>149</v>
      </c>
    </row>
    <row r="13" spans="1:21">
      <c r="B13" s="5" t="s">
        <v>52</v>
      </c>
    </row>
    <row r="14" spans="1:21">
      <c r="A14"/>
      <c r="B14"/>
      <c r="C14"/>
      <c r="D14"/>
      <c r="E14"/>
      <c r="F14"/>
      <c r="G14"/>
      <c r="H14"/>
      <c r="I14"/>
      <c r="J14"/>
      <c r="K14"/>
    </row>
    <row r="15" spans="1:21">
      <c r="A15"/>
      <c r="B15"/>
      <c r="C15"/>
      <c r="D15"/>
      <c r="E15"/>
      <c r="F15"/>
      <c r="G15"/>
      <c r="H15"/>
      <c r="I15"/>
      <c r="J15"/>
      <c r="K15"/>
    </row>
    <row r="16" spans="1:21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2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8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3.83203125" style="5" customWidth="1"/>
    <col min="14" max="16384" width="9.1640625" style="3"/>
  </cols>
  <sheetData>
    <row r="1" spans="1:13" s="2" customFormat="1" ht="29" customHeight="1">
      <c r="A1" s="43" t="s">
        <v>527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83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9" t="s">
        <v>51</v>
      </c>
      <c r="B6" s="18" t="s">
        <v>150</v>
      </c>
      <c r="C6" s="18" t="s">
        <v>151</v>
      </c>
      <c r="D6" s="18" t="s">
        <v>152</v>
      </c>
      <c r="E6" s="18" t="s">
        <v>546</v>
      </c>
      <c r="F6" s="18" t="s">
        <v>153</v>
      </c>
      <c r="G6" s="22" t="s">
        <v>128</v>
      </c>
      <c r="H6" s="22" t="s">
        <v>119</v>
      </c>
      <c r="I6" s="22" t="s">
        <v>34</v>
      </c>
      <c r="J6" s="19"/>
      <c r="K6" s="19" t="str">
        <f>"250,0"</f>
        <v>250,0</v>
      </c>
      <c r="L6" s="19" t="str">
        <f>"167,2625"</f>
        <v>167,2625</v>
      </c>
      <c r="M6" s="18" t="s">
        <v>154</v>
      </c>
    </row>
    <row r="7" spans="1:13">
      <c r="A7" s="21" t="s">
        <v>133</v>
      </c>
      <c r="B7" s="20" t="s">
        <v>155</v>
      </c>
      <c r="C7" s="20" t="s">
        <v>156</v>
      </c>
      <c r="D7" s="20" t="s">
        <v>157</v>
      </c>
      <c r="E7" s="20" t="s">
        <v>546</v>
      </c>
      <c r="F7" s="20" t="s">
        <v>111</v>
      </c>
      <c r="G7" s="25" t="s">
        <v>21</v>
      </c>
      <c r="H7" s="25" t="s">
        <v>17</v>
      </c>
      <c r="I7" s="24" t="s">
        <v>158</v>
      </c>
      <c r="J7" s="21"/>
      <c r="K7" s="21" t="str">
        <f>"200,0"</f>
        <v>200,0</v>
      </c>
      <c r="L7" s="21" t="str">
        <f>"130,9000"</f>
        <v>130,9000</v>
      </c>
      <c r="M7" s="20" t="s">
        <v>159</v>
      </c>
    </row>
    <row r="8" spans="1:13">
      <c r="B8" s="5" t="s">
        <v>52</v>
      </c>
    </row>
    <row r="9" spans="1:13" ht="16">
      <c r="A9" s="56" t="s">
        <v>22</v>
      </c>
      <c r="B9" s="56"/>
      <c r="C9" s="57"/>
      <c r="D9" s="57"/>
      <c r="E9" s="57"/>
      <c r="F9" s="57"/>
      <c r="G9" s="57"/>
      <c r="H9" s="57"/>
      <c r="I9" s="57"/>
      <c r="J9" s="57"/>
    </row>
    <row r="10" spans="1:13">
      <c r="A10" s="19" t="s">
        <v>51</v>
      </c>
      <c r="B10" s="18" t="s">
        <v>160</v>
      </c>
      <c r="C10" s="18" t="s">
        <v>161</v>
      </c>
      <c r="D10" s="18" t="s">
        <v>162</v>
      </c>
      <c r="E10" s="18" t="s">
        <v>546</v>
      </c>
      <c r="F10" s="18" t="s">
        <v>111</v>
      </c>
      <c r="G10" s="22" t="s">
        <v>163</v>
      </c>
      <c r="H10" s="22" t="s">
        <v>81</v>
      </c>
      <c r="I10" s="23" t="s">
        <v>164</v>
      </c>
      <c r="J10" s="19"/>
      <c r="K10" s="19" t="str">
        <f>"295,0"</f>
        <v>295,0</v>
      </c>
      <c r="L10" s="19" t="str">
        <f>"188,1363"</f>
        <v>188,1363</v>
      </c>
      <c r="M10" s="18"/>
    </row>
    <row r="11" spans="1:13">
      <c r="A11" s="27" t="s">
        <v>133</v>
      </c>
      <c r="B11" s="26" t="s">
        <v>165</v>
      </c>
      <c r="C11" s="26" t="s">
        <v>166</v>
      </c>
      <c r="D11" s="26" t="s">
        <v>167</v>
      </c>
      <c r="E11" s="26" t="s">
        <v>546</v>
      </c>
      <c r="F11" s="26" t="s">
        <v>101</v>
      </c>
      <c r="G11" s="28" t="s">
        <v>21</v>
      </c>
      <c r="H11" s="28" t="s">
        <v>168</v>
      </c>
      <c r="I11" s="29" t="s">
        <v>169</v>
      </c>
      <c r="J11" s="27"/>
      <c r="K11" s="27" t="str">
        <f>"205,0"</f>
        <v>205,0</v>
      </c>
      <c r="L11" s="27" t="str">
        <f>"125,7009"</f>
        <v>125,7009</v>
      </c>
      <c r="M11" s="26"/>
    </row>
    <row r="12" spans="1:13">
      <c r="A12" s="21" t="s">
        <v>134</v>
      </c>
      <c r="B12" s="20" t="s">
        <v>170</v>
      </c>
      <c r="C12" s="20" t="s">
        <v>171</v>
      </c>
      <c r="D12" s="20" t="s">
        <v>172</v>
      </c>
      <c r="E12" s="20" t="s">
        <v>546</v>
      </c>
      <c r="F12" s="20" t="s">
        <v>26</v>
      </c>
      <c r="G12" s="24" t="s">
        <v>17</v>
      </c>
      <c r="H12" s="25" t="s">
        <v>17</v>
      </c>
      <c r="I12" s="24" t="s">
        <v>158</v>
      </c>
      <c r="J12" s="21"/>
      <c r="K12" s="21" t="str">
        <f>"200,0"</f>
        <v>200,0</v>
      </c>
      <c r="L12" s="21" t="str">
        <f>"125,4950"</f>
        <v>125,4950</v>
      </c>
      <c r="M12" s="20"/>
    </row>
    <row r="13" spans="1:13">
      <c r="B13" s="5" t="s">
        <v>52</v>
      </c>
    </row>
    <row r="14" spans="1:13" ht="16">
      <c r="A14" s="56" t="s">
        <v>173</v>
      </c>
      <c r="B14" s="56"/>
      <c r="C14" s="57"/>
      <c r="D14" s="57"/>
      <c r="E14" s="57"/>
      <c r="F14" s="57"/>
      <c r="G14" s="57"/>
      <c r="H14" s="57"/>
      <c r="I14" s="57"/>
      <c r="J14" s="57"/>
    </row>
    <row r="15" spans="1:13">
      <c r="A15" s="8" t="s">
        <v>51</v>
      </c>
      <c r="B15" s="7" t="s">
        <v>174</v>
      </c>
      <c r="C15" s="7" t="s">
        <v>175</v>
      </c>
      <c r="D15" s="7" t="s">
        <v>176</v>
      </c>
      <c r="E15" s="7" t="s">
        <v>546</v>
      </c>
      <c r="F15" s="7" t="s">
        <v>153</v>
      </c>
      <c r="G15" s="16" t="s">
        <v>164</v>
      </c>
      <c r="H15" s="17" t="s">
        <v>177</v>
      </c>
      <c r="I15" s="17" t="s">
        <v>178</v>
      </c>
      <c r="J15" s="8"/>
      <c r="K15" s="8" t="str">
        <f>"300,0"</f>
        <v>300,0</v>
      </c>
      <c r="L15" s="8" t="str">
        <f>"170,9250"</f>
        <v>170,9250</v>
      </c>
      <c r="M15" s="7"/>
    </row>
    <row r="16" spans="1:13">
      <c r="B16" s="5" t="s">
        <v>52</v>
      </c>
    </row>
    <row r="17" spans="2:6">
      <c r="B17"/>
      <c r="C17"/>
      <c r="D17"/>
      <c r="E17"/>
      <c r="F17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  <row r="30" spans="2:6">
      <c r="B30"/>
      <c r="C30"/>
      <c r="D30"/>
      <c r="E30"/>
      <c r="F30"/>
    </row>
    <row r="31" spans="2:6">
      <c r="B31"/>
      <c r="C31"/>
      <c r="D31"/>
      <c r="E31"/>
      <c r="F31"/>
    </row>
    <row r="32" spans="2:6">
      <c r="B32"/>
      <c r="C32"/>
      <c r="D32"/>
      <c r="E32"/>
      <c r="F32"/>
    </row>
  </sheetData>
  <mergeCells count="14">
    <mergeCell ref="A9:J9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5.1640625" style="5" customWidth="1"/>
    <col min="14" max="16384" width="9.1640625" style="3"/>
  </cols>
  <sheetData>
    <row r="1" spans="1:13" s="2" customFormat="1" ht="29" customHeight="1">
      <c r="A1" s="43" t="s">
        <v>528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22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9" t="s">
        <v>51</v>
      </c>
      <c r="B6" s="18" t="s">
        <v>442</v>
      </c>
      <c r="C6" s="18" t="s">
        <v>443</v>
      </c>
      <c r="D6" s="18" t="s">
        <v>394</v>
      </c>
      <c r="E6" s="18" t="s">
        <v>546</v>
      </c>
      <c r="F6" s="18" t="s">
        <v>444</v>
      </c>
      <c r="G6" s="22" t="s">
        <v>61</v>
      </c>
      <c r="H6" s="22" t="s">
        <v>103</v>
      </c>
      <c r="I6" s="22" t="s">
        <v>141</v>
      </c>
      <c r="J6" s="19"/>
      <c r="K6" s="19" t="str">
        <f>"150,0"</f>
        <v>150,0</v>
      </c>
      <c r="L6" s="19" t="str">
        <f>"96,8850"</f>
        <v>96,8850</v>
      </c>
      <c r="M6" s="18"/>
    </row>
    <row r="7" spans="1:13">
      <c r="A7" s="21" t="s">
        <v>51</v>
      </c>
      <c r="B7" s="20" t="s">
        <v>442</v>
      </c>
      <c r="C7" s="20" t="s">
        <v>445</v>
      </c>
      <c r="D7" s="20" t="s">
        <v>394</v>
      </c>
      <c r="E7" s="20" t="s">
        <v>548</v>
      </c>
      <c r="F7" s="20" t="s">
        <v>444</v>
      </c>
      <c r="G7" s="25" t="s">
        <v>61</v>
      </c>
      <c r="H7" s="25" t="s">
        <v>103</v>
      </c>
      <c r="I7" s="25" t="s">
        <v>141</v>
      </c>
      <c r="J7" s="21"/>
      <c r="K7" s="21" t="str">
        <f>"150,0"</f>
        <v>150,0</v>
      </c>
      <c r="L7" s="21" t="str">
        <f>"116,9402"</f>
        <v>116,9402</v>
      </c>
      <c r="M7" s="20"/>
    </row>
    <row r="8" spans="1:13">
      <c r="B8" s="5" t="s">
        <v>52</v>
      </c>
    </row>
    <row r="9" spans="1:13">
      <c r="A9"/>
      <c r="B9"/>
      <c r="C9"/>
      <c r="D9"/>
      <c r="E9"/>
      <c r="F9"/>
      <c r="G9"/>
      <c r="H9"/>
      <c r="I9"/>
      <c r="J9"/>
      <c r="K9"/>
    </row>
    <row r="10" spans="1:13">
      <c r="A10"/>
      <c r="B10"/>
      <c r="C10"/>
      <c r="D10"/>
      <c r="E10"/>
      <c r="F10"/>
      <c r="G10"/>
      <c r="H10"/>
      <c r="I10"/>
      <c r="J10"/>
      <c r="K10"/>
    </row>
    <row r="11" spans="1:13">
      <c r="A11"/>
      <c r="B11"/>
      <c r="C11"/>
      <c r="D11"/>
      <c r="E11"/>
      <c r="F11"/>
      <c r="G11"/>
      <c r="H11"/>
      <c r="I11"/>
      <c r="J11"/>
      <c r="K11"/>
    </row>
    <row r="12" spans="1:13">
      <c r="A12"/>
      <c r="B12"/>
      <c r="C12"/>
      <c r="D12"/>
      <c r="E12"/>
      <c r="F12"/>
      <c r="G12"/>
      <c r="H12"/>
      <c r="I12"/>
      <c r="J12"/>
      <c r="K12"/>
    </row>
    <row r="13" spans="1:13">
      <c r="A13"/>
      <c r="B13"/>
      <c r="C13"/>
      <c r="D13"/>
      <c r="E13"/>
      <c r="F13"/>
      <c r="G13"/>
      <c r="H13"/>
      <c r="I13"/>
      <c r="J13"/>
      <c r="K13"/>
    </row>
    <row r="14" spans="1:13">
      <c r="A14"/>
      <c r="B14"/>
      <c r="C14"/>
      <c r="D14"/>
      <c r="E14"/>
      <c r="F14"/>
      <c r="G14"/>
      <c r="H14"/>
      <c r="I14"/>
      <c r="J14"/>
      <c r="K14"/>
    </row>
    <row r="15" spans="1:13">
      <c r="A15"/>
      <c r="B15"/>
      <c r="C15"/>
      <c r="D15"/>
      <c r="E15"/>
      <c r="F15"/>
      <c r="G15"/>
      <c r="H15"/>
      <c r="I15"/>
      <c r="J15"/>
      <c r="K15"/>
    </row>
    <row r="16" spans="1:13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1.1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4.33203125" style="5" customWidth="1"/>
    <col min="14" max="16384" width="9.1640625" style="3"/>
  </cols>
  <sheetData>
    <row r="1" spans="1:13" s="2" customFormat="1" ht="29" customHeight="1">
      <c r="A1" s="43" t="s">
        <v>529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83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9" t="s">
        <v>51</v>
      </c>
      <c r="B6" s="18" t="s">
        <v>181</v>
      </c>
      <c r="C6" s="18" t="s">
        <v>182</v>
      </c>
      <c r="D6" s="18" t="s">
        <v>183</v>
      </c>
      <c r="E6" s="18" t="s">
        <v>551</v>
      </c>
      <c r="F6" s="18" t="s">
        <v>58</v>
      </c>
      <c r="G6" s="22" t="s">
        <v>61</v>
      </c>
      <c r="H6" s="22" t="s">
        <v>141</v>
      </c>
      <c r="I6" s="22" t="s">
        <v>27</v>
      </c>
      <c r="J6" s="19"/>
      <c r="K6" s="19" t="str">
        <f>"160,0"</f>
        <v>160,0</v>
      </c>
      <c r="L6" s="19" t="str">
        <f>"108,3040"</f>
        <v>108,3040</v>
      </c>
      <c r="M6" s="18" t="s">
        <v>93</v>
      </c>
    </row>
    <row r="7" spans="1:13">
      <c r="A7" s="27" t="s">
        <v>51</v>
      </c>
      <c r="B7" s="26" t="s">
        <v>184</v>
      </c>
      <c r="C7" s="26" t="s">
        <v>185</v>
      </c>
      <c r="D7" s="26" t="s">
        <v>186</v>
      </c>
      <c r="E7" s="26" t="s">
        <v>546</v>
      </c>
      <c r="F7" s="26" t="s">
        <v>26</v>
      </c>
      <c r="G7" s="28" t="s">
        <v>19</v>
      </c>
      <c r="H7" s="28" t="s">
        <v>102</v>
      </c>
      <c r="I7" s="28" t="s">
        <v>64</v>
      </c>
      <c r="J7" s="27"/>
      <c r="K7" s="27" t="str">
        <f>"115,0"</f>
        <v>115,0</v>
      </c>
      <c r="L7" s="27" t="str">
        <f>"78,5680"</f>
        <v>78,5680</v>
      </c>
      <c r="M7" s="26"/>
    </row>
    <row r="8" spans="1:13">
      <c r="A8" s="21" t="s">
        <v>133</v>
      </c>
      <c r="B8" s="20" t="s">
        <v>187</v>
      </c>
      <c r="C8" s="20" t="s">
        <v>188</v>
      </c>
      <c r="D8" s="20" t="s">
        <v>189</v>
      </c>
      <c r="E8" s="20" t="s">
        <v>546</v>
      </c>
      <c r="F8" s="20" t="s">
        <v>26</v>
      </c>
      <c r="G8" s="25" t="s">
        <v>92</v>
      </c>
      <c r="H8" s="25" t="s">
        <v>18</v>
      </c>
      <c r="I8" s="24" t="s">
        <v>147</v>
      </c>
      <c r="J8" s="21"/>
      <c r="K8" s="21" t="str">
        <f>"95,0"</f>
        <v>95,0</v>
      </c>
      <c r="L8" s="21" t="str">
        <f>"64,4005"</f>
        <v>64,4005</v>
      </c>
      <c r="M8" s="20" t="s">
        <v>190</v>
      </c>
    </row>
    <row r="9" spans="1:13">
      <c r="B9" s="5" t="s">
        <v>52</v>
      </c>
    </row>
    <row r="10" spans="1:13" ht="16">
      <c r="A10" s="56" t="s">
        <v>66</v>
      </c>
      <c r="B10" s="56"/>
      <c r="C10" s="57"/>
      <c r="D10" s="57"/>
      <c r="E10" s="57"/>
      <c r="F10" s="57"/>
      <c r="G10" s="57"/>
      <c r="H10" s="57"/>
      <c r="I10" s="57"/>
      <c r="J10" s="57"/>
    </row>
    <row r="11" spans="1:13">
      <c r="A11" s="19" t="s">
        <v>51</v>
      </c>
      <c r="B11" s="18" t="s">
        <v>191</v>
      </c>
      <c r="C11" s="18" t="s">
        <v>192</v>
      </c>
      <c r="D11" s="18" t="s">
        <v>193</v>
      </c>
      <c r="E11" s="18" t="s">
        <v>546</v>
      </c>
      <c r="F11" s="18" t="s">
        <v>540</v>
      </c>
      <c r="G11" s="22" t="s">
        <v>27</v>
      </c>
      <c r="H11" s="22" t="s">
        <v>71</v>
      </c>
      <c r="I11" s="22" t="s">
        <v>78</v>
      </c>
      <c r="J11" s="19"/>
      <c r="K11" s="19" t="str">
        <f>"170,0"</f>
        <v>170,0</v>
      </c>
      <c r="L11" s="19" t="str">
        <f>"107,9330"</f>
        <v>107,9330</v>
      </c>
      <c r="M11" s="18"/>
    </row>
    <row r="12" spans="1:13">
      <c r="A12" s="27" t="s">
        <v>133</v>
      </c>
      <c r="B12" s="26" t="s">
        <v>194</v>
      </c>
      <c r="C12" s="26" t="s">
        <v>195</v>
      </c>
      <c r="D12" s="26" t="s">
        <v>196</v>
      </c>
      <c r="E12" s="26" t="s">
        <v>546</v>
      </c>
      <c r="F12" s="26" t="s">
        <v>26</v>
      </c>
      <c r="G12" s="28" t="s">
        <v>20</v>
      </c>
      <c r="H12" s="28" t="s">
        <v>64</v>
      </c>
      <c r="I12" s="29" t="s">
        <v>59</v>
      </c>
      <c r="J12" s="27"/>
      <c r="K12" s="27" t="str">
        <f>"115,0"</f>
        <v>115,0</v>
      </c>
      <c r="L12" s="27" t="str">
        <f>"70,8170"</f>
        <v>70,8170</v>
      </c>
      <c r="M12" s="26" t="s">
        <v>190</v>
      </c>
    </row>
    <row r="13" spans="1:13">
      <c r="A13" s="21" t="s">
        <v>51</v>
      </c>
      <c r="B13" s="20" t="s">
        <v>197</v>
      </c>
      <c r="C13" s="20" t="s">
        <v>198</v>
      </c>
      <c r="D13" s="20" t="s">
        <v>199</v>
      </c>
      <c r="E13" s="20" t="s">
        <v>547</v>
      </c>
      <c r="F13" s="20" t="s">
        <v>26</v>
      </c>
      <c r="G13" s="25" t="s">
        <v>72</v>
      </c>
      <c r="H13" s="25" t="s">
        <v>61</v>
      </c>
      <c r="I13" s="24" t="s">
        <v>103</v>
      </c>
      <c r="J13" s="21"/>
      <c r="K13" s="21" t="str">
        <f>"140,0"</f>
        <v>140,0</v>
      </c>
      <c r="L13" s="21" t="str">
        <f>"88,5108"</f>
        <v>88,5108</v>
      </c>
      <c r="M13" s="20" t="s">
        <v>190</v>
      </c>
    </row>
    <row r="14" spans="1:13">
      <c r="B14" s="5" t="s">
        <v>52</v>
      </c>
    </row>
    <row r="15" spans="1:13">
      <c r="B15"/>
      <c r="C15"/>
      <c r="D15"/>
      <c r="E15"/>
      <c r="F15"/>
    </row>
    <row r="16" spans="1:13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  <row r="30" spans="2:6">
      <c r="B30"/>
      <c r="C30"/>
      <c r="D30"/>
      <c r="E30"/>
      <c r="F30"/>
    </row>
    <row r="31" spans="2:6">
      <c r="B31"/>
      <c r="C31"/>
      <c r="D31"/>
      <c r="E31"/>
      <c r="F31"/>
    </row>
    <row r="32" spans="2:6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  <row r="36" spans="2:6">
      <c r="B36"/>
      <c r="C36"/>
      <c r="D36"/>
      <c r="E36"/>
      <c r="F36"/>
    </row>
    <row r="37" spans="2:6">
      <c r="B37"/>
      <c r="C37"/>
      <c r="D37"/>
      <c r="E37"/>
      <c r="F37"/>
    </row>
    <row r="38" spans="2:6">
      <c r="B38"/>
      <c r="C38"/>
      <c r="D38"/>
      <c r="E38"/>
      <c r="F38"/>
    </row>
    <row r="39" spans="2:6">
      <c r="B39"/>
      <c r="C39"/>
      <c r="D39"/>
      <c r="E39"/>
      <c r="F39"/>
    </row>
    <row r="40" spans="2:6">
      <c r="B40"/>
      <c r="C40"/>
      <c r="D40"/>
      <c r="E40"/>
      <c r="F40"/>
    </row>
  </sheetData>
  <mergeCells count="13">
    <mergeCell ref="A10:J1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5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4.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3.3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3" t="s">
        <v>530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491</v>
      </c>
      <c r="C6" s="7" t="s">
        <v>492</v>
      </c>
      <c r="D6" s="7" t="s">
        <v>493</v>
      </c>
      <c r="E6" s="7" t="s">
        <v>546</v>
      </c>
      <c r="F6" s="7" t="s">
        <v>26</v>
      </c>
      <c r="G6" s="16" t="s">
        <v>284</v>
      </c>
      <c r="H6" s="16" t="s">
        <v>494</v>
      </c>
      <c r="I6" s="17" t="s">
        <v>147</v>
      </c>
      <c r="J6" s="8"/>
      <c r="K6" s="8" t="str">
        <f>"92,5"</f>
        <v>92,5</v>
      </c>
      <c r="L6" s="8" t="str">
        <f>"65,9756"</f>
        <v>65,9756</v>
      </c>
      <c r="M6" s="7" t="s">
        <v>278</v>
      </c>
    </row>
    <row r="7" spans="1:13">
      <c r="B7" s="5" t="s">
        <v>52</v>
      </c>
    </row>
    <row r="8" spans="1:13" ht="16">
      <c r="A8" s="56" t="s">
        <v>83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51</v>
      </c>
      <c r="B9" s="7" t="s">
        <v>495</v>
      </c>
      <c r="C9" s="7" t="s">
        <v>496</v>
      </c>
      <c r="D9" s="7" t="s">
        <v>382</v>
      </c>
      <c r="E9" s="7" t="s">
        <v>546</v>
      </c>
      <c r="F9" s="7" t="s">
        <v>101</v>
      </c>
      <c r="G9" s="16" t="s">
        <v>91</v>
      </c>
      <c r="H9" s="16" t="s">
        <v>284</v>
      </c>
      <c r="I9" s="16" t="s">
        <v>18</v>
      </c>
      <c r="J9" s="8"/>
      <c r="K9" s="8" t="str">
        <f>"95,0"</f>
        <v>95,0</v>
      </c>
      <c r="L9" s="8" t="str">
        <f>"61,2370"</f>
        <v>61,2370</v>
      </c>
      <c r="M9" s="7" t="s">
        <v>104</v>
      </c>
    </row>
    <row r="10" spans="1:13">
      <c r="B10" s="5" t="s">
        <v>52</v>
      </c>
    </row>
    <row r="11" spans="1:13">
      <c r="B11"/>
      <c r="C11"/>
      <c r="D11"/>
      <c r="E11"/>
      <c r="F11"/>
    </row>
    <row r="12" spans="1:13">
      <c r="B12"/>
      <c r="C12"/>
      <c r="D12"/>
      <c r="E12"/>
      <c r="F12"/>
    </row>
    <row r="13" spans="1:13">
      <c r="B13"/>
      <c r="C13"/>
      <c r="D13"/>
      <c r="E13"/>
      <c r="F13"/>
    </row>
    <row r="14" spans="1:13">
      <c r="B14"/>
      <c r="C14"/>
      <c r="D14"/>
      <c r="E14"/>
      <c r="F14"/>
    </row>
    <row r="15" spans="1:13">
      <c r="B15"/>
      <c r="C15"/>
      <c r="D15"/>
      <c r="E15"/>
      <c r="F15"/>
    </row>
    <row r="16" spans="1:13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54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4.3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0.8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43" t="s">
        <v>531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9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54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466</v>
      </c>
      <c r="C6" s="7" t="s">
        <v>467</v>
      </c>
      <c r="D6" s="7" t="s">
        <v>468</v>
      </c>
      <c r="E6" s="7" t="s">
        <v>546</v>
      </c>
      <c r="F6" s="7" t="s">
        <v>26</v>
      </c>
      <c r="G6" s="16" t="s">
        <v>143</v>
      </c>
      <c r="H6" s="17" t="s">
        <v>370</v>
      </c>
      <c r="I6" s="17" t="s">
        <v>370</v>
      </c>
      <c r="J6" s="8"/>
      <c r="K6" s="8" t="str">
        <f>"112,5"</f>
        <v>112,5</v>
      </c>
      <c r="L6" s="8" t="str">
        <f>"117,6188"</f>
        <v>117,6188</v>
      </c>
      <c r="M6" s="7" t="s">
        <v>74</v>
      </c>
    </row>
    <row r="7" spans="1:13">
      <c r="B7" s="5" t="s">
        <v>52</v>
      </c>
    </row>
    <row r="8" spans="1:13" ht="16">
      <c r="A8" s="56" t="s">
        <v>83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51</v>
      </c>
      <c r="B9" s="7" t="s">
        <v>469</v>
      </c>
      <c r="C9" s="7" t="s">
        <v>470</v>
      </c>
      <c r="D9" s="7" t="s">
        <v>471</v>
      </c>
      <c r="E9" s="7" t="s">
        <v>546</v>
      </c>
      <c r="F9" s="7" t="s">
        <v>538</v>
      </c>
      <c r="G9" s="16" t="s">
        <v>64</v>
      </c>
      <c r="H9" s="16" t="s">
        <v>370</v>
      </c>
      <c r="I9" s="17" t="s">
        <v>390</v>
      </c>
      <c r="J9" s="8"/>
      <c r="K9" s="8" t="str">
        <f>"122,5"</f>
        <v>122,5</v>
      </c>
      <c r="L9" s="8" t="str">
        <f>"111,3280"</f>
        <v>111,3280</v>
      </c>
      <c r="M9" s="7" t="s">
        <v>472</v>
      </c>
    </row>
    <row r="10" spans="1:13">
      <c r="B10" s="5" t="s">
        <v>52</v>
      </c>
    </row>
    <row r="11" spans="1:13" ht="16">
      <c r="A11" s="56" t="s">
        <v>10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8" t="s">
        <v>51</v>
      </c>
      <c r="B12" s="7" t="s">
        <v>473</v>
      </c>
      <c r="C12" s="7" t="s">
        <v>474</v>
      </c>
      <c r="D12" s="7" t="s">
        <v>369</v>
      </c>
      <c r="E12" s="7" t="s">
        <v>550</v>
      </c>
      <c r="F12" s="7" t="s">
        <v>58</v>
      </c>
      <c r="G12" s="16" t="s">
        <v>78</v>
      </c>
      <c r="H12" s="16" t="s">
        <v>38</v>
      </c>
      <c r="I12" s="16" t="s">
        <v>21</v>
      </c>
      <c r="J12" s="8"/>
      <c r="K12" s="8" t="str">
        <f>"190,0"</f>
        <v>190,0</v>
      </c>
      <c r="L12" s="8" t="str">
        <f>"135,3940"</f>
        <v>135,3940</v>
      </c>
      <c r="M12" s="7" t="s">
        <v>65</v>
      </c>
    </row>
    <row r="13" spans="1:13">
      <c r="B13" s="5" t="s">
        <v>52</v>
      </c>
    </row>
    <row r="14" spans="1:13" ht="16">
      <c r="A14" s="56" t="s">
        <v>83</v>
      </c>
      <c r="B14" s="56"/>
      <c r="C14" s="57"/>
      <c r="D14" s="57"/>
      <c r="E14" s="57"/>
      <c r="F14" s="57"/>
      <c r="G14" s="57"/>
      <c r="H14" s="57"/>
      <c r="I14" s="57"/>
      <c r="J14" s="57"/>
    </row>
    <row r="15" spans="1:13">
      <c r="A15" s="8" t="s">
        <v>51</v>
      </c>
      <c r="B15" s="7" t="s">
        <v>475</v>
      </c>
      <c r="C15" s="7" t="s">
        <v>476</v>
      </c>
      <c r="D15" s="7" t="s">
        <v>382</v>
      </c>
      <c r="E15" s="7" t="s">
        <v>546</v>
      </c>
      <c r="F15" s="7" t="s">
        <v>111</v>
      </c>
      <c r="G15" s="16" t="s">
        <v>61</v>
      </c>
      <c r="H15" s="16" t="s">
        <v>141</v>
      </c>
      <c r="I15" s="16" t="s">
        <v>27</v>
      </c>
      <c r="J15" s="8"/>
      <c r="K15" s="8" t="str">
        <f>"160,0"</f>
        <v>160,0</v>
      </c>
      <c r="L15" s="8" t="str">
        <f>"107,1840"</f>
        <v>107,1840</v>
      </c>
      <c r="M15" s="7" t="s">
        <v>477</v>
      </c>
    </row>
    <row r="16" spans="1:13">
      <c r="B16" s="5" t="s">
        <v>52</v>
      </c>
    </row>
    <row r="17" spans="1:13" ht="16">
      <c r="A17" s="56" t="s">
        <v>66</v>
      </c>
      <c r="B17" s="56"/>
      <c r="C17" s="57"/>
      <c r="D17" s="57"/>
      <c r="E17" s="57"/>
      <c r="F17" s="57"/>
      <c r="G17" s="57"/>
      <c r="H17" s="57"/>
      <c r="I17" s="57"/>
      <c r="J17" s="57"/>
    </row>
    <row r="18" spans="1:13">
      <c r="A18" s="8" t="s">
        <v>51</v>
      </c>
      <c r="B18" s="7" t="s">
        <v>478</v>
      </c>
      <c r="C18" s="7" t="s">
        <v>479</v>
      </c>
      <c r="D18" s="7" t="s">
        <v>480</v>
      </c>
      <c r="E18" s="7" t="s">
        <v>548</v>
      </c>
      <c r="F18" s="7" t="s">
        <v>26</v>
      </c>
      <c r="G18" s="16" t="s">
        <v>17</v>
      </c>
      <c r="H18" s="16" t="s">
        <v>127</v>
      </c>
      <c r="I18" s="17" t="s">
        <v>119</v>
      </c>
      <c r="J18" s="8"/>
      <c r="K18" s="8" t="str">
        <f>"220,0"</f>
        <v>220,0</v>
      </c>
      <c r="L18" s="8" t="str">
        <f>"162,4043"</f>
        <v>162,4043</v>
      </c>
      <c r="M18" s="7"/>
    </row>
    <row r="19" spans="1:13">
      <c r="B19" s="5" t="s">
        <v>52</v>
      </c>
    </row>
    <row r="20" spans="1:13" ht="16">
      <c r="A20" s="56" t="s">
        <v>173</v>
      </c>
      <c r="B20" s="56"/>
      <c r="C20" s="57"/>
      <c r="D20" s="57"/>
      <c r="E20" s="57"/>
      <c r="F20" s="57"/>
      <c r="G20" s="57"/>
      <c r="H20" s="57"/>
      <c r="I20" s="57"/>
      <c r="J20" s="57"/>
    </row>
    <row r="21" spans="1:13">
      <c r="A21" s="19" t="s">
        <v>51</v>
      </c>
      <c r="B21" s="18" t="s">
        <v>481</v>
      </c>
      <c r="C21" s="18" t="s">
        <v>482</v>
      </c>
      <c r="D21" s="18" t="s">
        <v>483</v>
      </c>
      <c r="E21" s="18" t="s">
        <v>546</v>
      </c>
      <c r="F21" s="18" t="s">
        <v>26</v>
      </c>
      <c r="G21" s="22" t="s">
        <v>127</v>
      </c>
      <c r="H21" s="22" t="s">
        <v>128</v>
      </c>
      <c r="I21" s="22" t="s">
        <v>119</v>
      </c>
      <c r="J21" s="19"/>
      <c r="K21" s="19" t="str">
        <f>"240,0"</f>
        <v>240,0</v>
      </c>
      <c r="L21" s="19" t="str">
        <f>"141,6480"</f>
        <v>141,6480</v>
      </c>
      <c r="M21" s="18"/>
    </row>
    <row r="22" spans="1:13">
      <c r="A22" s="21" t="s">
        <v>51</v>
      </c>
      <c r="B22" s="20" t="s">
        <v>484</v>
      </c>
      <c r="C22" s="20" t="s">
        <v>485</v>
      </c>
      <c r="D22" s="20" t="s">
        <v>486</v>
      </c>
      <c r="E22" s="20" t="s">
        <v>552</v>
      </c>
      <c r="F22" s="20" t="s">
        <v>153</v>
      </c>
      <c r="G22" s="25" t="s">
        <v>21</v>
      </c>
      <c r="H22" s="25" t="s">
        <v>16</v>
      </c>
      <c r="I22" s="25" t="s">
        <v>17</v>
      </c>
      <c r="J22" s="21"/>
      <c r="K22" s="21" t="str">
        <f>"200,0"</f>
        <v>200,0</v>
      </c>
      <c r="L22" s="21" t="str">
        <f>"186,2902"</f>
        <v>186,2902</v>
      </c>
      <c r="M22" s="20"/>
    </row>
    <row r="23" spans="1:13">
      <c r="B23" s="5" t="s">
        <v>52</v>
      </c>
    </row>
    <row r="24" spans="1:13">
      <c r="B24"/>
      <c r="C24"/>
      <c r="D24"/>
      <c r="E24"/>
      <c r="F24"/>
      <c r="G24"/>
      <c r="H24"/>
      <c r="I24"/>
    </row>
    <row r="25" spans="1:13">
      <c r="B25"/>
      <c r="C25"/>
      <c r="D25"/>
      <c r="E25"/>
      <c r="F25"/>
      <c r="G25"/>
      <c r="H25"/>
      <c r="I25"/>
    </row>
    <row r="26" spans="1:13">
      <c r="B26"/>
      <c r="C26"/>
      <c r="D26"/>
      <c r="E26"/>
      <c r="F26"/>
      <c r="G26"/>
      <c r="H26"/>
      <c r="I26"/>
    </row>
    <row r="27" spans="1:13">
      <c r="B27"/>
      <c r="C27"/>
      <c r="D27"/>
      <c r="E27"/>
      <c r="F27"/>
      <c r="G27"/>
      <c r="H27"/>
      <c r="I27"/>
    </row>
    <row r="28" spans="1:13">
      <c r="B28"/>
      <c r="C28"/>
      <c r="D28"/>
      <c r="E28"/>
      <c r="F28"/>
      <c r="G28"/>
      <c r="H28"/>
      <c r="I28"/>
    </row>
    <row r="29" spans="1:13">
      <c r="B29"/>
      <c r="C29"/>
      <c r="D29"/>
      <c r="E29"/>
      <c r="F29"/>
      <c r="G29"/>
      <c r="H29"/>
      <c r="I29"/>
    </row>
    <row r="30" spans="1:13">
      <c r="B30"/>
      <c r="C30"/>
      <c r="D30"/>
      <c r="E30"/>
      <c r="F30"/>
      <c r="G30"/>
      <c r="H30"/>
      <c r="I30"/>
    </row>
    <row r="31" spans="1:13">
      <c r="B31"/>
      <c r="C31"/>
      <c r="D31"/>
      <c r="E31"/>
      <c r="F31"/>
      <c r="G31"/>
      <c r="H31"/>
      <c r="I31"/>
    </row>
    <row r="32" spans="1:13">
      <c r="B32"/>
      <c r="C32"/>
      <c r="D32"/>
      <c r="E32"/>
      <c r="F32"/>
      <c r="G32"/>
      <c r="H32"/>
      <c r="I32"/>
    </row>
    <row r="33" spans="2:9">
      <c r="B33"/>
      <c r="C33"/>
      <c r="D33"/>
      <c r="E33"/>
      <c r="F33"/>
      <c r="G33"/>
      <c r="H33"/>
      <c r="I33"/>
    </row>
    <row r="34" spans="2:9">
      <c r="B34"/>
      <c r="C34"/>
      <c r="D34"/>
      <c r="E34"/>
      <c r="F34"/>
      <c r="G34"/>
      <c r="H34"/>
      <c r="I34"/>
    </row>
    <row r="35" spans="2:9">
      <c r="B35"/>
      <c r="C35"/>
      <c r="D35"/>
      <c r="E35"/>
      <c r="F35"/>
      <c r="G35"/>
      <c r="H35"/>
      <c r="I35"/>
    </row>
    <row r="36" spans="2:9">
      <c r="B36"/>
      <c r="C36"/>
      <c r="D36"/>
      <c r="E36"/>
      <c r="F36"/>
      <c r="G36"/>
      <c r="H36"/>
      <c r="I36"/>
    </row>
    <row r="37" spans="2:9">
      <c r="B37"/>
      <c r="C37"/>
      <c r="D37"/>
      <c r="E37"/>
      <c r="F37"/>
      <c r="G37"/>
      <c r="H37"/>
      <c r="I37"/>
    </row>
    <row r="38" spans="2:9">
      <c r="B38"/>
      <c r="C38"/>
      <c r="D38"/>
      <c r="E38"/>
      <c r="F38"/>
      <c r="G38"/>
      <c r="H38"/>
      <c r="I38"/>
    </row>
    <row r="39" spans="2:9">
      <c r="B39"/>
      <c r="C39"/>
      <c r="D39"/>
      <c r="E39"/>
      <c r="F39"/>
      <c r="G39"/>
      <c r="H39"/>
      <c r="I39"/>
    </row>
    <row r="40" spans="2:9">
      <c r="B40"/>
      <c r="C40"/>
      <c r="D40"/>
      <c r="E40"/>
      <c r="F40"/>
      <c r="G40"/>
      <c r="H40"/>
      <c r="I40"/>
    </row>
    <row r="41" spans="2:9">
      <c r="B41"/>
      <c r="C41"/>
      <c r="D41"/>
      <c r="E41"/>
      <c r="F41"/>
      <c r="G41"/>
      <c r="H41"/>
      <c r="I41"/>
    </row>
    <row r="42" spans="2:9">
      <c r="B42"/>
      <c r="C42"/>
      <c r="D42"/>
      <c r="E42"/>
      <c r="F42"/>
      <c r="G42"/>
      <c r="H42"/>
      <c r="I42"/>
    </row>
    <row r="43" spans="2:9">
      <c r="B43"/>
      <c r="C43"/>
      <c r="D43"/>
      <c r="E43"/>
      <c r="F43"/>
      <c r="G43"/>
      <c r="H43"/>
      <c r="I43"/>
    </row>
    <row r="44" spans="2:9">
      <c r="B44"/>
      <c r="C44"/>
      <c r="D44"/>
      <c r="E44"/>
      <c r="F44"/>
      <c r="G44"/>
      <c r="H44"/>
      <c r="I44"/>
    </row>
    <row r="45" spans="2:9">
      <c r="B45"/>
      <c r="C45"/>
      <c r="D45"/>
      <c r="E45"/>
      <c r="F45"/>
      <c r="G45"/>
      <c r="H45"/>
      <c r="I45"/>
    </row>
    <row r="46" spans="2:9">
      <c r="B46"/>
      <c r="C46"/>
      <c r="D46"/>
      <c r="E46"/>
      <c r="F46"/>
      <c r="G46"/>
      <c r="H46"/>
      <c r="I46"/>
    </row>
    <row r="47" spans="2:9">
      <c r="B47"/>
      <c r="C47"/>
      <c r="D47"/>
      <c r="E47"/>
      <c r="F47"/>
      <c r="G47"/>
      <c r="H47"/>
      <c r="I47"/>
    </row>
    <row r="48" spans="2:9">
      <c r="B48"/>
      <c r="C48"/>
      <c r="D48"/>
      <c r="E48"/>
      <c r="F48"/>
      <c r="G48"/>
      <c r="H48"/>
      <c r="I48"/>
    </row>
    <row r="49" spans="2:9">
      <c r="B49"/>
      <c r="C49"/>
      <c r="D49"/>
      <c r="E49"/>
      <c r="F49"/>
      <c r="G49"/>
      <c r="H49"/>
      <c r="I49"/>
    </row>
    <row r="50" spans="2:9">
      <c r="B50"/>
      <c r="C50"/>
      <c r="D50"/>
      <c r="E50"/>
      <c r="F50"/>
      <c r="G50"/>
      <c r="H50"/>
      <c r="I50"/>
    </row>
    <row r="51" spans="2:9">
      <c r="B51"/>
      <c r="C51"/>
      <c r="D51"/>
      <c r="E51"/>
      <c r="F51"/>
      <c r="G51"/>
      <c r="H51"/>
      <c r="I51"/>
    </row>
    <row r="52" spans="2:9">
      <c r="B52"/>
      <c r="C52"/>
      <c r="D52"/>
      <c r="E52"/>
      <c r="F52"/>
      <c r="G52"/>
      <c r="H52"/>
      <c r="I52"/>
    </row>
    <row r="53" spans="2:9">
      <c r="B53"/>
      <c r="C53"/>
      <c r="D53"/>
      <c r="E53"/>
      <c r="F53"/>
      <c r="G53"/>
      <c r="H53"/>
      <c r="I53"/>
    </row>
    <row r="54" spans="2:9">
      <c r="B54" s="5" t="s">
        <v>52</v>
      </c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52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28.1640625" style="5" bestFit="1" customWidth="1"/>
    <col min="7" max="9" width="5.5" style="6" customWidth="1"/>
    <col min="10" max="10" width="4.5" style="6" customWidth="1"/>
    <col min="11" max="11" width="11.1640625" style="6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43" t="s">
        <v>532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9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215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446</v>
      </c>
      <c r="C6" s="7" t="s">
        <v>447</v>
      </c>
      <c r="D6" s="7" t="s">
        <v>448</v>
      </c>
      <c r="E6" s="7" t="s">
        <v>549</v>
      </c>
      <c r="F6" s="7" t="s">
        <v>429</v>
      </c>
      <c r="G6" s="16" t="s">
        <v>209</v>
      </c>
      <c r="H6" s="16" t="s">
        <v>88</v>
      </c>
      <c r="I6" s="16" t="s">
        <v>91</v>
      </c>
      <c r="J6" s="8"/>
      <c r="K6" s="8" t="str">
        <f>"70,0"</f>
        <v>70,0</v>
      </c>
      <c r="L6" s="8" t="str">
        <f>"78,8620"</f>
        <v>78,8620</v>
      </c>
      <c r="M6" s="7" t="s">
        <v>449</v>
      </c>
    </row>
    <row r="7" spans="1:13">
      <c r="B7" s="5" t="s">
        <v>52</v>
      </c>
    </row>
    <row r="8" spans="1:13" ht="16">
      <c r="A8" s="56" t="s">
        <v>205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51</v>
      </c>
      <c r="B9" s="7" t="s">
        <v>450</v>
      </c>
      <c r="C9" s="7" t="s">
        <v>451</v>
      </c>
      <c r="D9" s="7" t="s">
        <v>452</v>
      </c>
      <c r="E9" s="7" t="s">
        <v>549</v>
      </c>
      <c r="F9" s="7" t="s">
        <v>429</v>
      </c>
      <c r="G9" s="16" t="s">
        <v>102</v>
      </c>
      <c r="H9" s="16" t="s">
        <v>28</v>
      </c>
      <c r="I9" s="16" t="s">
        <v>72</v>
      </c>
      <c r="J9" s="8"/>
      <c r="K9" s="8" t="str">
        <f>"130,0"</f>
        <v>130,0</v>
      </c>
      <c r="L9" s="8" t="str">
        <f>"121,3420"</f>
        <v>121,3420</v>
      </c>
      <c r="M9" s="7" t="s">
        <v>449</v>
      </c>
    </row>
    <row r="10" spans="1:13">
      <c r="B10" s="5" t="s">
        <v>52</v>
      </c>
    </row>
    <row r="11" spans="1:13" ht="16">
      <c r="A11" s="56" t="s">
        <v>215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8" t="s">
        <v>51</v>
      </c>
      <c r="B12" s="7" t="s">
        <v>453</v>
      </c>
      <c r="C12" s="7" t="s">
        <v>454</v>
      </c>
      <c r="D12" s="7" t="s">
        <v>455</v>
      </c>
      <c r="E12" s="7" t="s">
        <v>549</v>
      </c>
      <c r="F12" s="7" t="s">
        <v>429</v>
      </c>
      <c r="G12" s="16" t="s">
        <v>91</v>
      </c>
      <c r="H12" s="16" t="s">
        <v>284</v>
      </c>
      <c r="I12" s="16" t="s">
        <v>18</v>
      </c>
      <c r="J12" s="8"/>
      <c r="K12" s="8" t="str">
        <f>"95,0"</f>
        <v>95,0</v>
      </c>
      <c r="L12" s="8" t="str">
        <f>"84,7305"</f>
        <v>84,7305</v>
      </c>
      <c r="M12" s="7" t="s">
        <v>449</v>
      </c>
    </row>
    <row r="13" spans="1:13">
      <c r="B13" s="5" t="s">
        <v>52</v>
      </c>
    </row>
    <row r="14" spans="1:13" ht="16">
      <c r="A14" s="56" t="s">
        <v>22</v>
      </c>
      <c r="B14" s="56"/>
      <c r="C14" s="57"/>
      <c r="D14" s="57"/>
      <c r="E14" s="57"/>
      <c r="F14" s="57"/>
      <c r="G14" s="57"/>
      <c r="H14" s="57"/>
      <c r="I14" s="57"/>
      <c r="J14" s="57"/>
    </row>
    <row r="15" spans="1:13">
      <c r="A15" s="8" t="s">
        <v>51</v>
      </c>
      <c r="B15" s="7" t="s">
        <v>456</v>
      </c>
      <c r="C15" s="7" t="s">
        <v>457</v>
      </c>
      <c r="D15" s="7" t="s">
        <v>458</v>
      </c>
      <c r="E15" s="7" t="s">
        <v>546</v>
      </c>
      <c r="F15" s="7" t="s">
        <v>273</v>
      </c>
      <c r="G15" s="16" t="s">
        <v>459</v>
      </c>
      <c r="H15" s="16" t="s">
        <v>460</v>
      </c>
      <c r="I15" s="17" t="s">
        <v>461</v>
      </c>
      <c r="J15" s="8"/>
      <c r="K15" s="8" t="str">
        <f>"282,5"</f>
        <v>282,5</v>
      </c>
      <c r="L15" s="8" t="str">
        <f>"181,2803"</f>
        <v>181,2803</v>
      </c>
      <c r="M15" s="7" t="s">
        <v>462</v>
      </c>
    </row>
    <row r="16" spans="1:13">
      <c r="B16" s="5" t="s">
        <v>52</v>
      </c>
    </row>
    <row r="17" spans="1:13" ht="16">
      <c r="A17" s="56" t="s">
        <v>66</v>
      </c>
      <c r="B17" s="56"/>
      <c r="C17" s="57"/>
      <c r="D17" s="57"/>
      <c r="E17" s="57"/>
      <c r="F17" s="57"/>
      <c r="G17" s="57"/>
      <c r="H17" s="57"/>
      <c r="I17" s="57"/>
      <c r="J17" s="57"/>
    </row>
    <row r="18" spans="1:13">
      <c r="A18" s="19" t="s">
        <v>51</v>
      </c>
      <c r="B18" s="18" t="s">
        <v>108</v>
      </c>
      <c r="C18" s="18" t="s">
        <v>109</v>
      </c>
      <c r="D18" s="18" t="s">
        <v>110</v>
      </c>
      <c r="E18" s="18" t="s">
        <v>546</v>
      </c>
      <c r="F18" s="18" t="s">
        <v>111</v>
      </c>
      <c r="G18" s="22" t="s">
        <v>114</v>
      </c>
      <c r="H18" s="22" t="s">
        <v>115</v>
      </c>
      <c r="I18" s="19"/>
      <c r="J18" s="19"/>
      <c r="K18" s="19" t="str">
        <f>"320,0"</f>
        <v>320,0</v>
      </c>
      <c r="L18" s="19" t="str">
        <f>"195,5520"</f>
        <v>195,5520</v>
      </c>
      <c r="M18" s="18"/>
    </row>
    <row r="19" spans="1:13">
      <c r="A19" s="21" t="s">
        <v>133</v>
      </c>
      <c r="B19" s="20" t="s">
        <v>463</v>
      </c>
      <c r="C19" s="20" t="s">
        <v>464</v>
      </c>
      <c r="D19" s="20" t="s">
        <v>465</v>
      </c>
      <c r="E19" s="20" t="s">
        <v>546</v>
      </c>
      <c r="F19" s="20" t="s">
        <v>273</v>
      </c>
      <c r="G19" s="25" t="s">
        <v>34</v>
      </c>
      <c r="H19" s="25" t="s">
        <v>112</v>
      </c>
      <c r="I19" s="24" t="s">
        <v>35</v>
      </c>
      <c r="J19" s="21"/>
      <c r="K19" s="21" t="str">
        <f>"260,0"</f>
        <v>260,0</v>
      </c>
      <c r="L19" s="21" t="str">
        <f>"159,4060"</f>
        <v>159,4060</v>
      </c>
      <c r="M19" s="20"/>
    </row>
    <row r="20" spans="1:13">
      <c r="B20" s="5" t="s">
        <v>52</v>
      </c>
    </row>
    <row r="21" spans="1:13" ht="16">
      <c r="A21" s="56" t="s">
        <v>30</v>
      </c>
      <c r="B21" s="56"/>
      <c r="C21" s="57"/>
      <c r="D21" s="57"/>
      <c r="E21" s="57"/>
      <c r="F21" s="57"/>
      <c r="G21" s="57"/>
      <c r="H21" s="57"/>
      <c r="I21" s="57"/>
      <c r="J21" s="57"/>
    </row>
    <row r="22" spans="1:13">
      <c r="A22" s="8" t="s">
        <v>51</v>
      </c>
      <c r="B22" s="7" t="s">
        <v>31</v>
      </c>
      <c r="C22" s="7" t="s">
        <v>32</v>
      </c>
      <c r="D22" s="7" t="s">
        <v>33</v>
      </c>
      <c r="E22" s="7" t="s">
        <v>546</v>
      </c>
      <c r="F22" s="7" t="s">
        <v>26</v>
      </c>
      <c r="G22" s="16" t="s">
        <v>40</v>
      </c>
      <c r="H22" s="16" t="s">
        <v>41</v>
      </c>
      <c r="I22" s="17" t="s">
        <v>42</v>
      </c>
      <c r="J22" s="8"/>
      <c r="K22" s="8" t="str">
        <f>"330,0"</f>
        <v>330,0</v>
      </c>
      <c r="L22" s="8" t="str">
        <f>"190,5420"</f>
        <v>190,5420</v>
      </c>
      <c r="M22" s="7" t="s">
        <v>43</v>
      </c>
    </row>
    <row r="23" spans="1:13">
      <c r="B23" s="5" t="s">
        <v>52</v>
      </c>
    </row>
    <row r="24" spans="1:13">
      <c r="B24"/>
      <c r="C24"/>
      <c r="D24"/>
      <c r="E24"/>
      <c r="F24"/>
      <c r="G24"/>
    </row>
    <row r="25" spans="1:13">
      <c r="B25"/>
      <c r="C25"/>
      <c r="D25"/>
      <c r="E25"/>
      <c r="F25"/>
      <c r="G25"/>
    </row>
    <row r="26" spans="1:13">
      <c r="B26"/>
      <c r="C26"/>
      <c r="D26"/>
      <c r="E26"/>
      <c r="F26"/>
      <c r="G26"/>
    </row>
    <row r="27" spans="1:13">
      <c r="B27"/>
      <c r="C27"/>
      <c r="D27"/>
      <c r="E27"/>
      <c r="F27"/>
      <c r="G27"/>
    </row>
    <row r="28" spans="1:13">
      <c r="B28"/>
      <c r="C28"/>
      <c r="D28"/>
      <c r="E28"/>
      <c r="F28"/>
      <c r="G28"/>
    </row>
    <row r="29" spans="1:13">
      <c r="B29"/>
      <c r="C29"/>
      <c r="D29"/>
      <c r="E29"/>
      <c r="F29"/>
      <c r="G29"/>
    </row>
    <row r="30" spans="1:13">
      <c r="B30"/>
      <c r="C30"/>
      <c r="D30"/>
      <c r="E30"/>
      <c r="F30"/>
      <c r="G30"/>
    </row>
    <row r="31" spans="1:13">
      <c r="B31"/>
      <c r="C31"/>
      <c r="D31"/>
      <c r="E31"/>
      <c r="F31"/>
      <c r="G31"/>
    </row>
    <row r="32" spans="1:13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</sheetData>
  <mergeCells count="17">
    <mergeCell ref="A21:J21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8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3" t="s">
        <v>533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542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200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503</v>
      </c>
      <c r="C6" s="7" t="s">
        <v>504</v>
      </c>
      <c r="D6" s="7" t="s">
        <v>505</v>
      </c>
      <c r="E6" s="7" t="s">
        <v>546</v>
      </c>
      <c r="F6" s="7" t="s">
        <v>26</v>
      </c>
      <c r="G6" s="16" t="s">
        <v>506</v>
      </c>
      <c r="H6" s="17" t="s">
        <v>507</v>
      </c>
      <c r="I6" s="16" t="s">
        <v>507</v>
      </c>
      <c r="J6" s="8"/>
      <c r="K6" s="8" t="str">
        <f>"27,5"</f>
        <v>27,5</v>
      </c>
      <c r="L6" s="8" t="str">
        <f>"30,9512"</f>
        <v>30,9512</v>
      </c>
      <c r="M6" s="7" t="s">
        <v>508</v>
      </c>
    </row>
    <row r="7" spans="1:13">
      <c r="B7" s="5" t="s">
        <v>52</v>
      </c>
    </row>
    <row r="8" spans="1:13">
      <c r="B8"/>
      <c r="C8"/>
      <c r="D8"/>
      <c r="E8"/>
      <c r="F8"/>
      <c r="G8"/>
      <c r="H8"/>
    </row>
    <row r="9" spans="1:13">
      <c r="B9"/>
      <c r="C9"/>
      <c r="D9"/>
      <c r="E9"/>
      <c r="F9"/>
      <c r="G9"/>
      <c r="H9"/>
    </row>
    <row r="10" spans="1:13">
      <c r="B10"/>
      <c r="C10"/>
      <c r="D10"/>
      <c r="E10"/>
      <c r="F10"/>
      <c r="G10"/>
      <c r="H10"/>
    </row>
    <row r="11" spans="1:13">
      <c r="B11"/>
      <c r="C11"/>
      <c r="D11"/>
      <c r="E11"/>
      <c r="F11"/>
      <c r="G11"/>
      <c r="H11"/>
    </row>
    <row r="12" spans="1:13">
      <c r="B12"/>
      <c r="C12"/>
      <c r="D12"/>
      <c r="E12"/>
      <c r="F12"/>
      <c r="G12"/>
      <c r="H12"/>
    </row>
    <row r="13" spans="1:13">
      <c r="B13"/>
      <c r="C13"/>
      <c r="D13"/>
      <c r="E13"/>
      <c r="F13"/>
      <c r="G13"/>
      <c r="H13"/>
    </row>
    <row r="14" spans="1:13">
      <c r="B14"/>
      <c r="C14"/>
      <c r="D14"/>
      <c r="E14"/>
      <c r="F14"/>
      <c r="G14"/>
      <c r="H14"/>
    </row>
    <row r="15" spans="1:13">
      <c r="B15"/>
      <c r="C15"/>
      <c r="D15"/>
      <c r="E15"/>
      <c r="F15"/>
      <c r="G15"/>
      <c r="H15"/>
    </row>
    <row r="16" spans="1:13">
      <c r="B16"/>
      <c r="C16"/>
      <c r="D16"/>
      <c r="E16"/>
      <c r="F16"/>
      <c r="G16"/>
      <c r="H16"/>
    </row>
    <row r="17" spans="2:8">
      <c r="B17"/>
      <c r="C17"/>
      <c r="D17"/>
      <c r="E17"/>
      <c r="F17"/>
      <c r="G17"/>
      <c r="H17"/>
    </row>
    <row r="18" spans="2:8">
      <c r="B18"/>
      <c r="C18"/>
      <c r="D18"/>
      <c r="E18"/>
      <c r="F18"/>
      <c r="G18"/>
      <c r="H18"/>
    </row>
    <row r="19" spans="2:8">
      <c r="B19"/>
      <c r="C19"/>
      <c r="D19"/>
      <c r="E19"/>
      <c r="F19"/>
      <c r="G19"/>
      <c r="H19"/>
    </row>
    <row r="20" spans="2:8">
      <c r="B20"/>
      <c r="C20"/>
      <c r="D20"/>
      <c r="E20"/>
      <c r="F20"/>
      <c r="G20"/>
      <c r="H20"/>
    </row>
    <row r="21" spans="2:8">
      <c r="B21"/>
      <c r="C21"/>
      <c r="D21"/>
      <c r="E21"/>
      <c r="F21"/>
      <c r="G21"/>
      <c r="H2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5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4.6640625" style="5" bestFit="1" customWidth="1"/>
    <col min="7" max="9" width="5.3320312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3" t="s">
        <v>534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542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22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262</v>
      </c>
      <c r="C6" s="7" t="s">
        <v>263</v>
      </c>
      <c r="D6" s="7" t="s">
        <v>264</v>
      </c>
      <c r="E6" s="7" t="s">
        <v>547</v>
      </c>
      <c r="F6" s="7" t="s">
        <v>26</v>
      </c>
      <c r="G6" s="17" t="s">
        <v>62</v>
      </c>
      <c r="H6" s="16" t="s">
        <v>62</v>
      </c>
      <c r="I6" s="17" t="s">
        <v>222</v>
      </c>
      <c r="J6" s="8"/>
      <c r="K6" s="8" t="str">
        <f>"45,0"</f>
        <v>45,0</v>
      </c>
      <c r="L6" s="8" t="str">
        <f>"31,2152"</f>
        <v>31,2152</v>
      </c>
      <c r="M6" s="7" t="s">
        <v>266</v>
      </c>
    </row>
    <row r="7" spans="1:13">
      <c r="B7" s="5" t="s">
        <v>52</v>
      </c>
    </row>
    <row r="8" spans="1:13" ht="16">
      <c r="A8" s="56" t="s">
        <v>66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51</v>
      </c>
      <c r="B9" s="7" t="s">
        <v>498</v>
      </c>
      <c r="C9" s="7" t="s">
        <v>541</v>
      </c>
      <c r="D9" s="7" t="s">
        <v>499</v>
      </c>
      <c r="E9" s="7" t="s">
        <v>548</v>
      </c>
      <c r="F9" s="7" t="s">
        <v>26</v>
      </c>
      <c r="G9" s="17" t="s">
        <v>90</v>
      </c>
      <c r="H9" s="16" t="s">
        <v>90</v>
      </c>
      <c r="I9" s="16" t="s">
        <v>87</v>
      </c>
      <c r="J9" s="8"/>
      <c r="K9" s="8" t="str">
        <f>"60,0"</f>
        <v>60,0</v>
      </c>
      <c r="L9" s="8" t="str">
        <f>"40,7342"</f>
        <v>40,7342</v>
      </c>
      <c r="M9" s="7"/>
    </row>
    <row r="10" spans="1:13">
      <c r="B10" s="5" t="s">
        <v>52</v>
      </c>
    </row>
    <row r="11" spans="1:13" ht="16">
      <c r="A11" s="56" t="s">
        <v>173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19" t="s">
        <v>51</v>
      </c>
      <c r="B12" s="18" t="s">
        <v>500</v>
      </c>
      <c r="C12" s="18" t="s">
        <v>501</v>
      </c>
      <c r="D12" s="18" t="s">
        <v>502</v>
      </c>
      <c r="E12" s="18" t="s">
        <v>546</v>
      </c>
      <c r="F12" s="18" t="s">
        <v>58</v>
      </c>
      <c r="G12" s="22" t="s">
        <v>256</v>
      </c>
      <c r="H12" s="22" t="s">
        <v>330</v>
      </c>
      <c r="I12" s="23" t="s">
        <v>331</v>
      </c>
      <c r="J12" s="19"/>
      <c r="K12" s="19" t="str">
        <f>"77,5"</f>
        <v>77,5</v>
      </c>
      <c r="L12" s="19" t="str">
        <f>"43,5938"</f>
        <v>43,5938</v>
      </c>
      <c r="M12" s="18"/>
    </row>
    <row r="13" spans="1:13">
      <c r="A13" s="21" t="s">
        <v>51</v>
      </c>
      <c r="B13" s="20" t="s">
        <v>289</v>
      </c>
      <c r="C13" s="20" t="s">
        <v>290</v>
      </c>
      <c r="D13" s="20" t="s">
        <v>291</v>
      </c>
      <c r="E13" s="20" t="s">
        <v>547</v>
      </c>
      <c r="F13" s="20" t="s">
        <v>292</v>
      </c>
      <c r="G13" s="25" t="s">
        <v>88</v>
      </c>
      <c r="H13" s="24" t="s">
        <v>497</v>
      </c>
      <c r="I13" s="21"/>
      <c r="J13" s="21"/>
      <c r="K13" s="21" t="str">
        <f>"65,0"</f>
        <v>65,0</v>
      </c>
      <c r="L13" s="21" t="str">
        <f>"40,6403"</f>
        <v>40,6403</v>
      </c>
      <c r="M13" s="20"/>
    </row>
    <row r="14" spans="1:13">
      <c r="B14" s="5" t="s">
        <v>52</v>
      </c>
    </row>
    <row r="15" spans="1:13">
      <c r="B15"/>
      <c r="C15"/>
      <c r="D15"/>
      <c r="E15"/>
      <c r="F15"/>
      <c r="G15"/>
      <c r="H15"/>
      <c r="I15"/>
    </row>
    <row r="16" spans="1:13">
      <c r="B16"/>
      <c r="C16"/>
      <c r="D16"/>
      <c r="E16"/>
      <c r="F16"/>
      <c r="G16"/>
      <c r="H16"/>
      <c r="I16"/>
    </row>
    <row r="17" spans="2:9">
      <c r="B17"/>
      <c r="C17"/>
      <c r="D17"/>
      <c r="E17"/>
      <c r="F17"/>
      <c r="G17"/>
      <c r="H17"/>
      <c r="I17"/>
    </row>
    <row r="18" spans="2:9">
      <c r="B18"/>
      <c r="C18"/>
      <c r="D18"/>
      <c r="E18"/>
      <c r="F18"/>
      <c r="G18"/>
      <c r="H18"/>
      <c r="I18"/>
    </row>
    <row r="19" spans="2:9">
      <c r="B19"/>
      <c r="C19"/>
      <c r="D19"/>
      <c r="E19"/>
      <c r="F19"/>
      <c r="G19"/>
      <c r="H19"/>
      <c r="I19"/>
    </row>
    <row r="20" spans="2:9">
      <c r="B20"/>
      <c r="C20"/>
      <c r="D20"/>
      <c r="E20"/>
      <c r="F20"/>
      <c r="G20"/>
      <c r="H20"/>
      <c r="I20"/>
    </row>
    <row r="21" spans="2:9">
      <c r="B21"/>
      <c r="C21"/>
      <c r="D21"/>
      <c r="E21"/>
      <c r="F21"/>
      <c r="G21"/>
      <c r="H21"/>
      <c r="I21"/>
    </row>
    <row r="22" spans="2:9">
      <c r="B22"/>
      <c r="C22"/>
      <c r="D22"/>
      <c r="E22"/>
      <c r="F22"/>
      <c r="G22"/>
      <c r="H22"/>
      <c r="I22"/>
    </row>
    <row r="23" spans="2:9">
      <c r="B23"/>
      <c r="C23"/>
      <c r="D23"/>
      <c r="E23"/>
      <c r="F23"/>
      <c r="G23"/>
      <c r="H23"/>
      <c r="I23"/>
    </row>
    <row r="24" spans="2:9">
      <c r="B24"/>
      <c r="C24"/>
      <c r="D24"/>
      <c r="E24"/>
      <c r="F24"/>
      <c r="G24"/>
      <c r="H24"/>
      <c r="I24"/>
    </row>
    <row r="25" spans="2:9">
      <c r="B25"/>
      <c r="C25"/>
      <c r="D25"/>
      <c r="E25"/>
      <c r="F25"/>
      <c r="G25"/>
      <c r="H25"/>
      <c r="I25"/>
    </row>
    <row r="26" spans="2:9">
      <c r="B26"/>
      <c r="C26"/>
      <c r="D26"/>
      <c r="E26"/>
      <c r="F26"/>
      <c r="G26"/>
      <c r="H26"/>
      <c r="I26"/>
    </row>
    <row r="27" spans="2:9">
      <c r="B27"/>
      <c r="C27"/>
      <c r="D27"/>
      <c r="E27"/>
      <c r="F27"/>
      <c r="G27"/>
      <c r="H27"/>
      <c r="I27"/>
    </row>
    <row r="28" spans="2:9">
      <c r="B28"/>
      <c r="C28"/>
      <c r="D28"/>
      <c r="E28"/>
      <c r="F28"/>
      <c r="G28"/>
      <c r="H28"/>
      <c r="I28"/>
    </row>
    <row r="29" spans="2:9">
      <c r="B29"/>
      <c r="C29"/>
      <c r="D29"/>
      <c r="E29"/>
      <c r="F29"/>
      <c r="G29"/>
      <c r="H29"/>
      <c r="I29"/>
    </row>
    <row r="30" spans="2:9">
      <c r="B30"/>
      <c r="C30"/>
      <c r="D30"/>
      <c r="E30"/>
      <c r="F30"/>
      <c r="G30"/>
      <c r="H30"/>
      <c r="I30"/>
    </row>
    <row r="31" spans="2:9">
      <c r="B31"/>
      <c r="C31"/>
      <c r="D31"/>
      <c r="E31"/>
      <c r="F31"/>
      <c r="G31"/>
      <c r="H31"/>
      <c r="I31"/>
    </row>
    <row r="32" spans="2:9">
      <c r="B32"/>
      <c r="C32"/>
      <c r="D32"/>
      <c r="E32"/>
      <c r="F32"/>
      <c r="G32"/>
      <c r="H32"/>
      <c r="I32"/>
    </row>
    <row r="33" spans="2:9">
      <c r="B33"/>
      <c r="C33"/>
      <c r="D33"/>
      <c r="E33"/>
      <c r="F33"/>
      <c r="G33"/>
      <c r="H33"/>
      <c r="I33"/>
    </row>
    <row r="34" spans="2:9">
      <c r="B34"/>
      <c r="C34"/>
      <c r="D34"/>
      <c r="E34"/>
      <c r="F34"/>
      <c r="G34"/>
      <c r="H34"/>
      <c r="I34"/>
    </row>
    <row r="35" spans="2:9">
      <c r="B35"/>
      <c r="C35"/>
      <c r="D35"/>
      <c r="E35"/>
      <c r="F35"/>
      <c r="G35"/>
      <c r="H35"/>
      <c r="I35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3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1.1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43" t="s">
        <v>535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542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200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201</v>
      </c>
      <c r="C6" s="7" t="s">
        <v>202</v>
      </c>
      <c r="D6" s="7" t="s">
        <v>509</v>
      </c>
      <c r="E6" s="7" t="s">
        <v>546</v>
      </c>
      <c r="F6" s="7" t="s">
        <v>26</v>
      </c>
      <c r="G6" s="17" t="s">
        <v>507</v>
      </c>
      <c r="H6" s="17" t="s">
        <v>507</v>
      </c>
      <c r="I6" s="16" t="s">
        <v>507</v>
      </c>
      <c r="J6" s="8"/>
      <c r="K6" s="8" t="str">
        <f>"27,5"</f>
        <v>27,5</v>
      </c>
      <c r="L6" s="8" t="str">
        <f>"30,7147"</f>
        <v>30,7147</v>
      </c>
      <c r="M6" s="7" t="s">
        <v>190</v>
      </c>
    </row>
    <row r="7" spans="1:13">
      <c r="B7" s="5" t="s">
        <v>52</v>
      </c>
    </row>
    <row r="8" spans="1:13" ht="16">
      <c r="A8" s="56" t="s">
        <v>215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51</v>
      </c>
      <c r="B9" s="7" t="s">
        <v>216</v>
      </c>
      <c r="C9" s="7" t="s">
        <v>338</v>
      </c>
      <c r="D9" s="7" t="s">
        <v>510</v>
      </c>
      <c r="E9" s="7" t="s">
        <v>547</v>
      </c>
      <c r="F9" s="7" t="s">
        <v>26</v>
      </c>
      <c r="G9" s="16" t="s">
        <v>511</v>
      </c>
      <c r="H9" s="16" t="s">
        <v>335</v>
      </c>
      <c r="I9" s="17" t="s">
        <v>336</v>
      </c>
      <c r="J9" s="8"/>
      <c r="K9" s="8" t="str">
        <f>"32,5"</f>
        <v>32,5</v>
      </c>
      <c r="L9" s="8" t="str">
        <f>"33,8178"</f>
        <v>33,8178</v>
      </c>
      <c r="M9" s="7" t="s">
        <v>190</v>
      </c>
    </row>
    <row r="10" spans="1:13">
      <c r="B10" s="5" t="s">
        <v>52</v>
      </c>
    </row>
    <row r="11" spans="1:13" ht="16">
      <c r="A11" s="56" t="s">
        <v>10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8" t="s">
        <v>51</v>
      </c>
      <c r="B12" s="7" t="s">
        <v>512</v>
      </c>
      <c r="C12" s="7" t="s">
        <v>513</v>
      </c>
      <c r="D12" s="7" t="s">
        <v>514</v>
      </c>
      <c r="E12" s="7" t="s">
        <v>546</v>
      </c>
      <c r="F12" s="7" t="s">
        <v>515</v>
      </c>
      <c r="G12" s="16" t="s">
        <v>209</v>
      </c>
      <c r="H12" s="16" t="s">
        <v>90</v>
      </c>
      <c r="I12" s="16" t="s">
        <v>204</v>
      </c>
      <c r="J12" s="8"/>
      <c r="K12" s="8" t="str">
        <f>"57,5"</f>
        <v>57,5</v>
      </c>
      <c r="L12" s="8" t="str">
        <f>"40,0488"</f>
        <v>40,0488</v>
      </c>
      <c r="M12" s="7" t="s">
        <v>516</v>
      </c>
    </row>
    <row r="13" spans="1:13">
      <c r="B13" s="5" t="s">
        <v>52</v>
      </c>
    </row>
    <row r="14" spans="1:13">
      <c r="B14"/>
      <c r="C14"/>
      <c r="D14"/>
      <c r="E14"/>
      <c r="F14"/>
      <c r="G14"/>
      <c r="H14"/>
      <c r="I14"/>
      <c r="J14"/>
    </row>
    <row r="15" spans="1:13">
      <c r="B15"/>
      <c r="C15"/>
      <c r="D15"/>
      <c r="E15"/>
      <c r="F15"/>
      <c r="G15"/>
      <c r="H15"/>
      <c r="I15"/>
      <c r="J15"/>
    </row>
    <row r="16" spans="1:13">
      <c r="B16"/>
      <c r="C16"/>
      <c r="D16"/>
      <c r="E16"/>
      <c r="F16"/>
      <c r="G16"/>
      <c r="H16"/>
      <c r="I16"/>
      <c r="J16"/>
    </row>
    <row r="17" spans="2:10">
      <c r="B17"/>
      <c r="C17"/>
      <c r="D17"/>
      <c r="E17"/>
      <c r="F17"/>
      <c r="G17"/>
      <c r="H17"/>
      <c r="I17"/>
      <c r="J17"/>
    </row>
    <row r="18" spans="2:10">
      <c r="B18"/>
      <c r="C18"/>
      <c r="D18"/>
      <c r="E18"/>
      <c r="F18"/>
      <c r="G18"/>
      <c r="H18"/>
      <c r="I18"/>
      <c r="J18"/>
    </row>
    <row r="19" spans="2:10">
      <c r="B19"/>
      <c r="C19"/>
      <c r="D19"/>
      <c r="E19"/>
      <c r="F19"/>
      <c r="G19"/>
      <c r="H19"/>
      <c r="I19"/>
      <c r="J19"/>
    </row>
    <row r="20" spans="2:10">
      <c r="B20"/>
      <c r="C20"/>
      <c r="D20"/>
      <c r="E20"/>
      <c r="F20"/>
      <c r="G20"/>
      <c r="H20"/>
      <c r="I20"/>
      <c r="J20"/>
    </row>
    <row r="21" spans="2:10">
      <c r="B21"/>
      <c r="C21"/>
      <c r="D21"/>
      <c r="E21"/>
      <c r="F21"/>
      <c r="G21"/>
      <c r="H21"/>
      <c r="I21"/>
      <c r="J21"/>
    </row>
    <row r="22" spans="2:10">
      <c r="B22"/>
      <c r="C22"/>
      <c r="D22"/>
      <c r="E22"/>
      <c r="F22"/>
      <c r="G22"/>
      <c r="H22"/>
      <c r="I22"/>
      <c r="J22"/>
    </row>
    <row r="23" spans="2:10">
      <c r="B23"/>
      <c r="C23"/>
      <c r="D23"/>
      <c r="E23"/>
      <c r="F23"/>
      <c r="G23"/>
      <c r="H23"/>
      <c r="I23"/>
      <c r="J23"/>
    </row>
    <row r="24" spans="2:10">
      <c r="B24"/>
      <c r="C24"/>
      <c r="D24"/>
      <c r="E24"/>
      <c r="F24"/>
      <c r="G24"/>
      <c r="H24"/>
      <c r="I24"/>
      <c r="J24"/>
    </row>
    <row r="25" spans="2:10">
      <c r="B25"/>
      <c r="C25"/>
      <c r="D25"/>
      <c r="E25"/>
      <c r="F25"/>
      <c r="G25"/>
      <c r="H25"/>
      <c r="I25"/>
      <c r="J25"/>
    </row>
    <row r="26" spans="2:10">
      <c r="B26"/>
      <c r="C26"/>
      <c r="D26"/>
      <c r="E26"/>
      <c r="F26"/>
      <c r="G26"/>
      <c r="H26"/>
      <c r="I26"/>
      <c r="J26"/>
    </row>
    <row r="27" spans="2:10">
      <c r="B27"/>
      <c r="C27"/>
      <c r="D27"/>
      <c r="E27"/>
      <c r="F27"/>
      <c r="G27"/>
      <c r="H27"/>
      <c r="I27"/>
      <c r="J27"/>
    </row>
    <row r="28" spans="2:10">
      <c r="B28"/>
      <c r="C28"/>
      <c r="D28"/>
      <c r="E28"/>
      <c r="F28"/>
      <c r="G28"/>
      <c r="H28"/>
      <c r="I28"/>
      <c r="J28"/>
    </row>
    <row r="29" spans="2:10">
      <c r="B29"/>
      <c r="C29"/>
      <c r="D29"/>
      <c r="E29"/>
      <c r="F29"/>
      <c r="G29"/>
      <c r="H29"/>
      <c r="I29"/>
      <c r="J29"/>
    </row>
    <row r="30" spans="2:10">
      <c r="B30"/>
      <c r="C30"/>
      <c r="D30"/>
      <c r="E30"/>
      <c r="F30"/>
      <c r="G30"/>
      <c r="H30"/>
      <c r="I30"/>
      <c r="J30"/>
    </row>
    <row r="31" spans="2:10">
      <c r="B31"/>
      <c r="C31"/>
      <c r="D31"/>
      <c r="E31"/>
      <c r="F31"/>
      <c r="G31"/>
      <c r="H31"/>
      <c r="I31"/>
      <c r="J31"/>
    </row>
    <row r="32" spans="2:10">
      <c r="B32"/>
      <c r="C32"/>
      <c r="D32"/>
      <c r="E32"/>
      <c r="F32"/>
      <c r="G32"/>
      <c r="H32"/>
      <c r="I32"/>
      <c r="J32"/>
    </row>
    <row r="33" spans="2:10">
      <c r="B33"/>
      <c r="C33"/>
      <c r="D33"/>
      <c r="E33"/>
      <c r="F33"/>
      <c r="G33"/>
      <c r="H33"/>
      <c r="I33"/>
      <c r="J33"/>
    </row>
    <row r="34" spans="2:10">
      <c r="B34"/>
      <c r="C34"/>
      <c r="D34"/>
      <c r="E34"/>
      <c r="F34"/>
      <c r="G34"/>
      <c r="H34"/>
      <c r="I34"/>
      <c r="J34"/>
    </row>
    <row r="35" spans="2:10">
      <c r="B35"/>
      <c r="C35"/>
      <c r="D35"/>
      <c r="E35"/>
      <c r="F35"/>
      <c r="G35"/>
      <c r="H35"/>
      <c r="I35"/>
      <c r="J35"/>
    </row>
    <row r="36" spans="2:10">
      <c r="B36"/>
      <c r="C36"/>
      <c r="D36"/>
      <c r="E36"/>
      <c r="F36"/>
      <c r="G36"/>
      <c r="H36"/>
      <c r="I36"/>
      <c r="J36"/>
    </row>
    <row r="37" spans="2:10">
      <c r="B37"/>
      <c r="C37"/>
      <c r="D37"/>
      <c r="E37"/>
      <c r="F37"/>
      <c r="G37"/>
      <c r="H37"/>
      <c r="I37"/>
      <c r="J37"/>
    </row>
    <row r="38" spans="2:10">
      <c r="B38"/>
      <c r="C38"/>
      <c r="D38"/>
      <c r="E38"/>
      <c r="F38"/>
      <c r="G38"/>
      <c r="H38"/>
      <c r="I38"/>
      <c r="J38"/>
    </row>
    <row r="39" spans="2:10">
      <c r="B39"/>
      <c r="C39"/>
      <c r="D39"/>
      <c r="E39"/>
      <c r="F39"/>
      <c r="G39"/>
      <c r="H39"/>
      <c r="I39"/>
      <c r="J39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2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5.1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1.5" style="5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24.6640625" style="5" customWidth="1"/>
    <col min="14" max="16384" width="9.1640625" style="3"/>
  </cols>
  <sheetData>
    <row r="1" spans="1:13" s="2" customFormat="1" ht="29" customHeight="1">
      <c r="A1" s="43" t="s">
        <v>536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542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66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191</v>
      </c>
      <c r="C6" s="7" t="s">
        <v>192</v>
      </c>
      <c r="D6" s="7" t="s">
        <v>193</v>
      </c>
      <c r="E6" s="7" t="s">
        <v>546</v>
      </c>
      <c r="F6" s="7" t="s">
        <v>540</v>
      </c>
      <c r="G6" s="16" t="s">
        <v>88</v>
      </c>
      <c r="H6" s="16" t="s">
        <v>91</v>
      </c>
      <c r="I6" s="17" t="s">
        <v>256</v>
      </c>
      <c r="J6" s="8"/>
      <c r="K6" s="8" t="str">
        <f>"70,0"</f>
        <v>70,0</v>
      </c>
      <c r="L6" s="8" t="str">
        <f>"42,5740"</f>
        <v>42,5740</v>
      </c>
      <c r="M6" s="7"/>
    </row>
    <row r="7" spans="1:13">
      <c r="B7" s="5" t="s">
        <v>52</v>
      </c>
    </row>
    <row r="8" spans="1:13">
      <c r="B8"/>
      <c r="C8"/>
      <c r="D8"/>
      <c r="E8"/>
      <c r="F8"/>
      <c r="G8"/>
      <c r="H8"/>
      <c r="I8"/>
      <c r="J8"/>
      <c r="K8"/>
    </row>
    <row r="9" spans="1:13">
      <c r="B9"/>
      <c r="C9"/>
      <c r="D9"/>
      <c r="E9"/>
      <c r="F9"/>
      <c r="G9"/>
      <c r="H9"/>
      <c r="I9"/>
      <c r="J9"/>
      <c r="K9"/>
    </row>
    <row r="10" spans="1:13">
      <c r="B10"/>
      <c r="C10"/>
      <c r="D10"/>
      <c r="E10"/>
      <c r="F10"/>
      <c r="G10"/>
      <c r="H10"/>
      <c r="I10"/>
      <c r="J10"/>
      <c r="K10"/>
    </row>
    <row r="11" spans="1:13">
      <c r="B11"/>
      <c r="C11"/>
      <c r="D11"/>
      <c r="E11"/>
      <c r="F11"/>
      <c r="G11"/>
      <c r="H11"/>
      <c r="I11"/>
      <c r="J11"/>
      <c r="K11"/>
    </row>
    <row r="12" spans="1:13">
      <c r="B12"/>
      <c r="C12"/>
      <c r="D12"/>
      <c r="E12"/>
      <c r="F12"/>
      <c r="G12"/>
      <c r="H12"/>
      <c r="I12"/>
      <c r="J12"/>
      <c r="K12"/>
    </row>
    <row r="13" spans="1:13">
      <c r="B13"/>
      <c r="C13"/>
      <c r="D13"/>
      <c r="E13"/>
      <c r="F13"/>
      <c r="G13"/>
      <c r="H13"/>
      <c r="I13"/>
      <c r="J13"/>
      <c r="K13"/>
    </row>
    <row r="14" spans="1:13">
      <c r="B14"/>
      <c r="C14"/>
      <c r="D14"/>
      <c r="E14"/>
      <c r="F14"/>
      <c r="G14"/>
      <c r="H14"/>
      <c r="I14"/>
      <c r="J14"/>
      <c r="K14"/>
    </row>
    <row r="15" spans="1:13">
      <c r="B15"/>
      <c r="C15"/>
      <c r="D15"/>
      <c r="E15"/>
      <c r="F15"/>
      <c r="G15"/>
      <c r="H15"/>
      <c r="I15"/>
      <c r="J15"/>
      <c r="K15"/>
    </row>
    <row r="16" spans="1:13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  <row r="21" spans="2:11">
      <c r="B21"/>
      <c r="C21"/>
      <c r="D21"/>
      <c r="E21"/>
      <c r="F21"/>
      <c r="G21"/>
      <c r="H21"/>
      <c r="I21"/>
      <c r="J21"/>
      <c r="K21"/>
    </row>
    <row r="22" spans="2:11">
      <c r="B22"/>
      <c r="C22"/>
      <c r="D22"/>
      <c r="E22"/>
      <c r="F22"/>
      <c r="G22"/>
      <c r="H22"/>
      <c r="I22"/>
      <c r="J22"/>
      <c r="K22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5"/>
  <sheetViews>
    <sheetView zoomScaleNormal="100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5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7.1640625" style="5" customWidth="1"/>
    <col min="22" max="16384" width="9.1640625" style="3"/>
  </cols>
  <sheetData>
    <row r="1" spans="1:21" s="2" customFormat="1" ht="29" customHeight="1">
      <c r="A1" s="43" t="s">
        <v>519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7</v>
      </c>
      <c r="H3" s="55"/>
      <c r="I3" s="55"/>
      <c r="J3" s="55"/>
      <c r="K3" s="55" t="s">
        <v>8</v>
      </c>
      <c r="L3" s="55"/>
      <c r="M3" s="55"/>
      <c r="N3" s="55"/>
      <c r="O3" s="55" t="s">
        <v>9</v>
      </c>
      <c r="P3" s="55"/>
      <c r="Q3" s="55"/>
      <c r="R3" s="55"/>
      <c r="S3" s="55" t="s">
        <v>1</v>
      </c>
      <c r="T3" s="55" t="s">
        <v>3</v>
      </c>
      <c r="U3" s="39" t="s">
        <v>2</v>
      </c>
    </row>
    <row r="4" spans="1:21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4"/>
      <c r="T4" s="54"/>
      <c r="U4" s="40"/>
    </row>
    <row r="5" spans="1:21" ht="16">
      <c r="A5" s="41" t="s">
        <v>83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51</v>
      </c>
      <c r="B6" s="7" t="s">
        <v>84</v>
      </c>
      <c r="C6" s="7" t="s">
        <v>85</v>
      </c>
      <c r="D6" s="7" t="s">
        <v>86</v>
      </c>
      <c r="E6" s="7" t="s">
        <v>547</v>
      </c>
      <c r="F6" s="7" t="s">
        <v>26</v>
      </c>
      <c r="G6" s="17" t="s">
        <v>87</v>
      </c>
      <c r="H6" s="16" t="s">
        <v>88</v>
      </c>
      <c r="I6" s="16" t="s">
        <v>89</v>
      </c>
      <c r="J6" s="8"/>
      <c r="K6" s="16" t="s">
        <v>90</v>
      </c>
      <c r="L6" s="17" t="s">
        <v>88</v>
      </c>
      <c r="M6" s="17" t="s">
        <v>88</v>
      </c>
      <c r="N6" s="8"/>
      <c r="O6" s="16" t="s">
        <v>91</v>
      </c>
      <c r="P6" s="16" t="s">
        <v>89</v>
      </c>
      <c r="Q6" s="16" t="s">
        <v>92</v>
      </c>
      <c r="R6" s="8"/>
      <c r="S6" s="8" t="str">
        <f>"225,0"</f>
        <v>225,0</v>
      </c>
      <c r="T6" s="8" t="str">
        <f>"214,4382"</f>
        <v>214,4382</v>
      </c>
      <c r="U6" s="7" t="s">
        <v>93</v>
      </c>
    </row>
    <row r="7" spans="1:21">
      <c r="B7" s="5" t="s">
        <v>52</v>
      </c>
    </row>
    <row r="8" spans="1:21" ht="16">
      <c r="A8" s="56" t="s">
        <v>22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8" t="s">
        <v>51</v>
      </c>
      <c r="B9" s="7" t="s">
        <v>94</v>
      </c>
      <c r="C9" s="7" t="s">
        <v>95</v>
      </c>
      <c r="D9" s="7" t="s">
        <v>96</v>
      </c>
      <c r="E9" s="7" t="s">
        <v>546</v>
      </c>
      <c r="F9" s="7" t="s">
        <v>26</v>
      </c>
      <c r="G9" s="16" t="s">
        <v>27</v>
      </c>
      <c r="H9" s="16" t="s">
        <v>78</v>
      </c>
      <c r="I9" s="16" t="s">
        <v>15</v>
      </c>
      <c r="J9" s="8"/>
      <c r="K9" s="16" t="s">
        <v>92</v>
      </c>
      <c r="L9" s="16" t="s">
        <v>18</v>
      </c>
      <c r="M9" s="16" t="s">
        <v>19</v>
      </c>
      <c r="N9" s="8"/>
      <c r="O9" s="16" t="s">
        <v>29</v>
      </c>
      <c r="P9" s="16" t="s">
        <v>21</v>
      </c>
      <c r="Q9" s="17" t="s">
        <v>17</v>
      </c>
      <c r="R9" s="8"/>
      <c r="S9" s="8" t="str">
        <f>"465,0"</f>
        <v>465,0</v>
      </c>
      <c r="T9" s="8" t="str">
        <f>"406,6890"</f>
        <v>406,6890</v>
      </c>
      <c r="U9" s="7" t="s">
        <v>97</v>
      </c>
    </row>
    <row r="10" spans="1:21">
      <c r="B10" s="5" t="s">
        <v>52</v>
      </c>
    </row>
    <row r="11" spans="1:21" ht="16">
      <c r="A11" s="56" t="s">
        <v>54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1">
      <c r="A12" s="8" t="s">
        <v>51</v>
      </c>
      <c r="B12" s="7" t="s">
        <v>98</v>
      </c>
      <c r="C12" s="7" t="s">
        <v>99</v>
      </c>
      <c r="D12" s="7" t="s">
        <v>100</v>
      </c>
      <c r="E12" s="7" t="s">
        <v>549</v>
      </c>
      <c r="F12" s="7" t="s">
        <v>101</v>
      </c>
      <c r="G12" s="16" t="s">
        <v>19</v>
      </c>
      <c r="H12" s="17" t="s">
        <v>102</v>
      </c>
      <c r="I12" s="17" t="s">
        <v>102</v>
      </c>
      <c r="J12" s="8"/>
      <c r="K12" s="16" t="s">
        <v>89</v>
      </c>
      <c r="L12" s="16" t="s">
        <v>92</v>
      </c>
      <c r="M12" s="17" t="s">
        <v>18</v>
      </c>
      <c r="N12" s="8"/>
      <c r="O12" s="16" t="s">
        <v>28</v>
      </c>
      <c r="P12" s="16" t="s">
        <v>60</v>
      </c>
      <c r="Q12" s="16" t="s">
        <v>103</v>
      </c>
      <c r="R12" s="8"/>
      <c r="S12" s="8" t="str">
        <f>"335,0"</f>
        <v>335,0</v>
      </c>
      <c r="T12" s="8" t="str">
        <f>"282,7065"</f>
        <v>282,7065</v>
      </c>
      <c r="U12" s="7" t="s">
        <v>104</v>
      </c>
    </row>
    <row r="13" spans="1:21">
      <c r="B13" s="5" t="s">
        <v>52</v>
      </c>
    </row>
    <row r="14" spans="1:21" ht="16">
      <c r="A14" s="56" t="s">
        <v>22</v>
      </c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21">
      <c r="A15" s="8" t="s">
        <v>51</v>
      </c>
      <c r="B15" s="7" t="s">
        <v>105</v>
      </c>
      <c r="C15" s="7" t="s">
        <v>106</v>
      </c>
      <c r="D15" s="7" t="s">
        <v>107</v>
      </c>
      <c r="E15" s="7" t="s">
        <v>546</v>
      </c>
      <c r="F15" s="7" t="s">
        <v>58</v>
      </c>
      <c r="G15" s="16" t="s">
        <v>27</v>
      </c>
      <c r="H15" s="16" t="s">
        <v>78</v>
      </c>
      <c r="I15" s="17" t="s">
        <v>29</v>
      </c>
      <c r="J15" s="8"/>
      <c r="K15" s="17" t="s">
        <v>19</v>
      </c>
      <c r="L15" s="17" t="s">
        <v>102</v>
      </c>
      <c r="M15" s="16" t="s">
        <v>102</v>
      </c>
      <c r="N15" s="8"/>
      <c r="O15" s="16" t="s">
        <v>78</v>
      </c>
      <c r="P15" s="17" t="s">
        <v>29</v>
      </c>
      <c r="Q15" s="17" t="s">
        <v>29</v>
      </c>
      <c r="R15" s="8"/>
      <c r="S15" s="8" t="str">
        <f>"450,0"</f>
        <v>450,0</v>
      </c>
      <c r="T15" s="8" t="str">
        <f>"288,0900"</f>
        <v>288,0900</v>
      </c>
      <c r="U15" s="7" t="s">
        <v>65</v>
      </c>
    </row>
    <row r="16" spans="1:21">
      <c r="B16" s="5" t="s">
        <v>52</v>
      </c>
    </row>
    <row r="17" spans="1:21" ht="16">
      <c r="A17" s="56" t="s">
        <v>66</v>
      </c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1">
      <c r="A18" s="19" t="s">
        <v>51</v>
      </c>
      <c r="B18" s="18" t="s">
        <v>108</v>
      </c>
      <c r="C18" s="18" t="s">
        <v>109</v>
      </c>
      <c r="D18" s="18" t="s">
        <v>110</v>
      </c>
      <c r="E18" s="14" t="s">
        <v>546</v>
      </c>
      <c r="F18" s="31" t="s">
        <v>111</v>
      </c>
      <c r="G18" s="22" t="s">
        <v>34</v>
      </c>
      <c r="H18" s="22" t="s">
        <v>112</v>
      </c>
      <c r="I18" s="22" t="s">
        <v>35</v>
      </c>
      <c r="J18" s="19"/>
      <c r="K18" s="22" t="s">
        <v>39</v>
      </c>
      <c r="L18" s="22" t="s">
        <v>17</v>
      </c>
      <c r="M18" s="22" t="s">
        <v>113</v>
      </c>
      <c r="N18" s="19"/>
      <c r="O18" s="22" t="s">
        <v>114</v>
      </c>
      <c r="P18" s="22" t="s">
        <v>115</v>
      </c>
      <c r="Q18" s="19"/>
      <c r="R18" s="19"/>
      <c r="S18" s="19" t="str">
        <f>"787,5"</f>
        <v>787,5</v>
      </c>
      <c r="T18" s="19" t="str">
        <f>"481,2413"</f>
        <v>481,2413</v>
      </c>
      <c r="U18" s="18"/>
    </row>
    <row r="19" spans="1:21">
      <c r="A19" s="27" t="s">
        <v>133</v>
      </c>
      <c r="B19" s="26" t="s">
        <v>116</v>
      </c>
      <c r="C19" s="26" t="s">
        <v>117</v>
      </c>
      <c r="D19" s="26" t="s">
        <v>118</v>
      </c>
      <c r="E19" s="13" t="s">
        <v>546</v>
      </c>
      <c r="F19" s="32" t="s">
        <v>26</v>
      </c>
      <c r="G19" s="28" t="s">
        <v>119</v>
      </c>
      <c r="H19" s="28" t="s">
        <v>120</v>
      </c>
      <c r="I19" s="28" t="s">
        <v>121</v>
      </c>
      <c r="J19" s="27"/>
      <c r="K19" s="29" t="s">
        <v>27</v>
      </c>
      <c r="L19" s="28" t="s">
        <v>27</v>
      </c>
      <c r="M19" s="29" t="s">
        <v>122</v>
      </c>
      <c r="N19" s="27"/>
      <c r="O19" s="28" t="s">
        <v>123</v>
      </c>
      <c r="P19" s="28" t="s">
        <v>124</v>
      </c>
      <c r="Q19" s="28" t="s">
        <v>121</v>
      </c>
      <c r="R19" s="27"/>
      <c r="S19" s="27" t="str">
        <f>"670,0"</f>
        <v>670,0</v>
      </c>
      <c r="T19" s="27" t="str">
        <f>"408,4320"</f>
        <v>408,4320</v>
      </c>
      <c r="U19" s="26"/>
    </row>
    <row r="20" spans="1:21">
      <c r="A20" s="21" t="s">
        <v>134</v>
      </c>
      <c r="B20" s="20" t="s">
        <v>125</v>
      </c>
      <c r="C20" s="20" t="s">
        <v>126</v>
      </c>
      <c r="D20" s="20" t="s">
        <v>110</v>
      </c>
      <c r="E20" s="30" t="s">
        <v>546</v>
      </c>
      <c r="F20" s="33" t="s">
        <v>26</v>
      </c>
      <c r="G20" s="25" t="s">
        <v>127</v>
      </c>
      <c r="H20" s="25" t="s">
        <v>128</v>
      </c>
      <c r="I20" s="25" t="s">
        <v>123</v>
      </c>
      <c r="J20" s="21"/>
      <c r="K20" s="24" t="s">
        <v>78</v>
      </c>
      <c r="L20" s="25" t="s">
        <v>15</v>
      </c>
      <c r="M20" s="24" t="s">
        <v>29</v>
      </c>
      <c r="N20" s="21"/>
      <c r="O20" s="24" t="s">
        <v>127</v>
      </c>
      <c r="P20" s="24" t="s">
        <v>127</v>
      </c>
      <c r="Q20" s="25" t="s">
        <v>127</v>
      </c>
      <c r="R20" s="21"/>
      <c r="S20" s="21" t="str">
        <f>"630,0"</f>
        <v>630,0</v>
      </c>
      <c r="T20" s="21" t="str">
        <f>"384,9930"</f>
        <v>384,9930</v>
      </c>
      <c r="U20" s="20" t="s">
        <v>129</v>
      </c>
    </row>
    <row r="21" spans="1:21">
      <c r="B21" s="5" t="s">
        <v>52</v>
      </c>
    </row>
    <row r="22" spans="1:21">
      <c r="B22"/>
      <c r="C22"/>
      <c r="D22"/>
      <c r="E22"/>
      <c r="F22"/>
      <c r="G22"/>
    </row>
    <row r="23" spans="1:21">
      <c r="B23"/>
      <c r="C23"/>
      <c r="D23"/>
      <c r="E23"/>
      <c r="F23"/>
      <c r="G23"/>
    </row>
    <row r="24" spans="1:21">
      <c r="B24"/>
      <c r="C24"/>
      <c r="D24"/>
      <c r="E24"/>
      <c r="F24"/>
      <c r="G24"/>
    </row>
    <row r="25" spans="1:21">
      <c r="B25"/>
      <c r="C25"/>
      <c r="D25"/>
      <c r="E25"/>
      <c r="F25"/>
      <c r="G25"/>
    </row>
    <row r="26" spans="1:21">
      <c r="B26"/>
      <c r="C26"/>
      <c r="D26"/>
      <c r="E26"/>
      <c r="F26"/>
      <c r="G26"/>
    </row>
    <row r="27" spans="1:21">
      <c r="B27"/>
      <c r="C27"/>
      <c r="D27"/>
      <c r="E27"/>
      <c r="F27"/>
      <c r="G27"/>
    </row>
    <row r="28" spans="1:21">
      <c r="B28"/>
      <c r="C28"/>
      <c r="D28"/>
      <c r="E28"/>
      <c r="F28"/>
      <c r="G28"/>
    </row>
    <row r="29" spans="1:21">
      <c r="B29"/>
      <c r="C29"/>
      <c r="D29"/>
      <c r="E29"/>
      <c r="F29"/>
      <c r="G29"/>
    </row>
    <row r="30" spans="1:21">
      <c r="B30"/>
      <c r="C30"/>
      <c r="D30"/>
      <c r="E30"/>
      <c r="F30"/>
      <c r="G30"/>
    </row>
    <row r="31" spans="1:21">
      <c r="B31"/>
      <c r="C31"/>
      <c r="D31"/>
      <c r="E31"/>
      <c r="F31"/>
      <c r="G31"/>
    </row>
    <row r="32" spans="1:21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</row>
    <row r="48" spans="2:7">
      <c r="B48"/>
      <c r="C48"/>
      <c r="D48"/>
      <c r="E48"/>
      <c r="F48"/>
    </row>
    <row r="49" spans="2:6">
      <c r="B49"/>
      <c r="C49"/>
      <c r="D49"/>
      <c r="E49"/>
      <c r="F49"/>
    </row>
    <row r="50" spans="2:6">
      <c r="B50"/>
      <c r="C50"/>
      <c r="D50"/>
      <c r="E50"/>
      <c r="F50"/>
    </row>
    <row r="51" spans="2:6">
      <c r="B51"/>
      <c r="C51"/>
      <c r="D51"/>
      <c r="E51"/>
      <c r="F51"/>
    </row>
    <row r="52" spans="2:6">
      <c r="B52"/>
      <c r="C52"/>
      <c r="D52"/>
      <c r="E52"/>
      <c r="F52"/>
    </row>
    <row r="53" spans="2:6">
      <c r="B53"/>
      <c r="C53"/>
      <c r="D53"/>
      <c r="E53"/>
      <c r="F53"/>
    </row>
    <row r="54" spans="2:6">
      <c r="B54"/>
      <c r="C54"/>
      <c r="D54"/>
      <c r="E54"/>
      <c r="F54"/>
    </row>
    <row r="55" spans="2:6">
      <c r="B55"/>
      <c r="C55"/>
      <c r="D55"/>
      <c r="E55"/>
      <c r="F55"/>
    </row>
  </sheetData>
  <mergeCells count="18">
    <mergeCell ref="A8:R8"/>
    <mergeCell ref="A11:R11"/>
    <mergeCell ref="A14:R14"/>
    <mergeCell ref="A17:R17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Normal="100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24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0" style="5" customWidth="1"/>
    <col min="22" max="16384" width="9.1640625" style="3"/>
  </cols>
  <sheetData>
    <row r="1" spans="1:21" s="2" customFormat="1" ht="29" customHeight="1">
      <c r="A1" s="43" t="s">
        <v>520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7</v>
      </c>
      <c r="H3" s="55"/>
      <c r="I3" s="55"/>
      <c r="J3" s="55"/>
      <c r="K3" s="55" t="s">
        <v>8</v>
      </c>
      <c r="L3" s="55"/>
      <c r="M3" s="55"/>
      <c r="N3" s="55"/>
      <c r="O3" s="55" t="s">
        <v>9</v>
      </c>
      <c r="P3" s="55"/>
      <c r="Q3" s="55"/>
      <c r="R3" s="55"/>
      <c r="S3" s="55" t="s">
        <v>1</v>
      </c>
      <c r="T3" s="55" t="s">
        <v>3</v>
      </c>
      <c r="U3" s="39" t="s">
        <v>2</v>
      </c>
    </row>
    <row r="4" spans="1:21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4"/>
      <c r="T4" s="54"/>
      <c r="U4" s="40"/>
    </row>
    <row r="5" spans="1:21" ht="16">
      <c r="A5" s="41" t="s">
        <v>54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51</v>
      </c>
      <c r="B6" s="7" t="s">
        <v>55</v>
      </c>
      <c r="C6" s="7" t="s">
        <v>56</v>
      </c>
      <c r="D6" s="7" t="s">
        <v>57</v>
      </c>
      <c r="E6" s="7" t="s">
        <v>550</v>
      </c>
      <c r="F6" s="7" t="s">
        <v>58</v>
      </c>
      <c r="G6" s="16" t="s">
        <v>59</v>
      </c>
      <c r="H6" s="16" t="s">
        <v>60</v>
      </c>
      <c r="I6" s="17" t="s">
        <v>61</v>
      </c>
      <c r="J6" s="8"/>
      <c r="K6" s="16" t="s">
        <v>62</v>
      </c>
      <c r="L6" s="17" t="s">
        <v>63</v>
      </c>
      <c r="M6" s="17" t="s">
        <v>63</v>
      </c>
      <c r="N6" s="8"/>
      <c r="O6" s="16" t="s">
        <v>20</v>
      </c>
      <c r="P6" s="16" t="s">
        <v>64</v>
      </c>
      <c r="Q6" s="17" t="s">
        <v>28</v>
      </c>
      <c r="R6" s="8"/>
      <c r="S6" s="8" t="str">
        <f>"295,0"</f>
        <v>295,0</v>
      </c>
      <c r="T6" s="8" t="str">
        <f>"302,6995"</f>
        <v>302,6995</v>
      </c>
      <c r="U6" s="7" t="s">
        <v>65</v>
      </c>
    </row>
    <row r="7" spans="1:21">
      <c r="B7" s="5" t="s">
        <v>52</v>
      </c>
    </row>
    <row r="8" spans="1:21" ht="16">
      <c r="A8" s="56" t="s">
        <v>66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19" t="s">
        <v>51</v>
      </c>
      <c r="B9" s="18" t="s">
        <v>67</v>
      </c>
      <c r="C9" s="18" t="s">
        <v>68</v>
      </c>
      <c r="D9" s="18" t="s">
        <v>69</v>
      </c>
      <c r="E9" s="18" t="s">
        <v>550</v>
      </c>
      <c r="F9" s="18" t="s">
        <v>26</v>
      </c>
      <c r="G9" s="22" t="s">
        <v>70</v>
      </c>
      <c r="H9" s="22" t="s">
        <v>71</v>
      </c>
      <c r="I9" s="22" t="s">
        <v>15</v>
      </c>
      <c r="J9" s="19"/>
      <c r="K9" s="22" t="s">
        <v>72</v>
      </c>
      <c r="L9" s="23" t="s">
        <v>61</v>
      </c>
      <c r="M9" s="23" t="s">
        <v>61</v>
      </c>
      <c r="N9" s="19"/>
      <c r="O9" s="23" t="s">
        <v>73</v>
      </c>
      <c r="P9" s="22" t="s">
        <v>73</v>
      </c>
      <c r="Q9" s="22" t="s">
        <v>17</v>
      </c>
      <c r="R9" s="19"/>
      <c r="S9" s="19" t="str">
        <f>"505,0"</f>
        <v>505,0</v>
      </c>
      <c r="T9" s="19" t="str">
        <f>"308,9590"</f>
        <v>308,9590</v>
      </c>
      <c r="U9" s="18" t="s">
        <v>74</v>
      </c>
    </row>
    <row r="10" spans="1:21">
      <c r="A10" s="21" t="s">
        <v>51</v>
      </c>
      <c r="B10" s="20" t="s">
        <v>75</v>
      </c>
      <c r="C10" s="20" t="s">
        <v>76</v>
      </c>
      <c r="D10" s="20" t="s">
        <v>77</v>
      </c>
      <c r="E10" s="20" t="s">
        <v>546</v>
      </c>
      <c r="F10" s="20" t="s">
        <v>26</v>
      </c>
      <c r="G10" s="24" t="s">
        <v>27</v>
      </c>
      <c r="H10" s="25" t="s">
        <v>27</v>
      </c>
      <c r="I10" s="25" t="s">
        <v>29</v>
      </c>
      <c r="J10" s="21"/>
      <c r="K10" s="25" t="s">
        <v>19</v>
      </c>
      <c r="L10" s="24" t="s">
        <v>64</v>
      </c>
      <c r="M10" s="24" t="s">
        <v>64</v>
      </c>
      <c r="N10" s="21"/>
      <c r="O10" s="25" t="s">
        <v>78</v>
      </c>
      <c r="P10" s="25" t="s">
        <v>29</v>
      </c>
      <c r="Q10" s="24" t="s">
        <v>17</v>
      </c>
      <c r="R10" s="21"/>
      <c r="S10" s="21" t="str">
        <f>"460,0"</f>
        <v>460,0</v>
      </c>
      <c r="T10" s="21" t="str">
        <f>"283,7740"</f>
        <v>283,7740</v>
      </c>
      <c r="U10" s="20" t="s">
        <v>79</v>
      </c>
    </row>
    <row r="11" spans="1:21">
      <c r="B11" s="5" t="s">
        <v>52</v>
      </c>
    </row>
    <row r="12" spans="1:21">
      <c r="A12"/>
      <c r="B12"/>
      <c r="C12"/>
      <c r="D12"/>
      <c r="E12"/>
      <c r="F12"/>
      <c r="G12"/>
      <c r="H12"/>
      <c r="I12"/>
      <c r="J12"/>
    </row>
    <row r="13" spans="1:21">
      <c r="A13"/>
      <c r="B13"/>
      <c r="C13"/>
      <c r="D13"/>
      <c r="E13"/>
      <c r="F13"/>
      <c r="G13"/>
      <c r="H13"/>
      <c r="I13"/>
      <c r="J13"/>
    </row>
    <row r="14" spans="1:21">
      <c r="A14"/>
      <c r="B14"/>
      <c r="C14"/>
      <c r="D14"/>
      <c r="E14"/>
      <c r="F14"/>
      <c r="G14"/>
      <c r="H14"/>
      <c r="I14"/>
      <c r="J14"/>
    </row>
    <row r="15" spans="1:21">
      <c r="A15"/>
      <c r="B15"/>
      <c r="C15"/>
      <c r="D15"/>
      <c r="E15"/>
      <c r="F15"/>
      <c r="G15"/>
      <c r="H15"/>
      <c r="I15"/>
      <c r="J15"/>
    </row>
    <row r="16" spans="1:21">
      <c r="A16"/>
      <c r="B16"/>
      <c r="C16"/>
      <c r="D16"/>
      <c r="E16"/>
      <c r="F16"/>
      <c r="G16"/>
      <c r="H16"/>
      <c r="I16"/>
      <c r="J16"/>
    </row>
    <row r="17" spans="1:10">
      <c r="A17"/>
      <c r="B17"/>
      <c r="C17"/>
      <c r="D17"/>
      <c r="E17"/>
      <c r="F17"/>
      <c r="G17"/>
      <c r="H17"/>
      <c r="I17"/>
      <c r="J17"/>
    </row>
    <row r="18" spans="1:10">
      <c r="A18"/>
      <c r="B18"/>
      <c r="C18"/>
      <c r="D18"/>
      <c r="E18"/>
      <c r="F18"/>
      <c r="G18"/>
      <c r="H18"/>
      <c r="I18"/>
      <c r="J18"/>
    </row>
    <row r="19" spans="1:10">
      <c r="A19"/>
      <c r="B19"/>
      <c r="C19"/>
      <c r="D19"/>
      <c r="E19"/>
      <c r="F19"/>
      <c r="G19"/>
      <c r="H19"/>
      <c r="I19"/>
      <c r="J19"/>
    </row>
    <row r="20" spans="1:10">
      <c r="A20"/>
      <c r="B20"/>
      <c r="C20"/>
      <c r="D20"/>
      <c r="E20"/>
      <c r="F20"/>
      <c r="G20"/>
      <c r="H20"/>
      <c r="I20"/>
      <c r="J20"/>
    </row>
    <row r="21" spans="1:10">
      <c r="A21"/>
      <c r="B21"/>
      <c r="C21"/>
      <c r="D21"/>
      <c r="E21"/>
      <c r="F21"/>
      <c r="G21"/>
      <c r="H21"/>
      <c r="I21"/>
      <c r="J21"/>
    </row>
    <row r="22" spans="1:10">
      <c r="A22"/>
      <c r="B22"/>
      <c r="C22"/>
      <c r="D22"/>
      <c r="E22"/>
      <c r="F22"/>
      <c r="G22"/>
      <c r="H22"/>
      <c r="I22"/>
      <c r="J22"/>
    </row>
    <row r="23" spans="1:10">
      <c r="A23"/>
      <c r="B23"/>
      <c r="C23"/>
      <c r="D23"/>
      <c r="E23"/>
      <c r="F23"/>
      <c r="G23"/>
      <c r="H23"/>
      <c r="I23"/>
      <c r="J23"/>
    </row>
    <row r="24" spans="1:10">
      <c r="A24"/>
      <c r="B24"/>
      <c r="C24"/>
      <c r="D24"/>
      <c r="E24"/>
      <c r="F24"/>
      <c r="G24"/>
      <c r="H24"/>
      <c r="I24"/>
      <c r="J24"/>
    </row>
    <row r="25" spans="1:10">
      <c r="A25"/>
      <c r="B25"/>
      <c r="C25"/>
      <c r="D25"/>
      <c r="E25"/>
      <c r="F25"/>
      <c r="G25"/>
      <c r="H25"/>
      <c r="I25"/>
      <c r="J25"/>
    </row>
    <row r="26" spans="1:10">
      <c r="A26"/>
      <c r="B26"/>
      <c r="C26"/>
      <c r="D26"/>
      <c r="E26"/>
      <c r="F26"/>
      <c r="G26"/>
      <c r="H26"/>
      <c r="I26"/>
      <c r="J26"/>
    </row>
    <row r="27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pageSetUpPr fitToPage="1"/>
  </sheetPr>
  <dimension ref="A1:U29"/>
  <sheetViews>
    <sheetView zoomScaleNormal="100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4.1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34" bestFit="1" customWidth="1"/>
    <col min="20" max="20" width="8.5" style="6" bestFit="1" customWidth="1"/>
    <col min="21" max="21" width="16.1640625" style="5" bestFit="1" customWidth="1"/>
    <col min="22" max="16384" width="9.1640625" style="3"/>
  </cols>
  <sheetData>
    <row r="1" spans="1:21" s="2" customFormat="1" ht="29" customHeight="1">
      <c r="A1" s="43" t="s">
        <v>521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7</v>
      </c>
      <c r="H3" s="55"/>
      <c r="I3" s="55"/>
      <c r="J3" s="55"/>
      <c r="K3" s="55" t="s">
        <v>8</v>
      </c>
      <c r="L3" s="55"/>
      <c r="M3" s="55"/>
      <c r="N3" s="55"/>
      <c r="O3" s="55" t="s">
        <v>9</v>
      </c>
      <c r="P3" s="55"/>
      <c r="Q3" s="55"/>
      <c r="R3" s="55"/>
      <c r="S3" s="60" t="s">
        <v>1</v>
      </c>
      <c r="T3" s="55" t="s">
        <v>3</v>
      </c>
      <c r="U3" s="39" t="s">
        <v>2</v>
      </c>
    </row>
    <row r="4" spans="1:21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54"/>
      <c r="U4" s="40"/>
    </row>
    <row r="5" spans="1:21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51</v>
      </c>
      <c r="B6" s="7" t="s">
        <v>11</v>
      </c>
      <c r="C6" s="7" t="s">
        <v>12</v>
      </c>
      <c r="D6" s="7" t="s">
        <v>13</v>
      </c>
      <c r="E6" s="7" t="s">
        <v>546</v>
      </c>
      <c r="F6" s="7" t="s">
        <v>14</v>
      </c>
      <c r="G6" s="16" t="s">
        <v>15</v>
      </c>
      <c r="H6" s="16" t="s">
        <v>16</v>
      </c>
      <c r="I6" s="16" t="s">
        <v>17</v>
      </c>
      <c r="J6" s="8"/>
      <c r="K6" s="16" t="s">
        <v>18</v>
      </c>
      <c r="L6" s="16" t="s">
        <v>19</v>
      </c>
      <c r="M6" s="16" t="s">
        <v>20</v>
      </c>
      <c r="N6" s="8"/>
      <c r="O6" s="16" t="s">
        <v>15</v>
      </c>
      <c r="P6" s="16" t="s">
        <v>21</v>
      </c>
      <c r="Q6" s="16" t="s">
        <v>16</v>
      </c>
      <c r="R6" s="8"/>
      <c r="S6" s="35" t="str">
        <f>"500,0"</f>
        <v>500,0</v>
      </c>
      <c r="T6" s="8" t="str">
        <f>"360,7000"</f>
        <v>360,7000</v>
      </c>
      <c r="U6" s="7"/>
    </row>
    <row r="7" spans="1:21">
      <c r="B7" s="5" t="s">
        <v>52</v>
      </c>
    </row>
    <row r="8" spans="1:21" ht="16">
      <c r="A8" s="56" t="s">
        <v>22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8" t="s">
        <v>53</v>
      </c>
      <c r="B9" s="7" t="s">
        <v>23</v>
      </c>
      <c r="C9" s="7" t="s">
        <v>24</v>
      </c>
      <c r="D9" s="7" t="s">
        <v>25</v>
      </c>
      <c r="E9" s="7" t="s">
        <v>546</v>
      </c>
      <c r="F9" s="7" t="s">
        <v>26</v>
      </c>
      <c r="G9" s="17" t="s">
        <v>27</v>
      </c>
      <c r="H9" s="17" t="s">
        <v>27</v>
      </c>
      <c r="I9" s="17" t="s">
        <v>27</v>
      </c>
      <c r="J9" s="8"/>
      <c r="K9" s="17"/>
      <c r="L9" s="8"/>
      <c r="M9" s="8"/>
      <c r="N9" s="8"/>
      <c r="O9" s="17"/>
      <c r="P9" s="8"/>
      <c r="Q9" s="8"/>
      <c r="R9" s="8"/>
      <c r="S9" s="35">
        <v>0</v>
      </c>
      <c r="T9" s="8" t="str">
        <f>"0,0000"</f>
        <v>0,0000</v>
      </c>
      <c r="U9" s="7"/>
    </row>
    <row r="10" spans="1:21">
      <c r="B10" s="5" t="s">
        <v>52</v>
      </c>
    </row>
    <row r="11" spans="1:21" ht="16">
      <c r="A11" s="56" t="s">
        <v>30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1">
      <c r="A12" s="8" t="s">
        <v>51</v>
      </c>
      <c r="B12" s="7" t="s">
        <v>31</v>
      </c>
      <c r="C12" s="7" t="s">
        <v>32</v>
      </c>
      <c r="D12" s="7" t="s">
        <v>33</v>
      </c>
      <c r="E12" s="7" t="s">
        <v>546</v>
      </c>
      <c r="F12" s="7" t="s">
        <v>26</v>
      </c>
      <c r="G12" s="16" t="s">
        <v>34</v>
      </c>
      <c r="H12" s="16" t="s">
        <v>35</v>
      </c>
      <c r="I12" s="16" t="s">
        <v>36</v>
      </c>
      <c r="J12" s="8"/>
      <c r="K12" s="17" t="s">
        <v>37</v>
      </c>
      <c r="L12" s="16" t="s">
        <v>38</v>
      </c>
      <c r="M12" s="17" t="s">
        <v>39</v>
      </c>
      <c r="N12" s="8"/>
      <c r="O12" s="16" t="s">
        <v>40</v>
      </c>
      <c r="P12" s="16" t="s">
        <v>41</v>
      </c>
      <c r="Q12" s="17" t="s">
        <v>42</v>
      </c>
      <c r="R12" s="8"/>
      <c r="S12" s="35" t="str">
        <f>"792,5"</f>
        <v>792,5</v>
      </c>
      <c r="T12" s="8" t="str">
        <f>"457,5895"</f>
        <v>457,5895</v>
      </c>
      <c r="U12" s="7" t="s">
        <v>43</v>
      </c>
    </row>
    <row r="13" spans="1:21">
      <c r="B13" s="5" t="s">
        <v>52</v>
      </c>
    </row>
    <row r="14" spans="1:21">
      <c r="A14"/>
      <c r="B14"/>
      <c r="C14"/>
      <c r="D14"/>
      <c r="E14"/>
      <c r="F14"/>
      <c r="G14"/>
      <c r="H14"/>
      <c r="I14"/>
    </row>
    <row r="15" spans="1:21">
      <c r="A15"/>
      <c r="B15"/>
      <c r="C15"/>
      <c r="D15"/>
      <c r="E15"/>
      <c r="F15"/>
      <c r="G15"/>
      <c r="H15"/>
      <c r="I15"/>
    </row>
    <row r="16" spans="1:21">
      <c r="A16"/>
      <c r="B16"/>
      <c r="C16"/>
      <c r="D16"/>
      <c r="E16"/>
      <c r="F16"/>
      <c r="G16"/>
      <c r="H16"/>
      <c r="I16"/>
    </row>
    <row r="17" spans="1:9">
      <c r="A17"/>
      <c r="B17"/>
      <c r="C17"/>
      <c r="D17"/>
      <c r="E17"/>
      <c r="F17"/>
      <c r="G17"/>
      <c r="H17"/>
      <c r="I17"/>
    </row>
    <row r="18" spans="1:9">
      <c r="A18"/>
      <c r="B18"/>
      <c r="C18"/>
      <c r="D18"/>
      <c r="E18"/>
      <c r="F18"/>
      <c r="G18"/>
      <c r="H18"/>
      <c r="I18"/>
    </row>
    <row r="19" spans="1:9">
      <c r="A19"/>
      <c r="B19"/>
      <c r="C19"/>
      <c r="D19"/>
      <c r="E19"/>
      <c r="F19"/>
      <c r="G19"/>
      <c r="H19"/>
      <c r="I19"/>
    </row>
    <row r="20" spans="1:9">
      <c r="A20"/>
      <c r="B20"/>
      <c r="C20"/>
      <c r="D20"/>
      <c r="E20"/>
      <c r="F20"/>
      <c r="G20"/>
      <c r="H20"/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</sheetData>
  <mergeCells count="16">
    <mergeCell ref="A5:R5"/>
    <mergeCell ref="A8:R8"/>
    <mergeCell ref="A11:R11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9.66406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8.16406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3.1640625" style="5" customWidth="1"/>
    <col min="18" max="16384" width="9.1640625" style="3"/>
  </cols>
  <sheetData>
    <row r="1" spans="1:17" s="2" customFormat="1" ht="29" customHeight="1">
      <c r="A1" s="43" t="s">
        <v>522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9</v>
      </c>
      <c r="L3" s="55"/>
      <c r="M3" s="55"/>
      <c r="N3" s="55"/>
      <c r="O3" s="55" t="s">
        <v>1</v>
      </c>
      <c r="P3" s="55" t="s">
        <v>3</v>
      </c>
      <c r="Q3" s="39" t="s">
        <v>2</v>
      </c>
    </row>
    <row r="4" spans="1:17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4"/>
      <c r="P4" s="54"/>
      <c r="Q4" s="40"/>
    </row>
    <row r="5" spans="1:17" ht="16">
      <c r="A5" s="41" t="s">
        <v>54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8" t="s">
        <v>51</v>
      </c>
      <c r="B6" s="7" t="s">
        <v>487</v>
      </c>
      <c r="C6" s="7" t="s">
        <v>488</v>
      </c>
      <c r="D6" s="7" t="s">
        <v>489</v>
      </c>
      <c r="E6" s="7" t="s">
        <v>551</v>
      </c>
      <c r="F6" s="7" t="s">
        <v>26</v>
      </c>
      <c r="G6" s="16" t="s">
        <v>331</v>
      </c>
      <c r="H6" s="16" t="s">
        <v>490</v>
      </c>
      <c r="I6" s="17" t="s">
        <v>92</v>
      </c>
      <c r="J6" s="8"/>
      <c r="K6" s="16" t="s">
        <v>59</v>
      </c>
      <c r="L6" s="16" t="s">
        <v>60</v>
      </c>
      <c r="M6" s="16" t="s">
        <v>61</v>
      </c>
      <c r="N6" s="8"/>
      <c r="O6" s="8" t="str">
        <f>"227,5"</f>
        <v>227,5</v>
      </c>
      <c r="P6" s="8" t="str">
        <f>"187,3462"</f>
        <v>187,3462</v>
      </c>
      <c r="Q6" s="7" t="s">
        <v>149</v>
      </c>
    </row>
    <row r="7" spans="1:17">
      <c r="B7" s="5" t="s">
        <v>52</v>
      </c>
    </row>
    <row r="8" spans="1:17" ht="16">
      <c r="A8" s="56" t="s">
        <v>10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>
      <c r="A9" s="8" t="s">
        <v>51</v>
      </c>
      <c r="B9" s="7" t="s">
        <v>135</v>
      </c>
      <c r="C9" s="7" t="s">
        <v>136</v>
      </c>
      <c r="D9" s="7" t="s">
        <v>137</v>
      </c>
      <c r="E9" s="7" t="s">
        <v>549</v>
      </c>
      <c r="F9" s="7" t="s">
        <v>26</v>
      </c>
      <c r="G9" s="16" t="s">
        <v>256</v>
      </c>
      <c r="H9" s="17" t="s">
        <v>331</v>
      </c>
      <c r="I9" s="17" t="s">
        <v>331</v>
      </c>
      <c r="J9" s="8"/>
      <c r="K9" s="17" t="s">
        <v>28</v>
      </c>
      <c r="L9" s="16" t="s">
        <v>28</v>
      </c>
      <c r="M9" s="16" t="s">
        <v>72</v>
      </c>
      <c r="N9" s="8"/>
      <c r="O9" s="8" t="str">
        <f>"205,0"</f>
        <v>205,0</v>
      </c>
      <c r="P9" s="8" t="str">
        <f>"156,4150"</f>
        <v>156,4150</v>
      </c>
      <c r="Q9" s="7" t="s">
        <v>79</v>
      </c>
    </row>
    <row r="10" spans="1:17">
      <c r="B10" s="5" t="s">
        <v>52</v>
      </c>
    </row>
    <row r="11" spans="1:17" ht="16">
      <c r="A11" s="56" t="s">
        <v>173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7">
      <c r="A12" s="8" t="s">
        <v>51</v>
      </c>
      <c r="B12" s="7" t="s">
        <v>484</v>
      </c>
      <c r="C12" s="7" t="s">
        <v>485</v>
      </c>
      <c r="D12" s="7" t="s">
        <v>486</v>
      </c>
      <c r="E12" s="7" t="s">
        <v>552</v>
      </c>
      <c r="F12" s="7" t="s">
        <v>153</v>
      </c>
      <c r="G12" s="16" t="s">
        <v>64</v>
      </c>
      <c r="H12" s="16" t="s">
        <v>265</v>
      </c>
      <c r="I12" s="16" t="s">
        <v>28</v>
      </c>
      <c r="J12" s="8"/>
      <c r="K12" s="16" t="s">
        <v>21</v>
      </c>
      <c r="L12" s="16" t="s">
        <v>16</v>
      </c>
      <c r="M12" s="16" t="s">
        <v>17</v>
      </c>
      <c r="N12" s="8"/>
      <c r="O12" s="8" t="str">
        <f>"320,0"</f>
        <v>320,0</v>
      </c>
      <c r="P12" s="8" t="str">
        <f>"298,0642"</f>
        <v>298,0642</v>
      </c>
      <c r="Q12" s="7"/>
    </row>
    <row r="13" spans="1:17">
      <c r="B13" s="5" t="s">
        <v>52</v>
      </c>
    </row>
    <row r="14" spans="1:1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6.66406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9.6640625" style="5" customWidth="1"/>
    <col min="18" max="16384" width="9.1640625" style="3"/>
  </cols>
  <sheetData>
    <row r="1" spans="1:17" s="2" customFormat="1" ht="29" customHeight="1">
      <c r="A1" s="43" t="s">
        <v>523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9</v>
      </c>
      <c r="L3" s="55"/>
      <c r="M3" s="55"/>
      <c r="N3" s="55"/>
      <c r="O3" s="55" t="s">
        <v>1</v>
      </c>
      <c r="P3" s="55" t="s">
        <v>3</v>
      </c>
      <c r="Q3" s="39" t="s">
        <v>2</v>
      </c>
    </row>
    <row r="4" spans="1:17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4"/>
      <c r="P4" s="54"/>
      <c r="Q4" s="40"/>
    </row>
    <row r="5" spans="1:17" ht="16">
      <c r="A5" s="41" t="s">
        <v>22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8" t="s">
        <v>51</v>
      </c>
      <c r="B6" s="7" t="s">
        <v>23</v>
      </c>
      <c r="C6" s="7" t="s">
        <v>24</v>
      </c>
      <c r="D6" s="7" t="s">
        <v>25</v>
      </c>
      <c r="E6" s="7" t="s">
        <v>546</v>
      </c>
      <c r="F6" s="7" t="s">
        <v>26</v>
      </c>
      <c r="G6" s="16" t="s">
        <v>64</v>
      </c>
      <c r="H6" s="16" t="s">
        <v>28</v>
      </c>
      <c r="I6" s="16" t="s">
        <v>370</v>
      </c>
      <c r="J6" s="8"/>
      <c r="K6" s="16" t="s">
        <v>29</v>
      </c>
      <c r="L6" s="16" t="s">
        <v>21</v>
      </c>
      <c r="M6" s="16" t="s">
        <v>17</v>
      </c>
      <c r="N6" s="8"/>
      <c r="O6" s="8" t="str">
        <f>"322,5"</f>
        <v>322,5</v>
      </c>
      <c r="P6" s="8" t="str">
        <f>"215,8815"</f>
        <v>215,8815</v>
      </c>
      <c r="Q6" s="7"/>
    </row>
    <row r="7" spans="1:17">
      <c r="B7" s="5" t="s">
        <v>52</v>
      </c>
    </row>
    <row r="8" spans="1:17" ht="16">
      <c r="A8" s="56" t="s">
        <v>30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>
      <c r="A9" s="8" t="s">
        <v>51</v>
      </c>
      <c r="B9" s="7" t="s">
        <v>31</v>
      </c>
      <c r="C9" s="7" t="s">
        <v>32</v>
      </c>
      <c r="D9" s="7" t="s">
        <v>33</v>
      </c>
      <c r="E9" s="7" t="s">
        <v>546</v>
      </c>
      <c r="F9" s="7" t="s">
        <v>26</v>
      </c>
      <c r="G9" s="17" t="s">
        <v>37</v>
      </c>
      <c r="H9" s="16" t="s">
        <v>38</v>
      </c>
      <c r="I9" s="17" t="s">
        <v>39</v>
      </c>
      <c r="J9" s="8"/>
      <c r="K9" s="16" t="s">
        <v>40</v>
      </c>
      <c r="L9" s="16" t="s">
        <v>41</v>
      </c>
      <c r="M9" s="17" t="s">
        <v>42</v>
      </c>
      <c r="N9" s="8"/>
      <c r="O9" s="8" t="str">
        <f>"512,5"</f>
        <v>512,5</v>
      </c>
      <c r="P9" s="8" t="str">
        <f>"295,9175"</f>
        <v>295,9175</v>
      </c>
      <c r="Q9" s="7" t="s">
        <v>43</v>
      </c>
    </row>
    <row r="10" spans="1:17">
      <c r="B10" s="5" t="s">
        <v>52</v>
      </c>
    </row>
    <row r="11" spans="1:17">
      <c r="A11"/>
      <c r="B11"/>
      <c r="C11"/>
      <c r="D11"/>
      <c r="E11"/>
      <c r="F11"/>
      <c r="G11"/>
      <c r="H11"/>
      <c r="I11"/>
      <c r="J11"/>
      <c r="K11"/>
      <c r="L11"/>
    </row>
    <row r="12" spans="1:17">
      <c r="A12"/>
      <c r="B12"/>
      <c r="C12"/>
      <c r="D12"/>
      <c r="E12"/>
      <c r="F12"/>
      <c r="G12"/>
      <c r="H12"/>
      <c r="I12"/>
      <c r="J12"/>
      <c r="K12"/>
      <c r="L12"/>
    </row>
    <row r="13" spans="1:17">
      <c r="A13"/>
      <c r="B13"/>
      <c r="C13"/>
      <c r="D13"/>
      <c r="E13"/>
      <c r="F13"/>
      <c r="G13"/>
      <c r="H13"/>
      <c r="I13"/>
      <c r="J13"/>
      <c r="K13"/>
      <c r="L13"/>
    </row>
    <row r="14" spans="1:17">
      <c r="A14"/>
      <c r="B14"/>
      <c r="C14"/>
      <c r="D14"/>
      <c r="E14"/>
      <c r="F14"/>
      <c r="G14"/>
      <c r="H14"/>
      <c r="I14"/>
      <c r="J14"/>
      <c r="K14"/>
      <c r="L14"/>
    </row>
    <row r="15" spans="1:17">
      <c r="A15"/>
      <c r="B15"/>
      <c r="C15"/>
      <c r="D15"/>
      <c r="E15"/>
      <c r="F15"/>
      <c r="G15"/>
      <c r="H15"/>
      <c r="I15"/>
      <c r="J15"/>
      <c r="K15"/>
      <c r="L15"/>
    </row>
    <row r="16" spans="1:17">
      <c r="A16"/>
      <c r="B16"/>
      <c r="C16"/>
      <c r="D16"/>
      <c r="E16"/>
      <c r="F16"/>
      <c r="G16"/>
      <c r="H16"/>
      <c r="I16"/>
      <c r="J16"/>
      <c r="K16"/>
      <c r="L16"/>
    </row>
    <row r="17" spans="1:12">
      <c r="A17"/>
      <c r="B17"/>
      <c r="C17"/>
      <c r="D17"/>
      <c r="E17"/>
      <c r="F17"/>
      <c r="G17"/>
      <c r="H17"/>
      <c r="I17"/>
      <c r="J17"/>
      <c r="K17"/>
      <c r="L17"/>
    </row>
    <row r="18" spans="1:12">
      <c r="A18"/>
      <c r="B18"/>
      <c r="C18"/>
      <c r="D18"/>
      <c r="E18"/>
      <c r="F18"/>
      <c r="G18"/>
      <c r="H18"/>
      <c r="I18"/>
      <c r="J18"/>
      <c r="K18"/>
      <c r="L18"/>
    </row>
    <row r="19" spans="1:12">
      <c r="A19"/>
      <c r="B19"/>
      <c r="C19"/>
      <c r="D19"/>
      <c r="E19"/>
      <c r="F19"/>
      <c r="G19"/>
      <c r="H19"/>
      <c r="I19"/>
      <c r="J19"/>
      <c r="K19"/>
      <c r="L19"/>
    </row>
    <row r="20" spans="1:12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  <row r="22" spans="1:12">
      <c r="A22"/>
      <c r="B22"/>
      <c r="C22"/>
      <c r="D22"/>
      <c r="E22"/>
      <c r="F22"/>
      <c r="G22"/>
      <c r="H22"/>
      <c r="I22"/>
      <c r="J22"/>
      <c r="K22"/>
      <c r="L22"/>
    </row>
    <row r="23" spans="1:12">
      <c r="A23"/>
      <c r="B23"/>
      <c r="C23"/>
      <c r="D23"/>
      <c r="E23"/>
      <c r="F23"/>
      <c r="G23"/>
      <c r="H23"/>
      <c r="I23"/>
      <c r="J23"/>
      <c r="K23"/>
      <c r="L23"/>
    </row>
    <row r="24" spans="1:12">
      <c r="A24"/>
      <c r="B24"/>
      <c r="C24"/>
      <c r="D24"/>
      <c r="E24"/>
      <c r="F24"/>
      <c r="G24"/>
      <c r="H24"/>
      <c r="I24"/>
      <c r="J24"/>
      <c r="K24"/>
      <c r="L24"/>
    </row>
    <row r="25" spans="1:12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7"/>
  <sheetViews>
    <sheetView topLeftCell="A16" workbookViewId="0">
      <selection activeCell="E58" sqref="E58"/>
    </sheetView>
  </sheetViews>
  <sheetFormatPr baseColWidth="10" defaultColWidth="9.1640625" defaultRowHeight="13"/>
  <cols>
    <col min="1" max="1" width="7.1640625" style="5" bestFit="1" customWidth="1"/>
    <col min="2" max="2" width="22.3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1.1640625" style="5" bestFit="1" customWidth="1"/>
    <col min="7" max="9" width="5.5" style="6" customWidth="1"/>
    <col min="10" max="10" width="4.5" style="6" customWidth="1"/>
    <col min="11" max="11" width="10.5" style="34" bestFit="1" customWidth="1"/>
    <col min="12" max="12" width="8.5" style="6" bestFit="1" customWidth="1"/>
    <col min="13" max="13" width="23.33203125" style="5" customWidth="1"/>
    <col min="14" max="16384" width="9.1640625" style="3"/>
  </cols>
  <sheetData>
    <row r="1" spans="1:13" s="2" customFormat="1" ht="29" customHeight="1">
      <c r="A1" s="43" t="s">
        <v>524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60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61"/>
      <c r="L4" s="54"/>
      <c r="M4" s="40"/>
    </row>
    <row r="5" spans="1:13" ht="16">
      <c r="A5" s="41" t="s">
        <v>314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315</v>
      </c>
      <c r="C6" s="7" t="s">
        <v>316</v>
      </c>
      <c r="D6" s="7" t="s">
        <v>317</v>
      </c>
      <c r="E6" s="7" t="s">
        <v>546</v>
      </c>
      <c r="F6" s="7" t="s">
        <v>58</v>
      </c>
      <c r="G6" s="16" t="s">
        <v>318</v>
      </c>
      <c r="H6" s="16" t="s">
        <v>62</v>
      </c>
      <c r="I6" s="17" t="s">
        <v>222</v>
      </c>
      <c r="J6" s="8"/>
      <c r="K6" s="35" t="str">
        <f>"45,0"</f>
        <v>45,0</v>
      </c>
      <c r="L6" s="8" t="str">
        <f>"59,5980"</f>
        <v>59,5980</v>
      </c>
      <c r="M6" s="7" t="s">
        <v>65</v>
      </c>
    </row>
    <row r="7" spans="1:13">
      <c r="B7" s="5" t="s">
        <v>52</v>
      </c>
    </row>
    <row r="8" spans="1:13" ht="16">
      <c r="A8" s="56" t="s">
        <v>200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19" t="s">
        <v>51</v>
      </c>
      <c r="B9" s="18" t="s">
        <v>201</v>
      </c>
      <c r="C9" s="18" t="s">
        <v>202</v>
      </c>
      <c r="D9" s="18" t="s">
        <v>203</v>
      </c>
      <c r="E9" s="18" t="s">
        <v>546</v>
      </c>
      <c r="F9" s="18" t="s">
        <v>26</v>
      </c>
      <c r="G9" s="22" t="s">
        <v>90</v>
      </c>
      <c r="H9" s="22" t="s">
        <v>204</v>
      </c>
      <c r="I9" s="23" t="s">
        <v>87</v>
      </c>
      <c r="J9" s="19"/>
      <c r="K9" s="36" t="str">
        <f>"57,5"</f>
        <v>57,5</v>
      </c>
      <c r="L9" s="19" t="str">
        <f>"72,2200"</f>
        <v>72,2200</v>
      </c>
      <c r="M9" s="18" t="s">
        <v>190</v>
      </c>
    </row>
    <row r="10" spans="1:13">
      <c r="A10" s="27" t="s">
        <v>133</v>
      </c>
      <c r="B10" s="26" t="s">
        <v>319</v>
      </c>
      <c r="C10" s="26" t="s">
        <v>320</v>
      </c>
      <c r="D10" s="26" t="s">
        <v>321</v>
      </c>
      <c r="E10" s="26" t="s">
        <v>546</v>
      </c>
      <c r="F10" s="26" t="s">
        <v>26</v>
      </c>
      <c r="G10" s="28" t="s">
        <v>222</v>
      </c>
      <c r="H10" s="28" t="s">
        <v>209</v>
      </c>
      <c r="I10" s="29" t="s">
        <v>90</v>
      </c>
      <c r="J10" s="27"/>
      <c r="K10" s="37" t="str">
        <f>"50,0"</f>
        <v>50,0</v>
      </c>
      <c r="L10" s="27" t="str">
        <f>"63,6500"</f>
        <v>63,6500</v>
      </c>
      <c r="M10" s="26" t="s">
        <v>322</v>
      </c>
    </row>
    <row r="11" spans="1:13">
      <c r="A11" s="21" t="s">
        <v>134</v>
      </c>
      <c r="B11" s="20" t="s">
        <v>323</v>
      </c>
      <c r="C11" s="20" t="s">
        <v>324</v>
      </c>
      <c r="D11" s="20" t="s">
        <v>325</v>
      </c>
      <c r="E11" s="20" t="s">
        <v>546</v>
      </c>
      <c r="F11" s="20" t="s">
        <v>26</v>
      </c>
      <c r="G11" s="25" t="s">
        <v>318</v>
      </c>
      <c r="H11" s="25" t="s">
        <v>326</v>
      </c>
      <c r="I11" s="25" t="s">
        <v>62</v>
      </c>
      <c r="J11" s="21"/>
      <c r="K11" s="38" t="str">
        <f>"45,0"</f>
        <v>45,0</v>
      </c>
      <c r="L11" s="21" t="str">
        <f>"56,6010"</f>
        <v>56,6010</v>
      </c>
      <c r="M11" s="20"/>
    </row>
    <row r="12" spans="1:13">
      <c r="B12" s="5" t="s">
        <v>52</v>
      </c>
    </row>
    <row r="13" spans="1:13" ht="16">
      <c r="A13" s="56" t="s">
        <v>205</v>
      </c>
      <c r="B13" s="56"/>
      <c r="C13" s="57"/>
      <c r="D13" s="57"/>
      <c r="E13" s="57"/>
      <c r="F13" s="57"/>
      <c r="G13" s="57"/>
      <c r="H13" s="57"/>
      <c r="I13" s="57"/>
      <c r="J13" s="57"/>
    </row>
    <row r="14" spans="1:13">
      <c r="A14" s="8" t="s">
        <v>51</v>
      </c>
      <c r="B14" s="7" t="s">
        <v>327</v>
      </c>
      <c r="C14" s="7" t="s">
        <v>328</v>
      </c>
      <c r="D14" s="7" t="s">
        <v>329</v>
      </c>
      <c r="E14" s="7" t="s">
        <v>546</v>
      </c>
      <c r="F14" s="7" t="s">
        <v>26</v>
      </c>
      <c r="G14" s="16" t="s">
        <v>330</v>
      </c>
      <c r="H14" s="16" t="s">
        <v>89</v>
      </c>
      <c r="I14" s="16" t="s">
        <v>331</v>
      </c>
      <c r="J14" s="8"/>
      <c r="K14" s="35" t="str">
        <f>"82,5"</f>
        <v>82,5</v>
      </c>
      <c r="L14" s="8" t="str">
        <f>"97,2098"</f>
        <v>97,2098</v>
      </c>
      <c r="M14" s="7" t="s">
        <v>190</v>
      </c>
    </row>
    <row r="15" spans="1:13">
      <c r="B15" s="5" t="s">
        <v>52</v>
      </c>
    </row>
    <row r="16" spans="1:13" ht="16">
      <c r="A16" s="56" t="s">
        <v>215</v>
      </c>
      <c r="B16" s="56"/>
      <c r="C16" s="57"/>
      <c r="D16" s="57"/>
      <c r="E16" s="57"/>
      <c r="F16" s="57"/>
      <c r="G16" s="57"/>
      <c r="H16" s="57"/>
      <c r="I16" s="57"/>
      <c r="J16" s="57"/>
    </row>
    <row r="17" spans="1:13">
      <c r="A17" s="19" t="s">
        <v>51</v>
      </c>
      <c r="B17" s="18" t="s">
        <v>332</v>
      </c>
      <c r="C17" s="18" t="s">
        <v>333</v>
      </c>
      <c r="D17" s="18" t="s">
        <v>334</v>
      </c>
      <c r="E17" s="18" t="s">
        <v>546</v>
      </c>
      <c r="F17" s="18" t="s">
        <v>26</v>
      </c>
      <c r="G17" s="23" t="s">
        <v>335</v>
      </c>
      <c r="H17" s="22" t="s">
        <v>336</v>
      </c>
      <c r="I17" s="23" t="s">
        <v>326</v>
      </c>
      <c r="J17" s="19"/>
      <c r="K17" s="36" t="str">
        <f>"35,0"</f>
        <v>35,0</v>
      </c>
      <c r="L17" s="19" t="str">
        <f>"39,9035"</f>
        <v>39,9035</v>
      </c>
      <c r="M17" s="18" t="s">
        <v>337</v>
      </c>
    </row>
    <row r="18" spans="1:13">
      <c r="A18" s="21" t="s">
        <v>51</v>
      </c>
      <c r="B18" s="20" t="s">
        <v>216</v>
      </c>
      <c r="C18" s="20" t="s">
        <v>338</v>
      </c>
      <c r="D18" s="20" t="s">
        <v>218</v>
      </c>
      <c r="E18" s="20" t="s">
        <v>547</v>
      </c>
      <c r="F18" s="20" t="s">
        <v>26</v>
      </c>
      <c r="G18" s="25" t="s">
        <v>209</v>
      </c>
      <c r="H18" s="25" t="s">
        <v>63</v>
      </c>
      <c r="I18" s="25" t="s">
        <v>90</v>
      </c>
      <c r="J18" s="21"/>
      <c r="K18" s="38" t="str">
        <f>"55,0"</f>
        <v>55,0</v>
      </c>
      <c r="L18" s="21" t="str">
        <f>"64,6032"</f>
        <v>64,6032</v>
      </c>
      <c r="M18" s="20" t="s">
        <v>190</v>
      </c>
    </row>
    <row r="19" spans="1:13">
      <c r="B19" s="5" t="s">
        <v>52</v>
      </c>
    </row>
    <row r="20" spans="1:13" ht="16">
      <c r="A20" s="56" t="s">
        <v>215</v>
      </c>
      <c r="B20" s="56"/>
      <c r="C20" s="57"/>
      <c r="D20" s="57"/>
      <c r="E20" s="57"/>
      <c r="F20" s="57"/>
      <c r="G20" s="57"/>
      <c r="H20" s="57"/>
      <c r="I20" s="57"/>
      <c r="J20" s="57"/>
    </row>
    <row r="21" spans="1:13">
      <c r="A21" s="19" t="s">
        <v>51</v>
      </c>
      <c r="B21" s="18" t="s">
        <v>339</v>
      </c>
      <c r="C21" s="18" t="s">
        <v>340</v>
      </c>
      <c r="D21" s="18" t="s">
        <v>341</v>
      </c>
      <c r="E21" s="18" t="s">
        <v>550</v>
      </c>
      <c r="F21" s="18" t="s">
        <v>26</v>
      </c>
      <c r="G21" s="22" t="s">
        <v>256</v>
      </c>
      <c r="H21" s="22" t="s">
        <v>89</v>
      </c>
      <c r="I21" s="23" t="s">
        <v>284</v>
      </c>
      <c r="J21" s="19"/>
      <c r="K21" s="36" t="str">
        <f>"80,0"</f>
        <v>80,0</v>
      </c>
      <c r="L21" s="19" t="str">
        <f>"70,6400"</f>
        <v>70,6400</v>
      </c>
      <c r="M21" s="18" t="s">
        <v>149</v>
      </c>
    </row>
    <row r="22" spans="1:13">
      <c r="A22" s="21" t="s">
        <v>133</v>
      </c>
      <c r="B22" s="20" t="s">
        <v>342</v>
      </c>
      <c r="C22" s="20" t="s">
        <v>343</v>
      </c>
      <c r="D22" s="20" t="s">
        <v>344</v>
      </c>
      <c r="E22" s="20" t="s">
        <v>550</v>
      </c>
      <c r="F22" s="20" t="s">
        <v>26</v>
      </c>
      <c r="G22" s="25" t="s">
        <v>89</v>
      </c>
      <c r="H22" s="24" t="s">
        <v>284</v>
      </c>
      <c r="I22" s="24" t="s">
        <v>92</v>
      </c>
      <c r="J22" s="21"/>
      <c r="K22" s="38" t="str">
        <f>"80,0"</f>
        <v>80,0</v>
      </c>
      <c r="L22" s="21" t="str">
        <f>"69,2960"</f>
        <v>69,2960</v>
      </c>
      <c r="M22" s="20" t="s">
        <v>149</v>
      </c>
    </row>
    <row r="23" spans="1:13">
      <c r="B23" s="5" t="s">
        <v>52</v>
      </c>
    </row>
    <row r="24" spans="1:13" ht="16">
      <c r="A24" s="56" t="s">
        <v>54</v>
      </c>
      <c r="B24" s="56"/>
      <c r="C24" s="57"/>
      <c r="D24" s="57"/>
      <c r="E24" s="57"/>
      <c r="F24" s="57"/>
      <c r="G24" s="57"/>
      <c r="H24" s="57"/>
      <c r="I24" s="57"/>
      <c r="J24" s="57"/>
    </row>
    <row r="25" spans="1:13">
      <c r="A25" s="8" t="s">
        <v>51</v>
      </c>
      <c r="B25" s="7" t="s">
        <v>345</v>
      </c>
      <c r="C25" s="7" t="s">
        <v>346</v>
      </c>
      <c r="D25" s="7" t="s">
        <v>347</v>
      </c>
      <c r="E25" s="7" t="s">
        <v>550</v>
      </c>
      <c r="F25" s="7" t="s">
        <v>26</v>
      </c>
      <c r="G25" s="16" t="s">
        <v>148</v>
      </c>
      <c r="H25" s="16" t="s">
        <v>142</v>
      </c>
      <c r="I25" s="16" t="s">
        <v>143</v>
      </c>
      <c r="J25" s="8"/>
      <c r="K25" s="35" t="str">
        <f>"112,5"</f>
        <v>112,5</v>
      </c>
      <c r="L25" s="8" t="str">
        <f>"88,3350"</f>
        <v>88,3350</v>
      </c>
      <c r="M25" s="7" t="s">
        <v>149</v>
      </c>
    </row>
    <row r="26" spans="1:13">
      <c r="B26" s="5" t="s">
        <v>52</v>
      </c>
    </row>
    <row r="27" spans="1:13" ht="16">
      <c r="A27" s="56" t="s">
        <v>10</v>
      </c>
      <c r="B27" s="56"/>
      <c r="C27" s="57"/>
      <c r="D27" s="57"/>
      <c r="E27" s="57"/>
      <c r="F27" s="57"/>
      <c r="G27" s="57"/>
      <c r="H27" s="57"/>
      <c r="I27" s="57"/>
      <c r="J27" s="57"/>
    </row>
    <row r="28" spans="1:13">
      <c r="A28" s="19" t="s">
        <v>51</v>
      </c>
      <c r="B28" s="18" t="s">
        <v>348</v>
      </c>
      <c r="C28" s="18" t="s">
        <v>349</v>
      </c>
      <c r="D28" s="18" t="s">
        <v>350</v>
      </c>
      <c r="E28" s="18" t="s">
        <v>549</v>
      </c>
      <c r="F28" s="18" t="s">
        <v>539</v>
      </c>
      <c r="G28" s="22" t="s">
        <v>147</v>
      </c>
      <c r="H28" s="22" t="s">
        <v>20</v>
      </c>
      <c r="I28" s="22" t="s">
        <v>102</v>
      </c>
      <c r="J28" s="19"/>
      <c r="K28" s="36" t="str">
        <f>"110,0"</f>
        <v>110,0</v>
      </c>
      <c r="L28" s="19" t="str">
        <f>"81,9830"</f>
        <v>81,9830</v>
      </c>
      <c r="M28" s="18" t="s">
        <v>351</v>
      </c>
    </row>
    <row r="29" spans="1:13">
      <c r="A29" s="27" t="s">
        <v>51</v>
      </c>
      <c r="B29" s="26" t="s">
        <v>352</v>
      </c>
      <c r="C29" s="26" t="s">
        <v>353</v>
      </c>
      <c r="D29" s="26" t="s">
        <v>354</v>
      </c>
      <c r="E29" s="26" t="s">
        <v>550</v>
      </c>
      <c r="F29" s="26" t="s">
        <v>355</v>
      </c>
      <c r="G29" s="28" t="s">
        <v>64</v>
      </c>
      <c r="H29" s="28" t="s">
        <v>265</v>
      </c>
      <c r="I29" s="29" t="s">
        <v>28</v>
      </c>
      <c r="J29" s="27"/>
      <c r="K29" s="37" t="str">
        <f>"117,5"</f>
        <v>117,5</v>
      </c>
      <c r="L29" s="27" t="str">
        <f>"85,1758"</f>
        <v>85,1758</v>
      </c>
      <c r="M29" s="26" t="s">
        <v>356</v>
      </c>
    </row>
    <row r="30" spans="1:13">
      <c r="A30" s="27" t="s">
        <v>51</v>
      </c>
      <c r="B30" s="26" t="s">
        <v>357</v>
      </c>
      <c r="C30" s="26" t="s">
        <v>358</v>
      </c>
      <c r="D30" s="26" t="s">
        <v>359</v>
      </c>
      <c r="E30" s="26" t="s">
        <v>546</v>
      </c>
      <c r="F30" s="26" t="s">
        <v>58</v>
      </c>
      <c r="G30" s="28" t="s">
        <v>61</v>
      </c>
      <c r="H30" s="28" t="s">
        <v>141</v>
      </c>
      <c r="I30" s="29" t="s">
        <v>70</v>
      </c>
      <c r="J30" s="27"/>
      <c r="K30" s="37" t="str">
        <f>"150,0"</f>
        <v>150,0</v>
      </c>
      <c r="L30" s="27" t="str">
        <f>"108,3150"</f>
        <v>108,3150</v>
      </c>
      <c r="M30" s="26" t="s">
        <v>65</v>
      </c>
    </row>
    <row r="31" spans="1:13">
      <c r="A31" s="27" t="s">
        <v>133</v>
      </c>
      <c r="B31" s="26" t="s">
        <v>360</v>
      </c>
      <c r="C31" s="26" t="s">
        <v>361</v>
      </c>
      <c r="D31" s="26" t="s">
        <v>362</v>
      </c>
      <c r="E31" s="26" t="s">
        <v>546</v>
      </c>
      <c r="F31" s="26" t="s">
        <v>26</v>
      </c>
      <c r="G31" s="28" t="s">
        <v>72</v>
      </c>
      <c r="H31" s="29" t="s">
        <v>60</v>
      </c>
      <c r="I31" s="28" t="s">
        <v>363</v>
      </c>
      <c r="J31" s="27"/>
      <c r="K31" s="37" t="str">
        <f>"137,5"</f>
        <v>137,5</v>
      </c>
      <c r="L31" s="27" t="str">
        <f>"100,4713"</f>
        <v>100,4713</v>
      </c>
      <c r="M31" s="26"/>
    </row>
    <row r="32" spans="1:13">
      <c r="A32" s="27" t="s">
        <v>134</v>
      </c>
      <c r="B32" s="26" t="s">
        <v>364</v>
      </c>
      <c r="C32" s="26" t="s">
        <v>365</v>
      </c>
      <c r="D32" s="26" t="s">
        <v>366</v>
      </c>
      <c r="E32" s="26" t="s">
        <v>546</v>
      </c>
      <c r="F32" s="26" t="s">
        <v>26</v>
      </c>
      <c r="G32" s="28" t="s">
        <v>59</v>
      </c>
      <c r="H32" s="28" t="s">
        <v>60</v>
      </c>
      <c r="I32" s="28" t="s">
        <v>363</v>
      </c>
      <c r="J32" s="27"/>
      <c r="K32" s="37" t="str">
        <f>"137,5"</f>
        <v>137,5</v>
      </c>
      <c r="L32" s="27" t="str">
        <f>"98,5325"</f>
        <v>98,5325</v>
      </c>
      <c r="M32" s="26"/>
    </row>
    <row r="33" spans="1:13">
      <c r="A33" s="27" t="s">
        <v>311</v>
      </c>
      <c r="B33" s="26" t="s">
        <v>367</v>
      </c>
      <c r="C33" s="26" t="s">
        <v>368</v>
      </c>
      <c r="D33" s="26" t="s">
        <v>369</v>
      </c>
      <c r="E33" s="26" t="s">
        <v>546</v>
      </c>
      <c r="F33" s="26" t="s">
        <v>58</v>
      </c>
      <c r="G33" s="28" t="s">
        <v>142</v>
      </c>
      <c r="H33" s="28" t="s">
        <v>265</v>
      </c>
      <c r="I33" s="28" t="s">
        <v>370</v>
      </c>
      <c r="J33" s="27"/>
      <c r="K33" s="37" t="str">
        <f>"122,5"</f>
        <v>122,5</v>
      </c>
      <c r="L33" s="27" t="str">
        <f>"87,2935"</f>
        <v>87,2935</v>
      </c>
      <c r="M33" s="26" t="s">
        <v>65</v>
      </c>
    </row>
    <row r="34" spans="1:13">
      <c r="A34" s="27" t="s">
        <v>312</v>
      </c>
      <c r="B34" s="26" t="s">
        <v>371</v>
      </c>
      <c r="C34" s="26" t="s">
        <v>372</v>
      </c>
      <c r="D34" s="26" t="s">
        <v>373</v>
      </c>
      <c r="E34" s="26" t="s">
        <v>546</v>
      </c>
      <c r="F34" s="26" t="s">
        <v>553</v>
      </c>
      <c r="G34" s="29" t="s">
        <v>102</v>
      </c>
      <c r="H34" s="29" t="s">
        <v>265</v>
      </c>
      <c r="I34" s="28" t="s">
        <v>265</v>
      </c>
      <c r="J34" s="27"/>
      <c r="K34" s="37" t="str">
        <f>"117,5"</f>
        <v>117,5</v>
      </c>
      <c r="L34" s="27" t="str">
        <f>"83,8010"</f>
        <v>83,8010</v>
      </c>
      <c r="M34" s="26" t="s">
        <v>351</v>
      </c>
    </row>
    <row r="35" spans="1:13">
      <c r="A35" s="21" t="s">
        <v>53</v>
      </c>
      <c r="B35" s="20" t="s">
        <v>374</v>
      </c>
      <c r="C35" s="20" t="s">
        <v>375</v>
      </c>
      <c r="D35" s="20" t="s">
        <v>376</v>
      </c>
      <c r="E35" s="20" t="s">
        <v>546</v>
      </c>
      <c r="F35" s="20" t="s">
        <v>26</v>
      </c>
      <c r="G35" s="24" t="s">
        <v>28</v>
      </c>
      <c r="H35" s="24" t="s">
        <v>28</v>
      </c>
      <c r="I35" s="24" t="s">
        <v>28</v>
      </c>
      <c r="J35" s="21"/>
      <c r="K35" s="38">
        <v>0</v>
      </c>
      <c r="L35" s="21" t="str">
        <f>"0,0000"</f>
        <v>0,0000</v>
      </c>
      <c r="M35" s="20" t="s">
        <v>190</v>
      </c>
    </row>
    <row r="36" spans="1:13">
      <c r="B36" s="5" t="s">
        <v>52</v>
      </c>
    </row>
    <row r="37" spans="1:13" ht="16">
      <c r="A37" s="56" t="s">
        <v>83</v>
      </c>
      <c r="B37" s="56"/>
      <c r="C37" s="57"/>
      <c r="D37" s="57"/>
      <c r="E37" s="57"/>
      <c r="F37" s="57"/>
      <c r="G37" s="57"/>
      <c r="H37" s="57"/>
      <c r="I37" s="57"/>
      <c r="J37" s="57"/>
    </row>
    <row r="38" spans="1:13">
      <c r="A38" s="19" t="s">
        <v>51</v>
      </c>
      <c r="B38" s="18" t="s">
        <v>377</v>
      </c>
      <c r="C38" s="18" t="s">
        <v>378</v>
      </c>
      <c r="D38" s="18" t="s">
        <v>379</v>
      </c>
      <c r="E38" s="18" t="s">
        <v>550</v>
      </c>
      <c r="F38" s="18" t="s">
        <v>26</v>
      </c>
      <c r="G38" s="23" t="s">
        <v>87</v>
      </c>
      <c r="H38" s="22" t="s">
        <v>88</v>
      </c>
      <c r="I38" s="23" t="s">
        <v>91</v>
      </c>
      <c r="J38" s="19"/>
      <c r="K38" s="36" t="str">
        <f>"65,0"</f>
        <v>65,0</v>
      </c>
      <c r="L38" s="19" t="str">
        <f>"46,0590"</f>
        <v>46,0590</v>
      </c>
      <c r="M38" s="18" t="s">
        <v>149</v>
      </c>
    </row>
    <row r="39" spans="1:13">
      <c r="A39" s="27" t="s">
        <v>51</v>
      </c>
      <c r="B39" s="26" t="s">
        <v>380</v>
      </c>
      <c r="C39" s="26" t="s">
        <v>381</v>
      </c>
      <c r="D39" s="26" t="s">
        <v>382</v>
      </c>
      <c r="E39" s="26" t="s">
        <v>546</v>
      </c>
      <c r="F39" s="26" t="s">
        <v>383</v>
      </c>
      <c r="G39" s="28" t="s">
        <v>122</v>
      </c>
      <c r="H39" s="28" t="s">
        <v>15</v>
      </c>
      <c r="I39" s="29" t="s">
        <v>274</v>
      </c>
      <c r="J39" s="27"/>
      <c r="K39" s="37" t="str">
        <f>"175,0"</f>
        <v>175,0</v>
      </c>
      <c r="L39" s="27" t="str">
        <f>"117,2325"</f>
        <v>117,2325</v>
      </c>
      <c r="M39" s="26" t="s">
        <v>384</v>
      </c>
    </row>
    <row r="40" spans="1:13">
      <c r="A40" s="27" t="s">
        <v>133</v>
      </c>
      <c r="B40" s="26" t="s">
        <v>385</v>
      </c>
      <c r="C40" s="26" t="s">
        <v>386</v>
      </c>
      <c r="D40" s="26" t="s">
        <v>387</v>
      </c>
      <c r="E40" s="26" t="s">
        <v>546</v>
      </c>
      <c r="F40" s="26" t="s">
        <v>26</v>
      </c>
      <c r="G40" s="29" t="s">
        <v>363</v>
      </c>
      <c r="H40" s="28" t="s">
        <v>363</v>
      </c>
      <c r="I40" s="29" t="s">
        <v>103</v>
      </c>
      <c r="J40" s="27"/>
      <c r="K40" s="37" t="str">
        <f>"137,5"</f>
        <v>137,5</v>
      </c>
      <c r="L40" s="27" t="str">
        <f>"93,3625"</f>
        <v>93,3625</v>
      </c>
      <c r="M40" s="26"/>
    </row>
    <row r="41" spans="1:13">
      <c r="A41" s="21" t="s">
        <v>51</v>
      </c>
      <c r="B41" s="20" t="s">
        <v>388</v>
      </c>
      <c r="C41" s="20" t="s">
        <v>389</v>
      </c>
      <c r="D41" s="20" t="s">
        <v>254</v>
      </c>
      <c r="E41" s="20" t="s">
        <v>547</v>
      </c>
      <c r="F41" s="20" t="s">
        <v>26</v>
      </c>
      <c r="G41" s="25" t="s">
        <v>370</v>
      </c>
      <c r="H41" s="24" t="s">
        <v>390</v>
      </c>
      <c r="I41" s="24" t="s">
        <v>390</v>
      </c>
      <c r="J41" s="21"/>
      <c r="K41" s="38" t="str">
        <f>"122,5"</f>
        <v>122,5</v>
      </c>
      <c r="L41" s="21" t="str">
        <f>"86,1211"</f>
        <v>86,1211</v>
      </c>
      <c r="M41" s="20" t="s">
        <v>391</v>
      </c>
    </row>
    <row r="42" spans="1:13">
      <c r="B42" s="5" t="s">
        <v>52</v>
      </c>
    </row>
    <row r="43" spans="1:13" ht="16">
      <c r="A43" s="56" t="s">
        <v>22</v>
      </c>
      <c r="B43" s="56"/>
      <c r="C43" s="57"/>
      <c r="D43" s="57"/>
      <c r="E43" s="57"/>
      <c r="F43" s="57"/>
      <c r="G43" s="57"/>
      <c r="H43" s="57"/>
      <c r="I43" s="57"/>
      <c r="J43" s="57"/>
    </row>
    <row r="44" spans="1:13">
      <c r="A44" s="19" t="s">
        <v>51</v>
      </c>
      <c r="B44" s="18" t="s">
        <v>392</v>
      </c>
      <c r="C44" s="18" t="s">
        <v>393</v>
      </c>
      <c r="D44" s="18" t="s">
        <v>394</v>
      </c>
      <c r="E44" s="18" t="s">
        <v>546</v>
      </c>
      <c r="F44" s="18" t="s">
        <v>538</v>
      </c>
      <c r="G44" s="22" t="s">
        <v>27</v>
      </c>
      <c r="H44" s="22" t="s">
        <v>71</v>
      </c>
      <c r="I44" s="23" t="s">
        <v>78</v>
      </c>
      <c r="J44" s="19"/>
      <c r="K44" s="36" t="str">
        <f>"165,0"</f>
        <v>165,0</v>
      </c>
      <c r="L44" s="19" t="str">
        <f>"106,5735"</f>
        <v>106,5735</v>
      </c>
      <c r="M44" s="18" t="s">
        <v>395</v>
      </c>
    </row>
    <row r="45" spans="1:13">
      <c r="A45" s="21" t="s">
        <v>133</v>
      </c>
      <c r="B45" s="20" t="s">
        <v>396</v>
      </c>
      <c r="C45" s="20" t="s">
        <v>397</v>
      </c>
      <c r="D45" s="20" t="s">
        <v>398</v>
      </c>
      <c r="E45" s="20" t="s">
        <v>546</v>
      </c>
      <c r="F45" s="20" t="s">
        <v>26</v>
      </c>
      <c r="G45" s="25" t="s">
        <v>399</v>
      </c>
      <c r="H45" s="24" t="s">
        <v>61</v>
      </c>
      <c r="I45" s="24" t="s">
        <v>61</v>
      </c>
      <c r="J45" s="21"/>
      <c r="K45" s="38" t="str">
        <f>"132,5"</f>
        <v>132,5</v>
      </c>
      <c r="L45" s="21" t="str">
        <f>"85,1180"</f>
        <v>85,1180</v>
      </c>
      <c r="M45" s="20" t="s">
        <v>190</v>
      </c>
    </row>
    <row r="46" spans="1:13">
      <c r="B46" s="5" t="s">
        <v>52</v>
      </c>
    </row>
    <row r="47" spans="1:13" ht="16">
      <c r="A47" s="56" t="s">
        <v>66</v>
      </c>
      <c r="B47" s="56"/>
      <c r="C47" s="57"/>
      <c r="D47" s="57"/>
      <c r="E47" s="57"/>
      <c r="F47" s="57"/>
      <c r="G47" s="57"/>
      <c r="H47" s="57"/>
      <c r="I47" s="57"/>
      <c r="J47" s="57"/>
    </row>
    <row r="48" spans="1:13">
      <c r="A48" s="19" t="s">
        <v>51</v>
      </c>
      <c r="B48" s="18" t="s">
        <v>400</v>
      </c>
      <c r="C48" s="18" t="s">
        <v>401</v>
      </c>
      <c r="D48" s="18" t="s">
        <v>402</v>
      </c>
      <c r="E48" s="18" t="s">
        <v>546</v>
      </c>
      <c r="F48" s="18" t="s">
        <v>403</v>
      </c>
      <c r="G48" s="22" t="s">
        <v>404</v>
      </c>
      <c r="H48" s="22" t="s">
        <v>122</v>
      </c>
      <c r="I48" s="22" t="s">
        <v>78</v>
      </c>
      <c r="J48" s="19"/>
      <c r="K48" s="36" t="str">
        <f>"170,0"</f>
        <v>170,0</v>
      </c>
      <c r="L48" s="19" t="str">
        <f>"103,8020"</f>
        <v>103,8020</v>
      </c>
      <c r="M48" s="18"/>
    </row>
    <row r="49" spans="1:13">
      <c r="A49" s="27" t="s">
        <v>133</v>
      </c>
      <c r="B49" s="26" t="s">
        <v>405</v>
      </c>
      <c r="C49" s="26" t="s">
        <v>406</v>
      </c>
      <c r="D49" s="26" t="s">
        <v>407</v>
      </c>
      <c r="E49" s="26" t="s">
        <v>546</v>
      </c>
      <c r="F49" s="26" t="s">
        <v>26</v>
      </c>
      <c r="G49" s="28" t="s">
        <v>70</v>
      </c>
      <c r="H49" s="28" t="s">
        <v>404</v>
      </c>
      <c r="I49" s="29" t="s">
        <v>78</v>
      </c>
      <c r="J49" s="27"/>
      <c r="K49" s="37" t="str">
        <f>"162,5"</f>
        <v>162,5</v>
      </c>
      <c r="L49" s="27" t="str">
        <f>"99,5963"</f>
        <v>99,5963</v>
      </c>
      <c r="M49" s="26" t="s">
        <v>190</v>
      </c>
    </row>
    <row r="50" spans="1:13">
      <c r="A50" s="27" t="s">
        <v>134</v>
      </c>
      <c r="B50" s="26" t="s">
        <v>408</v>
      </c>
      <c r="C50" s="26" t="s">
        <v>409</v>
      </c>
      <c r="D50" s="26" t="s">
        <v>146</v>
      </c>
      <c r="E50" s="26" t="s">
        <v>546</v>
      </c>
      <c r="F50" s="26" t="s">
        <v>26</v>
      </c>
      <c r="G50" s="28" t="s">
        <v>70</v>
      </c>
      <c r="H50" s="29" t="s">
        <v>71</v>
      </c>
      <c r="I50" s="29" t="s">
        <v>71</v>
      </c>
      <c r="J50" s="27"/>
      <c r="K50" s="37" t="str">
        <f>"155,0"</f>
        <v>155,0</v>
      </c>
      <c r="L50" s="27" t="str">
        <f>"94,4105"</f>
        <v>94,4105</v>
      </c>
      <c r="M50" s="26"/>
    </row>
    <row r="51" spans="1:13">
      <c r="A51" s="27" t="s">
        <v>311</v>
      </c>
      <c r="B51" s="26" t="s">
        <v>410</v>
      </c>
      <c r="C51" s="26" t="s">
        <v>411</v>
      </c>
      <c r="D51" s="26" t="s">
        <v>412</v>
      </c>
      <c r="E51" s="26" t="s">
        <v>546</v>
      </c>
      <c r="F51" s="26" t="s">
        <v>26</v>
      </c>
      <c r="G51" s="28" t="s">
        <v>141</v>
      </c>
      <c r="H51" s="29" t="s">
        <v>70</v>
      </c>
      <c r="I51" s="29" t="s">
        <v>70</v>
      </c>
      <c r="J51" s="27"/>
      <c r="K51" s="37" t="str">
        <f>"150,0"</f>
        <v>150,0</v>
      </c>
      <c r="L51" s="27" t="str">
        <f>"91,8450"</f>
        <v>91,8450</v>
      </c>
      <c r="M51" s="26" t="s">
        <v>235</v>
      </c>
    </row>
    <row r="52" spans="1:13">
      <c r="A52" s="27" t="s">
        <v>312</v>
      </c>
      <c r="B52" s="26" t="s">
        <v>413</v>
      </c>
      <c r="C52" s="26" t="s">
        <v>414</v>
      </c>
      <c r="D52" s="26" t="s">
        <v>272</v>
      </c>
      <c r="E52" s="26" t="s">
        <v>546</v>
      </c>
      <c r="F52" s="26" t="s">
        <v>26</v>
      </c>
      <c r="G52" s="28" t="s">
        <v>28</v>
      </c>
      <c r="H52" s="29" t="s">
        <v>390</v>
      </c>
      <c r="I52" s="28" t="s">
        <v>390</v>
      </c>
      <c r="J52" s="27"/>
      <c r="K52" s="37" t="str">
        <f>"127,5"</f>
        <v>127,5</v>
      </c>
      <c r="L52" s="27" t="str">
        <f>"78,9352"</f>
        <v>78,9352</v>
      </c>
      <c r="M52" s="26" t="s">
        <v>74</v>
      </c>
    </row>
    <row r="53" spans="1:13">
      <c r="A53" s="21" t="s">
        <v>51</v>
      </c>
      <c r="B53" s="20" t="s">
        <v>400</v>
      </c>
      <c r="C53" s="20" t="s">
        <v>415</v>
      </c>
      <c r="D53" s="20" t="s">
        <v>402</v>
      </c>
      <c r="E53" s="20" t="s">
        <v>547</v>
      </c>
      <c r="F53" s="20" t="s">
        <v>403</v>
      </c>
      <c r="G53" s="25" t="s">
        <v>404</v>
      </c>
      <c r="H53" s="25" t="s">
        <v>122</v>
      </c>
      <c r="I53" s="25" t="s">
        <v>78</v>
      </c>
      <c r="J53" s="21"/>
      <c r="K53" s="38" t="str">
        <f>"170,0"</f>
        <v>170,0</v>
      </c>
      <c r="L53" s="21" t="str">
        <f>"117,5039"</f>
        <v>117,5039</v>
      </c>
      <c r="M53" s="20"/>
    </row>
    <row r="54" spans="1:13">
      <c r="B54" s="5" t="s">
        <v>52</v>
      </c>
    </row>
    <row r="55" spans="1:13" ht="16">
      <c r="A55" s="56" t="s">
        <v>296</v>
      </c>
      <c r="B55" s="56"/>
      <c r="C55" s="57"/>
      <c r="D55" s="57"/>
      <c r="E55" s="57"/>
      <c r="F55" s="57"/>
      <c r="G55" s="57"/>
      <c r="H55" s="57"/>
      <c r="I55" s="57"/>
      <c r="J55" s="57"/>
    </row>
    <row r="56" spans="1:13">
      <c r="A56" s="19" t="s">
        <v>51</v>
      </c>
      <c r="B56" s="18" t="s">
        <v>416</v>
      </c>
      <c r="C56" s="18" t="s">
        <v>417</v>
      </c>
      <c r="D56" s="18" t="s">
        <v>418</v>
      </c>
      <c r="E56" s="18" t="s">
        <v>546</v>
      </c>
      <c r="F56" s="18" t="s">
        <v>14</v>
      </c>
      <c r="G56" s="22" t="s">
        <v>16</v>
      </c>
      <c r="H56" s="22" t="s">
        <v>168</v>
      </c>
      <c r="I56" s="22" t="s">
        <v>419</v>
      </c>
      <c r="J56" s="19"/>
      <c r="K56" s="36" t="str">
        <f>"207,5"</f>
        <v>207,5</v>
      </c>
      <c r="L56" s="19" t="str">
        <f>"117,7562"</f>
        <v>117,7562</v>
      </c>
      <c r="M56" s="18"/>
    </row>
    <row r="57" spans="1:13">
      <c r="A57" s="21" t="s">
        <v>51</v>
      </c>
      <c r="B57" s="20" t="s">
        <v>416</v>
      </c>
      <c r="C57" s="20" t="s">
        <v>420</v>
      </c>
      <c r="D57" s="20" t="s">
        <v>418</v>
      </c>
      <c r="E57" s="20" t="s">
        <v>548</v>
      </c>
      <c r="F57" s="20" t="s">
        <v>14</v>
      </c>
      <c r="G57" s="25" t="s">
        <v>16</v>
      </c>
      <c r="H57" s="25" t="s">
        <v>168</v>
      </c>
      <c r="I57" s="25" t="s">
        <v>419</v>
      </c>
      <c r="J57" s="21"/>
      <c r="K57" s="38" t="str">
        <f>"207,5"</f>
        <v>207,5</v>
      </c>
      <c r="L57" s="21" t="str">
        <f>"135,4197"</f>
        <v>135,4197</v>
      </c>
      <c r="M57" s="20"/>
    </row>
    <row r="58" spans="1:13">
      <c r="B58" s="5" t="s">
        <v>52</v>
      </c>
    </row>
    <row r="59" spans="1:13">
      <c r="B59" s="5" t="s">
        <v>52</v>
      </c>
    </row>
    <row r="60" spans="1:13">
      <c r="B60" s="5" t="s">
        <v>52</v>
      </c>
    </row>
    <row r="61" spans="1:13" ht="18">
      <c r="B61" s="9" t="s">
        <v>44</v>
      </c>
      <c r="C61" s="9"/>
    </row>
    <row r="62" spans="1:13" ht="16">
      <c r="B62" s="10" t="s">
        <v>45</v>
      </c>
      <c r="C62" s="10"/>
    </row>
    <row r="63" spans="1:13" ht="14">
      <c r="B63" s="11"/>
      <c r="C63" s="12" t="s">
        <v>46</v>
      </c>
    </row>
    <row r="64" spans="1:13" ht="14">
      <c r="B64" s="15" t="s">
        <v>47</v>
      </c>
      <c r="C64" s="15" t="s">
        <v>48</v>
      </c>
      <c r="D64" s="15" t="s">
        <v>537</v>
      </c>
      <c r="E64" s="15" t="s">
        <v>179</v>
      </c>
      <c r="F64" s="15" t="s">
        <v>49</v>
      </c>
    </row>
    <row r="65" spans="2:6">
      <c r="B65" s="5" t="s">
        <v>416</v>
      </c>
      <c r="C65" s="5" t="s">
        <v>46</v>
      </c>
      <c r="D65" s="6" t="s">
        <v>309</v>
      </c>
      <c r="E65" s="6" t="s">
        <v>419</v>
      </c>
      <c r="F65" s="6" t="s">
        <v>421</v>
      </c>
    </row>
    <row r="66" spans="2:6">
      <c r="B66" s="5" t="s">
        <v>380</v>
      </c>
      <c r="C66" s="5" t="s">
        <v>46</v>
      </c>
      <c r="D66" s="6" t="s">
        <v>131</v>
      </c>
      <c r="E66" s="6" t="s">
        <v>15</v>
      </c>
      <c r="F66" s="6" t="s">
        <v>422</v>
      </c>
    </row>
    <row r="67" spans="2:6">
      <c r="B67" s="5" t="s">
        <v>357</v>
      </c>
      <c r="C67" s="5" t="s">
        <v>46</v>
      </c>
      <c r="D67" s="6" t="s">
        <v>50</v>
      </c>
      <c r="E67" s="6" t="s">
        <v>141</v>
      </c>
      <c r="F67" s="6" t="s">
        <v>423</v>
      </c>
    </row>
  </sheetData>
  <mergeCells count="22">
    <mergeCell ref="A37:J37"/>
    <mergeCell ref="A43:J43"/>
    <mergeCell ref="A47:J47"/>
    <mergeCell ref="A55:J55"/>
    <mergeCell ref="B3:B4"/>
    <mergeCell ref="A8:J8"/>
    <mergeCell ref="A13:J13"/>
    <mergeCell ref="A16:J16"/>
    <mergeCell ref="A20:J20"/>
    <mergeCell ref="A24:J24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1"/>
  <sheetViews>
    <sheetView workbookViewId="0">
      <selection activeCell="E65" sqref="E65"/>
    </sheetView>
  </sheetViews>
  <sheetFormatPr baseColWidth="10" defaultColWidth="9.1640625" defaultRowHeight="13"/>
  <cols>
    <col min="1" max="1" width="7.1640625" style="5" bestFit="1" customWidth="1"/>
    <col min="2" max="2" width="22.8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0.8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43" t="s">
        <v>525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200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201</v>
      </c>
      <c r="C6" s="7" t="s">
        <v>202</v>
      </c>
      <c r="D6" s="7" t="s">
        <v>203</v>
      </c>
      <c r="E6" s="7" t="s">
        <v>546</v>
      </c>
      <c r="F6" s="7" t="s">
        <v>26</v>
      </c>
      <c r="G6" s="16" t="s">
        <v>90</v>
      </c>
      <c r="H6" s="16" t="s">
        <v>204</v>
      </c>
      <c r="I6" s="17" t="s">
        <v>87</v>
      </c>
      <c r="J6" s="8"/>
      <c r="K6" s="8" t="str">
        <f>"57,5"</f>
        <v>57,5</v>
      </c>
      <c r="L6" s="8" t="str">
        <f>"72,2200"</f>
        <v>72,2200</v>
      </c>
      <c r="M6" s="7" t="s">
        <v>190</v>
      </c>
    </row>
    <row r="7" spans="1:13">
      <c r="B7" s="5" t="s">
        <v>52</v>
      </c>
    </row>
    <row r="8" spans="1:13" ht="16">
      <c r="A8" s="56" t="s">
        <v>205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19" t="s">
        <v>51</v>
      </c>
      <c r="B9" s="18" t="s">
        <v>206</v>
      </c>
      <c r="C9" s="18" t="s">
        <v>207</v>
      </c>
      <c r="D9" s="18" t="s">
        <v>208</v>
      </c>
      <c r="E9" s="18" t="s">
        <v>546</v>
      </c>
      <c r="F9" s="18" t="s">
        <v>26</v>
      </c>
      <c r="G9" s="22" t="s">
        <v>209</v>
      </c>
      <c r="H9" s="22" t="s">
        <v>90</v>
      </c>
      <c r="I9" s="22" t="s">
        <v>204</v>
      </c>
      <c r="J9" s="19"/>
      <c r="K9" s="19" t="str">
        <f>"57,5"</f>
        <v>57,5</v>
      </c>
      <c r="L9" s="19" t="str">
        <f>"67,8443"</f>
        <v>67,8443</v>
      </c>
      <c r="M9" s="18" t="s">
        <v>190</v>
      </c>
    </row>
    <row r="10" spans="1:13">
      <c r="A10" s="27" t="s">
        <v>133</v>
      </c>
      <c r="B10" s="26" t="s">
        <v>210</v>
      </c>
      <c r="C10" s="26" t="s">
        <v>211</v>
      </c>
      <c r="D10" s="26" t="s">
        <v>212</v>
      </c>
      <c r="E10" s="26" t="s">
        <v>546</v>
      </c>
      <c r="F10" s="26" t="s">
        <v>26</v>
      </c>
      <c r="G10" s="28" t="s">
        <v>63</v>
      </c>
      <c r="H10" s="28" t="s">
        <v>90</v>
      </c>
      <c r="I10" s="29" t="s">
        <v>204</v>
      </c>
      <c r="J10" s="27"/>
      <c r="K10" s="27" t="str">
        <f>"55,0"</f>
        <v>55,0</v>
      </c>
      <c r="L10" s="27" t="str">
        <f>"65,4500"</f>
        <v>65,4500</v>
      </c>
      <c r="M10" s="26" t="s">
        <v>213</v>
      </c>
    </row>
    <row r="11" spans="1:13">
      <c r="A11" s="21" t="s">
        <v>51</v>
      </c>
      <c r="B11" s="20" t="s">
        <v>210</v>
      </c>
      <c r="C11" s="20" t="s">
        <v>214</v>
      </c>
      <c r="D11" s="20" t="s">
        <v>212</v>
      </c>
      <c r="E11" s="20" t="s">
        <v>548</v>
      </c>
      <c r="F11" s="20" t="s">
        <v>26</v>
      </c>
      <c r="G11" s="25" t="s">
        <v>63</v>
      </c>
      <c r="H11" s="25" t="s">
        <v>90</v>
      </c>
      <c r="I11" s="24" t="s">
        <v>204</v>
      </c>
      <c r="J11" s="21"/>
      <c r="K11" s="21" t="str">
        <f>"55,0"</f>
        <v>55,0</v>
      </c>
      <c r="L11" s="21" t="str">
        <f>"84,8887"</f>
        <v>84,8887</v>
      </c>
      <c r="M11" s="20" t="s">
        <v>213</v>
      </c>
    </row>
    <row r="12" spans="1:13">
      <c r="B12" s="5" t="s">
        <v>52</v>
      </c>
    </row>
    <row r="13" spans="1:13" ht="16">
      <c r="A13" s="56" t="s">
        <v>215</v>
      </c>
      <c r="B13" s="56"/>
      <c r="C13" s="57"/>
      <c r="D13" s="57"/>
      <c r="E13" s="57"/>
      <c r="F13" s="57"/>
      <c r="G13" s="57"/>
      <c r="H13" s="57"/>
      <c r="I13" s="57"/>
      <c r="J13" s="57"/>
    </row>
    <row r="14" spans="1:13">
      <c r="A14" s="8" t="s">
        <v>51</v>
      </c>
      <c r="B14" s="7" t="s">
        <v>216</v>
      </c>
      <c r="C14" s="7" t="s">
        <v>217</v>
      </c>
      <c r="D14" s="7" t="s">
        <v>218</v>
      </c>
      <c r="E14" s="7" t="s">
        <v>546</v>
      </c>
      <c r="F14" s="7" t="s">
        <v>26</v>
      </c>
      <c r="G14" s="16" t="s">
        <v>209</v>
      </c>
      <c r="H14" s="16" t="s">
        <v>63</v>
      </c>
      <c r="I14" s="16" t="s">
        <v>90</v>
      </c>
      <c r="J14" s="8"/>
      <c r="K14" s="8" t="str">
        <f>"55,0"</f>
        <v>55,0</v>
      </c>
      <c r="L14" s="8" t="str">
        <f>"61,8805"</f>
        <v>61,8805</v>
      </c>
      <c r="M14" s="7" t="s">
        <v>190</v>
      </c>
    </row>
    <row r="15" spans="1:13">
      <c r="B15" s="5" t="s">
        <v>52</v>
      </c>
    </row>
    <row r="16" spans="1:13" ht="16">
      <c r="A16" s="56" t="s">
        <v>54</v>
      </c>
      <c r="B16" s="56"/>
      <c r="C16" s="57"/>
      <c r="D16" s="57"/>
      <c r="E16" s="57"/>
      <c r="F16" s="57"/>
      <c r="G16" s="57"/>
      <c r="H16" s="57"/>
      <c r="I16" s="57"/>
      <c r="J16" s="57"/>
    </row>
    <row r="17" spans="1:13">
      <c r="A17" s="8" t="s">
        <v>51</v>
      </c>
      <c r="B17" s="7" t="s">
        <v>219</v>
      </c>
      <c r="C17" s="7" t="s">
        <v>220</v>
      </c>
      <c r="D17" s="7" t="s">
        <v>221</v>
      </c>
      <c r="E17" s="7" t="s">
        <v>546</v>
      </c>
      <c r="F17" s="7" t="s">
        <v>26</v>
      </c>
      <c r="G17" s="17" t="s">
        <v>222</v>
      </c>
      <c r="H17" s="16" t="s">
        <v>222</v>
      </c>
      <c r="I17" s="16" t="s">
        <v>209</v>
      </c>
      <c r="J17" s="8"/>
      <c r="K17" s="8" t="str">
        <f>"50,0"</f>
        <v>50,0</v>
      </c>
      <c r="L17" s="8" t="str">
        <f>"51,9250"</f>
        <v>51,9250</v>
      </c>
      <c r="M17" s="7" t="s">
        <v>223</v>
      </c>
    </row>
    <row r="18" spans="1:13">
      <c r="B18" s="5" t="s">
        <v>52</v>
      </c>
    </row>
    <row r="19" spans="1:13" ht="16">
      <c r="A19" s="56" t="s">
        <v>10</v>
      </c>
      <c r="B19" s="56"/>
      <c r="C19" s="57"/>
      <c r="D19" s="57"/>
      <c r="E19" s="57"/>
      <c r="F19" s="57"/>
      <c r="G19" s="57"/>
      <c r="H19" s="57"/>
      <c r="I19" s="57"/>
      <c r="J19" s="57"/>
    </row>
    <row r="20" spans="1:13">
      <c r="A20" s="8" t="s">
        <v>51</v>
      </c>
      <c r="B20" s="7" t="s">
        <v>224</v>
      </c>
      <c r="C20" s="7" t="s">
        <v>225</v>
      </c>
      <c r="D20" s="7" t="s">
        <v>226</v>
      </c>
      <c r="E20" s="7" t="s">
        <v>546</v>
      </c>
      <c r="F20" s="7" t="s">
        <v>26</v>
      </c>
      <c r="G20" s="16" t="s">
        <v>62</v>
      </c>
      <c r="H20" s="16" t="s">
        <v>222</v>
      </c>
      <c r="I20" s="16" t="s">
        <v>209</v>
      </c>
      <c r="J20" s="8"/>
      <c r="K20" s="8" t="str">
        <f>"50,0"</f>
        <v>50,0</v>
      </c>
      <c r="L20" s="8" t="str">
        <f>"47,6500"</f>
        <v>47,6500</v>
      </c>
      <c r="M20" s="7" t="s">
        <v>190</v>
      </c>
    </row>
    <row r="21" spans="1:13">
      <c r="B21" s="5" t="s">
        <v>52</v>
      </c>
    </row>
    <row r="22" spans="1:13" ht="16">
      <c r="A22" s="56" t="s">
        <v>83</v>
      </c>
      <c r="B22" s="56"/>
      <c r="C22" s="57"/>
      <c r="D22" s="57"/>
      <c r="E22" s="57"/>
      <c r="F22" s="57"/>
      <c r="G22" s="57"/>
      <c r="H22" s="57"/>
      <c r="I22" s="57"/>
      <c r="J22" s="57"/>
    </row>
    <row r="23" spans="1:13">
      <c r="A23" s="8" t="s">
        <v>51</v>
      </c>
      <c r="B23" s="7" t="s">
        <v>227</v>
      </c>
      <c r="C23" s="7" t="s">
        <v>228</v>
      </c>
      <c r="D23" s="7" t="s">
        <v>140</v>
      </c>
      <c r="E23" s="7" t="s">
        <v>546</v>
      </c>
      <c r="F23" s="7" t="s">
        <v>26</v>
      </c>
      <c r="G23" s="16" t="s">
        <v>62</v>
      </c>
      <c r="H23" s="16" t="s">
        <v>222</v>
      </c>
      <c r="I23" s="16" t="s">
        <v>209</v>
      </c>
      <c r="J23" s="8"/>
      <c r="K23" s="8" t="str">
        <f>"50,0"</f>
        <v>50,0</v>
      </c>
      <c r="L23" s="8" t="str">
        <f>"45,2600"</f>
        <v>45,2600</v>
      </c>
      <c r="M23" s="7" t="s">
        <v>190</v>
      </c>
    </row>
    <row r="24" spans="1:13">
      <c r="B24" s="5" t="s">
        <v>52</v>
      </c>
    </row>
    <row r="25" spans="1:13" ht="16">
      <c r="A25" s="56" t="s">
        <v>22</v>
      </c>
      <c r="B25" s="56"/>
      <c r="C25" s="57"/>
      <c r="D25" s="57"/>
      <c r="E25" s="57"/>
      <c r="F25" s="57"/>
      <c r="G25" s="57"/>
      <c r="H25" s="57"/>
      <c r="I25" s="57"/>
      <c r="J25" s="57"/>
    </row>
    <row r="26" spans="1:13">
      <c r="A26" s="8" t="s">
        <v>51</v>
      </c>
      <c r="B26" s="7" t="s">
        <v>94</v>
      </c>
      <c r="C26" s="7" t="s">
        <v>95</v>
      </c>
      <c r="D26" s="7" t="s">
        <v>96</v>
      </c>
      <c r="E26" s="7" t="s">
        <v>546</v>
      </c>
      <c r="F26" s="7" t="s">
        <v>26</v>
      </c>
      <c r="G26" s="16" t="s">
        <v>92</v>
      </c>
      <c r="H26" s="16" t="s">
        <v>18</v>
      </c>
      <c r="I26" s="16" t="s">
        <v>19</v>
      </c>
      <c r="J26" s="8"/>
      <c r="K26" s="8" t="str">
        <f>"100,0"</f>
        <v>100,0</v>
      </c>
      <c r="L26" s="8" t="str">
        <f>"87,4600"</f>
        <v>87,4600</v>
      </c>
      <c r="M26" s="7" t="s">
        <v>97</v>
      </c>
    </row>
    <row r="27" spans="1:13">
      <c r="B27" s="5" t="s">
        <v>52</v>
      </c>
    </row>
    <row r="28" spans="1:13" ht="16">
      <c r="A28" s="56" t="s">
        <v>54</v>
      </c>
      <c r="B28" s="56"/>
      <c r="C28" s="57"/>
      <c r="D28" s="57"/>
      <c r="E28" s="57"/>
      <c r="F28" s="57"/>
      <c r="G28" s="57"/>
      <c r="H28" s="57"/>
      <c r="I28" s="57"/>
      <c r="J28" s="57"/>
    </row>
    <row r="29" spans="1:13">
      <c r="A29" s="8" t="s">
        <v>51</v>
      </c>
      <c r="B29" s="7" t="s">
        <v>229</v>
      </c>
      <c r="C29" s="7" t="s">
        <v>230</v>
      </c>
      <c r="D29" s="7" t="s">
        <v>231</v>
      </c>
      <c r="E29" s="7" t="s">
        <v>547</v>
      </c>
      <c r="F29" s="7" t="s">
        <v>26</v>
      </c>
      <c r="G29" s="16" t="s">
        <v>102</v>
      </c>
      <c r="H29" s="16" t="s">
        <v>64</v>
      </c>
      <c r="I29" s="17" t="s">
        <v>59</v>
      </c>
      <c r="J29" s="8"/>
      <c r="K29" s="8" t="str">
        <f>"115,0"</f>
        <v>115,0</v>
      </c>
      <c r="L29" s="8" t="str">
        <f>"91,3290"</f>
        <v>91,3290</v>
      </c>
      <c r="M29" s="7" t="s">
        <v>190</v>
      </c>
    </row>
    <row r="30" spans="1:13">
      <c r="B30" s="5" t="s">
        <v>52</v>
      </c>
    </row>
    <row r="31" spans="1:13" ht="16">
      <c r="A31" s="56" t="s">
        <v>10</v>
      </c>
      <c r="B31" s="56"/>
      <c r="C31" s="57"/>
      <c r="D31" s="57"/>
      <c r="E31" s="57"/>
      <c r="F31" s="57"/>
      <c r="G31" s="57"/>
      <c r="H31" s="57"/>
      <c r="I31" s="57"/>
      <c r="J31" s="57"/>
    </row>
    <row r="32" spans="1:13">
      <c r="A32" s="19" t="s">
        <v>51</v>
      </c>
      <c r="B32" s="18" t="s">
        <v>232</v>
      </c>
      <c r="C32" s="18" t="s">
        <v>233</v>
      </c>
      <c r="D32" s="18" t="s">
        <v>234</v>
      </c>
      <c r="E32" s="18" t="s">
        <v>549</v>
      </c>
      <c r="F32" s="18" t="s">
        <v>26</v>
      </c>
      <c r="G32" s="22" t="s">
        <v>18</v>
      </c>
      <c r="H32" s="23" t="s">
        <v>19</v>
      </c>
      <c r="I32" s="23" t="s">
        <v>19</v>
      </c>
      <c r="J32" s="19"/>
      <c r="K32" s="19" t="str">
        <f>"95,0"</f>
        <v>95,0</v>
      </c>
      <c r="L32" s="19" t="str">
        <f>"68,2005"</f>
        <v>68,2005</v>
      </c>
      <c r="M32" s="18" t="s">
        <v>235</v>
      </c>
    </row>
    <row r="33" spans="1:13">
      <c r="A33" s="27" t="s">
        <v>51</v>
      </c>
      <c r="B33" s="26" t="s">
        <v>236</v>
      </c>
      <c r="C33" s="26" t="s">
        <v>237</v>
      </c>
      <c r="D33" s="26" t="s">
        <v>226</v>
      </c>
      <c r="E33" s="26" t="s">
        <v>547</v>
      </c>
      <c r="F33" s="26" t="s">
        <v>26</v>
      </c>
      <c r="G33" s="29" t="s">
        <v>142</v>
      </c>
      <c r="H33" s="29" t="s">
        <v>142</v>
      </c>
      <c r="I33" s="28" t="s">
        <v>142</v>
      </c>
      <c r="J33" s="27"/>
      <c r="K33" s="27" t="str">
        <f>"107,5"</f>
        <v>107,5</v>
      </c>
      <c r="L33" s="27" t="str">
        <f>"77,8950"</f>
        <v>77,8950</v>
      </c>
      <c r="M33" s="26" t="s">
        <v>238</v>
      </c>
    </row>
    <row r="34" spans="1:13">
      <c r="A34" s="21" t="s">
        <v>51</v>
      </c>
      <c r="B34" s="20" t="s">
        <v>239</v>
      </c>
      <c r="C34" s="20" t="s">
        <v>240</v>
      </c>
      <c r="D34" s="20" t="s">
        <v>241</v>
      </c>
      <c r="E34" s="20" t="s">
        <v>548</v>
      </c>
      <c r="F34" s="20" t="s">
        <v>26</v>
      </c>
      <c r="G34" s="25" t="s">
        <v>18</v>
      </c>
      <c r="H34" s="24" t="s">
        <v>20</v>
      </c>
      <c r="I34" s="24" t="s">
        <v>20</v>
      </c>
      <c r="J34" s="21"/>
      <c r="K34" s="21" t="str">
        <f>"95,0"</f>
        <v>95,0</v>
      </c>
      <c r="L34" s="21" t="str">
        <f>"80,7567"</f>
        <v>80,7567</v>
      </c>
      <c r="M34" s="20" t="s">
        <v>190</v>
      </c>
    </row>
    <row r="35" spans="1:13">
      <c r="B35" s="5" t="s">
        <v>52</v>
      </c>
    </row>
    <row r="36" spans="1:13" ht="16">
      <c r="A36" s="56" t="s">
        <v>83</v>
      </c>
      <c r="B36" s="56"/>
      <c r="C36" s="57"/>
      <c r="D36" s="57"/>
      <c r="E36" s="57"/>
      <c r="F36" s="57"/>
      <c r="G36" s="57"/>
      <c r="H36" s="57"/>
      <c r="I36" s="57"/>
      <c r="J36" s="57"/>
    </row>
    <row r="37" spans="1:13">
      <c r="A37" s="19" t="s">
        <v>51</v>
      </c>
      <c r="B37" s="18" t="s">
        <v>242</v>
      </c>
      <c r="C37" s="18" t="s">
        <v>243</v>
      </c>
      <c r="D37" s="18" t="s">
        <v>244</v>
      </c>
      <c r="E37" s="18" t="s">
        <v>550</v>
      </c>
      <c r="F37" s="18" t="s">
        <v>26</v>
      </c>
      <c r="G37" s="22" t="s">
        <v>19</v>
      </c>
      <c r="H37" s="22" t="s">
        <v>142</v>
      </c>
      <c r="I37" s="22" t="s">
        <v>143</v>
      </c>
      <c r="J37" s="19"/>
      <c r="K37" s="19" t="str">
        <f>"112,5"</f>
        <v>112,5</v>
      </c>
      <c r="L37" s="19" t="str">
        <f>"75,7013"</f>
        <v>75,7013</v>
      </c>
      <c r="M37" s="18" t="s">
        <v>235</v>
      </c>
    </row>
    <row r="38" spans="1:13">
      <c r="A38" s="27" t="s">
        <v>51</v>
      </c>
      <c r="B38" s="26" t="s">
        <v>245</v>
      </c>
      <c r="C38" s="26" t="s">
        <v>246</v>
      </c>
      <c r="D38" s="26" t="s">
        <v>247</v>
      </c>
      <c r="E38" s="26" t="s">
        <v>546</v>
      </c>
      <c r="F38" s="26" t="s">
        <v>58</v>
      </c>
      <c r="G38" s="28" t="s">
        <v>70</v>
      </c>
      <c r="H38" s="28" t="s">
        <v>71</v>
      </c>
      <c r="I38" s="28" t="s">
        <v>78</v>
      </c>
      <c r="J38" s="27"/>
      <c r="K38" s="27" t="str">
        <f>"170,0"</f>
        <v>170,0</v>
      </c>
      <c r="L38" s="27" t="str">
        <f>"114,1380"</f>
        <v>114,1380</v>
      </c>
      <c r="M38" s="26" t="s">
        <v>65</v>
      </c>
    </row>
    <row r="39" spans="1:13">
      <c r="A39" s="27" t="s">
        <v>133</v>
      </c>
      <c r="B39" s="26" t="s">
        <v>155</v>
      </c>
      <c r="C39" s="26" t="s">
        <v>156</v>
      </c>
      <c r="D39" s="26" t="s">
        <v>157</v>
      </c>
      <c r="E39" s="26" t="s">
        <v>546</v>
      </c>
      <c r="F39" s="26" t="s">
        <v>111</v>
      </c>
      <c r="G39" s="29" t="s">
        <v>103</v>
      </c>
      <c r="H39" s="29" t="s">
        <v>248</v>
      </c>
      <c r="I39" s="28" t="s">
        <v>248</v>
      </c>
      <c r="J39" s="27"/>
      <c r="K39" s="27" t="str">
        <f>"152,5"</f>
        <v>152,5</v>
      </c>
      <c r="L39" s="27" t="str">
        <f>"103,6237"</f>
        <v>103,6237</v>
      </c>
      <c r="M39" s="26" t="s">
        <v>159</v>
      </c>
    </row>
    <row r="40" spans="1:13">
      <c r="A40" s="27" t="s">
        <v>51</v>
      </c>
      <c r="B40" s="26" t="s">
        <v>249</v>
      </c>
      <c r="C40" s="26" t="s">
        <v>250</v>
      </c>
      <c r="D40" s="26" t="s">
        <v>251</v>
      </c>
      <c r="E40" s="26" t="s">
        <v>552</v>
      </c>
      <c r="F40" s="26" t="s">
        <v>26</v>
      </c>
      <c r="G40" s="28" t="s">
        <v>102</v>
      </c>
      <c r="H40" s="28" t="s">
        <v>64</v>
      </c>
      <c r="I40" s="28" t="s">
        <v>28</v>
      </c>
      <c r="J40" s="27"/>
      <c r="K40" s="27" t="str">
        <f>"120,0"</f>
        <v>120,0</v>
      </c>
      <c r="L40" s="27" t="str">
        <f>"118,9210"</f>
        <v>118,9210</v>
      </c>
      <c r="M40" s="26" t="s">
        <v>190</v>
      </c>
    </row>
    <row r="41" spans="1:13">
      <c r="A41" s="21" t="s">
        <v>133</v>
      </c>
      <c r="B41" s="20" t="s">
        <v>252</v>
      </c>
      <c r="C41" s="20" t="s">
        <v>253</v>
      </c>
      <c r="D41" s="20" t="s">
        <v>254</v>
      </c>
      <c r="E41" s="20" t="s">
        <v>552</v>
      </c>
      <c r="F41" s="20" t="s">
        <v>26</v>
      </c>
      <c r="G41" s="24" t="s">
        <v>91</v>
      </c>
      <c r="H41" s="25" t="s">
        <v>255</v>
      </c>
      <c r="I41" s="25" t="s">
        <v>256</v>
      </c>
      <c r="J41" s="21"/>
      <c r="K41" s="21" t="str">
        <f>"75,0"</f>
        <v>75,0</v>
      </c>
      <c r="L41" s="21" t="str">
        <f>"79,0403"</f>
        <v>79,0403</v>
      </c>
      <c r="M41" s="20" t="s">
        <v>257</v>
      </c>
    </row>
    <row r="42" spans="1:13">
      <c r="B42" s="5" t="s">
        <v>52</v>
      </c>
    </row>
    <row r="43" spans="1:13" ht="16">
      <c r="A43" s="56" t="s">
        <v>22</v>
      </c>
      <c r="B43" s="56"/>
      <c r="C43" s="57"/>
      <c r="D43" s="57"/>
      <c r="E43" s="57"/>
      <c r="F43" s="57"/>
      <c r="G43" s="57"/>
      <c r="H43" s="57"/>
      <c r="I43" s="57"/>
      <c r="J43" s="57"/>
    </row>
    <row r="44" spans="1:13">
      <c r="A44" s="19" t="s">
        <v>51</v>
      </c>
      <c r="B44" s="18" t="s">
        <v>160</v>
      </c>
      <c r="C44" s="18" t="s">
        <v>161</v>
      </c>
      <c r="D44" s="18" t="s">
        <v>162</v>
      </c>
      <c r="E44" s="18" t="s">
        <v>546</v>
      </c>
      <c r="F44" s="18" t="s">
        <v>111</v>
      </c>
      <c r="G44" s="22" t="s">
        <v>168</v>
      </c>
      <c r="H44" s="22" t="s">
        <v>258</v>
      </c>
      <c r="I44" s="23" t="s">
        <v>132</v>
      </c>
      <c r="J44" s="19"/>
      <c r="K44" s="19" t="str">
        <f>"215,0"</f>
        <v>215,0</v>
      </c>
      <c r="L44" s="19" t="str">
        <f>"142,6095"</f>
        <v>142,6095</v>
      </c>
      <c r="M44" s="18"/>
    </row>
    <row r="45" spans="1:13">
      <c r="A45" s="27" t="s">
        <v>133</v>
      </c>
      <c r="B45" s="26" t="s">
        <v>259</v>
      </c>
      <c r="C45" s="26" t="s">
        <v>260</v>
      </c>
      <c r="D45" s="26" t="s">
        <v>96</v>
      </c>
      <c r="E45" s="26" t="s">
        <v>546</v>
      </c>
      <c r="F45" s="26" t="s">
        <v>26</v>
      </c>
      <c r="G45" s="28" t="s">
        <v>29</v>
      </c>
      <c r="H45" s="29" t="s">
        <v>21</v>
      </c>
      <c r="I45" s="28" t="s">
        <v>21</v>
      </c>
      <c r="J45" s="27"/>
      <c r="K45" s="27" t="str">
        <f>"190,0"</f>
        <v>190,0</v>
      </c>
      <c r="L45" s="27" t="str">
        <f>"123,1010"</f>
        <v>123,1010</v>
      </c>
      <c r="M45" s="26" t="s">
        <v>261</v>
      </c>
    </row>
    <row r="46" spans="1:13">
      <c r="A46" s="21" t="s">
        <v>51</v>
      </c>
      <c r="B46" s="20" t="s">
        <v>262</v>
      </c>
      <c r="C46" s="20" t="s">
        <v>263</v>
      </c>
      <c r="D46" s="20" t="s">
        <v>264</v>
      </c>
      <c r="E46" s="20" t="s">
        <v>547</v>
      </c>
      <c r="F46" s="20" t="s">
        <v>26</v>
      </c>
      <c r="G46" s="25" t="s">
        <v>102</v>
      </c>
      <c r="H46" s="24" t="s">
        <v>64</v>
      </c>
      <c r="I46" s="25" t="s">
        <v>265</v>
      </c>
      <c r="J46" s="21"/>
      <c r="K46" s="21" t="str">
        <f>"117,5"</f>
        <v>117,5</v>
      </c>
      <c r="L46" s="21" t="str">
        <f>"85,8319"</f>
        <v>85,8319</v>
      </c>
      <c r="M46" s="20" t="s">
        <v>266</v>
      </c>
    </row>
    <row r="47" spans="1:13">
      <c r="B47" s="5" t="s">
        <v>52</v>
      </c>
    </row>
    <row r="48" spans="1:13" ht="16">
      <c r="A48" s="56" t="s">
        <v>66</v>
      </c>
      <c r="B48" s="56"/>
      <c r="C48" s="57"/>
      <c r="D48" s="57"/>
      <c r="E48" s="57"/>
      <c r="F48" s="57"/>
      <c r="G48" s="57"/>
      <c r="H48" s="57"/>
      <c r="I48" s="57"/>
      <c r="J48" s="57"/>
    </row>
    <row r="49" spans="1:13">
      <c r="A49" s="19" t="s">
        <v>51</v>
      </c>
      <c r="B49" s="18" t="s">
        <v>267</v>
      </c>
      <c r="C49" s="18" t="s">
        <v>268</v>
      </c>
      <c r="D49" s="18" t="s">
        <v>269</v>
      </c>
      <c r="E49" s="18" t="s">
        <v>546</v>
      </c>
      <c r="F49" s="18" t="s">
        <v>538</v>
      </c>
      <c r="G49" s="22" t="s">
        <v>21</v>
      </c>
      <c r="H49" s="22" t="s">
        <v>17</v>
      </c>
      <c r="I49" s="22" t="s">
        <v>158</v>
      </c>
      <c r="J49" s="19"/>
      <c r="K49" s="19" t="str">
        <f>"210,0"</f>
        <v>210,0</v>
      </c>
      <c r="L49" s="19" t="str">
        <f>"128,3730"</f>
        <v>128,3730</v>
      </c>
      <c r="M49" s="18"/>
    </row>
    <row r="50" spans="1:13">
      <c r="A50" s="27" t="s">
        <v>133</v>
      </c>
      <c r="B50" s="26" t="s">
        <v>108</v>
      </c>
      <c r="C50" s="26" t="s">
        <v>109</v>
      </c>
      <c r="D50" s="26" t="s">
        <v>110</v>
      </c>
      <c r="E50" s="26" t="s">
        <v>546</v>
      </c>
      <c r="F50" s="26" t="s">
        <v>111</v>
      </c>
      <c r="G50" s="28" t="s">
        <v>39</v>
      </c>
      <c r="H50" s="28" t="s">
        <v>17</v>
      </c>
      <c r="I50" s="28" t="s">
        <v>113</v>
      </c>
      <c r="J50" s="27"/>
      <c r="K50" s="27" t="str">
        <f>"202,5"</f>
        <v>202,5</v>
      </c>
      <c r="L50" s="27" t="str">
        <f>"123,7478"</f>
        <v>123,7478</v>
      </c>
      <c r="M50" s="26"/>
    </row>
    <row r="51" spans="1:13">
      <c r="A51" s="27" t="s">
        <v>134</v>
      </c>
      <c r="B51" s="26" t="s">
        <v>270</v>
      </c>
      <c r="C51" s="26" t="s">
        <v>271</v>
      </c>
      <c r="D51" s="26" t="s">
        <v>272</v>
      </c>
      <c r="E51" s="26" t="s">
        <v>546</v>
      </c>
      <c r="F51" s="26" t="s">
        <v>273</v>
      </c>
      <c r="G51" s="28" t="s">
        <v>73</v>
      </c>
      <c r="H51" s="28" t="s">
        <v>16</v>
      </c>
      <c r="I51" s="29" t="s">
        <v>17</v>
      </c>
      <c r="J51" s="27"/>
      <c r="K51" s="27" t="str">
        <f>"195,0"</f>
        <v>195,0</v>
      </c>
      <c r="L51" s="27" t="str">
        <f>"120,7245"</f>
        <v>120,7245</v>
      </c>
      <c r="M51" s="26"/>
    </row>
    <row r="52" spans="1:13">
      <c r="A52" s="27" t="s">
        <v>311</v>
      </c>
      <c r="B52" s="26" t="s">
        <v>191</v>
      </c>
      <c r="C52" s="26" t="s">
        <v>192</v>
      </c>
      <c r="D52" s="26" t="s">
        <v>193</v>
      </c>
      <c r="E52" s="26" t="s">
        <v>546</v>
      </c>
      <c r="F52" s="26" t="s">
        <v>540</v>
      </c>
      <c r="G52" s="28" t="s">
        <v>78</v>
      </c>
      <c r="H52" s="28" t="s">
        <v>274</v>
      </c>
      <c r="I52" s="29" t="s">
        <v>73</v>
      </c>
      <c r="J52" s="27"/>
      <c r="K52" s="27" t="str">
        <f>"177,5"</f>
        <v>177,5</v>
      </c>
      <c r="L52" s="27" t="str">
        <f>"112,6947"</f>
        <v>112,6947</v>
      </c>
      <c r="M52" s="26"/>
    </row>
    <row r="53" spans="1:13">
      <c r="A53" s="27" t="s">
        <v>312</v>
      </c>
      <c r="B53" s="26" t="s">
        <v>275</v>
      </c>
      <c r="C53" s="26" t="s">
        <v>276</v>
      </c>
      <c r="D53" s="26" t="s">
        <v>277</v>
      </c>
      <c r="E53" s="26" t="s">
        <v>546</v>
      </c>
      <c r="F53" s="26" t="s">
        <v>26</v>
      </c>
      <c r="G53" s="28" t="s">
        <v>15</v>
      </c>
      <c r="H53" s="29" t="s">
        <v>29</v>
      </c>
      <c r="I53" s="29" t="s">
        <v>73</v>
      </c>
      <c r="J53" s="27"/>
      <c r="K53" s="27" t="str">
        <f>"175,0"</f>
        <v>175,0</v>
      </c>
      <c r="L53" s="27" t="str">
        <f>"107,6600"</f>
        <v>107,6600</v>
      </c>
      <c r="M53" s="26" t="s">
        <v>278</v>
      </c>
    </row>
    <row r="54" spans="1:13">
      <c r="A54" s="27" t="s">
        <v>313</v>
      </c>
      <c r="B54" s="26" t="s">
        <v>279</v>
      </c>
      <c r="C54" s="26" t="s">
        <v>280</v>
      </c>
      <c r="D54" s="26" t="s">
        <v>146</v>
      </c>
      <c r="E54" s="26" t="s">
        <v>546</v>
      </c>
      <c r="F54" s="26" t="s">
        <v>26</v>
      </c>
      <c r="G54" s="28" t="s">
        <v>71</v>
      </c>
      <c r="H54" s="28" t="s">
        <v>37</v>
      </c>
      <c r="I54" s="29" t="s">
        <v>73</v>
      </c>
      <c r="J54" s="27"/>
      <c r="K54" s="27" t="str">
        <f>"172,5"</f>
        <v>172,5</v>
      </c>
      <c r="L54" s="27" t="str">
        <f>"105,0697"</f>
        <v>105,0697</v>
      </c>
      <c r="M54" s="26" t="s">
        <v>190</v>
      </c>
    </row>
    <row r="55" spans="1:13">
      <c r="A55" s="21" t="s">
        <v>51</v>
      </c>
      <c r="B55" s="20" t="s">
        <v>281</v>
      </c>
      <c r="C55" s="20" t="s">
        <v>282</v>
      </c>
      <c r="D55" s="20" t="s">
        <v>283</v>
      </c>
      <c r="E55" s="20" t="s">
        <v>554</v>
      </c>
      <c r="F55" s="20" t="s">
        <v>26</v>
      </c>
      <c r="G55" s="25" t="s">
        <v>89</v>
      </c>
      <c r="H55" s="25" t="s">
        <v>284</v>
      </c>
      <c r="I55" s="21"/>
      <c r="J55" s="21"/>
      <c r="K55" s="21" t="str">
        <f>"85,0"</f>
        <v>85,0</v>
      </c>
      <c r="L55" s="21" t="str">
        <f>"101,5512"</f>
        <v>101,5512</v>
      </c>
      <c r="M55" s="20"/>
    </row>
    <row r="56" spans="1:13">
      <c r="B56" s="5" t="s">
        <v>52</v>
      </c>
    </row>
    <row r="57" spans="1:13" ht="16">
      <c r="A57" s="56" t="s">
        <v>173</v>
      </c>
      <c r="B57" s="56"/>
      <c r="C57" s="57"/>
      <c r="D57" s="57"/>
      <c r="E57" s="57"/>
      <c r="F57" s="57"/>
      <c r="G57" s="57"/>
      <c r="H57" s="57"/>
      <c r="I57" s="57"/>
      <c r="J57" s="57"/>
    </row>
    <row r="58" spans="1:13">
      <c r="A58" s="19" t="s">
        <v>51</v>
      </c>
      <c r="B58" s="18" t="s">
        <v>285</v>
      </c>
      <c r="C58" s="18" t="s">
        <v>286</v>
      </c>
      <c r="D58" s="18" t="s">
        <v>287</v>
      </c>
      <c r="E58" s="18" t="s">
        <v>546</v>
      </c>
      <c r="F58" s="18" t="s">
        <v>538</v>
      </c>
      <c r="G58" s="22" t="s">
        <v>122</v>
      </c>
      <c r="H58" s="22" t="s">
        <v>274</v>
      </c>
      <c r="I58" s="22" t="s">
        <v>38</v>
      </c>
      <c r="J58" s="19"/>
      <c r="K58" s="19" t="str">
        <f>"182,5"</f>
        <v>182,5</v>
      </c>
      <c r="L58" s="19" t="str">
        <f>"108,6605"</f>
        <v>108,6605</v>
      </c>
      <c r="M58" s="18"/>
    </row>
    <row r="59" spans="1:13">
      <c r="A59" s="27" t="s">
        <v>51</v>
      </c>
      <c r="B59" s="26" t="s">
        <v>285</v>
      </c>
      <c r="C59" s="26" t="s">
        <v>288</v>
      </c>
      <c r="D59" s="26" t="s">
        <v>287</v>
      </c>
      <c r="E59" s="26" t="s">
        <v>547</v>
      </c>
      <c r="F59" s="26" t="s">
        <v>538</v>
      </c>
      <c r="G59" s="28" t="s">
        <v>122</v>
      </c>
      <c r="H59" s="28" t="s">
        <v>274</v>
      </c>
      <c r="I59" s="28" t="s">
        <v>38</v>
      </c>
      <c r="J59" s="27"/>
      <c r="K59" s="27" t="str">
        <f>"182,5"</f>
        <v>182,5</v>
      </c>
      <c r="L59" s="27" t="str">
        <f>"115,1801"</f>
        <v>115,1801</v>
      </c>
      <c r="M59" s="26"/>
    </row>
    <row r="60" spans="1:13">
      <c r="A60" s="27" t="s">
        <v>133</v>
      </c>
      <c r="B60" s="26" t="s">
        <v>289</v>
      </c>
      <c r="C60" s="26" t="s">
        <v>290</v>
      </c>
      <c r="D60" s="26" t="s">
        <v>291</v>
      </c>
      <c r="E60" s="26" t="s">
        <v>547</v>
      </c>
      <c r="F60" s="26" t="s">
        <v>292</v>
      </c>
      <c r="G60" s="28" t="s">
        <v>72</v>
      </c>
      <c r="H60" s="28" t="s">
        <v>60</v>
      </c>
      <c r="I60" s="28" t="s">
        <v>61</v>
      </c>
      <c r="J60" s="27"/>
      <c r="K60" s="27" t="str">
        <f>"140,0"</f>
        <v>140,0</v>
      </c>
      <c r="L60" s="27" t="str">
        <f>"93,0769"</f>
        <v>93,0769</v>
      </c>
      <c r="M60" s="26"/>
    </row>
    <row r="61" spans="1:13">
      <c r="A61" s="21" t="s">
        <v>51</v>
      </c>
      <c r="B61" s="20" t="s">
        <v>293</v>
      </c>
      <c r="C61" s="20" t="s">
        <v>294</v>
      </c>
      <c r="D61" s="20" t="s">
        <v>295</v>
      </c>
      <c r="E61" s="20" t="s">
        <v>548</v>
      </c>
      <c r="F61" s="20" t="s">
        <v>538</v>
      </c>
      <c r="G61" s="25" t="s">
        <v>71</v>
      </c>
      <c r="H61" s="25" t="s">
        <v>15</v>
      </c>
      <c r="I61" s="25" t="s">
        <v>73</v>
      </c>
      <c r="J61" s="21"/>
      <c r="K61" s="21" t="str">
        <f>"185,0"</f>
        <v>185,0</v>
      </c>
      <c r="L61" s="21" t="str">
        <f>"126,0331"</f>
        <v>126,0331</v>
      </c>
      <c r="M61" s="20"/>
    </row>
    <row r="62" spans="1:13">
      <c r="B62" s="5" t="s">
        <v>52</v>
      </c>
    </row>
    <row r="63" spans="1:13" ht="16">
      <c r="A63" s="56" t="s">
        <v>296</v>
      </c>
      <c r="B63" s="56"/>
      <c r="C63" s="57"/>
      <c r="D63" s="57"/>
      <c r="E63" s="57"/>
      <c r="F63" s="57"/>
      <c r="G63" s="57"/>
      <c r="H63" s="57"/>
      <c r="I63" s="57"/>
      <c r="J63" s="57"/>
    </row>
    <row r="64" spans="1:13">
      <c r="A64" s="8" t="s">
        <v>51</v>
      </c>
      <c r="B64" s="7" t="s">
        <v>297</v>
      </c>
      <c r="C64" s="7" t="s">
        <v>298</v>
      </c>
      <c r="D64" s="7" t="s">
        <v>299</v>
      </c>
      <c r="E64" s="7" t="s">
        <v>546</v>
      </c>
      <c r="F64" s="7" t="s">
        <v>517</v>
      </c>
      <c r="G64" s="16" t="s">
        <v>258</v>
      </c>
      <c r="H64" s="16" t="s">
        <v>300</v>
      </c>
      <c r="I64" s="16" t="s">
        <v>301</v>
      </c>
      <c r="J64" s="8"/>
      <c r="K64" s="8" t="str">
        <f>"227,5"</f>
        <v>227,5</v>
      </c>
      <c r="L64" s="8" t="str">
        <f>"127,7640"</f>
        <v>127,7640</v>
      </c>
      <c r="M64" s="7"/>
    </row>
    <row r="65" spans="2:6">
      <c r="B65" s="5" t="s">
        <v>52</v>
      </c>
    </row>
    <row r="66" spans="2:6">
      <c r="B66" s="5" t="s">
        <v>52</v>
      </c>
    </row>
    <row r="67" spans="2:6">
      <c r="B67" s="5" t="s">
        <v>52</v>
      </c>
    </row>
    <row r="68" spans="2:6" ht="18">
      <c r="B68" s="9" t="s">
        <v>44</v>
      </c>
      <c r="C68" s="9"/>
    </row>
    <row r="69" spans="2:6" ht="16">
      <c r="B69" s="10" t="s">
        <v>80</v>
      </c>
      <c r="C69" s="10"/>
    </row>
    <row r="70" spans="2:6" ht="14">
      <c r="B70" s="11"/>
      <c r="C70" s="12" t="s">
        <v>46</v>
      </c>
    </row>
    <row r="71" spans="2:6" ht="14">
      <c r="B71" s="15" t="s">
        <v>47</v>
      </c>
      <c r="C71" s="15" t="s">
        <v>48</v>
      </c>
      <c r="D71" s="15" t="s">
        <v>537</v>
      </c>
      <c r="E71" s="15" t="s">
        <v>179</v>
      </c>
      <c r="F71" s="15" t="s">
        <v>49</v>
      </c>
    </row>
    <row r="72" spans="2:6">
      <c r="B72" s="5" t="s">
        <v>94</v>
      </c>
      <c r="C72" s="5" t="s">
        <v>46</v>
      </c>
      <c r="D72" s="6" t="s">
        <v>130</v>
      </c>
      <c r="E72" s="6" t="s">
        <v>19</v>
      </c>
      <c r="F72" s="6" t="s">
        <v>302</v>
      </c>
    </row>
    <row r="73" spans="2:6">
      <c r="B73" s="5" t="s">
        <v>201</v>
      </c>
      <c r="C73" s="5" t="s">
        <v>46</v>
      </c>
      <c r="D73" s="6" t="s">
        <v>303</v>
      </c>
      <c r="E73" s="6" t="s">
        <v>204</v>
      </c>
      <c r="F73" s="6" t="s">
        <v>304</v>
      </c>
    </row>
    <row r="74" spans="2:6">
      <c r="B74" s="5" t="s">
        <v>206</v>
      </c>
      <c r="C74" s="5" t="s">
        <v>46</v>
      </c>
      <c r="D74" s="6" t="s">
        <v>305</v>
      </c>
      <c r="E74" s="6" t="s">
        <v>204</v>
      </c>
      <c r="F74" s="6" t="s">
        <v>306</v>
      </c>
    </row>
    <row r="76" spans="2:6" ht="16">
      <c r="B76" s="10" t="s">
        <v>45</v>
      </c>
      <c r="C76" s="10"/>
    </row>
    <row r="77" spans="2:6" ht="14">
      <c r="B77" s="11"/>
      <c r="C77" s="12" t="s">
        <v>46</v>
      </c>
    </row>
    <row r="78" spans="2:6" ht="14">
      <c r="B78" s="15" t="s">
        <v>47</v>
      </c>
      <c r="C78" s="15" t="s">
        <v>48</v>
      </c>
      <c r="D78" s="15" t="s">
        <v>537</v>
      </c>
      <c r="E78" s="15" t="s">
        <v>179</v>
      </c>
      <c r="F78" s="15" t="s">
        <v>49</v>
      </c>
    </row>
    <row r="79" spans="2:6">
      <c r="B79" s="5" t="s">
        <v>160</v>
      </c>
      <c r="C79" s="5" t="s">
        <v>46</v>
      </c>
      <c r="D79" s="6" t="s">
        <v>130</v>
      </c>
      <c r="E79" s="6" t="s">
        <v>258</v>
      </c>
      <c r="F79" s="6" t="s">
        <v>307</v>
      </c>
    </row>
    <row r="80" spans="2:6">
      <c r="B80" s="5" t="s">
        <v>267</v>
      </c>
      <c r="C80" s="5" t="s">
        <v>46</v>
      </c>
      <c r="D80" s="6" t="s">
        <v>82</v>
      </c>
      <c r="E80" s="6" t="s">
        <v>158</v>
      </c>
      <c r="F80" s="6" t="s">
        <v>308</v>
      </c>
    </row>
    <row r="81" spans="2:6">
      <c r="B81" s="5" t="s">
        <v>297</v>
      </c>
      <c r="C81" s="5" t="s">
        <v>46</v>
      </c>
      <c r="D81" s="6" t="s">
        <v>309</v>
      </c>
      <c r="E81" s="6" t="s">
        <v>301</v>
      </c>
      <c r="F81" s="6" t="s">
        <v>310</v>
      </c>
    </row>
  </sheetData>
  <mergeCells count="25">
    <mergeCell ref="A63:J63"/>
    <mergeCell ref="B3:B4"/>
    <mergeCell ref="A28:J28"/>
    <mergeCell ref="A31:J31"/>
    <mergeCell ref="A36:J36"/>
    <mergeCell ref="A43:J43"/>
    <mergeCell ref="A48:J48"/>
    <mergeCell ref="A57:J57"/>
    <mergeCell ref="A8:J8"/>
    <mergeCell ref="A13:J13"/>
    <mergeCell ref="A16:J16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8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8.1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43" t="s">
        <v>526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543</v>
      </c>
      <c r="B3" s="58" t="s">
        <v>0</v>
      </c>
      <c r="C3" s="53" t="s">
        <v>544</v>
      </c>
      <c r="D3" s="53" t="s">
        <v>6</v>
      </c>
      <c r="E3" s="55" t="s">
        <v>545</v>
      </c>
      <c r="F3" s="55" t="s">
        <v>5</v>
      </c>
      <c r="G3" s="55" t="s">
        <v>8</v>
      </c>
      <c r="H3" s="55"/>
      <c r="I3" s="55"/>
      <c r="J3" s="55"/>
      <c r="K3" s="55" t="s">
        <v>180</v>
      </c>
      <c r="L3" s="55" t="s">
        <v>3</v>
      </c>
      <c r="M3" s="39" t="s">
        <v>2</v>
      </c>
    </row>
    <row r="4" spans="1:13" s="1" customFormat="1" ht="21" customHeight="1" thickBot="1">
      <c r="A4" s="52"/>
      <c r="B4" s="59"/>
      <c r="C4" s="54"/>
      <c r="D4" s="54"/>
      <c r="E4" s="54"/>
      <c r="F4" s="54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40"/>
    </row>
    <row r="5" spans="1:13" ht="16">
      <c r="A5" s="41" t="s">
        <v>215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424</v>
      </c>
      <c r="C6" s="7" t="s">
        <v>425</v>
      </c>
      <c r="D6" s="7" t="s">
        <v>426</v>
      </c>
      <c r="E6" s="7" t="s">
        <v>546</v>
      </c>
      <c r="F6" s="7" t="s">
        <v>153</v>
      </c>
      <c r="G6" s="16" t="s">
        <v>72</v>
      </c>
      <c r="H6" s="16" t="s">
        <v>363</v>
      </c>
      <c r="I6" s="16" t="s">
        <v>103</v>
      </c>
      <c r="J6" s="8"/>
      <c r="K6" s="8" t="str">
        <f>"145,0"</f>
        <v>145,0</v>
      </c>
      <c r="L6" s="8" t="str">
        <f>"123,5907"</f>
        <v>123,5907</v>
      </c>
      <c r="M6" s="7" t="s">
        <v>154</v>
      </c>
    </row>
    <row r="7" spans="1:13">
      <c r="B7" s="5" t="s">
        <v>52</v>
      </c>
    </row>
    <row r="8" spans="1:13" ht="16">
      <c r="A8" s="56" t="s">
        <v>10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51</v>
      </c>
      <c r="B9" s="7" t="s">
        <v>424</v>
      </c>
      <c r="C9" s="7" t="s">
        <v>427</v>
      </c>
      <c r="D9" s="7" t="s">
        <v>428</v>
      </c>
      <c r="E9" s="7" t="s">
        <v>546</v>
      </c>
      <c r="F9" s="7" t="s">
        <v>429</v>
      </c>
      <c r="G9" s="16" t="s">
        <v>78</v>
      </c>
      <c r="H9" s="16" t="s">
        <v>29</v>
      </c>
      <c r="I9" s="16" t="s">
        <v>73</v>
      </c>
      <c r="J9" s="8"/>
      <c r="K9" s="8" t="str">
        <f>"185,0"</f>
        <v>185,0</v>
      </c>
      <c r="L9" s="8" t="str">
        <f>"128,3299"</f>
        <v>128,3299</v>
      </c>
      <c r="M9" s="7"/>
    </row>
    <row r="10" spans="1:13">
      <c r="B10" s="5" t="s">
        <v>52</v>
      </c>
    </row>
    <row r="11" spans="1:13" ht="16">
      <c r="A11" s="56" t="s">
        <v>83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8" t="s">
        <v>51</v>
      </c>
      <c r="B12" s="7" t="s">
        <v>430</v>
      </c>
      <c r="C12" s="7" t="s">
        <v>431</v>
      </c>
      <c r="D12" s="7" t="s">
        <v>432</v>
      </c>
      <c r="E12" s="7" t="s">
        <v>546</v>
      </c>
      <c r="F12" s="7" t="s">
        <v>26</v>
      </c>
      <c r="G12" s="16" t="s">
        <v>70</v>
      </c>
      <c r="H12" s="16" t="s">
        <v>71</v>
      </c>
      <c r="I12" s="17" t="s">
        <v>15</v>
      </c>
      <c r="J12" s="8"/>
      <c r="K12" s="8" t="str">
        <f>"165,0"</f>
        <v>165,0</v>
      </c>
      <c r="L12" s="8" t="str">
        <f>"107,2500"</f>
        <v>107,2500</v>
      </c>
      <c r="M12" s="7" t="s">
        <v>190</v>
      </c>
    </row>
    <row r="13" spans="1:13">
      <c r="B13" s="5" t="s">
        <v>52</v>
      </c>
    </row>
    <row r="14" spans="1:13" ht="16">
      <c r="A14" s="56" t="s">
        <v>22</v>
      </c>
      <c r="B14" s="56"/>
      <c r="C14" s="57"/>
      <c r="D14" s="57"/>
      <c r="E14" s="57"/>
      <c r="F14" s="57"/>
      <c r="G14" s="57"/>
      <c r="H14" s="57"/>
      <c r="I14" s="57"/>
      <c r="J14" s="57"/>
    </row>
    <row r="15" spans="1:13">
      <c r="A15" s="8" t="s">
        <v>51</v>
      </c>
      <c r="B15" s="7" t="s">
        <v>433</v>
      </c>
      <c r="C15" s="7" t="s">
        <v>434</v>
      </c>
      <c r="D15" s="7" t="s">
        <v>435</v>
      </c>
      <c r="E15" s="7" t="s">
        <v>554</v>
      </c>
      <c r="F15" s="7" t="s">
        <v>26</v>
      </c>
      <c r="G15" s="16" t="s">
        <v>39</v>
      </c>
      <c r="H15" s="16" t="s">
        <v>113</v>
      </c>
      <c r="I15" s="17" t="s">
        <v>168</v>
      </c>
      <c r="J15" s="8"/>
      <c r="K15" s="8" t="str">
        <f>"202,5"</f>
        <v>202,5</v>
      </c>
      <c r="L15" s="8" t="str">
        <f>"207,7373"</f>
        <v>207,7373</v>
      </c>
      <c r="M15" s="7"/>
    </row>
    <row r="16" spans="1:13">
      <c r="B16" s="5" t="s">
        <v>52</v>
      </c>
    </row>
    <row r="17" spans="1:13" ht="16">
      <c r="A17" s="56" t="s">
        <v>66</v>
      </c>
      <c r="B17" s="56"/>
      <c r="C17" s="57"/>
      <c r="D17" s="57"/>
      <c r="E17" s="57"/>
      <c r="F17" s="57"/>
      <c r="G17" s="57"/>
      <c r="H17" s="57"/>
      <c r="I17" s="57"/>
      <c r="J17" s="57"/>
    </row>
    <row r="18" spans="1:13">
      <c r="A18" s="19" t="s">
        <v>51</v>
      </c>
      <c r="B18" s="18" t="s">
        <v>436</v>
      </c>
      <c r="C18" s="18" t="s">
        <v>437</v>
      </c>
      <c r="D18" s="18" t="s">
        <v>438</v>
      </c>
      <c r="E18" s="18" t="s">
        <v>546</v>
      </c>
      <c r="F18" s="18" t="s">
        <v>14</v>
      </c>
      <c r="G18" s="22" t="s">
        <v>119</v>
      </c>
      <c r="H18" s="23" t="s">
        <v>121</v>
      </c>
      <c r="I18" s="22" t="s">
        <v>112</v>
      </c>
      <c r="J18" s="19"/>
      <c r="K18" s="19" t="str">
        <f>"260,0"</f>
        <v>260,0</v>
      </c>
      <c r="L18" s="19" t="str">
        <f>"153,1335"</f>
        <v>153,1335</v>
      </c>
      <c r="M18" s="18" t="s">
        <v>439</v>
      </c>
    </row>
    <row r="19" spans="1:13">
      <c r="A19" s="21" t="s">
        <v>133</v>
      </c>
      <c r="B19" s="20" t="s">
        <v>410</v>
      </c>
      <c r="C19" s="20" t="s">
        <v>411</v>
      </c>
      <c r="D19" s="20" t="s">
        <v>440</v>
      </c>
      <c r="E19" s="20" t="s">
        <v>546</v>
      </c>
      <c r="F19" s="20" t="s">
        <v>26</v>
      </c>
      <c r="G19" s="25" t="s">
        <v>158</v>
      </c>
      <c r="H19" s="25" t="s">
        <v>127</v>
      </c>
      <c r="I19" s="24" t="s">
        <v>441</v>
      </c>
      <c r="J19" s="21"/>
      <c r="K19" s="21" t="str">
        <f>"220,0"</f>
        <v>220,0</v>
      </c>
      <c r="L19" s="21" t="str">
        <f>"128,7440"</f>
        <v>128,7440</v>
      </c>
      <c r="M19" s="20" t="s">
        <v>235</v>
      </c>
    </row>
    <row r="20" spans="1:13">
      <c r="B20" s="5" t="s">
        <v>52</v>
      </c>
    </row>
    <row r="21" spans="1:13">
      <c r="A21"/>
      <c r="B21"/>
      <c r="C21"/>
      <c r="D21"/>
      <c r="E21"/>
      <c r="F21"/>
      <c r="G21"/>
      <c r="H21"/>
      <c r="I21"/>
      <c r="J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/>
      <c r="C40"/>
      <c r="D40"/>
      <c r="E40"/>
      <c r="F40"/>
      <c r="G40"/>
      <c r="H40"/>
      <c r="I40"/>
      <c r="J40"/>
    </row>
    <row r="41" spans="1:10">
      <c r="A41"/>
      <c r="B41"/>
      <c r="C41"/>
      <c r="D41"/>
      <c r="E41"/>
      <c r="F41"/>
      <c r="G41"/>
      <c r="H41"/>
      <c r="I41"/>
      <c r="J41"/>
    </row>
    <row r="42" spans="1:10">
      <c r="A42"/>
      <c r="B42"/>
      <c r="C42"/>
      <c r="D42"/>
      <c r="E42"/>
      <c r="F42"/>
      <c r="G42"/>
      <c r="H42"/>
      <c r="I42"/>
      <c r="J42"/>
    </row>
    <row r="43" spans="1:10">
      <c r="A43"/>
      <c r="B43"/>
      <c r="C43"/>
      <c r="D43"/>
      <c r="E43"/>
      <c r="F43"/>
      <c r="G43"/>
      <c r="H43"/>
      <c r="I43"/>
      <c r="J43"/>
    </row>
    <row r="44" spans="1:10">
      <c r="A44"/>
      <c r="B44"/>
      <c r="C44"/>
      <c r="D44"/>
      <c r="E44"/>
      <c r="F44"/>
      <c r="G44"/>
      <c r="H44"/>
      <c r="I44"/>
      <c r="J44"/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WRPF Военный жим ДК</vt:lpstr>
      <vt:lpstr>WRPF Военный жим</vt:lpstr>
      <vt:lpstr>WRPF Жим СФО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2022-04-12T16:30:16Z</dcterms:modified>
</cp:coreProperties>
</file>