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2C265AB9-C9EB-364C-9500-DCA747143E84}" xr6:coauthVersionLast="45" xr6:coauthVersionMax="45" xr10:uidLastSave="{00000000-0000-0000-0000-000000000000}"/>
  <bookViews>
    <workbookView xWindow="480" yWindow="460" windowWidth="27980" windowHeight="14860" firstSheet="3" activeTab="5" xr2:uid="{00000000-000D-0000-FFFF-FFFF00000000}"/>
  </bookViews>
  <sheets>
    <sheet name="IPL ПЛ без экипировки ДК" sheetId="10" r:id="rId1"/>
    <sheet name="IPL ПЛ без экипировки" sheetId="9" r:id="rId2"/>
    <sheet name="IPL Двоеборье без экип ДК" sheetId="34" r:id="rId3"/>
    <sheet name="IPL Жим без экипировки ДК" sheetId="14" r:id="rId4"/>
    <sheet name="IPL Жим без экипировки" sheetId="13" r:id="rId5"/>
    <sheet name="IPL Тяга без экипировки ДК" sheetId="20" r:id="rId6"/>
    <sheet name="IPL Тяга без экипировки" sheetId="19" r:id="rId7"/>
    <sheet name="IPL Тяга однослой" sheetId="23" r:id="rId8"/>
    <sheet name="ФЖД Любители двоеборье 1_2 ДК" sheetId="67" r:id="rId9"/>
    <sheet name="ФЖД Военный жим максимум" sheetId="68" r:id="rId10"/>
  </sheets>
  <calcPr calcId="152511" calcCompleted="0"/>
</workbook>
</file>

<file path=xl/calcChain.xml><?xml version="1.0" encoding="utf-8"?>
<calcChain xmlns="http://schemas.openxmlformats.org/spreadsheetml/2006/main">
  <c r="L6" i="68" l="1"/>
  <c r="K6" i="68"/>
  <c r="N6" i="67"/>
  <c r="M6" i="67"/>
  <c r="P6" i="34"/>
  <c r="O6" i="34"/>
  <c r="L6" i="23"/>
  <c r="K6" i="23"/>
  <c r="L50" i="20"/>
  <c r="K50" i="20"/>
  <c r="L49" i="20"/>
  <c r="K49" i="20"/>
  <c r="L46" i="20"/>
  <c r="K46" i="20"/>
  <c r="L45" i="20"/>
  <c r="K45" i="20"/>
  <c r="L42" i="20"/>
  <c r="K42" i="20"/>
  <c r="L41" i="20"/>
  <c r="K41" i="20"/>
  <c r="L40" i="20"/>
  <c r="K40" i="20"/>
  <c r="L39" i="20"/>
  <c r="K39" i="20"/>
  <c r="L36" i="20"/>
  <c r="K36" i="20"/>
  <c r="L35" i="20"/>
  <c r="K35" i="20"/>
  <c r="L34" i="20"/>
  <c r="K34" i="20"/>
  <c r="L33" i="20"/>
  <c r="K33" i="20"/>
  <c r="L30" i="20"/>
  <c r="K30" i="20"/>
  <c r="L29" i="20"/>
  <c r="K29" i="20"/>
  <c r="L26" i="20"/>
  <c r="K26" i="20"/>
  <c r="L23" i="20"/>
  <c r="K23" i="20"/>
  <c r="L20" i="20"/>
  <c r="K20" i="20"/>
  <c r="L19" i="20"/>
  <c r="K19" i="20"/>
  <c r="L16" i="20"/>
  <c r="K16" i="20"/>
  <c r="L15" i="20"/>
  <c r="K15" i="20"/>
  <c r="L14" i="20"/>
  <c r="K14" i="20"/>
  <c r="L11" i="20"/>
  <c r="K11" i="20"/>
  <c r="L10" i="20"/>
  <c r="K10" i="20"/>
  <c r="L7" i="20"/>
  <c r="K7" i="20"/>
  <c r="L6" i="20"/>
  <c r="K6" i="20"/>
  <c r="L20" i="19"/>
  <c r="K20" i="19"/>
  <c r="L19" i="19"/>
  <c r="K19" i="19"/>
  <c r="L18" i="19"/>
  <c r="K18" i="19"/>
  <c r="L15" i="19"/>
  <c r="K15" i="19"/>
  <c r="L14" i="19"/>
  <c r="K14" i="19"/>
  <c r="L13" i="19"/>
  <c r="K13" i="19"/>
  <c r="L12" i="19"/>
  <c r="K12" i="19"/>
  <c r="L9" i="19"/>
  <c r="K9" i="19"/>
  <c r="L6" i="19"/>
  <c r="K6" i="19"/>
  <c r="L57" i="14"/>
  <c r="K57" i="14"/>
  <c r="L56" i="14"/>
  <c r="K56" i="14"/>
  <c r="L53" i="14"/>
  <c r="K53" i="14"/>
  <c r="L52" i="14"/>
  <c r="K52" i="14"/>
  <c r="L49" i="14"/>
  <c r="K49" i="14"/>
  <c r="L48" i="14"/>
  <c r="K48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6" i="14"/>
  <c r="K26" i="14"/>
  <c r="L25" i="14"/>
  <c r="K25" i="14"/>
  <c r="L22" i="14"/>
  <c r="K22" i="14"/>
  <c r="L21" i="14"/>
  <c r="K21" i="14"/>
  <c r="L20" i="14"/>
  <c r="K20" i="14"/>
  <c r="L19" i="14"/>
  <c r="K19" i="14"/>
  <c r="L16" i="14"/>
  <c r="K16" i="14"/>
  <c r="L13" i="14"/>
  <c r="K13" i="14"/>
  <c r="L12" i="14"/>
  <c r="K12" i="14"/>
  <c r="L11" i="14"/>
  <c r="K11" i="14"/>
  <c r="L10" i="14"/>
  <c r="K10" i="14"/>
  <c r="L9" i="14"/>
  <c r="K9" i="14"/>
  <c r="L6" i="14"/>
  <c r="K6" i="14"/>
  <c r="L37" i="13"/>
  <c r="K37" i="13"/>
  <c r="L34" i="13"/>
  <c r="K34" i="13"/>
  <c r="L33" i="13"/>
  <c r="K33" i="13"/>
  <c r="L32" i="13"/>
  <c r="K32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0" i="13"/>
  <c r="K20" i="13"/>
  <c r="L17" i="13"/>
  <c r="K17" i="13"/>
  <c r="L16" i="13"/>
  <c r="K16" i="13"/>
  <c r="L13" i="13"/>
  <c r="K13" i="13"/>
  <c r="L10" i="13"/>
  <c r="K10" i="13"/>
  <c r="L9" i="13"/>
  <c r="K9" i="13"/>
  <c r="L6" i="13"/>
  <c r="K6" i="13"/>
  <c r="T55" i="10"/>
  <c r="S55" i="10"/>
  <c r="T52" i="10"/>
  <c r="S52" i="10"/>
  <c r="T49" i="10"/>
  <c r="S49" i="10"/>
  <c r="T48" i="10"/>
  <c r="S48" i="10"/>
  <c r="T47" i="10"/>
  <c r="S47" i="10"/>
  <c r="T46" i="10"/>
  <c r="S46" i="10"/>
  <c r="T45" i="10"/>
  <c r="T44" i="10"/>
  <c r="S44" i="10"/>
  <c r="T43" i="10"/>
  <c r="S43" i="10"/>
  <c r="T40" i="10"/>
  <c r="S40" i="10"/>
  <c r="T39" i="10"/>
  <c r="S39" i="10"/>
  <c r="T38" i="10"/>
  <c r="S38" i="10"/>
  <c r="T37" i="10"/>
  <c r="S37" i="10"/>
  <c r="T36" i="10"/>
  <c r="S36" i="10"/>
  <c r="T33" i="10"/>
  <c r="S33" i="10"/>
  <c r="T32" i="10"/>
  <c r="S32" i="10"/>
  <c r="T31" i="10"/>
  <c r="S31" i="10"/>
  <c r="T28" i="10"/>
  <c r="S28" i="10"/>
  <c r="T27" i="10"/>
  <c r="S27" i="10"/>
  <c r="T26" i="10"/>
  <c r="S26" i="10"/>
  <c r="T23" i="10"/>
  <c r="S23" i="10"/>
  <c r="T20" i="10"/>
  <c r="S20" i="10"/>
  <c r="T19" i="10"/>
  <c r="S19" i="10"/>
  <c r="T18" i="10"/>
  <c r="S18" i="10"/>
  <c r="T17" i="10"/>
  <c r="S17" i="10"/>
  <c r="T14" i="10"/>
  <c r="S14" i="10"/>
  <c r="T13" i="10"/>
  <c r="S13" i="10"/>
  <c r="T12" i="10"/>
  <c r="S12" i="10"/>
  <c r="T11" i="10"/>
  <c r="S11" i="10"/>
  <c r="T10" i="10"/>
  <c r="S10" i="10"/>
  <c r="T7" i="10"/>
  <c r="S7" i="10"/>
  <c r="T6" i="10"/>
  <c r="S6" i="10"/>
  <c r="T17" i="9"/>
  <c r="S17" i="9"/>
  <c r="T14" i="9"/>
  <c r="S14" i="9"/>
  <c r="T13" i="9"/>
  <c r="S13" i="9"/>
  <c r="T10" i="9"/>
  <c r="T9" i="9"/>
  <c r="S9" i="9"/>
  <c r="T6" i="9"/>
  <c r="S6" i="9"/>
</calcChain>
</file>

<file path=xl/sharedStrings.xml><?xml version="1.0" encoding="utf-8"?>
<sst xmlns="http://schemas.openxmlformats.org/spreadsheetml/2006/main" count="1802" uniqueCount="513">
  <si>
    <t>ФИО</t>
  </si>
  <si>
    <t>Сумма</t>
  </si>
  <si>
    <t>Тренер</t>
  </si>
  <si>
    <t>Очки</t>
  </si>
  <si>
    <t>Рек</t>
  </si>
  <si>
    <t>Вес</t>
  </si>
  <si>
    <t>Повторы</t>
  </si>
  <si>
    <t>Собственный 
вес</t>
  </si>
  <si>
    <t>Город/Страна</t>
  </si>
  <si>
    <t xml:space="preserve">Абсолютный зачёт </t>
  </si>
  <si>
    <t/>
  </si>
  <si>
    <t>Место</t>
  </si>
  <si>
    <t>Приседание</t>
  </si>
  <si>
    <t>Жим лёжа</t>
  </si>
  <si>
    <t>Становая тяга</t>
  </si>
  <si>
    <t>ВЕСОВАЯ КАТЕГОРИЯ   82.5</t>
  </si>
  <si>
    <t>Беляев Алексей</t>
  </si>
  <si>
    <t>Открытая (01.09.1993)/28</t>
  </si>
  <si>
    <t>76,30</t>
  </si>
  <si>
    <t xml:space="preserve">RUS/Ангарск </t>
  </si>
  <si>
    <t>170,0</t>
  </si>
  <si>
    <t>180,0</t>
  </si>
  <si>
    <t>190,0</t>
  </si>
  <si>
    <t>135,0</t>
  </si>
  <si>
    <t>142,5</t>
  </si>
  <si>
    <t>147,5</t>
  </si>
  <si>
    <t>205,0</t>
  </si>
  <si>
    <t>220,0</t>
  </si>
  <si>
    <t xml:space="preserve">Тарасов К. </t>
  </si>
  <si>
    <t>ВЕСОВАЯ КАТЕГОРИЯ   90</t>
  </si>
  <si>
    <t>Пшеничников Семен</t>
  </si>
  <si>
    <t>Открытая (09.07.1991)/30</t>
  </si>
  <si>
    <t>88,00</t>
  </si>
  <si>
    <t xml:space="preserve">RUS/Братск </t>
  </si>
  <si>
    <t>200,0</t>
  </si>
  <si>
    <t>210,0</t>
  </si>
  <si>
    <t>165,0</t>
  </si>
  <si>
    <t>175,0</t>
  </si>
  <si>
    <t>182,5</t>
  </si>
  <si>
    <t>255,0</t>
  </si>
  <si>
    <t>265,0</t>
  </si>
  <si>
    <t>275,0</t>
  </si>
  <si>
    <t xml:space="preserve">Абдуллин М. </t>
  </si>
  <si>
    <t>Доманских Максим</t>
  </si>
  <si>
    <t>Открытая (22.01.1983)/39</t>
  </si>
  <si>
    <t>88,60</t>
  </si>
  <si>
    <t xml:space="preserve">RUS/Иркутск </t>
  </si>
  <si>
    <t>225,0</t>
  </si>
  <si>
    <t>ВЕСОВАЯ КАТЕГОРИЯ   100</t>
  </si>
  <si>
    <t>Абсандульев Дмитрий</t>
  </si>
  <si>
    <t>Открытая (31.07.1989)/32</t>
  </si>
  <si>
    <t>99,50</t>
  </si>
  <si>
    <t>240,0</t>
  </si>
  <si>
    <t>257,5</t>
  </si>
  <si>
    <t>150,0</t>
  </si>
  <si>
    <t>160,0</t>
  </si>
  <si>
    <t>270,0</t>
  </si>
  <si>
    <t>Энгельгард Артем</t>
  </si>
  <si>
    <t>Открытая (04.11.1982)/39</t>
  </si>
  <si>
    <t>98,50</t>
  </si>
  <si>
    <t>230,0</t>
  </si>
  <si>
    <t>157,5</t>
  </si>
  <si>
    <t>162,5</t>
  </si>
  <si>
    <t>260,0</t>
  </si>
  <si>
    <t>267,5</t>
  </si>
  <si>
    <t>272,5</t>
  </si>
  <si>
    <t xml:space="preserve">Вяхирев И. </t>
  </si>
  <si>
    <t>ВЕСОВАЯ КАТЕГОРИЯ   110</t>
  </si>
  <si>
    <t>Четвертных Александр</t>
  </si>
  <si>
    <t>Открытая (13.06.1977)/44</t>
  </si>
  <si>
    <t>107,40</t>
  </si>
  <si>
    <t>235,0</t>
  </si>
  <si>
    <t>185,0</t>
  </si>
  <si>
    <t>280,0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</si>
  <si>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</si>
  <si>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</si>
  <si>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</si>
  <si>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</si>
  <si>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</si>
  <si>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</si>
  <si>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90</t>
  </si>
  <si>
    <t>667,5</t>
  </si>
  <si>
    <t>431,1383</t>
  </si>
  <si>
    <t>110</t>
  </si>
  <si>
    <t>700,0</t>
  </si>
  <si>
    <t>415,1000</t>
  </si>
  <si>
    <t>100</t>
  </si>
  <si>
    <t>680,0</t>
  </si>
  <si>
    <t>414,6640</t>
  </si>
  <si>
    <t>1</t>
  </si>
  <si>
    <t>-</t>
  </si>
  <si>
    <t>2</t>
  </si>
  <si>
    <t>ВЕСОВАЯ КАТЕГОРИЯ   52</t>
  </si>
  <si>
    <t>Раковская Мирослава</t>
  </si>
  <si>
    <t>51,80</t>
  </si>
  <si>
    <t>75,0</t>
  </si>
  <si>
    <t>77,5</t>
  </si>
  <si>
    <t>47,5</t>
  </si>
  <si>
    <t>50,0</t>
  </si>
  <si>
    <t>102,5</t>
  </si>
  <si>
    <t>107,5</t>
  </si>
  <si>
    <t>112,5</t>
  </si>
  <si>
    <t xml:space="preserve">Чан А. </t>
  </si>
  <si>
    <t>Гусева Алена</t>
  </si>
  <si>
    <t>Открытая (31.03.1978)/44</t>
  </si>
  <si>
    <t>50,80</t>
  </si>
  <si>
    <t>85,0</t>
  </si>
  <si>
    <t>90,0</t>
  </si>
  <si>
    <t>95,0</t>
  </si>
  <si>
    <t>52,5</t>
  </si>
  <si>
    <t>55,0</t>
  </si>
  <si>
    <t>115,0</t>
  </si>
  <si>
    <t>120,0</t>
  </si>
  <si>
    <t>122,5</t>
  </si>
  <si>
    <t>ВЕСОВАЯ КАТЕГОРИЯ   56</t>
  </si>
  <si>
    <t>Уданенко Диана</t>
  </si>
  <si>
    <t>55,40</t>
  </si>
  <si>
    <t>100,0</t>
  </si>
  <si>
    <t>57,5</t>
  </si>
  <si>
    <t>125,0</t>
  </si>
  <si>
    <t>130,0</t>
  </si>
  <si>
    <t>Сайфушева Анастасия</t>
  </si>
  <si>
    <t>55,00</t>
  </si>
  <si>
    <t>110,0</t>
  </si>
  <si>
    <t>117,5</t>
  </si>
  <si>
    <t>Чин-Чи-Мин Кристина</t>
  </si>
  <si>
    <t>Открытая (11.10.1996)/25</t>
  </si>
  <si>
    <t>54,20</t>
  </si>
  <si>
    <t xml:space="preserve">RUS/Улан-Удэ </t>
  </si>
  <si>
    <t>82,5</t>
  </si>
  <si>
    <t>40,0</t>
  </si>
  <si>
    <t>45,0</t>
  </si>
  <si>
    <t>Краковская Анна</t>
  </si>
  <si>
    <t>Открытая (08.02.1986)/36</t>
  </si>
  <si>
    <t>53,30</t>
  </si>
  <si>
    <t>Сорока Александра</t>
  </si>
  <si>
    <t>Открытая (15.03.1995)/27</t>
  </si>
  <si>
    <t>54,50</t>
  </si>
  <si>
    <t>60,0</t>
  </si>
  <si>
    <t>65,0</t>
  </si>
  <si>
    <t>70,0</t>
  </si>
  <si>
    <t>32,5</t>
  </si>
  <si>
    <t>37,5</t>
  </si>
  <si>
    <t>42,5</t>
  </si>
  <si>
    <t>72,5</t>
  </si>
  <si>
    <t>80,0</t>
  </si>
  <si>
    <t>ВЕСОВАЯ КАТЕГОРИЯ   60</t>
  </si>
  <si>
    <t>Москвитина Диана</t>
  </si>
  <si>
    <t>Девушки 15-19 (28.09.2002)/19</t>
  </si>
  <si>
    <t>59,90</t>
  </si>
  <si>
    <t>87,5</t>
  </si>
  <si>
    <t>Энгельгард Ольга</t>
  </si>
  <si>
    <t>Открытая (11.03.1985)/37</t>
  </si>
  <si>
    <t>59,40</t>
  </si>
  <si>
    <t>105,0</t>
  </si>
  <si>
    <t>132,5</t>
  </si>
  <si>
    <t>137,5</t>
  </si>
  <si>
    <t>Зимирева Татьяна</t>
  </si>
  <si>
    <t>Открытая (26.03.1998)/24</t>
  </si>
  <si>
    <t>57,90</t>
  </si>
  <si>
    <t>97,5</t>
  </si>
  <si>
    <t>Андриянова Мария</t>
  </si>
  <si>
    <t>Открытая (13.02.1993)/29</t>
  </si>
  <si>
    <t>58,60</t>
  </si>
  <si>
    <t>92,5</t>
  </si>
  <si>
    <t>Рахимов Шерозджон</t>
  </si>
  <si>
    <t>55,50</t>
  </si>
  <si>
    <t>140,0</t>
  </si>
  <si>
    <t>ВЕСОВАЯ КАТЕГОРИЯ   67.5</t>
  </si>
  <si>
    <t>Крит Дмитрий</t>
  </si>
  <si>
    <t>Юноши 15-19 (16.11.2005)/16</t>
  </si>
  <si>
    <t>66,60</t>
  </si>
  <si>
    <t>Филимонов Сергей</t>
  </si>
  <si>
    <t>Открытая (18.02.1972)/50</t>
  </si>
  <si>
    <t>67,50</t>
  </si>
  <si>
    <t>155,0</t>
  </si>
  <si>
    <t>187,5</t>
  </si>
  <si>
    <t>195,0</t>
  </si>
  <si>
    <t>ВЕСОВАЯ КАТЕГОРИЯ   75</t>
  </si>
  <si>
    <t>Макаров Матвей</t>
  </si>
  <si>
    <t>73,90</t>
  </si>
  <si>
    <t>Мурадян Арсен</t>
  </si>
  <si>
    <t>Открытая (02.08.1993)/28</t>
  </si>
  <si>
    <t>74,90</t>
  </si>
  <si>
    <t xml:space="preserve">RUS/Байкальск </t>
  </si>
  <si>
    <t>127,5</t>
  </si>
  <si>
    <t>202,5</t>
  </si>
  <si>
    <t xml:space="preserve">Макаренко В. </t>
  </si>
  <si>
    <t>Крупельницкий Рустам</t>
  </si>
  <si>
    <t>Открытая (15.01.1989)/33</t>
  </si>
  <si>
    <t>75,00</t>
  </si>
  <si>
    <t>Духовников Алексей</t>
  </si>
  <si>
    <t>Открытая (10.06.1992)/29</t>
  </si>
  <si>
    <t>75,30</t>
  </si>
  <si>
    <t>197,5</t>
  </si>
  <si>
    <t>215,0</t>
  </si>
  <si>
    <t>217,5</t>
  </si>
  <si>
    <t>Машарипов Александр</t>
  </si>
  <si>
    <t>Открытая (22.11.1997)/24</t>
  </si>
  <si>
    <t>81,10</t>
  </si>
  <si>
    <t xml:space="preserve">RUS/Усть-Илимск </t>
  </si>
  <si>
    <t>Артемьев Игорь</t>
  </si>
  <si>
    <t>Открытая (12.01.1995)/27</t>
  </si>
  <si>
    <t>80,80</t>
  </si>
  <si>
    <t xml:space="preserve">RUS/Ленск </t>
  </si>
  <si>
    <t>192,5</t>
  </si>
  <si>
    <t>Вилков Денис</t>
  </si>
  <si>
    <t>Открытая (26.07.1989)/32</t>
  </si>
  <si>
    <t>82,00</t>
  </si>
  <si>
    <t>177,5</t>
  </si>
  <si>
    <t>Гуров Кирилл</t>
  </si>
  <si>
    <t>Открытая (30.09.1990)/31</t>
  </si>
  <si>
    <t>145,0</t>
  </si>
  <si>
    <t>Згибнев Алексей</t>
  </si>
  <si>
    <t>Юноши 15-19 (07.01.2006)/16</t>
  </si>
  <si>
    <t>84,40</t>
  </si>
  <si>
    <t xml:space="preserve">RUS/Черемхово </t>
  </si>
  <si>
    <t>Власевский Алексей</t>
  </si>
  <si>
    <t>82,80</t>
  </si>
  <si>
    <t>167,5</t>
  </si>
  <si>
    <t>172,5</t>
  </si>
  <si>
    <t>Зверьков Андрей</t>
  </si>
  <si>
    <t>89,70</t>
  </si>
  <si>
    <t>Шураев Павел</t>
  </si>
  <si>
    <t>Открытая (05.04.1991)/31</t>
  </si>
  <si>
    <t>88,50</t>
  </si>
  <si>
    <t>212,5</t>
  </si>
  <si>
    <t>252,5</t>
  </si>
  <si>
    <t>Худоногов Никита</t>
  </si>
  <si>
    <t>Открытая (03.10.1991)/30</t>
  </si>
  <si>
    <t>89,30</t>
  </si>
  <si>
    <t>207,5</t>
  </si>
  <si>
    <t>Зариф Константин</t>
  </si>
  <si>
    <t>Открытая (31.05.1990)/31</t>
  </si>
  <si>
    <t>87,80</t>
  </si>
  <si>
    <t>152,5</t>
  </si>
  <si>
    <t>Горяшин Сергей</t>
  </si>
  <si>
    <t>Открытая (24.03.1994)/28</t>
  </si>
  <si>
    <t>88,90</t>
  </si>
  <si>
    <t>Сосновский Никита</t>
  </si>
  <si>
    <t>Открытая (15.12.1987)/34</t>
  </si>
  <si>
    <t>98,40</t>
  </si>
  <si>
    <t>250,0</t>
  </si>
  <si>
    <t>262,5</t>
  </si>
  <si>
    <t>Гулюк Максим</t>
  </si>
  <si>
    <t>Открытая (16.08.1979)/42</t>
  </si>
  <si>
    <t>107,60</t>
  </si>
  <si>
    <t xml:space="preserve">Женщины </t>
  </si>
  <si>
    <t>60</t>
  </si>
  <si>
    <t>56</t>
  </si>
  <si>
    <t>52</t>
  </si>
  <si>
    <t>82.5</t>
  </si>
  <si>
    <t>3</t>
  </si>
  <si>
    <t>4</t>
  </si>
  <si>
    <t>5</t>
  </si>
  <si>
    <t>Иванова Анна</t>
  </si>
  <si>
    <t>Открытая (12.01.1989)/33</t>
  </si>
  <si>
    <t>81,00</t>
  </si>
  <si>
    <t>Руднев Сергей</t>
  </si>
  <si>
    <t>Открытая (20.03.1985)/37</t>
  </si>
  <si>
    <t>73,00</t>
  </si>
  <si>
    <t>Васильев Виталий</t>
  </si>
  <si>
    <t>Открытая (05.02.1997)/25</t>
  </si>
  <si>
    <t>Хайрисламов Марат</t>
  </si>
  <si>
    <t>Открытая (02.09.1976)/45</t>
  </si>
  <si>
    <t>Могилатов Вячеслав</t>
  </si>
  <si>
    <t>88,70</t>
  </si>
  <si>
    <t>Гара Станислав</t>
  </si>
  <si>
    <t>Открытая (26.04.1985)/36</t>
  </si>
  <si>
    <t>97,60</t>
  </si>
  <si>
    <t>Кичигин Кирилл</t>
  </si>
  <si>
    <t>Открытая (07.06.1996)/25</t>
  </si>
  <si>
    <t>106,50</t>
  </si>
  <si>
    <t>Доманских Никита</t>
  </si>
  <si>
    <t>Открытая (04.01.1995)/27</t>
  </si>
  <si>
    <t>108,60</t>
  </si>
  <si>
    <t>Тирских Алексей</t>
  </si>
  <si>
    <t>Открытая (04.10.1985)/36</t>
  </si>
  <si>
    <t>107,00</t>
  </si>
  <si>
    <t xml:space="preserve">RUS/Саянск </t>
  </si>
  <si>
    <t>Пятибратов Никита</t>
  </si>
  <si>
    <t>Открытая (03.01.1995)/27</t>
  </si>
  <si>
    <t>109,90</t>
  </si>
  <si>
    <t>Руднев Дмитрий</t>
  </si>
  <si>
    <t>102,40</t>
  </si>
  <si>
    <t>Тюшкевич Артем</t>
  </si>
  <si>
    <t>102,70</t>
  </si>
  <si>
    <t>ВЕСОВАЯ КАТЕГОРИЯ   125</t>
  </si>
  <si>
    <t>Чуркин Антон</t>
  </si>
  <si>
    <t>Открытая (22.04.1986)/36</t>
  </si>
  <si>
    <t>118,90</t>
  </si>
  <si>
    <t>Матвеев Андрей</t>
  </si>
  <si>
    <t>Открытая (15.06.1982)/39</t>
  </si>
  <si>
    <t>115,30</t>
  </si>
  <si>
    <t>Зеленкевич Станислав</t>
  </si>
  <si>
    <t>116,00</t>
  </si>
  <si>
    <t>ВЕСОВАЯ КАТЕГОРИЯ   140+</t>
  </si>
  <si>
    <t>Букреев Станислав</t>
  </si>
  <si>
    <t>Открытая (13.10.1985)/36</t>
  </si>
  <si>
    <t>147,30</t>
  </si>
  <si>
    <t xml:space="preserve">RUS/Шелехов </t>
  </si>
  <si>
    <t xml:space="preserve">Результат </t>
  </si>
  <si>
    <t>125</t>
  </si>
  <si>
    <t>129,6450</t>
  </si>
  <si>
    <t>127,8390</t>
  </si>
  <si>
    <t>124,0890</t>
  </si>
  <si>
    <t>Результат</t>
  </si>
  <si>
    <t>Ляхова Алла</t>
  </si>
  <si>
    <t>Открытая (21.08.1986)/35</t>
  </si>
  <si>
    <t xml:space="preserve">Дуганова К. </t>
  </si>
  <si>
    <t>Тяжева Светлана</t>
  </si>
  <si>
    <t>Девушки 15-19 (06.12.2007)/14</t>
  </si>
  <si>
    <t>62,5</t>
  </si>
  <si>
    <t>Дуганова Кристина</t>
  </si>
  <si>
    <t>Открытая (10.03.1997)/25</t>
  </si>
  <si>
    <t>55,70</t>
  </si>
  <si>
    <t>67,5</t>
  </si>
  <si>
    <t>Мудрова Евгения</t>
  </si>
  <si>
    <t>Открытая (15.03.1983)/39</t>
  </si>
  <si>
    <t>55,60</t>
  </si>
  <si>
    <t>Открытая (06.12.2007)/14</t>
  </si>
  <si>
    <t>Шафоростова Екатерина</t>
  </si>
  <si>
    <t>58,20</t>
  </si>
  <si>
    <t>Ланцов Максим</t>
  </si>
  <si>
    <t>Юноши 15-19 (03.10.2002)/19</t>
  </si>
  <si>
    <t>65,40</t>
  </si>
  <si>
    <t>Ларионов Евгений</t>
  </si>
  <si>
    <t>Открытая (20.07.1983)/38</t>
  </si>
  <si>
    <t>67,00</t>
  </si>
  <si>
    <t>Бруев Олег</t>
  </si>
  <si>
    <t>Юноши 15-19 (31.07.2002)/19</t>
  </si>
  <si>
    <t>71,50</t>
  </si>
  <si>
    <t>Вяхирев Илья</t>
  </si>
  <si>
    <t>Открытая (28.02.1993)/29</t>
  </si>
  <si>
    <t>73,60</t>
  </si>
  <si>
    <t>Номоконов Азамат</t>
  </si>
  <si>
    <t>81,20</t>
  </si>
  <si>
    <t>Шляхтин Сергей</t>
  </si>
  <si>
    <t>Открытая (17.09.1982)/39</t>
  </si>
  <si>
    <t>81,60</t>
  </si>
  <si>
    <t xml:space="preserve">RUS/Чита </t>
  </si>
  <si>
    <t>Процук Сергей</t>
  </si>
  <si>
    <t>Открытая (14.12.1976)/45</t>
  </si>
  <si>
    <t>81,50</t>
  </si>
  <si>
    <t>Соловьев Иван</t>
  </si>
  <si>
    <t>Открытая (07.04.1984)/38</t>
  </si>
  <si>
    <t>79,90</t>
  </si>
  <si>
    <t>Цариев Алексей</t>
  </si>
  <si>
    <t>Открытая (08.05.1986)/35</t>
  </si>
  <si>
    <t>82,40</t>
  </si>
  <si>
    <t>Паршин Александр</t>
  </si>
  <si>
    <t>Открытая (14.11.1986)/35</t>
  </si>
  <si>
    <t>79,40</t>
  </si>
  <si>
    <t>Будяк Александр</t>
  </si>
  <si>
    <t>82,10</t>
  </si>
  <si>
    <t>Домрачев Алексей</t>
  </si>
  <si>
    <t>Открытая (28.06.1986)/35</t>
  </si>
  <si>
    <t>89,80</t>
  </si>
  <si>
    <t>Ведерников Максим</t>
  </si>
  <si>
    <t>Открытая (27.05.1990)/31</t>
  </si>
  <si>
    <t>87,90</t>
  </si>
  <si>
    <t>Колодин Роман</t>
  </si>
  <si>
    <t>Открытая (07.05.1989)/32</t>
  </si>
  <si>
    <t>89,00</t>
  </si>
  <si>
    <t>Семенов Александр</t>
  </si>
  <si>
    <t>89,60</t>
  </si>
  <si>
    <t>Тесельский Вячеслав</t>
  </si>
  <si>
    <t>Кукс Павел</t>
  </si>
  <si>
    <t>Открытая (05.10.1985)/36</t>
  </si>
  <si>
    <t>97,00</t>
  </si>
  <si>
    <t>Ананьев Дмитрий</t>
  </si>
  <si>
    <t>Открытая (13.10.1984)/37</t>
  </si>
  <si>
    <t>94,80</t>
  </si>
  <si>
    <t>Жигалов Никита</t>
  </si>
  <si>
    <t>108,30</t>
  </si>
  <si>
    <t xml:space="preserve">RUS/Усть-Кут </t>
  </si>
  <si>
    <t>Инешин Николай</t>
  </si>
  <si>
    <t>Открытая (19.12.1991)/30</t>
  </si>
  <si>
    <t>108,00</t>
  </si>
  <si>
    <t>ВЕСОВАЯ КАТЕГОРИЯ   140</t>
  </si>
  <si>
    <t>Щегрин Николай</t>
  </si>
  <si>
    <t>Открытая (19.12.1992)/29</t>
  </si>
  <si>
    <t>136,20</t>
  </si>
  <si>
    <t>236,0</t>
  </si>
  <si>
    <t>Сиренченко Павел</t>
  </si>
  <si>
    <t>Открытая (04.11.1991)/30</t>
  </si>
  <si>
    <t>132,70</t>
  </si>
  <si>
    <t>140</t>
  </si>
  <si>
    <t>123,4640</t>
  </si>
  <si>
    <t>109,5900</t>
  </si>
  <si>
    <t>107,8525</t>
  </si>
  <si>
    <t>Степанова Маргарита</t>
  </si>
  <si>
    <t>Открытая (11.01.1988)/34</t>
  </si>
  <si>
    <t>61,80</t>
  </si>
  <si>
    <t>Антагаров Ширип</t>
  </si>
  <si>
    <t>Открытая (15.03.1990)/32</t>
  </si>
  <si>
    <t>73,80</t>
  </si>
  <si>
    <t>Пахтусов Владислав</t>
  </si>
  <si>
    <t>Открытая (03.07.1997)/24</t>
  </si>
  <si>
    <t>89,50</t>
  </si>
  <si>
    <t>Астафуров Денис</t>
  </si>
  <si>
    <t>Открытая (15.04.1982)/40</t>
  </si>
  <si>
    <t>85,00</t>
  </si>
  <si>
    <t>Головня Сергей</t>
  </si>
  <si>
    <t>Открытая (05.05.1986)/35</t>
  </si>
  <si>
    <t>Малыгин Евгений</t>
  </si>
  <si>
    <t>Открытая (03.07.1986)/35</t>
  </si>
  <si>
    <t>109,50</t>
  </si>
  <si>
    <t>ВЕСОВАЯ КАТЕГОРИЯ   48</t>
  </si>
  <si>
    <t>Карбушева Диана</t>
  </si>
  <si>
    <t>Девушки 15-19 (10.07.2002)/19</t>
  </si>
  <si>
    <t>47,10</t>
  </si>
  <si>
    <t>Томская Вероника</t>
  </si>
  <si>
    <t>Открытая (06.04.1996)/26</t>
  </si>
  <si>
    <t>48,00</t>
  </si>
  <si>
    <t>Антонюк Алина</t>
  </si>
  <si>
    <t>Девушки 15-19 (23.08.2002)/19</t>
  </si>
  <si>
    <t>51,70</t>
  </si>
  <si>
    <t>Костромина Татьяна</t>
  </si>
  <si>
    <t>Открытая (28.02.1989)/33</t>
  </si>
  <si>
    <t>55,30</t>
  </si>
  <si>
    <t xml:space="preserve">Томская В. </t>
  </si>
  <si>
    <t>Налетов Игорь</t>
  </si>
  <si>
    <t>Открытая (09.02.1994)/28</t>
  </si>
  <si>
    <t>Лукьянов Евгений</t>
  </si>
  <si>
    <t>Открытая (06.07.1997)/24</t>
  </si>
  <si>
    <t>81,30</t>
  </si>
  <si>
    <t>Загайнов Владимир</t>
  </si>
  <si>
    <t>Открытая (10.09.1979)/42</t>
  </si>
  <si>
    <t>97,70</t>
  </si>
  <si>
    <t>152,3040</t>
  </si>
  <si>
    <t>150,8875</t>
  </si>
  <si>
    <t>148,8770</t>
  </si>
  <si>
    <t>162,8160</t>
  </si>
  <si>
    <t>160,8075</t>
  </si>
  <si>
    <t>155,6870</t>
  </si>
  <si>
    <t>Блинов Алексей</t>
  </si>
  <si>
    <t>88,20</t>
  </si>
  <si>
    <t>290,0</t>
  </si>
  <si>
    <t>302,5</t>
  </si>
  <si>
    <t>85,80</t>
  </si>
  <si>
    <t>Ковров Роман</t>
  </si>
  <si>
    <t>205,5</t>
  </si>
  <si>
    <t>Открытый Кубок Азии
ФЖД Военный жим на максимум
Иркутск/Иркутская область, 22-24 апреля 2022 года</t>
  </si>
  <si>
    <t>Открытый Кубок Азии
ФЖД Любители двоеборье 1/2 веса ДК
Иркутск/Иркутская область, 22-24 апреля 2022 года</t>
  </si>
  <si>
    <t>Открытый Кубок Азии
IPL Силовое двоеборье без экипировки ДК
Иркутск/Иркутская область, 22-24 апреля 2022 года</t>
  </si>
  <si>
    <t>Открытый Кубок Азии
IPL Становая тяга в однослойной экипировке
Иркутск/Иркутская область, 22-24 апреля 2022 года</t>
  </si>
  <si>
    <t>Открытый Кубок Азии
IPL Становая тяга без экипировки ДК
Иркутск/Иркутская область, 22-24 апреля 2022 года</t>
  </si>
  <si>
    <t>Открытый Кубок Азии
IPL Становая тяга без экипировки
Иркутск/Иркутская область, 22-24 апреля 2022 года</t>
  </si>
  <si>
    <t>Открытый Кубок Азии
IPL Жим лежа без экипировки ДК
Иркутск/Иркутская область, 22-24 апреля 2022 года</t>
  </si>
  <si>
    <t>Открытый Кубок Азии
IPL Жим лежа без экипировки
Иркутск/Иркутская область, 22-24 апреля 2022 года</t>
  </si>
  <si>
    <t>Открытый Кубок Азии
IPL Пауэрлифтинг без экипировки ДК
Иркутск/Иркутская область, 22-24 апреля 2022 года</t>
  </si>
  <si>
    <t>Открытый Кубок Азии
IPL Пауэрлифтинг без экипировки
Иркутск/Иркутская область, 22-24 апреля 2022 года</t>
  </si>
  <si>
    <t>Мастера 40-44 (06.08.1979)/42</t>
  </si>
  <si>
    <t>Мастера 40-44 (05.10.1981)/40</t>
  </si>
  <si>
    <t>Юниорки 20-23 (24.06.1999)/22</t>
  </si>
  <si>
    <t>Мастера 50-54 (18.02.1972)/50</t>
  </si>
  <si>
    <t>Мастера 40-44 (15.04.1982)/40</t>
  </si>
  <si>
    <t>Юниорки 20-23 (22.10.2000)/21</t>
  </si>
  <si>
    <t>Юниоры 20-23 (15.04.2002)/20</t>
  </si>
  <si>
    <t>Мастера 40-44 (18.09.1977)/44</t>
  </si>
  <si>
    <t>Мастера 45-49 (14.12.1976)/45</t>
  </si>
  <si>
    <t>Мастера 40-44 (15.03.1980)/42</t>
  </si>
  <si>
    <t>Мастера 40-44 (26.10.1977)/44</t>
  </si>
  <si>
    <t>Юниоры 20-23 (08.12.1999)/22</t>
  </si>
  <si>
    <t>Мастера 55-59 (28.06.1965)/56</t>
  </si>
  <si>
    <t>Мастера 40-44 (10.03.1979)/43</t>
  </si>
  <si>
    <t>Мастера 40-44 (13.06.1977)/44</t>
  </si>
  <si>
    <t>Мастера 40-44 (19.09.1981)/40</t>
  </si>
  <si>
    <t>Мастера 40-44 (12.02.1981)/41</t>
  </si>
  <si>
    <t>Юниорки 20-23 (11.01.2001)/21</t>
  </si>
  <si>
    <t>Юниорки 20-23 (19.09.1998)/23</t>
  </si>
  <si>
    <t>Юниоры 20-23 (20.04.2000)/22</t>
  </si>
  <si>
    <t>Юниоры 20-23 (05.08.1999)/22</t>
  </si>
  <si>
    <t>Юниоры 20-23 (07.11.1999)/22</t>
  </si>
  <si>
    <t>Юниоры 20-23 (30.12.1998)/23</t>
  </si>
  <si>
    <t>Многоповторный жим</t>
  </si>
  <si>
    <t xml:space="preserve">Лукьянов Е. </t>
  </si>
  <si>
    <t xml:space="preserve">Ниязиев Э. </t>
  </si>
  <si>
    <t>Весовая категория</t>
  </si>
  <si>
    <t xml:space="preserve">Васильев А. </t>
  </si>
  <si>
    <t xml:space="preserve">Костанов В. </t>
  </si>
  <si>
    <t xml:space="preserve">Тамбовцев Д. </t>
  </si>
  <si>
    <t xml:space="preserve">Нурутдинов М. </t>
  </si>
  <si>
    <t xml:space="preserve">Трифонов А. </t>
  </si>
  <si>
    <t xml:space="preserve">Прилуцкий С. </t>
  </si>
  <si>
    <t xml:space="preserve">Спиридончук М. </t>
  </si>
  <si>
    <t xml:space="preserve">Белоусов А. </t>
  </si>
  <si>
    <t xml:space="preserve">Свобода Е. </t>
  </si>
  <si>
    <t xml:space="preserve">Герасимов И. </t>
  </si>
  <si>
    <t xml:space="preserve">Гертель Я. </t>
  </si>
  <si>
    <t xml:space="preserve">Мерзоев А. </t>
  </si>
  <si>
    <t xml:space="preserve">Шураев П. </t>
  </si>
  <si>
    <t xml:space="preserve">Тяжев П. </t>
  </si>
  <si>
    <t xml:space="preserve">Орлов А. </t>
  </si>
  <si>
    <t xml:space="preserve">Желтенко Е. </t>
  </si>
  <si>
    <t xml:space="preserve">Кривоносов В. </t>
  </si>
  <si>
    <t xml:space="preserve">Котов А. </t>
  </si>
  <si>
    <t xml:space="preserve">Беловал Е. </t>
  </si>
  <si>
    <t xml:space="preserve">Гинтов Д. </t>
  </si>
  <si>
    <t xml:space="preserve">Дмитриев Е. </t>
  </si>
  <si>
    <t xml:space="preserve">Гинтов В. </t>
  </si>
  <si>
    <t xml:space="preserve">Соболев И. </t>
  </si>
  <si>
    <t xml:space="preserve">Вилков Д. </t>
  </si>
  <si>
    <t xml:space="preserve">
Дата рождения/Возраст</t>
  </si>
  <si>
    <t>Возрастная группа</t>
  </si>
  <si>
    <t>J</t>
  </si>
  <si>
    <t>O</t>
  </si>
  <si>
    <t>T</t>
  </si>
  <si>
    <t>M3</t>
  </si>
  <si>
    <t>M1</t>
  </si>
  <si>
    <t>M2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</si>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</sst>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U56"/>
  <sheetViews>
    <sheetView topLeftCell="A24" workbookViewId="0">
      <selection activeCell="E56" sqref="E56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3.332031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10" style="6" customWidth="1"/>
    <col min="20" max="20" width="8.5" style="6" bestFit="1" customWidth="1"/>
    <col min="21" max="21" width="19.83203125" style="5" bestFit="1" customWidth="1"/>
    <col min="22" max="16384" width="9.1640625" style="3"/>
  </cols>
  <sheetData>
    <row r="1" spans="1:21" s="2" customFormat="1" ht="29" customHeight="1">
      <c r="A1" s="44" t="s">
        <v>451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12</v>
      </c>
      <c r="H3" s="38"/>
      <c r="I3" s="38"/>
      <c r="J3" s="38"/>
      <c r="K3" s="38" t="s">
        <v>13</v>
      </c>
      <c r="L3" s="38"/>
      <c r="M3" s="38"/>
      <c r="N3" s="38"/>
      <c r="O3" s="38" t="s">
        <v>14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92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11" t="s">
        <v>89</v>
      </c>
      <c r="B6" s="10" t="s">
        <v>93</v>
      </c>
      <c r="C6" s="10" t="s">
        <v>470</v>
      </c>
      <c r="D6" s="10" t="s">
        <v>94</v>
      </c>
      <c r="E6" s="10" t="s">
        <v>506</v>
      </c>
      <c r="F6" s="10" t="s">
        <v>46</v>
      </c>
      <c r="G6" s="20" t="s">
        <v>95</v>
      </c>
      <c r="H6" s="21" t="s">
        <v>96</v>
      </c>
      <c r="I6" s="20" t="s">
        <v>96</v>
      </c>
      <c r="J6" s="11"/>
      <c r="K6" s="20" t="s">
        <v>97</v>
      </c>
      <c r="L6" s="21" t="s">
        <v>98</v>
      </c>
      <c r="M6" s="21" t="s">
        <v>98</v>
      </c>
      <c r="N6" s="11"/>
      <c r="O6" s="20" t="s">
        <v>99</v>
      </c>
      <c r="P6" s="20" t="s">
        <v>100</v>
      </c>
      <c r="Q6" s="20" t="s">
        <v>101</v>
      </c>
      <c r="R6" s="11"/>
      <c r="S6" s="11" t="str">
        <f>"237,5"</f>
        <v>237,5</v>
      </c>
      <c r="T6" s="11" t="str">
        <f>"296,9700"</f>
        <v>296,9700</v>
      </c>
      <c r="U6" s="10" t="s">
        <v>102</v>
      </c>
    </row>
    <row r="7" spans="1:21">
      <c r="A7" s="13" t="s">
        <v>89</v>
      </c>
      <c r="B7" s="12" t="s">
        <v>103</v>
      </c>
      <c r="C7" s="12" t="s">
        <v>104</v>
      </c>
      <c r="D7" s="12" t="s">
        <v>105</v>
      </c>
      <c r="E7" s="12" t="s">
        <v>507</v>
      </c>
      <c r="F7" s="12" t="s">
        <v>46</v>
      </c>
      <c r="G7" s="22" t="s">
        <v>106</v>
      </c>
      <c r="H7" s="22" t="s">
        <v>107</v>
      </c>
      <c r="I7" s="23" t="s">
        <v>108</v>
      </c>
      <c r="J7" s="13"/>
      <c r="K7" s="22" t="s">
        <v>109</v>
      </c>
      <c r="L7" s="23" t="s">
        <v>110</v>
      </c>
      <c r="M7" s="23" t="s">
        <v>110</v>
      </c>
      <c r="N7" s="13"/>
      <c r="O7" s="23" t="s">
        <v>111</v>
      </c>
      <c r="P7" s="22" t="s">
        <v>112</v>
      </c>
      <c r="Q7" s="23" t="s">
        <v>113</v>
      </c>
      <c r="R7" s="13"/>
      <c r="S7" s="13" t="str">
        <f>"262,5"</f>
        <v>262,5</v>
      </c>
      <c r="T7" s="13" t="str">
        <f>"333,1650"</f>
        <v>333,1650</v>
      </c>
      <c r="U7" s="12" t="s">
        <v>486</v>
      </c>
    </row>
    <row r="8" spans="1:21">
      <c r="B8" s="5" t="s">
        <v>10</v>
      </c>
    </row>
    <row r="9" spans="1:21" ht="16">
      <c r="A9" s="34" t="s">
        <v>114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1">
      <c r="A10" s="11" t="s">
        <v>89</v>
      </c>
      <c r="B10" s="10" t="s">
        <v>115</v>
      </c>
      <c r="C10" s="10" t="s">
        <v>455</v>
      </c>
      <c r="D10" s="10" t="s">
        <v>116</v>
      </c>
      <c r="E10" s="10" t="s">
        <v>506</v>
      </c>
      <c r="F10" s="10" t="s">
        <v>46</v>
      </c>
      <c r="G10" s="20" t="s">
        <v>107</v>
      </c>
      <c r="H10" s="20" t="s">
        <v>108</v>
      </c>
      <c r="I10" s="21" t="s">
        <v>117</v>
      </c>
      <c r="J10" s="11"/>
      <c r="K10" s="20" t="s">
        <v>109</v>
      </c>
      <c r="L10" s="20" t="s">
        <v>110</v>
      </c>
      <c r="M10" s="20" t="s">
        <v>118</v>
      </c>
      <c r="N10" s="11"/>
      <c r="O10" s="20" t="s">
        <v>112</v>
      </c>
      <c r="P10" s="20" t="s">
        <v>119</v>
      </c>
      <c r="Q10" s="20" t="s">
        <v>120</v>
      </c>
      <c r="R10" s="11"/>
      <c r="S10" s="11" t="str">
        <f>"282,5"</f>
        <v>282,5</v>
      </c>
      <c r="T10" s="11" t="str">
        <f>"335,2145"</f>
        <v>335,2145</v>
      </c>
      <c r="U10" s="10" t="s">
        <v>487</v>
      </c>
    </row>
    <row r="11" spans="1:21">
      <c r="A11" s="25" t="s">
        <v>91</v>
      </c>
      <c r="B11" s="24" t="s">
        <v>121</v>
      </c>
      <c r="C11" s="24" t="s">
        <v>471</v>
      </c>
      <c r="D11" s="24" t="s">
        <v>122</v>
      </c>
      <c r="E11" s="24" t="s">
        <v>506</v>
      </c>
      <c r="F11" s="24" t="s">
        <v>46</v>
      </c>
      <c r="G11" s="26" t="s">
        <v>107</v>
      </c>
      <c r="H11" s="26" t="s">
        <v>108</v>
      </c>
      <c r="I11" s="26" t="s">
        <v>117</v>
      </c>
      <c r="J11" s="25"/>
      <c r="K11" s="26" t="s">
        <v>109</v>
      </c>
      <c r="L11" s="27" t="s">
        <v>110</v>
      </c>
      <c r="M11" s="26" t="s">
        <v>110</v>
      </c>
      <c r="N11" s="25"/>
      <c r="O11" s="26" t="s">
        <v>117</v>
      </c>
      <c r="P11" s="26" t="s">
        <v>123</v>
      </c>
      <c r="Q11" s="26" t="s">
        <v>124</v>
      </c>
      <c r="R11" s="25"/>
      <c r="S11" s="25" t="str">
        <f>"272,5"</f>
        <v>272,5</v>
      </c>
      <c r="T11" s="25" t="str">
        <f>"325,1743"</f>
        <v>325,1743</v>
      </c>
      <c r="U11" s="24"/>
    </row>
    <row r="12" spans="1:21">
      <c r="A12" s="25" t="s">
        <v>89</v>
      </c>
      <c r="B12" s="24" t="s">
        <v>125</v>
      </c>
      <c r="C12" s="24" t="s">
        <v>126</v>
      </c>
      <c r="D12" s="24" t="s">
        <v>127</v>
      </c>
      <c r="E12" s="24" t="s">
        <v>507</v>
      </c>
      <c r="F12" s="24" t="s">
        <v>128</v>
      </c>
      <c r="G12" s="26" t="s">
        <v>129</v>
      </c>
      <c r="H12" s="26" t="s">
        <v>107</v>
      </c>
      <c r="I12" s="27" t="s">
        <v>108</v>
      </c>
      <c r="J12" s="25"/>
      <c r="K12" s="26" t="s">
        <v>130</v>
      </c>
      <c r="L12" s="26" t="s">
        <v>131</v>
      </c>
      <c r="M12" s="27" t="s">
        <v>97</v>
      </c>
      <c r="N12" s="25"/>
      <c r="O12" s="26" t="s">
        <v>123</v>
      </c>
      <c r="P12" s="26" t="s">
        <v>112</v>
      </c>
      <c r="Q12" s="26" t="s">
        <v>119</v>
      </c>
      <c r="R12" s="25"/>
      <c r="S12" s="25" t="str">
        <f>"260,0"</f>
        <v>260,0</v>
      </c>
      <c r="T12" s="25" t="str">
        <f>"313,8460"</f>
        <v>313,8460</v>
      </c>
      <c r="U12" s="24" t="s">
        <v>488</v>
      </c>
    </row>
    <row r="13" spans="1:21">
      <c r="A13" s="25" t="s">
        <v>91</v>
      </c>
      <c r="B13" s="24" t="s">
        <v>132</v>
      </c>
      <c r="C13" s="24" t="s">
        <v>133</v>
      </c>
      <c r="D13" s="24" t="s">
        <v>134</v>
      </c>
      <c r="E13" s="24" t="s">
        <v>507</v>
      </c>
      <c r="F13" s="24" t="s">
        <v>46</v>
      </c>
      <c r="G13" s="26" t="s">
        <v>107</v>
      </c>
      <c r="H13" s="27" t="s">
        <v>108</v>
      </c>
      <c r="I13" s="25"/>
      <c r="J13" s="25"/>
      <c r="K13" s="26" t="s">
        <v>109</v>
      </c>
      <c r="L13" s="26" t="s">
        <v>110</v>
      </c>
      <c r="M13" s="26" t="s">
        <v>118</v>
      </c>
      <c r="N13" s="25"/>
      <c r="O13" s="26" t="s">
        <v>107</v>
      </c>
      <c r="P13" s="27" t="s">
        <v>117</v>
      </c>
      <c r="Q13" s="25"/>
      <c r="R13" s="25"/>
      <c r="S13" s="25" t="str">
        <f>"237,5"</f>
        <v>237,5</v>
      </c>
      <c r="T13" s="25" t="str">
        <f>"290,4625"</f>
        <v>290,4625</v>
      </c>
      <c r="U13" s="24"/>
    </row>
    <row r="14" spans="1:21">
      <c r="A14" s="13" t="s">
        <v>252</v>
      </c>
      <c r="B14" s="12" t="s">
        <v>135</v>
      </c>
      <c r="C14" s="12" t="s">
        <v>136</v>
      </c>
      <c r="D14" s="12" t="s">
        <v>137</v>
      </c>
      <c r="E14" s="12" t="s">
        <v>507</v>
      </c>
      <c r="F14" s="12" t="s">
        <v>46</v>
      </c>
      <c r="G14" s="22" t="s">
        <v>138</v>
      </c>
      <c r="H14" s="22" t="s">
        <v>139</v>
      </c>
      <c r="I14" s="22" t="s">
        <v>140</v>
      </c>
      <c r="J14" s="13"/>
      <c r="K14" s="22" t="s">
        <v>141</v>
      </c>
      <c r="L14" s="22" t="s">
        <v>142</v>
      </c>
      <c r="M14" s="23" t="s">
        <v>143</v>
      </c>
      <c r="N14" s="13"/>
      <c r="O14" s="22" t="s">
        <v>144</v>
      </c>
      <c r="P14" s="22" t="s">
        <v>145</v>
      </c>
      <c r="Q14" s="23" t="s">
        <v>106</v>
      </c>
      <c r="R14" s="13"/>
      <c r="S14" s="13" t="str">
        <f>"187,5"</f>
        <v>187,5</v>
      </c>
      <c r="T14" s="13" t="str">
        <f>"225,3563"</f>
        <v>225,3563</v>
      </c>
      <c r="U14" s="12" t="s">
        <v>503</v>
      </c>
    </row>
    <row r="15" spans="1:21">
      <c r="B15" s="5" t="s">
        <v>10</v>
      </c>
    </row>
    <row r="16" spans="1:21" ht="16">
      <c r="A16" s="34" t="s">
        <v>146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21">
      <c r="A17" s="11" t="s">
        <v>89</v>
      </c>
      <c r="B17" s="10" t="s">
        <v>147</v>
      </c>
      <c r="C17" s="10" t="s">
        <v>148</v>
      </c>
      <c r="D17" s="10" t="s">
        <v>149</v>
      </c>
      <c r="E17" s="10" t="s">
        <v>508</v>
      </c>
      <c r="F17" s="10" t="s">
        <v>46</v>
      </c>
      <c r="G17" s="20" t="s">
        <v>129</v>
      </c>
      <c r="H17" s="20" t="s">
        <v>106</v>
      </c>
      <c r="I17" s="20" t="s">
        <v>150</v>
      </c>
      <c r="J17" s="11"/>
      <c r="K17" s="21" t="s">
        <v>98</v>
      </c>
      <c r="L17" s="21" t="s">
        <v>98</v>
      </c>
      <c r="M17" s="20" t="s">
        <v>98</v>
      </c>
      <c r="N17" s="11"/>
      <c r="O17" s="21" t="s">
        <v>150</v>
      </c>
      <c r="P17" s="20" t="s">
        <v>150</v>
      </c>
      <c r="Q17" s="20" t="s">
        <v>107</v>
      </c>
      <c r="R17" s="11"/>
      <c r="S17" s="11" t="str">
        <f>"227,5"</f>
        <v>227,5</v>
      </c>
      <c r="T17" s="11" t="str">
        <f>"253,9582"</f>
        <v>253,9582</v>
      </c>
      <c r="U17" s="10" t="s">
        <v>489</v>
      </c>
    </row>
    <row r="18" spans="1:21">
      <c r="A18" s="25" t="s">
        <v>89</v>
      </c>
      <c r="B18" s="24" t="s">
        <v>151</v>
      </c>
      <c r="C18" s="24" t="s">
        <v>152</v>
      </c>
      <c r="D18" s="24" t="s">
        <v>153</v>
      </c>
      <c r="E18" s="24" t="s">
        <v>507</v>
      </c>
      <c r="F18" s="24" t="s">
        <v>19</v>
      </c>
      <c r="G18" s="26" t="s">
        <v>117</v>
      </c>
      <c r="H18" s="26" t="s">
        <v>154</v>
      </c>
      <c r="I18" s="27" t="s">
        <v>100</v>
      </c>
      <c r="J18" s="25"/>
      <c r="K18" s="26" t="s">
        <v>109</v>
      </c>
      <c r="L18" s="26" t="s">
        <v>118</v>
      </c>
      <c r="M18" s="26" t="s">
        <v>138</v>
      </c>
      <c r="N18" s="25"/>
      <c r="O18" s="26" t="s">
        <v>119</v>
      </c>
      <c r="P18" s="26" t="s">
        <v>155</v>
      </c>
      <c r="Q18" s="27" t="s">
        <v>156</v>
      </c>
      <c r="R18" s="25"/>
      <c r="S18" s="25" t="str">
        <f>"297,5"</f>
        <v>297,5</v>
      </c>
      <c r="T18" s="25" t="str">
        <f>"334,2710"</f>
        <v>334,2710</v>
      </c>
      <c r="U18" s="24" t="s">
        <v>66</v>
      </c>
    </row>
    <row r="19" spans="1:21">
      <c r="A19" s="25" t="s">
        <v>91</v>
      </c>
      <c r="B19" s="24" t="s">
        <v>157</v>
      </c>
      <c r="C19" s="24" t="s">
        <v>158</v>
      </c>
      <c r="D19" s="24" t="s">
        <v>159</v>
      </c>
      <c r="E19" s="24" t="s">
        <v>507</v>
      </c>
      <c r="F19" s="24" t="s">
        <v>46</v>
      </c>
      <c r="G19" s="26" t="s">
        <v>107</v>
      </c>
      <c r="H19" s="26" t="s">
        <v>108</v>
      </c>
      <c r="I19" s="26" t="s">
        <v>160</v>
      </c>
      <c r="J19" s="25"/>
      <c r="K19" s="26" t="s">
        <v>131</v>
      </c>
      <c r="L19" s="26" t="s">
        <v>97</v>
      </c>
      <c r="M19" s="26" t="s">
        <v>98</v>
      </c>
      <c r="N19" s="25"/>
      <c r="O19" s="27" t="s">
        <v>123</v>
      </c>
      <c r="P19" s="26" t="s">
        <v>123</v>
      </c>
      <c r="Q19" s="26" t="s">
        <v>111</v>
      </c>
      <c r="R19" s="25"/>
      <c r="S19" s="25" t="str">
        <f>"262,5"</f>
        <v>262,5</v>
      </c>
      <c r="T19" s="25" t="str">
        <f>"300,9037"</f>
        <v>300,9037</v>
      </c>
      <c r="U19" s="24" t="s">
        <v>489</v>
      </c>
    </row>
    <row r="20" spans="1:21">
      <c r="A20" s="13" t="s">
        <v>252</v>
      </c>
      <c r="B20" s="12" t="s">
        <v>161</v>
      </c>
      <c r="C20" s="12" t="s">
        <v>162</v>
      </c>
      <c r="D20" s="12" t="s">
        <v>163</v>
      </c>
      <c r="E20" s="12" t="s">
        <v>507</v>
      </c>
      <c r="F20" s="12" t="s">
        <v>46</v>
      </c>
      <c r="G20" s="23" t="s">
        <v>145</v>
      </c>
      <c r="H20" s="22" t="s">
        <v>106</v>
      </c>
      <c r="I20" s="22" t="s">
        <v>164</v>
      </c>
      <c r="J20" s="13"/>
      <c r="K20" s="22" t="s">
        <v>131</v>
      </c>
      <c r="L20" s="22" t="s">
        <v>97</v>
      </c>
      <c r="M20" s="23" t="s">
        <v>98</v>
      </c>
      <c r="N20" s="13"/>
      <c r="O20" s="22" t="s">
        <v>107</v>
      </c>
      <c r="P20" s="22" t="s">
        <v>108</v>
      </c>
      <c r="Q20" s="22" t="s">
        <v>117</v>
      </c>
      <c r="R20" s="13"/>
      <c r="S20" s="13" t="str">
        <f>"240,0"</f>
        <v>240,0</v>
      </c>
      <c r="T20" s="13" t="str">
        <f>"272,5200"</f>
        <v>272,5200</v>
      </c>
      <c r="U20" s="12"/>
    </row>
    <row r="21" spans="1:21">
      <c r="B21" s="5" t="s">
        <v>10</v>
      </c>
    </row>
    <row r="22" spans="1:21" ht="16">
      <c r="A22" s="34" t="s">
        <v>114</v>
      </c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21">
      <c r="A23" s="9" t="s">
        <v>89</v>
      </c>
      <c r="B23" s="8" t="s">
        <v>165</v>
      </c>
      <c r="C23" s="8" t="s">
        <v>472</v>
      </c>
      <c r="D23" s="8" t="s">
        <v>166</v>
      </c>
      <c r="E23" s="8" t="s">
        <v>506</v>
      </c>
      <c r="F23" s="8" t="s">
        <v>46</v>
      </c>
      <c r="G23" s="19" t="s">
        <v>117</v>
      </c>
      <c r="H23" s="18" t="s">
        <v>117</v>
      </c>
      <c r="I23" s="18" t="s">
        <v>101</v>
      </c>
      <c r="J23" s="9"/>
      <c r="K23" s="19" t="s">
        <v>129</v>
      </c>
      <c r="L23" s="18" t="s">
        <v>150</v>
      </c>
      <c r="M23" s="19" t="s">
        <v>164</v>
      </c>
      <c r="N23" s="9"/>
      <c r="O23" s="18" t="s">
        <v>167</v>
      </c>
      <c r="P23" s="18" t="s">
        <v>54</v>
      </c>
      <c r="Q23" s="19" t="s">
        <v>62</v>
      </c>
      <c r="R23" s="9"/>
      <c r="S23" s="9" t="str">
        <f>"350,0"</f>
        <v>350,0</v>
      </c>
      <c r="T23" s="9" t="str">
        <f>"321,4400"</f>
        <v>321,4400</v>
      </c>
      <c r="U23" s="8" t="s">
        <v>494</v>
      </c>
    </row>
    <row r="24" spans="1:21">
      <c r="B24" s="5" t="s">
        <v>10</v>
      </c>
    </row>
    <row r="25" spans="1:21" ht="16">
      <c r="A25" s="34" t="s">
        <v>168</v>
      </c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>
      <c r="A26" s="11" t="s">
        <v>89</v>
      </c>
      <c r="B26" s="10" t="s">
        <v>169</v>
      </c>
      <c r="C26" s="10" t="s">
        <v>170</v>
      </c>
      <c r="D26" s="10" t="s">
        <v>171</v>
      </c>
      <c r="E26" s="10" t="s">
        <v>508</v>
      </c>
      <c r="F26" s="10" t="s">
        <v>33</v>
      </c>
      <c r="G26" s="20" t="s">
        <v>145</v>
      </c>
      <c r="H26" s="20" t="s">
        <v>106</v>
      </c>
      <c r="I26" s="20" t="s">
        <v>107</v>
      </c>
      <c r="J26" s="11"/>
      <c r="K26" s="20" t="s">
        <v>110</v>
      </c>
      <c r="L26" s="20" t="s">
        <v>138</v>
      </c>
      <c r="M26" s="21" t="s">
        <v>140</v>
      </c>
      <c r="N26" s="11"/>
      <c r="O26" s="21" t="s">
        <v>108</v>
      </c>
      <c r="P26" s="20" t="s">
        <v>99</v>
      </c>
      <c r="Q26" s="21" t="s">
        <v>100</v>
      </c>
      <c r="R26" s="11"/>
      <c r="S26" s="11" t="str">
        <f>"252,5"</f>
        <v>252,5</v>
      </c>
      <c r="T26" s="11" t="str">
        <f>"196,7985"</f>
        <v>196,7985</v>
      </c>
      <c r="U26" s="10" t="s">
        <v>498</v>
      </c>
    </row>
    <row r="27" spans="1:21">
      <c r="A27" s="25" t="s">
        <v>89</v>
      </c>
      <c r="B27" s="24" t="s">
        <v>172</v>
      </c>
      <c r="C27" s="24" t="s">
        <v>173</v>
      </c>
      <c r="D27" s="24" t="s">
        <v>174</v>
      </c>
      <c r="E27" s="24" t="s">
        <v>507</v>
      </c>
      <c r="F27" s="24" t="s">
        <v>33</v>
      </c>
      <c r="G27" s="26" t="s">
        <v>25</v>
      </c>
      <c r="H27" s="27" t="s">
        <v>175</v>
      </c>
      <c r="I27" s="26" t="s">
        <v>175</v>
      </c>
      <c r="J27" s="25"/>
      <c r="K27" s="26" t="s">
        <v>156</v>
      </c>
      <c r="L27" s="27" t="s">
        <v>24</v>
      </c>
      <c r="M27" s="27" t="s">
        <v>24</v>
      </c>
      <c r="N27" s="25"/>
      <c r="O27" s="26" t="s">
        <v>37</v>
      </c>
      <c r="P27" s="26" t="s">
        <v>176</v>
      </c>
      <c r="Q27" s="27" t="s">
        <v>177</v>
      </c>
      <c r="R27" s="25"/>
      <c r="S27" s="25" t="str">
        <f>"480,0"</f>
        <v>480,0</v>
      </c>
      <c r="T27" s="25" t="str">
        <f>"370,0800"</f>
        <v>370,0800</v>
      </c>
      <c r="U27" s="24" t="s">
        <v>490</v>
      </c>
    </row>
    <row r="28" spans="1:21">
      <c r="A28" s="13" t="s">
        <v>89</v>
      </c>
      <c r="B28" s="12" t="s">
        <v>172</v>
      </c>
      <c r="C28" s="12" t="s">
        <v>456</v>
      </c>
      <c r="D28" s="12" t="s">
        <v>174</v>
      </c>
      <c r="E28" s="12" t="s">
        <v>509</v>
      </c>
      <c r="F28" s="12" t="s">
        <v>33</v>
      </c>
      <c r="G28" s="22" t="s">
        <v>25</v>
      </c>
      <c r="H28" s="23" t="s">
        <v>175</v>
      </c>
      <c r="I28" s="22" t="s">
        <v>175</v>
      </c>
      <c r="J28" s="13"/>
      <c r="K28" s="22" t="s">
        <v>156</v>
      </c>
      <c r="L28" s="23" t="s">
        <v>24</v>
      </c>
      <c r="M28" s="23" t="s">
        <v>24</v>
      </c>
      <c r="N28" s="13"/>
      <c r="O28" s="22" t="s">
        <v>37</v>
      </c>
      <c r="P28" s="22" t="s">
        <v>176</v>
      </c>
      <c r="Q28" s="23" t="s">
        <v>177</v>
      </c>
      <c r="R28" s="13"/>
      <c r="S28" s="13" t="str">
        <f>"480,0"</f>
        <v>480,0</v>
      </c>
      <c r="T28" s="13" t="str">
        <f>"425,5920"</f>
        <v>425,5920</v>
      </c>
      <c r="U28" s="12" t="s">
        <v>490</v>
      </c>
    </row>
    <row r="29" spans="1:21">
      <c r="B29" s="5" t="s">
        <v>10</v>
      </c>
    </row>
    <row r="30" spans="1:21" ht="16">
      <c r="A30" s="34" t="s">
        <v>178</v>
      </c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21">
      <c r="A31" s="11" t="s">
        <v>89</v>
      </c>
      <c r="B31" s="10" t="s">
        <v>179</v>
      </c>
      <c r="C31" s="10" t="s">
        <v>473</v>
      </c>
      <c r="D31" s="10" t="s">
        <v>180</v>
      </c>
      <c r="E31" s="10" t="s">
        <v>506</v>
      </c>
      <c r="F31" s="10" t="s">
        <v>46</v>
      </c>
      <c r="G31" s="20" t="s">
        <v>113</v>
      </c>
      <c r="H31" s="20" t="s">
        <v>120</v>
      </c>
      <c r="I31" s="20" t="s">
        <v>23</v>
      </c>
      <c r="J31" s="11"/>
      <c r="K31" s="20" t="s">
        <v>140</v>
      </c>
      <c r="L31" s="20" t="s">
        <v>96</v>
      </c>
      <c r="M31" s="20" t="s">
        <v>129</v>
      </c>
      <c r="N31" s="11"/>
      <c r="O31" s="20" t="s">
        <v>167</v>
      </c>
      <c r="P31" s="20" t="s">
        <v>25</v>
      </c>
      <c r="Q31" s="20" t="s">
        <v>175</v>
      </c>
      <c r="R31" s="11"/>
      <c r="S31" s="11" t="str">
        <f>"372,5"</f>
        <v>372,5</v>
      </c>
      <c r="T31" s="11" t="str">
        <f>"268,2000"</f>
        <v>268,2000</v>
      </c>
      <c r="U31" s="10" t="s">
        <v>503</v>
      </c>
    </row>
    <row r="32" spans="1:21">
      <c r="A32" s="25" t="s">
        <v>89</v>
      </c>
      <c r="B32" s="24" t="s">
        <v>181</v>
      </c>
      <c r="C32" s="24" t="s">
        <v>182</v>
      </c>
      <c r="D32" s="24" t="s">
        <v>183</v>
      </c>
      <c r="E32" s="24" t="s">
        <v>507</v>
      </c>
      <c r="F32" s="24" t="s">
        <v>184</v>
      </c>
      <c r="G32" s="26" t="s">
        <v>54</v>
      </c>
      <c r="H32" s="27" t="s">
        <v>61</v>
      </c>
      <c r="I32" s="26" t="s">
        <v>61</v>
      </c>
      <c r="J32" s="25"/>
      <c r="K32" s="26" t="s">
        <v>113</v>
      </c>
      <c r="L32" s="27" t="s">
        <v>185</v>
      </c>
      <c r="M32" s="27" t="s">
        <v>185</v>
      </c>
      <c r="N32" s="25"/>
      <c r="O32" s="27" t="s">
        <v>177</v>
      </c>
      <c r="P32" s="26" t="s">
        <v>177</v>
      </c>
      <c r="Q32" s="27" t="s">
        <v>186</v>
      </c>
      <c r="R32" s="25"/>
      <c r="S32" s="25" t="str">
        <f>"475,0"</f>
        <v>475,0</v>
      </c>
      <c r="T32" s="25" t="str">
        <f>"338,7700"</f>
        <v>338,7700</v>
      </c>
      <c r="U32" s="24" t="s">
        <v>187</v>
      </c>
    </row>
    <row r="33" spans="1:21">
      <c r="A33" s="13" t="s">
        <v>91</v>
      </c>
      <c r="B33" s="12" t="s">
        <v>188</v>
      </c>
      <c r="C33" s="12" t="s">
        <v>189</v>
      </c>
      <c r="D33" s="12" t="s">
        <v>190</v>
      </c>
      <c r="E33" s="12" t="s">
        <v>507</v>
      </c>
      <c r="F33" s="12" t="s">
        <v>46</v>
      </c>
      <c r="G33" s="22" t="s">
        <v>167</v>
      </c>
      <c r="H33" s="23" t="s">
        <v>54</v>
      </c>
      <c r="I33" s="23" t="s">
        <v>54</v>
      </c>
      <c r="J33" s="13"/>
      <c r="K33" s="22" t="s">
        <v>107</v>
      </c>
      <c r="L33" s="23" t="s">
        <v>108</v>
      </c>
      <c r="M33" s="22" t="s">
        <v>117</v>
      </c>
      <c r="N33" s="13"/>
      <c r="O33" s="22" t="s">
        <v>54</v>
      </c>
      <c r="P33" s="22" t="s">
        <v>55</v>
      </c>
      <c r="Q33" s="23" t="s">
        <v>36</v>
      </c>
      <c r="R33" s="13"/>
      <c r="S33" s="13" t="str">
        <f>"400,0"</f>
        <v>400,0</v>
      </c>
      <c r="T33" s="13" t="str">
        <f>"285,0400"</f>
        <v>285,0400</v>
      </c>
      <c r="U33" s="12" t="s">
        <v>483</v>
      </c>
    </row>
    <row r="34" spans="1:21">
      <c r="B34" s="5" t="s">
        <v>10</v>
      </c>
    </row>
    <row r="35" spans="1:21" ht="16">
      <c r="A35" s="34" t="s">
        <v>15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21">
      <c r="A36" s="11" t="s">
        <v>89</v>
      </c>
      <c r="B36" s="10" t="s">
        <v>191</v>
      </c>
      <c r="C36" s="10" t="s">
        <v>192</v>
      </c>
      <c r="D36" s="10" t="s">
        <v>193</v>
      </c>
      <c r="E36" s="10" t="s">
        <v>507</v>
      </c>
      <c r="F36" s="10" t="s">
        <v>184</v>
      </c>
      <c r="G36" s="20" t="s">
        <v>194</v>
      </c>
      <c r="H36" s="20" t="s">
        <v>26</v>
      </c>
      <c r="I36" s="20" t="s">
        <v>35</v>
      </c>
      <c r="J36" s="11"/>
      <c r="K36" s="20" t="s">
        <v>113</v>
      </c>
      <c r="L36" s="20" t="s">
        <v>120</v>
      </c>
      <c r="M36" s="21" t="s">
        <v>23</v>
      </c>
      <c r="N36" s="11"/>
      <c r="O36" s="20" t="s">
        <v>35</v>
      </c>
      <c r="P36" s="20" t="s">
        <v>195</v>
      </c>
      <c r="Q36" s="21" t="s">
        <v>196</v>
      </c>
      <c r="R36" s="11"/>
      <c r="S36" s="11" t="str">
        <f>"555,0"</f>
        <v>555,0</v>
      </c>
      <c r="T36" s="11" t="str">
        <f>"394,3830"</f>
        <v>394,3830</v>
      </c>
      <c r="U36" s="10" t="s">
        <v>187</v>
      </c>
    </row>
    <row r="37" spans="1:21">
      <c r="A37" s="25" t="s">
        <v>91</v>
      </c>
      <c r="B37" s="24" t="s">
        <v>197</v>
      </c>
      <c r="C37" s="24" t="s">
        <v>198</v>
      </c>
      <c r="D37" s="24" t="s">
        <v>199</v>
      </c>
      <c r="E37" s="24" t="s">
        <v>507</v>
      </c>
      <c r="F37" s="24" t="s">
        <v>200</v>
      </c>
      <c r="G37" s="26" t="s">
        <v>22</v>
      </c>
      <c r="H37" s="26" t="s">
        <v>34</v>
      </c>
      <c r="I37" s="26" t="s">
        <v>26</v>
      </c>
      <c r="J37" s="25"/>
      <c r="K37" s="26" t="s">
        <v>123</v>
      </c>
      <c r="L37" s="27" t="s">
        <v>111</v>
      </c>
      <c r="M37" s="27" t="s">
        <v>111</v>
      </c>
      <c r="N37" s="25"/>
      <c r="O37" s="27" t="s">
        <v>27</v>
      </c>
      <c r="P37" s="26" t="s">
        <v>60</v>
      </c>
      <c r="Q37" s="27" t="s">
        <v>39</v>
      </c>
      <c r="R37" s="25"/>
      <c r="S37" s="25" t="str">
        <f>"545,0"</f>
        <v>545,0</v>
      </c>
      <c r="T37" s="25" t="str">
        <f>"368,9105"</f>
        <v>368,9105</v>
      </c>
      <c r="U37" s="24" t="s">
        <v>491</v>
      </c>
    </row>
    <row r="38" spans="1:21">
      <c r="A38" s="25" t="s">
        <v>252</v>
      </c>
      <c r="B38" s="24" t="s">
        <v>201</v>
      </c>
      <c r="C38" s="24" t="s">
        <v>202</v>
      </c>
      <c r="D38" s="24" t="s">
        <v>203</v>
      </c>
      <c r="E38" s="24" t="s">
        <v>507</v>
      </c>
      <c r="F38" s="24" t="s">
        <v>204</v>
      </c>
      <c r="G38" s="26" t="s">
        <v>205</v>
      </c>
      <c r="H38" s="26" t="s">
        <v>194</v>
      </c>
      <c r="I38" s="26" t="s">
        <v>34</v>
      </c>
      <c r="J38" s="25"/>
      <c r="K38" s="27" t="s">
        <v>120</v>
      </c>
      <c r="L38" s="26" t="s">
        <v>23</v>
      </c>
      <c r="M38" s="27" t="s">
        <v>167</v>
      </c>
      <c r="N38" s="25"/>
      <c r="O38" s="26" t="s">
        <v>177</v>
      </c>
      <c r="P38" s="26" t="s">
        <v>34</v>
      </c>
      <c r="Q38" s="26" t="s">
        <v>26</v>
      </c>
      <c r="R38" s="25"/>
      <c r="S38" s="25" t="str">
        <f>"540,0"</f>
        <v>540,0</v>
      </c>
      <c r="T38" s="25" t="str">
        <f>"366,3900"</f>
        <v>366,3900</v>
      </c>
      <c r="U38" s="24"/>
    </row>
    <row r="39" spans="1:21">
      <c r="A39" s="25" t="s">
        <v>253</v>
      </c>
      <c r="B39" s="24" t="s">
        <v>206</v>
      </c>
      <c r="C39" s="24" t="s">
        <v>207</v>
      </c>
      <c r="D39" s="24" t="s">
        <v>208</v>
      </c>
      <c r="E39" s="24" t="s">
        <v>507</v>
      </c>
      <c r="F39" s="24" t="s">
        <v>46</v>
      </c>
      <c r="G39" s="26" t="s">
        <v>209</v>
      </c>
      <c r="H39" s="26" t="s">
        <v>176</v>
      </c>
      <c r="I39" s="26" t="s">
        <v>22</v>
      </c>
      <c r="J39" s="25"/>
      <c r="K39" s="26" t="s">
        <v>101</v>
      </c>
      <c r="L39" s="26" t="s">
        <v>112</v>
      </c>
      <c r="M39" s="26" t="s">
        <v>113</v>
      </c>
      <c r="N39" s="25"/>
      <c r="O39" s="26" t="s">
        <v>177</v>
      </c>
      <c r="P39" s="26" t="s">
        <v>35</v>
      </c>
      <c r="Q39" s="27" t="s">
        <v>27</v>
      </c>
      <c r="R39" s="25"/>
      <c r="S39" s="25" t="str">
        <f>"522,5"</f>
        <v>522,5</v>
      </c>
      <c r="T39" s="25" t="str">
        <f>"351,3290"</f>
        <v>351,3290</v>
      </c>
      <c r="U39" s="24"/>
    </row>
    <row r="40" spans="1:21">
      <c r="A40" s="13" t="s">
        <v>254</v>
      </c>
      <c r="B40" s="12" t="s">
        <v>210</v>
      </c>
      <c r="C40" s="12" t="s">
        <v>211</v>
      </c>
      <c r="D40" s="12" t="s">
        <v>18</v>
      </c>
      <c r="E40" s="12" t="s">
        <v>507</v>
      </c>
      <c r="F40" s="12" t="s">
        <v>46</v>
      </c>
      <c r="G40" s="23" t="s">
        <v>119</v>
      </c>
      <c r="H40" s="23" t="s">
        <v>119</v>
      </c>
      <c r="I40" s="22" t="s">
        <v>119</v>
      </c>
      <c r="J40" s="13"/>
      <c r="K40" s="22" t="s">
        <v>107</v>
      </c>
      <c r="L40" s="23" t="s">
        <v>164</v>
      </c>
      <c r="M40" s="23" t="s">
        <v>164</v>
      </c>
      <c r="N40" s="13"/>
      <c r="O40" s="23" t="s">
        <v>212</v>
      </c>
      <c r="P40" s="22" t="s">
        <v>212</v>
      </c>
      <c r="Q40" s="22" t="s">
        <v>54</v>
      </c>
      <c r="R40" s="13"/>
      <c r="S40" s="13" t="str">
        <f>"365,0"</f>
        <v>365,0</v>
      </c>
      <c r="T40" s="13" t="str">
        <f>"257,0330"</f>
        <v>257,0330</v>
      </c>
      <c r="U40" s="12"/>
    </row>
    <row r="41" spans="1:21">
      <c r="B41" s="5" t="s">
        <v>10</v>
      </c>
    </row>
    <row r="42" spans="1:21" ht="16">
      <c r="A42" s="34" t="s">
        <v>29</v>
      </c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21">
      <c r="A43" s="11" t="s">
        <v>89</v>
      </c>
      <c r="B43" s="10" t="s">
        <v>213</v>
      </c>
      <c r="C43" s="10" t="s">
        <v>214</v>
      </c>
      <c r="D43" s="10" t="s">
        <v>215</v>
      </c>
      <c r="E43" s="10" t="s">
        <v>508</v>
      </c>
      <c r="F43" s="10" t="s">
        <v>216</v>
      </c>
      <c r="G43" s="21" t="s">
        <v>212</v>
      </c>
      <c r="H43" s="20" t="s">
        <v>212</v>
      </c>
      <c r="I43" s="21" t="s">
        <v>54</v>
      </c>
      <c r="J43" s="11"/>
      <c r="K43" s="20" t="s">
        <v>112</v>
      </c>
      <c r="L43" s="21" t="s">
        <v>113</v>
      </c>
      <c r="M43" s="21" t="s">
        <v>113</v>
      </c>
      <c r="N43" s="11"/>
      <c r="O43" s="20" t="s">
        <v>72</v>
      </c>
      <c r="P43" s="20" t="s">
        <v>22</v>
      </c>
      <c r="Q43" s="21" t="s">
        <v>205</v>
      </c>
      <c r="R43" s="11"/>
      <c r="S43" s="11" t="str">
        <f>"455,0"</f>
        <v>455,0</v>
      </c>
      <c r="T43" s="11" t="str">
        <f>"300,7550"</f>
        <v>300,7550</v>
      </c>
      <c r="U43" s="10"/>
    </row>
    <row r="44" spans="1:21">
      <c r="A44" s="25" t="s">
        <v>89</v>
      </c>
      <c r="B44" s="24" t="s">
        <v>217</v>
      </c>
      <c r="C44" s="24" t="s">
        <v>474</v>
      </c>
      <c r="D44" s="24" t="s">
        <v>218</v>
      </c>
      <c r="E44" s="24" t="s">
        <v>506</v>
      </c>
      <c r="F44" s="24" t="s">
        <v>46</v>
      </c>
      <c r="G44" s="26" t="s">
        <v>55</v>
      </c>
      <c r="H44" s="26" t="s">
        <v>219</v>
      </c>
      <c r="I44" s="26" t="s">
        <v>220</v>
      </c>
      <c r="J44" s="25"/>
      <c r="K44" s="26" t="s">
        <v>123</v>
      </c>
      <c r="L44" s="26" t="s">
        <v>111</v>
      </c>
      <c r="M44" s="26" t="s">
        <v>112</v>
      </c>
      <c r="N44" s="25"/>
      <c r="O44" s="26" t="s">
        <v>36</v>
      </c>
      <c r="P44" s="26" t="s">
        <v>220</v>
      </c>
      <c r="Q44" s="26" t="s">
        <v>21</v>
      </c>
      <c r="R44" s="25"/>
      <c r="S44" s="25" t="str">
        <f>"472,5"</f>
        <v>472,5</v>
      </c>
      <c r="T44" s="25" t="str">
        <f>"315,8663"</f>
        <v>315,8663</v>
      </c>
      <c r="U44" s="24" t="s">
        <v>482</v>
      </c>
    </row>
    <row r="45" spans="1:21">
      <c r="A45" s="25" t="s">
        <v>90</v>
      </c>
      <c r="B45" s="24" t="s">
        <v>221</v>
      </c>
      <c r="C45" s="24" t="s">
        <v>475</v>
      </c>
      <c r="D45" s="24" t="s">
        <v>222</v>
      </c>
      <c r="E45" s="24" t="s">
        <v>506</v>
      </c>
      <c r="F45" s="24" t="s">
        <v>128</v>
      </c>
      <c r="G45" s="27" t="s">
        <v>27</v>
      </c>
      <c r="H45" s="27" t="s">
        <v>27</v>
      </c>
      <c r="I45" s="27" t="s">
        <v>27</v>
      </c>
      <c r="J45" s="25"/>
      <c r="K45" s="27"/>
      <c r="L45" s="25"/>
      <c r="M45" s="25"/>
      <c r="N45" s="25"/>
      <c r="O45" s="27"/>
      <c r="P45" s="25"/>
      <c r="Q45" s="25"/>
      <c r="R45" s="25"/>
      <c r="S45" s="33">
        <v>0</v>
      </c>
      <c r="T45" s="25" t="str">
        <f>"0,0000"</f>
        <v>0,0000</v>
      </c>
      <c r="U45" s="24"/>
    </row>
    <row r="46" spans="1:21">
      <c r="A46" s="25" t="s">
        <v>89</v>
      </c>
      <c r="B46" s="24" t="s">
        <v>223</v>
      </c>
      <c r="C46" s="24" t="s">
        <v>224</v>
      </c>
      <c r="D46" s="24" t="s">
        <v>225</v>
      </c>
      <c r="E46" s="24" t="s">
        <v>507</v>
      </c>
      <c r="F46" s="24" t="s">
        <v>19</v>
      </c>
      <c r="G46" s="26" t="s">
        <v>22</v>
      </c>
      <c r="H46" s="26" t="s">
        <v>34</v>
      </c>
      <c r="I46" s="27" t="s">
        <v>226</v>
      </c>
      <c r="J46" s="25"/>
      <c r="K46" s="26" t="s">
        <v>54</v>
      </c>
      <c r="L46" s="27" t="s">
        <v>175</v>
      </c>
      <c r="M46" s="25"/>
      <c r="N46" s="25"/>
      <c r="O46" s="26" t="s">
        <v>52</v>
      </c>
      <c r="P46" s="27" t="s">
        <v>227</v>
      </c>
      <c r="Q46" s="27" t="s">
        <v>227</v>
      </c>
      <c r="R46" s="25"/>
      <c r="S46" s="25" t="str">
        <f>"590,0"</f>
        <v>590,0</v>
      </c>
      <c r="T46" s="25" t="str">
        <f>"379,9600"</f>
        <v>379,9600</v>
      </c>
      <c r="U46" s="24"/>
    </row>
    <row r="47" spans="1:21">
      <c r="A47" s="25" t="s">
        <v>91</v>
      </c>
      <c r="B47" s="24" t="s">
        <v>228</v>
      </c>
      <c r="C47" s="24" t="s">
        <v>229</v>
      </c>
      <c r="D47" s="24" t="s">
        <v>230</v>
      </c>
      <c r="E47" s="24" t="s">
        <v>507</v>
      </c>
      <c r="F47" s="24" t="s">
        <v>46</v>
      </c>
      <c r="G47" s="27" t="s">
        <v>177</v>
      </c>
      <c r="H47" s="26" t="s">
        <v>177</v>
      </c>
      <c r="I47" s="26" t="s">
        <v>186</v>
      </c>
      <c r="J47" s="25"/>
      <c r="K47" s="26" t="s">
        <v>119</v>
      </c>
      <c r="L47" s="26" t="s">
        <v>120</v>
      </c>
      <c r="M47" s="26" t="s">
        <v>155</v>
      </c>
      <c r="N47" s="25"/>
      <c r="O47" s="26" t="s">
        <v>177</v>
      </c>
      <c r="P47" s="26" t="s">
        <v>186</v>
      </c>
      <c r="Q47" s="27" t="s">
        <v>231</v>
      </c>
      <c r="R47" s="25"/>
      <c r="S47" s="25" t="str">
        <f>"537,5"</f>
        <v>537,5</v>
      </c>
      <c r="T47" s="25" t="str">
        <f>"344,5375"</f>
        <v>344,5375</v>
      </c>
      <c r="U47" s="24" t="s">
        <v>483</v>
      </c>
    </row>
    <row r="48" spans="1:21">
      <c r="A48" s="25" t="s">
        <v>252</v>
      </c>
      <c r="B48" s="24" t="s">
        <v>232</v>
      </c>
      <c r="C48" s="24" t="s">
        <v>233</v>
      </c>
      <c r="D48" s="24" t="s">
        <v>234</v>
      </c>
      <c r="E48" s="24" t="s">
        <v>507</v>
      </c>
      <c r="F48" s="24" t="s">
        <v>46</v>
      </c>
      <c r="G48" s="26" t="s">
        <v>37</v>
      </c>
      <c r="H48" s="26" t="s">
        <v>21</v>
      </c>
      <c r="I48" s="27" t="s">
        <v>38</v>
      </c>
      <c r="J48" s="25"/>
      <c r="K48" s="26" t="s">
        <v>212</v>
      </c>
      <c r="L48" s="26" t="s">
        <v>235</v>
      </c>
      <c r="M48" s="27" t="s">
        <v>175</v>
      </c>
      <c r="N48" s="25"/>
      <c r="O48" s="26" t="s">
        <v>22</v>
      </c>
      <c r="P48" s="27" t="s">
        <v>34</v>
      </c>
      <c r="Q48" s="27" t="s">
        <v>34</v>
      </c>
      <c r="R48" s="25"/>
      <c r="S48" s="25" t="str">
        <f>"522,5"</f>
        <v>522,5</v>
      </c>
      <c r="T48" s="25" t="str">
        <f>"337,9008"</f>
        <v>337,9008</v>
      </c>
      <c r="U48" s="24" t="s">
        <v>492</v>
      </c>
    </row>
    <row r="49" spans="1:21">
      <c r="A49" s="13" t="s">
        <v>253</v>
      </c>
      <c r="B49" s="12" t="s">
        <v>236</v>
      </c>
      <c r="C49" s="12" t="s">
        <v>237</v>
      </c>
      <c r="D49" s="12" t="s">
        <v>238</v>
      </c>
      <c r="E49" s="12" t="s">
        <v>507</v>
      </c>
      <c r="F49" s="12" t="s">
        <v>46</v>
      </c>
      <c r="G49" s="22" t="s">
        <v>54</v>
      </c>
      <c r="H49" s="22" t="s">
        <v>55</v>
      </c>
      <c r="I49" s="23" t="s">
        <v>36</v>
      </c>
      <c r="J49" s="13"/>
      <c r="K49" s="22" t="s">
        <v>120</v>
      </c>
      <c r="L49" s="22" t="s">
        <v>23</v>
      </c>
      <c r="M49" s="22" t="s">
        <v>167</v>
      </c>
      <c r="N49" s="13"/>
      <c r="O49" s="22" t="s">
        <v>54</v>
      </c>
      <c r="P49" s="22" t="s">
        <v>55</v>
      </c>
      <c r="Q49" s="22" t="s">
        <v>36</v>
      </c>
      <c r="R49" s="13"/>
      <c r="S49" s="13" t="str">
        <f>"465,0"</f>
        <v>465,0</v>
      </c>
      <c r="T49" s="13" t="str">
        <f>"298,7160"</f>
        <v>298,7160</v>
      </c>
      <c r="U49" s="12"/>
    </row>
    <row r="50" spans="1:21">
      <c r="B50" s="5" t="s">
        <v>10</v>
      </c>
    </row>
    <row r="51" spans="1:21" ht="16">
      <c r="A51" s="34" t="s">
        <v>48</v>
      </c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21">
      <c r="A52" s="9" t="s">
        <v>89</v>
      </c>
      <c r="B52" s="8" t="s">
        <v>239</v>
      </c>
      <c r="C52" s="8" t="s">
        <v>240</v>
      </c>
      <c r="D52" s="8" t="s">
        <v>241</v>
      </c>
      <c r="E52" s="8" t="s">
        <v>507</v>
      </c>
      <c r="F52" s="8" t="s">
        <v>46</v>
      </c>
      <c r="G52" s="18" t="s">
        <v>47</v>
      </c>
      <c r="H52" s="18" t="s">
        <v>71</v>
      </c>
      <c r="I52" s="19" t="s">
        <v>52</v>
      </c>
      <c r="J52" s="9"/>
      <c r="K52" s="18" t="s">
        <v>54</v>
      </c>
      <c r="L52" s="18" t="s">
        <v>175</v>
      </c>
      <c r="M52" s="9"/>
      <c r="N52" s="9"/>
      <c r="O52" s="18" t="s">
        <v>242</v>
      </c>
      <c r="P52" s="18" t="s">
        <v>243</v>
      </c>
      <c r="Q52" s="19" t="s">
        <v>64</v>
      </c>
      <c r="R52" s="9"/>
      <c r="S52" s="9" t="str">
        <f>"652,5"</f>
        <v>652,5</v>
      </c>
      <c r="T52" s="9" t="str">
        <f>"399,7215"</f>
        <v>399,7215</v>
      </c>
      <c r="U52" s="8" t="s">
        <v>483</v>
      </c>
    </row>
    <row r="53" spans="1:21">
      <c r="B53" s="5" t="s">
        <v>10</v>
      </c>
    </row>
    <row r="54" spans="1:21" ht="16">
      <c r="A54" s="34" t="s">
        <v>67</v>
      </c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21">
      <c r="A55" s="9" t="s">
        <v>89</v>
      </c>
      <c r="B55" s="8" t="s">
        <v>244</v>
      </c>
      <c r="C55" s="8" t="s">
        <v>245</v>
      </c>
      <c r="D55" s="8" t="s">
        <v>246</v>
      </c>
      <c r="E55" s="8" t="s">
        <v>507</v>
      </c>
      <c r="F55" s="8" t="s">
        <v>46</v>
      </c>
      <c r="G55" s="19" t="s">
        <v>22</v>
      </c>
      <c r="H55" s="18" t="s">
        <v>22</v>
      </c>
      <c r="I55" s="19" t="s">
        <v>34</v>
      </c>
      <c r="J55" s="9"/>
      <c r="K55" s="18" t="s">
        <v>112</v>
      </c>
      <c r="L55" s="18" t="s">
        <v>119</v>
      </c>
      <c r="M55" s="19" t="s">
        <v>120</v>
      </c>
      <c r="N55" s="9"/>
      <c r="O55" s="18" t="s">
        <v>52</v>
      </c>
      <c r="P55" s="18" t="s">
        <v>242</v>
      </c>
      <c r="Q55" s="19" t="s">
        <v>63</v>
      </c>
      <c r="R55" s="9"/>
      <c r="S55" s="9" t="str">
        <f>"565,0"</f>
        <v>565,0</v>
      </c>
      <c r="T55" s="9" t="str">
        <f>"334,8190"</f>
        <v>334,8190</v>
      </c>
      <c r="U55" s="8"/>
    </row>
    <row r="56" spans="1:21">
      <c r="B56" s="5" t="s">
        <v>10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2:R42"/>
    <mergeCell ref="A51:R51"/>
    <mergeCell ref="A54:R54"/>
    <mergeCell ref="B3:B4"/>
    <mergeCell ref="A9:R9"/>
    <mergeCell ref="A16:R16"/>
    <mergeCell ref="A22:R22"/>
    <mergeCell ref="A25:R25"/>
    <mergeCell ref="A30:R30"/>
    <mergeCell ref="A35:R3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7.6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0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4" t="s">
        <v>443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13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67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9" t="s">
        <v>89</v>
      </c>
      <c r="B6" s="8" t="s">
        <v>280</v>
      </c>
      <c r="C6" s="8" t="s">
        <v>281</v>
      </c>
      <c r="D6" s="8" t="s">
        <v>282</v>
      </c>
      <c r="E6" s="8" t="s">
        <v>507</v>
      </c>
      <c r="F6" s="8" t="s">
        <v>46</v>
      </c>
      <c r="G6" s="18" t="s">
        <v>34</v>
      </c>
      <c r="H6" s="18" t="s">
        <v>442</v>
      </c>
      <c r="I6" s="18" t="s">
        <v>35</v>
      </c>
      <c r="J6" s="9"/>
      <c r="K6" s="9" t="str">
        <f>"210,0"</f>
        <v>210,0</v>
      </c>
      <c r="L6" s="9" t="str">
        <f>"123,6270"</f>
        <v>123,6270</v>
      </c>
      <c r="M6" s="8"/>
    </row>
    <row r="7" spans="1:13">
      <c r="B7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U28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1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2" bestFit="1" customWidth="1"/>
    <col min="20" max="20" width="8.5" style="6" bestFit="1" customWidth="1"/>
    <col min="21" max="21" width="16.1640625" style="5" bestFit="1" customWidth="1"/>
    <col min="22" max="16384" width="9.1640625" style="3"/>
  </cols>
  <sheetData>
    <row r="1" spans="1:21" s="2" customFormat="1" ht="29" customHeight="1">
      <c r="A1" s="44" t="s">
        <v>452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12</v>
      </c>
      <c r="H3" s="38"/>
      <c r="I3" s="38"/>
      <c r="J3" s="38"/>
      <c r="K3" s="38" t="s">
        <v>13</v>
      </c>
      <c r="L3" s="38"/>
      <c r="M3" s="38"/>
      <c r="N3" s="38"/>
      <c r="O3" s="38" t="s">
        <v>14</v>
      </c>
      <c r="P3" s="38"/>
      <c r="Q3" s="38"/>
      <c r="R3" s="38"/>
      <c r="S3" s="55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39"/>
      <c r="U4" s="41"/>
    </row>
    <row r="5" spans="1:21" ht="16">
      <c r="A5" s="42" t="s">
        <v>15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9" t="s">
        <v>89</v>
      </c>
      <c r="B6" s="8" t="s">
        <v>16</v>
      </c>
      <c r="C6" s="8" t="s">
        <v>17</v>
      </c>
      <c r="D6" s="8" t="s">
        <v>18</v>
      </c>
      <c r="E6" s="8" t="s">
        <v>507</v>
      </c>
      <c r="F6" s="8" t="s">
        <v>19</v>
      </c>
      <c r="G6" s="18" t="s">
        <v>20</v>
      </c>
      <c r="H6" s="18" t="s">
        <v>21</v>
      </c>
      <c r="I6" s="18" t="s">
        <v>22</v>
      </c>
      <c r="J6" s="9"/>
      <c r="K6" s="18" t="s">
        <v>23</v>
      </c>
      <c r="L6" s="18" t="s">
        <v>24</v>
      </c>
      <c r="M6" s="19" t="s">
        <v>25</v>
      </c>
      <c r="N6" s="9"/>
      <c r="O6" s="18" t="s">
        <v>22</v>
      </c>
      <c r="P6" s="18" t="s">
        <v>26</v>
      </c>
      <c r="Q6" s="18" t="s">
        <v>27</v>
      </c>
      <c r="R6" s="9"/>
      <c r="S6" s="28" t="str">
        <f>"552,5"</f>
        <v>552,5</v>
      </c>
      <c r="T6" s="9" t="str">
        <f>"389,0705"</f>
        <v>389,0705</v>
      </c>
      <c r="U6" s="8" t="s">
        <v>28</v>
      </c>
    </row>
    <row r="7" spans="1:21">
      <c r="B7" s="5" t="s">
        <v>10</v>
      </c>
    </row>
    <row r="8" spans="1:21" ht="16">
      <c r="A8" s="34" t="s">
        <v>29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1">
      <c r="A9" s="11" t="s">
        <v>89</v>
      </c>
      <c r="B9" s="10" t="s">
        <v>30</v>
      </c>
      <c r="C9" s="10" t="s">
        <v>31</v>
      </c>
      <c r="D9" s="10" t="s">
        <v>32</v>
      </c>
      <c r="E9" s="10" t="s">
        <v>507</v>
      </c>
      <c r="F9" s="10" t="s">
        <v>33</v>
      </c>
      <c r="G9" s="20" t="s">
        <v>34</v>
      </c>
      <c r="H9" s="20" t="s">
        <v>35</v>
      </c>
      <c r="I9" s="21" t="s">
        <v>27</v>
      </c>
      <c r="J9" s="11"/>
      <c r="K9" s="20" t="s">
        <v>36</v>
      </c>
      <c r="L9" s="20" t="s">
        <v>37</v>
      </c>
      <c r="M9" s="20" t="s">
        <v>38</v>
      </c>
      <c r="N9" s="11"/>
      <c r="O9" s="20" t="s">
        <v>39</v>
      </c>
      <c r="P9" s="20" t="s">
        <v>40</v>
      </c>
      <c r="Q9" s="20" t="s">
        <v>41</v>
      </c>
      <c r="R9" s="11"/>
      <c r="S9" s="30" t="str">
        <f>"667,5"</f>
        <v>667,5</v>
      </c>
      <c r="T9" s="11" t="str">
        <f>"431,1383"</f>
        <v>431,1383</v>
      </c>
      <c r="U9" s="10" t="s">
        <v>42</v>
      </c>
    </row>
    <row r="10" spans="1:21">
      <c r="A10" s="13" t="s">
        <v>90</v>
      </c>
      <c r="B10" s="12" t="s">
        <v>43</v>
      </c>
      <c r="C10" s="12" t="s">
        <v>44</v>
      </c>
      <c r="D10" s="12" t="s">
        <v>45</v>
      </c>
      <c r="E10" s="12" t="s">
        <v>507</v>
      </c>
      <c r="F10" s="12" t="s">
        <v>46</v>
      </c>
      <c r="G10" s="22" t="s">
        <v>34</v>
      </c>
      <c r="H10" s="22" t="s">
        <v>35</v>
      </c>
      <c r="I10" s="13"/>
      <c r="J10" s="13"/>
      <c r="K10" s="23" t="s">
        <v>37</v>
      </c>
      <c r="L10" s="23" t="s">
        <v>37</v>
      </c>
      <c r="M10" s="23" t="s">
        <v>37</v>
      </c>
      <c r="N10" s="13"/>
      <c r="O10" s="23"/>
      <c r="P10" s="13"/>
      <c r="Q10" s="13"/>
      <c r="R10" s="13"/>
      <c r="S10" s="31">
        <v>0</v>
      </c>
      <c r="T10" s="13" t="str">
        <f>"0,0000"</f>
        <v>0,0000</v>
      </c>
      <c r="U10" s="12" t="s">
        <v>502</v>
      </c>
    </row>
    <row r="11" spans="1:21">
      <c r="B11" s="5" t="s">
        <v>10</v>
      </c>
    </row>
    <row r="12" spans="1:21" ht="16">
      <c r="A12" s="34" t="s">
        <v>48</v>
      </c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21">
      <c r="A13" s="11" t="s">
        <v>89</v>
      </c>
      <c r="B13" s="10" t="s">
        <v>49</v>
      </c>
      <c r="C13" s="10" t="s">
        <v>50</v>
      </c>
      <c r="D13" s="10" t="s">
        <v>51</v>
      </c>
      <c r="E13" s="10" t="s">
        <v>507</v>
      </c>
      <c r="F13" s="10" t="s">
        <v>46</v>
      </c>
      <c r="G13" s="20" t="s">
        <v>27</v>
      </c>
      <c r="H13" s="20" t="s">
        <v>52</v>
      </c>
      <c r="I13" s="21" t="s">
        <v>53</v>
      </c>
      <c r="J13" s="11"/>
      <c r="K13" s="20" t="s">
        <v>54</v>
      </c>
      <c r="L13" s="20" t="s">
        <v>55</v>
      </c>
      <c r="M13" s="20" t="s">
        <v>20</v>
      </c>
      <c r="N13" s="11"/>
      <c r="O13" s="20" t="s">
        <v>39</v>
      </c>
      <c r="P13" s="21" t="s">
        <v>56</v>
      </c>
      <c r="Q13" s="20" t="s">
        <v>56</v>
      </c>
      <c r="R13" s="11"/>
      <c r="S13" s="30" t="str">
        <f>"680,0"</f>
        <v>680,0</v>
      </c>
      <c r="T13" s="11" t="str">
        <f>"414,6640"</f>
        <v>414,6640</v>
      </c>
      <c r="U13" s="10" t="s">
        <v>478</v>
      </c>
    </row>
    <row r="14" spans="1:21">
      <c r="A14" s="13" t="s">
        <v>91</v>
      </c>
      <c r="B14" s="12" t="s">
        <v>57</v>
      </c>
      <c r="C14" s="12" t="s">
        <v>58</v>
      </c>
      <c r="D14" s="12" t="s">
        <v>59</v>
      </c>
      <c r="E14" s="12" t="s">
        <v>507</v>
      </c>
      <c r="F14" s="12" t="s">
        <v>19</v>
      </c>
      <c r="G14" s="22" t="s">
        <v>35</v>
      </c>
      <c r="H14" s="22" t="s">
        <v>27</v>
      </c>
      <c r="I14" s="22" t="s">
        <v>60</v>
      </c>
      <c r="J14" s="13"/>
      <c r="K14" s="22" t="s">
        <v>54</v>
      </c>
      <c r="L14" s="22" t="s">
        <v>61</v>
      </c>
      <c r="M14" s="22" t="s">
        <v>62</v>
      </c>
      <c r="N14" s="13"/>
      <c r="O14" s="22" t="s">
        <v>63</v>
      </c>
      <c r="P14" s="22" t="s">
        <v>64</v>
      </c>
      <c r="Q14" s="23" t="s">
        <v>65</v>
      </c>
      <c r="R14" s="13"/>
      <c r="S14" s="31" t="str">
        <f>"660,0"</f>
        <v>660,0</v>
      </c>
      <c r="T14" s="13" t="str">
        <f>"404,1180"</f>
        <v>404,1180</v>
      </c>
      <c r="U14" s="12" t="s">
        <v>66</v>
      </c>
    </row>
    <row r="15" spans="1:21">
      <c r="B15" s="5" t="s">
        <v>10</v>
      </c>
    </row>
    <row r="16" spans="1:21" ht="16">
      <c r="A16" s="34" t="s">
        <v>67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21">
      <c r="A17" s="9" t="s">
        <v>89</v>
      </c>
      <c r="B17" s="8" t="s">
        <v>68</v>
      </c>
      <c r="C17" s="8" t="s">
        <v>69</v>
      </c>
      <c r="D17" s="8" t="s">
        <v>70</v>
      </c>
      <c r="E17" s="8" t="s">
        <v>507</v>
      </c>
      <c r="F17" s="8" t="s">
        <v>46</v>
      </c>
      <c r="G17" s="18" t="s">
        <v>27</v>
      </c>
      <c r="H17" s="18" t="s">
        <v>60</v>
      </c>
      <c r="I17" s="18" t="s">
        <v>71</v>
      </c>
      <c r="J17" s="9"/>
      <c r="K17" s="18" t="s">
        <v>72</v>
      </c>
      <c r="L17" s="9"/>
      <c r="M17" s="9"/>
      <c r="N17" s="9"/>
      <c r="O17" s="18" t="s">
        <v>63</v>
      </c>
      <c r="P17" s="18" t="s">
        <v>56</v>
      </c>
      <c r="Q17" s="18" t="s">
        <v>73</v>
      </c>
      <c r="R17" s="9"/>
      <c r="S17" s="28" t="str">
        <f>"700,0"</f>
        <v>700,0</v>
      </c>
      <c r="T17" s="9" t="str">
        <f>"415,1000"</f>
        <v>415,1000</v>
      </c>
      <c r="U17" s="8"/>
    </row>
    <row r="18" spans="1:21">
      <c r="B18" s="5" t="s">
        <v>10</v>
      </c>
    </row>
    <row r="19" spans="1:21">
      <c r="B19" s="5" t="s">
        <v>10</v>
      </c>
    </row>
    <row r="20" spans="1:21">
      <c r="B20" s="5" t="s">
        <v>10</v>
      </c>
    </row>
    <row r="21" spans="1:21" ht="18">
      <c r="B21" s="7" t="s">
        <v>9</v>
      </c>
      <c r="C21" s="7"/>
      <c r="F21" s="3"/>
    </row>
    <row r="22" spans="1:21" ht="16">
      <c r="B22" s="14" t="s">
        <v>74</v>
      </c>
      <c r="C22" s="14"/>
      <c r="F22" s="3"/>
    </row>
    <row r="23" spans="1:21" ht="14">
      <c r="B23" s="15"/>
      <c r="C23" s="16" t="s">
        <v>75</v>
      </c>
      <c r="F23" s="3"/>
    </row>
    <row r="24" spans="1:21" ht="14">
      <c r="B24" s="17" t="s">
        <v>76</v>
      </c>
      <c r="C24" s="17" t="s">
        <v>77</v>
      </c>
      <c r="D24" s="17" t="s">
        <v>479</v>
      </c>
      <c r="E24" s="17" t="s">
        <v>78</v>
      </c>
      <c r="F24" s="17" t="s">
        <v>79</v>
      </c>
    </row>
    <row r="25" spans="1:21">
      <c r="B25" s="5" t="s">
        <v>30</v>
      </c>
      <c r="C25" s="5" t="s">
        <v>75</v>
      </c>
      <c r="D25" s="6" t="s">
        <v>80</v>
      </c>
      <c r="E25" s="6" t="s">
        <v>81</v>
      </c>
      <c r="F25" s="6" t="s">
        <v>82</v>
      </c>
    </row>
    <row r="26" spans="1:21">
      <c r="B26" s="5" t="s">
        <v>68</v>
      </c>
      <c r="C26" s="5" t="s">
        <v>75</v>
      </c>
      <c r="D26" s="6" t="s">
        <v>83</v>
      </c>
      <c r="E26" s="6" t="s">
        <v>84</v>
      </c>
      <c r="F26" s="6" t="s">
        <v>85</v>
      </c>
    </row>
    <row r="27" spans="1:21">
      <c r="B27" s="5" t="s">
        <v>49</v>
      </c>
      <c r="C27" s="5" t="s">
        <v>75</v>
      </c>
      <c r="D27" s="6" t="s">
        <v>86</v>
      </c>
      <c r="E27" s="6" t="s">
        <v>87</v>
      </c>
      <c r="F27" s="6" t="s">
        <v>88</v>
      </c>
    </row>
    <row r="28" spans="1:21">
      <c r="B28" s="5" t="s">
        <v>10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6:R16"/>
    <mergeCell ref="B3:B4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1.332031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7.83203125" style="5" bestFit="1" customWidth="1"/>
    <col min="18" max="16384" width="9.1640625" style="3"/>
  </cols>
  <sheetData>
    <row r="1" spans="1:17" s="2" customFormat="1" ht="29" customHeight="1">
      <c r="A1" s="44" t="s">
        <v>445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13</v>
      </c>
      <c r="H3" s="38"/>
      <c r="I3" s="38"/>
      <c r="J3" s="38"/>
      <c r="K3" s="38" t="s">
        <v>14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48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9" t="s">
        <v>89</v>
      </c>
      <c r="B6" s="8" t="s">
        <v>427</v>
      </c>
      <c r="C6" s="8" t="s">
        <v>428</v>
      </c>
      <c r="D6" s="8" t="s">
        <v>429</v>
      </c>
      <c r="E6" s="8" t="s">
        <v>507</v>
      </c>
      <c r="F6" s="8" t="s">
        <v>46</v>
      </c>
      <c r="G6" s="18" t="s">
        <v>54</v>
      </c>
      <c r="H6" s="19" t="s">
        <v>55</v>
      </c>
      <c r="I6" s="19" t="s">
        <v>55</v>
      </c>
      <c r="J6" s="9"/>
      <c r="K6" s="18" t="s">
        <v>242</v>
      </c>
      <c r="L6" s="18" t="s">
        <v>63</v>
      </c>
      <c r="M6" s="18" t="s">
        <v>40</v>
      </c>
      <c r="N6" s="9"/>
      <c r="O6" s="9" t="str">
        <f>"415,0"</f>
        <v>415,0</v>
      </c>
      <c r="P6" s="9" t="str">
        <f>"254,9760"</f>
        <v>254,9760</v>
      </c>
      <c r="Q6" s="8" t="s">
        <v>484</v>
      </c>
    </row>
    <row r="7" spans="1:17">
      <c r="B7" s="5" t="s">
        <v>10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67"/>
  <sheetViews>
    <sheetView topLeftCell="A24" workbookViewId="0">
      <selection activeCell="E58" sqref="E58"/>
    </sheetView>
  </sheetViews>
  <sheetFormatPr baseColWidth="10" defaultColWidth="9.1640625" defaultRowHeight="13"/>
  <cols>
    <col min="1" max="1" width="7.1640625" style="5" bestFit="1" customWidth="1"/>
    <col min="2" max="2" width="22.832031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1.1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2.1640625" style="5" bestFit="1" customWidth="1"/>
    <col min="14" max="16384" width="9.1640625" style="3"/>
  </cols>
  <sheetData>
    <row r="1" spans="1:13" s="2" customFormat="1" ht="29" customHeight="1">
      <c r="A1" s="44" t="s">
        <v>449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13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9" t="s">
        <v>89</v>
      </c>
      <c r="B6" s="8" t="s">
        <v>307</v>
      </c>
      <c r="C6" s="8" t="s">
        <v>308</v>
      </c>
      <c r="D6" s="8" t="s">
        <v>94</v>
      </c>
      <c r="E6" s="8" t="s">
        <v>507</v>
      </c>
      <c r="F6" s="8" t="s">
        <v>300</v>
      </c>
      <c r="G6" s="18" t="s">
        <v>109</v>
      </c>
      <c r="H6" s="18" t="s">
        <v>118</v>
      </c>
      <c r="I6" s="18" t="s">
        <v>138</v>
      </c>
      <c r="J6" s="9"/>
      <c r="K6" s="9" t="str">
        <f>"60,0"</f>
        <v>60,0</v>
      </c>
      <c r="L6" s="9" t="str">
        <f>"75,0240"</f>
        <v>75,0240</v>
      </c>
      <c r="M6" s="8" t="s">
        <v>309</v>
      </c>
    </row>
    <row r="7" spans="1:13">
      <c r="B7" s="5" t="s">
        <v>10</v>
      </c>
    </row>
    <row r="8" spans="1:13" ht="16">
      <c r="A8" s="34" t="s">
        <v>114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1" t="s">
        <v>89</v>
      </c>
      <c r="B9" s="10" t="s">
        <v>310</v>
      </c>
      <c r="C9" s="10" t="s">
        <v>311</v>
      </c>
      <c r="D9" s="10" t="s">
        <v>116</v>
      </c>
      <c r="E9" s="10" t="s">
        <v>508</v>
      </c>
      <c r="F9" s="10" t="s">
        <v>33</v>
      </c>
      <c r="G9" s="20" t="s">
        <v>118</v>
      </c>
      <c r="H9" s="20" t="s">
        <v>138</v>
      </c>
      <c r="I9" s="21" t="s">
        <v>312</v>
      </c>
      <c r="J9" s="11"/>
      <c r="K9" s="11" t="str">
        <f>"60,0"</f>
        <v>60,0</v>
      </c>
      <c r="L9" s="11" t="str">
        <f>"71,1960"</f>
        <v>71,1960</v>
      </c>
      <c r="M9" s="10" t="s">
        <v>493</v>
      </c>
    </row>
    <row r="10" spans="1:13">
      <c r="A10" s="25" t="s">
        <v>89</v>
      </c>
      <c r="B10" s="24" t="s">
        <v>313</v>
      </c>
      <c r="C10" s="24" t="s">
        <v>314</v>
      </c>
      <c r="D10" s="24" t="s">
        <v>315</v>
      </c>
      <c r="E10" s="24" t="s">
        <v>507</v>
      </c>
      <c r="F10" s="24" t="s">
        <v>300</v>
      </c>
      <c r="G10" s="26" t="s">
        <v>312</v>
      </c>
      <c r="H10" s="26" t="s">
        <v>139</v>
      </c>
      <c r="I10" s="26" t="s">
        <v>316</v>
      </c>
      <c r="J10" s="25"/>
      <c r="K10" s="25" t="str">
        <f>"67,5"</f>
        <v>67,5</v>
      </c>
      <c r="L10" s="25" t="str">
        <f>"79,7580"</f>
        <v>79,7580</v>
      </c>
      <c r="M10" s="24"/>
    </row>
    <row r="11" spans="1:13">
      <c r="A11" s="25" t="s">
        <v>91</v>
      </c>
      <c r="B11" s="24" t="s">
        <v>317</v>
      </c>
      <c r="C11" s="24" t="s">
        <v>318</v>
      </c>
      <c r="D11" s="24" t="s">
        <v>319</v>
      </c>
      <c r="E11" s="24" t="s">
        <v>507</v>
      </c>
      <c r="F11" s="24" t="s">
        <v>46</v>
      </c>
      <c r="G11" s="26" t="s">
        <v>138</v>
      </c>
      <c r="H11" s="26" t="s">
        <v>139</v>
      </c>
      <c r="I11" s="27" t="s">
        <v>316</v>
      </c>
      <c r="J11" s="25"/>
      <c r="K11" s="25" t="str">
        <f>"65,0"</f>
        <v>65,0</v>
      </c>
      <c r="L11" s="25" t="str">
        <f>"76,9080"</f>
        <v>76,9080</v>
      </c>
      <c r="M11" s="24" t="s">
        <v>494</v>
      </c>
    </row>
    <row r="12" spans="1:13">
      <c r="A12" s="25" t="s">
        <v>252</v>
      </c>
      <c r="B12" s="24" t="s">
        <v>310</v>
      </c>
      <c r="C12" s="24" t="s">
        <v>320</v>
      </c>
      <c r="D12" s="24" t="s">
        <v>116</v>
      </c>
      <c r="E12" s="24" t="s">
        <v>507</v>
      </c>
      <c r="F12" s="24" t="s">
        <v>33</v>
      </c>
      <c r="G12" s="26" t="s">
        <v>118</v>
      </c>
      <c r="H12" s="26" t="s">
        <v>138</v>
      </c>
      <c r="I12" s="27" t="s">
        <v>312</v>
      </c>
      <c r="J12" s="25"/>
      <c r="K12" s="25" t="str">
        <f>"60,0"</f>
        <v>60,0</v>
      </c>
      <c r="L12" s="25" t="str">
        <f>"71,1960"</f>
        <v>71,1960</v>
      </c>
      <c r="M12" s="24" t="s">
        <v>493</v>
      </c>
    </row>
    <row r="13" spans="1:13">
      <c r="A13" s="13" t="s">
        <v>253</v>
      </c>
      <c r="B13" s="12" t="s">
        <v>132</v>
      </c>
      <c r="C13" s="12" t="s">
        <v>133</v>
      </c>
      <c r="D13" s="12" t="s">
        <v>134</v>
      </c>
      <c r="E13" s="12" t="s">
        <v>507</v>
      </c>
      <c r="F13" s="12" t="s">
        <v>46</v>
      </c>
      <c r="G13" s="22" t="s">
        <v>109</v>
      </c>
      <c r="H13" s="22" t="s">
        <v>110</v>
      </c>
      <c r="I13" s="22" t="s">
        <v>118</v>
      </c>
      <c r="J13" s="13"/>
      <c r="K13" s="13" t="str">
        <f>"57,5"</f>
        <v>57,5</v>
      </c>
      <c r="L13" s="13" t="str">
        <f>"70,3225"</f>
        <v>70,3225</v>
      </c>
      <c r="M13" s="12"/>
    </row>
    <row r="14" spans="1:13">
      <c r="B14" s="5" t="s">
        <v>10</v>
      </c>
    </row>
    <row r="15" spans="1:13" ht="16">
      <c r="A15" s="34" t="s">
        <v>146</v>
      </c>
      <c r="B15" s="34"/>
      <c r="C15" s="35"/>
      <c r="D15" s="35"/>
      <c r="E15" s="35"/>
      <c r="F15" s="35"/>
      <c r="G15" s="35"/>
      <c r="H15" s="35"/>
      <c r="I15" s="35"/>
      <c r="J15" s="35"/>
    </row>
    <row r="16" spans="1:13">
      <c r="A16" s="9" t="s">
        <v>89</v>
      </c>
      <c r="B16" s="8" t="s">
        <v>321</v>
      </c>
      <c r="C16" s="8" t="s">
        <v>458</v>
      </c>
      <c r="D16" s="8" t="s">
        <v>322</v>
      </c>
      <c r="E16" s="8" t="s">
        <v>506</v>
      </c>
      <c r="F16" s="8" t="s">
        <v>300</v>
      </c>
      <c r="G16" s="18" t="s">
        <v>130</v>
      </c>
      <c r="H16" s="18" t="s">
        <v>131</v>
      </c>
      <c r="I16" s="18" t="s">
        <v>98</v>
      </c>
      <c r="J16" s="9"/>
      <c r="K16" s="9" t="str">
        <f>"50,0"</f>
        <v>50,0</v>
      </c>
      <c r="L16" s="9" t="str">
        <f>"57,0800"</f>
        <v>57,0800</v>
      </c>
      <c r="M16" s="8" t="s">
        <v>309</v>
      </c>
    </row>
    <row r="17" spans="1:13">
      <c r="B17" s="5" t="s">
        <v>10</v>
      </c>
    </row>
    <row r="18" spans="1:13" ht="16">
      <c r="A18" s="34" t="s">
        <v>168</v>
      </c>
      <c r="B18" s="34"/>
      <c r="C18" s="35"/>
      <c r="D18" s="35"/>
      <c r="E18" s="35"/>
      <c r="F18" s="35"/>
      <c r="G18" s="35"/>
      <c r="H18" s="35"/>
      <c r="I18" s="35"/>
      <c r="J18" s="35"/>
    </row>
    <row r="19" spans="1:13">
      <c r="A19" s="11" t="s">
        <v>89</v>
      </c>
      <c r="B19" s="10" t="s">
        <v>323</v>
      </c>
      <c r="C19" s="10" t="s">
        <v>324</v>
      </c>
      <c r="D19" s="10" t="s">
        <v>325</v>
      </c>
      <c r="E19" s="10" t="s">
        <v>508</v>
      </c>
      <c r="F19" s="10" t="s">
        <v>46</v>
      </c>
      <c r="G19" s="20" t="s">
        <v>96</v>
      </c>
      <c r="H19" s="20" t="s">
        <v>106</v>
      </c>
      <c r="I19" s="21" t="s">
        <v>150</v>
      </c>
      <c r="J19" s="11"/>
      <c r="K19" s="11" t="str">
        <f>"85,0"</f>
        <v>85,0</v>
      </c>
      <c r="L19" s="11" t="str">
        <f>"67,2435"</f>
        <v>67,2435</v>
      </c>
      <c r="M19" s="10"/>
    </row>
    <row r="20" spans="1:13">
      <c r="A20" s="25" t="s">
        <v>89</v>
      </c>
      <c r="B20" s="24" t="s">
        <v>172</v>
      </c>
      <c r="C20" s="24" t="s">
        <v>173</v>
      </c>
      <c r="D20" s="24" t="s">
        <v>174</v>
      </c>
      <c r="E20" s="24" t="s">
        <v>507</v>
      </c>
      <c r="F20" s="24" t="s">
        <v>33</v>
      </c>
      <c r="G20" s="26" t="s">
        <v>156</v>
      </c>
      <c r="H20" s="27" t="s">
        <v>24</v>
      </c>
      <c r="I20" s="27" t="s">
        <v>24</v>
      </c>
      <c r="J20" s="25"/>
      <c r="K20" s="25" t="str">
        <f>"137,5"</f>
        <v>137,5</v>
      </c>
      <c r="L20" s="25" t="str">
        <f>"106,0125"</f>
        <v>106,0125</v>
      </c>
      <c r="M20" s="24" t="s">
        <v>490</v>
      </c>
    </row>
    <row r="21" spans="1:13">
      <c r="A21" s="25" t="s">
        <v>91</v>
      </c>
      <c r="B21" s="24" t="s">
        <v>326</v>
      </c>
      <c r="C21" s="24" t="s">
        <v>327</v>
      </c>
      <c r="D21" s="24" t="s">
        <v>328</v>
      </c>
      <c r="E21" s="24" t="s">
        <v>507</v>
      </c>
      <c r="F21" s="24" t="s">
        <v>46</v>
      </c>
      <c r="G21" s="26" t="s">
        <v>123</v>
      </c>
      <c r="H21" s="27" t="s">
        <v>111</v>
      </c>
      <c r="I21" s="27" t="s">
        <v>111</v>
      </c>
      <c r="J21" s="25"/>
      <c r="K21" s="25" t="str">
        <f>"110,0"</f>
        <v>110,0</v>
      </c>
      <c r="L21" s="25" t="str">
        <f>"85,3160"</f>
        <v>85,3160</v>
      </c>
      <c r="M21" s="24" t="s">
        <v>495</v>
      </c>
    </row>
    <row r="22" spans="1:13">
      <c r="A22" s="13" t="s">
        <v>89</v>
      </c>
      <c r="B22" s="12" t="s">
        <v>172</v>
      </c>
      <c r="C22" s="12" t="s">
        <v>456</v>
      </c>
      <c r="D22" s="12" t="s">
        <v>174</v>
      </c>
      <c r="E22" s="12" t="s">
        <v>509</v>
      </c>
      <c r="F22" s="12" t="s">
        <v>33</v>
      </c>
      <c r="G22" s="22" t="s">
        <v>156</v>
      </c>
      <c r="H22" s="23" t="s">
        <v>24</v>
      </c>
      <c r="I22" s="23" t="s">
        <v>24</v>
      </c>
      <c r="J22" s="13"/>
      <c r="K22" s="13" t="str">
        <f>"137,5"</f>
        <v>137,5</v>
      </c>
      <c r="L22" s="13" t="str">
        <f>"121,9144"</f>
        <v>121,9144</v>
      </c>
      <c r="M22" s="12" t="s">
        <v>490</v>
      </c>
    </row>
    <row r="23" spans="1:13">
      <c r="B23" s="5" t="s">
        <v>10</v>
      </c>
    </row>
    <row r="24" spans="1:13" ht="16">
      <c r="A24" s="34" t="s">
        <v>178</v>
      </c>
      <c r="B24" s="34"/>
      <c r="C24" s="35"/>
      <c r="D24" s="35"/>
      <c r="E24" s="35"/>
      <c r="F24" s="35"/>
      <c r="G24" s="35"/>
      <c r="H24" s="35"/>
      <c r="I24" s="35"/>
      <c r="J24" s="35"/>
    </row>
    <row r="25" spans="1:13">
      <c r="A25" s="11" t="s">
        <v>89</v>
      </c>
      <c r="B25" s="10" t="s">
        <v>329</v>
      </c>
      <c r="C25" s="10" t="s">
        <v>330</v>
      </c>
      <c r="D25" s="10" t="s">
        <v>331</v>
      </c>
      <c r="E25" s="10" t="s">
        <v>508</v>
      </c>
      <c r="F25" s="10" t="s">
        <v>46</v>
      </c>
      <c r="G25" s="20" t="s">
        <v>129</v>
      </c>
      <c r="H25" s="20" t="s">
        <v>107</v>
      </c>
      <c r="I25" s="21" t="s">
        <v>108</v>
      </c>
      <c r="J25" s="11"/>
      <c r="K25" s="11" t="str">
        <f>"90,0"</f>
        <v>90,0</v>
      </c>
      <c r="L25" s="11" t="str">
        <f>"66,3750"</f>
        <v>66,3750</v>
      </c>
      <c r="M25" s="10" t="s">
        <v>496</v>
      </c>
    </row>
    <row r="26" spans="1:13">
      <c r="A26" s="13" t="s">
        <v>89</v>
      </c>
      <c r="B26" s="12" t="s">
        <v>332</v>
      </c>
      <c r="C26" s="12" t="s">
        <v>333</v>
      </c>
      <c r="D26" s="12" t="s">
        <v>334</v>
      </c>
      <c r="E26" s="12" t="s">
        <v>507</v>
      </c>
      <c r="F26" s="12" t="s">
        <v>19</v>
      </c>
      <c r="G26" s="22" t="s">
        <v>167</v>
      </c>
      <c r="H26" s="22" t="s">
        <v>25</v>
      </c>
      <c r="I26" s="23" t="s">
        <v>175</v>
      </c>
      <c r="J26" s="13"/>
      <c r="K26" s="13" t="str">
        <f>"147,5"</f>
        <v>147,5</v>
      </c>
      <c r="L26" s="13" t="str">
        <f>"106,5098"</f>
        <v>106,5098</v>
      </c>
      <c r="M26" s="12"/>
    </row>
    <row r="27" spans="1:13">
      <c r="B27" s="5" t="s">
        <v>10</v>
      </c>
    </row>
    <row r="28" spans="1:13" ht="16">
      <c r="A28" s="34" t="s">
        <v>15</v>
      </c>
      <c r="B28" s="34"/>
      <c r="C28" s="35"/>
      <c r="D28" s="35"/>
      <c r="E28" s="35"/>
      <c r="F28" s="35"/>
      <c r="G28" s="35"/>
      <c r="H28" s="35"/>
      <c r="I28" s="35"/>
      <c r="J28" s="35"/>
    </row>
    <row r="29" spans="1:13">
      <c r="A29" s="11" t="s">
        <v>89</v>
      </c>
      <c r="B29" s="10" t="s">
        <v>335</v>
      </c>
      <c r="C29" s="10" t="s">
        <v>459</v>
      </c>
      <c r="D29" s="10" t="s">
        <v>336</v>
      </c>
      <c r="E29" s="10" t="s">
        <v>506</v>
      </c>
      <c r="F29" s="10" t="s">
        <v>46</v>
      </c>
      <c r="G29" s="20" t="s">
        <v>154</v>
      </c>
      <c r="H29" s="20" t="s">
        <v>101</v>
      </c>
      <c r="I29" s="21" t="s">
        <v>111</v>
      </c>
      <c r="J29" s="11"/>
      <c r="K29" s="11" t="str">
        <f>"112,5"</f>
        <v>112,5</v>
      </c>
      <c r="L29" s="11" t="str">
        <f>"76,0950"</f>
        <v>76,0950</v>
      </c>
      <c r="M29" s="10"/>
    </row>
    <row r="30" spans="1:13">
      <c r="A30" s="25" t="s">
        <v>89</v>
      </c>
      <c r="B30" s="24" t="s">
        <v>337</v>
      </c>
      <c r="C30" s="24" t="s">
        <v>338</v>
      </c>
      <c r="D30" s="24" t="s">
        <v>339</v>
      </c>
      <c r="E30" s="24" t="s">
        <v>507</v>
      </c>
      <c r="F30" s="24" t="s">
        <v>340</v>
      </c>
      <c r="G30" s="26" t="s">
        <v>175</v>
      </c>
      <c r="H30" s="26" t="s">
        <v>62</v>
      </c>
      <c r="I30" s="27" t="s">
        <v>36</v>
      </c>
      <c r="J30" s="25"/>
      <c r="K30" s="25" t="str">
        <f>"162,5"</f>
        <v>162,5</v>
      </c>
      <c r="L30" s="25" t="str">
        <f>"109,5900"</f>
        <v>109,5900</v>
      </c>
      <c r="M30" s="24"/>
    </row>
    <row r="31" spans="1:13">
      <c r="A31" s="25" t="s">
        <v>91</v>
      </c>
      <c r="B31" s="24" t="s">
        <v>341</v>
      </c>
      <c r="C31" s="24" t="s">
        <v>342</v>
      </c>
      <c r="D31" s="24" t="s">
        <v>343</v>
      </c>
      <c r="E31" s="24" t="s">
        <v>507</v>
      </c>
      <c r="F31" s="24" t="s">
        <v>46</v>
      </c>
      <c r="G31" s="26" t="s">
        <v>120</v>
      </c>
      <c r="H31" s="27" t="s">
        <v>167</v>
      </c>
      <c r="I31" s="27" t="s">
        <v>25</v>
      </c>
      <c r="J31" s="25"/>
      <c r="K31" s="25" t="str">
        <f>"130,0"</f>
        <v>130,0</v>
      </c>
      <c r="L31" s="25" t="str">
        <f>"87,7370"</f>
        <v>87,7370</v>
      </c>
      <c r="M31" s="24"/>
    </row>
    <row r="32" spans="1:13">
      <c r="A32" s="25" t="s">
        <v>252</v>
      </c>
      <c r="B32" s="24" t="s">
        <v>344</v>
      </c>
      <c r="C32" s="24" t="s">
        <v>345</v>
      </c>
      <c r="D32" s="24" t="s">
        <v>346</v>
      </c>
      <c r="E32" s="24" t="s">
        <v>507</v>
      </c>
      <c r="F32" s="24" t="s">
        <v>46</v>
      </c>
      <c r="G32" s="26" t="s">
        <v>112</v>
      </c>
      <c r="H32" s="26" t="s">
        <v>185</v>
      </c>
      <c r="I32" s="27" t="s">
        <v>155</v>
      </c>
      <c r="J32" s="25"/>
      <c r="K32" s="25" t="str">
        <f>"127,5"</f>
        <v>127,5</v>
      </c>
      <c r="L32" s="25" t="str">
        <f>"87,1080"</f>
        <v>87,1080</v>
      </c>
      <c r="M32" s="24" t="s">
        <v>482</v>
      </c>
    </row>
    <row r="33" spans="1:13">
      <c r="A33" s="25" t="s">
        <v>253</v>
      </c>
      <c r="B33" s="24" t="s">
        <v>347</v>
      </c>
      <c r="C33" s="24" t="s">
        <v>348</v>
      </c>
      <c r="D33" s="24" t="s">
        <v>349</v>
      </c>
      <c r="E33" s="24" t="s">
        <v>507</v>
      </c>
      <c r="F33" s="24" t="s">
        <v>46</v>
      </c>
      <c r="G33" s="26" t="s">
        <v>123</v>
      </c>
      <c r="H33" s="26" t="s">
        <v>101</v>
      </c>
      <c r="I33" s="27" t="s">
        <v>111</v>
      </c>
      <c r="J33" s="25"/>
      <c r="K33" s="25" t="str">
        <f>"112,5"</f>
        <v>112,5</v>
      </c>
      <c r="L33" s="25" t="str">
        <f>"75,4200"</f>
        <v>75,4200</v>
      </c>
      <c r="M33" s="24" t="s">
        <v>497</v>
      </c>
    </row>
    <row r="34" spans="1:13">
      <c r="A34" s="25" t="s">
        <v>254</v>
      </c>
      <c r="B34" s="24" t="s">
        <v>350</v>
      </c>
      <c r="C34" s="24" t="s">
        <v>351</v>
      </c>
      <c r="D34" s="24" t="s">
        <v>352</v>
      </c>
      <c r="E34" s="24" t="s">
        <v>507</v>
      </c>
      <c r="F34" s="24" t="s">
        <v>46</v>
      </c>
      <c r="G34" s="27" t="s">
        <v>150</v>
      </c>
      <c r="H34" s="26" t="s">
        <v>150</v>
      </c>
      <c r="I34" s="27" t="s">
        <v>107</v>
      </c>
      <c r="J34" s="25"/>
      <c r="K34" s="25" t="str">
        <f>"87,5"</f>
        <v>87,5</v>
      </c>
      <c r="L34" s="25" t="str">
        <f>"60,0250"</f>
        <v>60,0250</v>
      </c>
      <c r="M34" s="24"/>
    </row>
    <row r="35" spans="1:13">
      <c r="A35" s="25" t="s">
        <v>89</v>
      </c>
      <c r="B35" s="24" t="s">
        <v>353</v>
      </c>
      <c r="C35" s="24" t="s">
        <v>460</v>
      </c>
      <c r="D35" s="24" t="s">
        <v>354</v>
      </c>
      <c r="E35" s="24" t="s">
        <v>510</v>
      </c>
      <c r="F35" s="24" t="s">
        <v>46</v>
      </c>
      <c r="G35" s="26" t="s">
        <v>185</v>
      </c>
      <c r="H35" s="26" t="s">
        <v>155</v>
      </c>
      <c r="I35" s="27" t="s">
        <v>156</v>
      </c>
      <c r="J35" s="25"/>
      <c r="K35" s="25" t="str">
        <f>"132,5"</f>
        <v>132,5</v>
      </c>
      <c r="L35" s="25" t="str">
        <f>"92,9439"</f>
        <v>92,9439</v>
      </c>
      <c r="M35" s="24"/>
    </row>
    <row r="36" spans="1:13">
      <c r="A36" s="13" t="s">
        <v>89</v>
      </c>
      <c r="B36" s="12" t="s">
        <v>341</v>
      </c>
      <c r="C36" s="12" t="s">
        <v>461</v>
      </c>
      <c r="D36" s="12" t="s">
        <v>343</v>
      </c>
      <c r="E36" s="12" t="s">
        <v>511</v>
      </c>
      <c r="F36" s="12" t="s">
        <v>46</v>
      </c>
      <c r="G36" s="22" t="s">
        <v>120</v>
      </c>
      <c r="H36" s="23" t="s">
        <v>167</v>
      </c>
      <c r="I36" s="23" t="s">
        <v>25</v>
      </c>
      <c r="J36" s="13"/>
      <c r="K36" s="13" t="str">
        <f>"130,0"</f>
        <v>130,0</v>
      </c>
      <c r="L36" s="13" t="str">
        <f>"93,0012"</f>
        <v>93,0012</v>
      </c>
      <c r="M36" s="12"/>
    </row>
    <row r="37" spans="1:13">
      <c r="B37" s="5" t="s">
        <v>10</v>
      </c>
    </row>
    <row r="38" spans="1:13" ht="16">
      <c r="A38" s="34" t="s">
        <v>29</v>
      </c>
      <c r="B38" s="34"/>
      <c r="C38" s="35"/>
      <c r="D38" s="35"/>
      <c r="E38" s="35"/>
      <c r="F38" s="35"/>
      <c r="G38" s="35"/>
      <c r="H38" s="35"/>
      <c r="I38" s="35"/>
      <c r="J38" s="35"/>
    </row>
    <row r="39" spans="1:13">
      <c r="A39" s="11" t="s">
        <v>89</v>
      </c>
      <c r="B39" s="10" t="s">
        <v>232</v>
      </c>
      <c r="C39" s="10" t="s">
        <v>233</v>
      </c>
      <c r="D39" s="10" t="s">
        <v>234</v>
      </c>
      <c r="E39" s="10" t="s">
        <v>507</v>
      </c>
      <c r="F39" s="10" t="s">
        <v>46</v>
      </c>
      <c r="G39" s="20" t="s">
        <v>212</v>
      </c>
      <c r="H39" s="20" t="s">
        <v>235</v>
      </c>
      <c r="I39" s="21" t="s">
        <v>175</v>
      </c>
      <c r="J39" s="11"/>
      <c r="K39" s="11" t="str">
        <f>"152,5"</f>
        <v>152,5</v>
      </c>
      <c r="L39" s="11" t="str">
        <f>"98,6218"</f>
        <v>98,6218</v>
      </c>
      <c r="M39" s="10" t="s">
        <v>492</v>
      </c>
    </row>
    <row r="40" spans="1:13">
      <c r="A40" s="25" t="s">
        <v>91</v>
      </c>
      <c r="B40" s="24" t="s">
        <v>355</v>
      </c>
      <c r="C40" s="24" t="s">
        <v>356</v>
      </c>
      <c r="D40" s="24" t="s">
        <v>357</v>
      </c>
      <c r="E40" s="24" t="s">
        <v>507</v>
      </c>
      <c r="F40" s="24" t="s">
        <v>33</v>
      </c>
      <c r="G40" s="26" t="s">
        <v>54</v>
      </c>
      <c r="H40" s="27" t="s">
        <v>235</v>
      </c>
      <c r="I40" s="26" t="s">
        <v>235</v>
      </c>
      <c r="J40" s="25"/>
      <c r="K40" s="25" t="str">
        <f>"152,5"</f>
        <v>152,5</v>
      </c>
      <c r="L40" s="25" t="str">
        <f>"97,4628"</f>
        <v>97,4628</v>
      </c>
      <c r="M40" s="24" t="s">
        <v>498</v>
      </c>
    </row>
    <row r="41" spans="1:13">
      <c r="A41" s="25" t="s">
        <v>252</v>
      </c>
      <c r="B41" s="24" t="s">
        <v>236</v>
      </c>
      <c r="C41" s="24" t="s">
        <v>237</v>
      </c>
      <c r="D41" s="24" t="s">
        <v>238</v>
      </c>
      <c r="E41" s="24" t="s">
        <v>507</v>
      </c>
      <c r="F41" s="24" t="s">
        <v>46</v>
      </c>
      <c r="G41" s="26" t="s">
        <v>120</v>
      </c>
      <c r="H41" s="26" t="s">
        <v>23</v>
      </c>
      <c r="I41" s="26" t="s">
        <v>167</v>
      </c>
      <c r="J41" s="25"/>
      <c r="K41" s="25" t="str">
        <f>"140,0"</f>
        <v>140,0</v>
      </c>
      <c r="L41" s="25" t="str">
        <f>"89,9360"</f>
        <v>89,9360</v>
      </c>
      <c r="M41" s="24"/>
    </row>
    <row r="42" spans="1:13">
      <c r="A42" s="25" t="s">
        <v>253</v>
      </c>
      <c r="B42" s="24" t="s">
        <v>358</v>
      </c>
      <c r="C42" s="24" t="s">
        <v>359</v>
      </c>
      <c r="D42" s="24" t="s">
        <v>360</v>
      </c>
      <c r="E42" s="24" t="s">
        <v>507</v>
      </c>
      <c r="F42" s="24" t="s">
        <v>46</v>
      </c>
      <c r="G42" s="26" t="s">
        <v>154</v>
      </c>
      <c r="H42" s="26" t="s">
        <v>101</v>
      </c>
      <c r="I42" s="26" t="s">
        <v>112</v>
      </c>
      <c r="J42" s="25"/>
      <c r="K42" s="25" t="str">
        <f>"120,0"</f>
        <v>120,0</v>
      </c>
      <c r="L42" s="25" t="str">
        <f>"77,5560"</f>
        <v>77,5560</v>
      </c>
      <c r="M42" s="24" t="s">
        <v>477</v>
      </c>
    </row>
    <row r="43" spans="1:13">
      <c r="A43" s="25" t="s">
        <v>254</v>
      </c>
      <c r="B43" s="24" t="s">
        <v>361</v>
      </c>
      <c r="C43" s="24" t="s">
        <v>362</v>
      </c>
      <c r="D43" s="24" t="s">
        <v>363</v>
      </c>
      <c r="E43" s="24" t="s">
        <v>507</v>
      </c>
      <c r="F43" s="24" t="s">
        <v>46</v>
      </c>
      <c r="G43" s="26" t="s">
        <v>111</v>
      </c>
      <c r="H43" s="27" t="s">
        <v>112</v>
      </c>
      <c r="I43" s="27" t="s">
        <v>113</v>
      </c>
      <c r="J43" s="25"/>
      <c r="K43" s="25" t="str">
        <f>"115,0"</f>
        <v>115,0</v>
      </c>
      <c r="L43" s="25" t="str">
        <f>"73,8415"</f>
        <v>73,8415</v>
      </c>
      <c r="M43" s="24"/>
    </row>
    <row r="44" spans="1:13">
      <c r="A44" s="25" t="s">
        <v>89</v>
      </c>
      <c r="B44" s="24" t="s">
        <v>364</v>
      </c>
      <c r="C44" s="24" t="s">
        <v>462</v>
      </c>
      <c r="D44" s="24" t="s">
        <v>365</v>
      </c>
      <c r="E44" s="24" t="s">
        <v>510</v>
      </c>
      <c r="F44" s="24" t="s">
        <v>46</v>
      </c>
      <c r="G44" s="26" t="s">
        <v>23</v>
      </c>
      <c r="H44" s="27" t="s">
        <v>167</v>
      </c>
      <c r="I44" s="26" t="s">
        <v>167</v>
      </c>
      <c r="J44" s="25"/>
      <c r="K44" s="25" t="str">
        <f>"140,0"</f>
        <v>140,0</v>
      </c>
      <c r="L44" s="25" t="str">
        <f>"90,8260"</f>
        <v>90,8260</v>
      </c>
      <c r="M44" s="24" t="s">
        <v>499</v>
      </c>
    </row>
    <row r="45" spans="1:13">
      <c r="A45" s="13" t="s">
        <v>91</v>
      </c>
      <c r="B45" s="12" t="s">
        <v>366</v>
      </c>
      <c r="C45" s="12" t="s">
        <v>463</v>
      </c>
      <c r="D45" s="12" t="s">
        <v>225</v>
      </c>
      <c r="E45" s="12" t="s">
        <v>510</v>
      </c>
      <c r="F45" s="12" t="s">
        <v>46</v>
      </c>
      <c r="G45" s="22" t="s">
        <v>123</v>
      </c>
      <c r="H45" s="23" t="s">
        <v>112</v>
      </c>
      <c r="I45" s="23" t="s">
        <v>112</v>
      </c>
      <c r="J45" s="13"/>
      <c r="K45" s="13" t="str">
        <f>"110,0"</f>
        <v>110,0</v>
      </c>
      <c r="L45" s="13" t="str">
        <f>"73,9570"</f>
        <v>73,9570</v>
      </c>
      <c r="M45" s="12"/>
    </row>
    <row r="46" spans="1:13">
      <c r="B46" s="5" t="s">
        <v>10</v>
      </c>
    </row>
    <row r="47" spans="1:13" ht="16">
      <c r="A47" s="34" t="s">
        <v>48</v>
      </c>
      <c r="B47" s="34"/>
      <c r="C47" s="35"/>
      <c r="D47" s="35"/>
      <c r="E47" s="35"/>
      <c r="F47" s="35"/>
      <c r="G47" s="35"/>
      <c r="H47" s="35"/>
      <c r="I47" s="35"/>
      <c r="J47" s="35"/>
    </row>
    <row r="48" spans="1:13">
      <c r="A48" s="11" t="s">
        <v>89</v>
      </c>
      <c r="B48" s="10" t="s">
        <v>367</v>
      </c>
      <c r="C48" s="10" t="s">
        <v>368</v>
      </c>
      <c r="D48" s="10" t="s">
        <v>369</v>
      </c>
      <c r="E48" s="10" t="s">
        <v>507</v>
      </c>
      <c r="F48" s="10" t="s">
        <v>46</v>
      </c>
      <c r="G48" s="20" t="s">
        <v>37</v>
      </c>
      <c r="H48" s="21" t="s">
        <v>72</v>
      </c>
      <c r="I48" s="21" t="s">
        <v>72</v>
      </c>
      <c r="J48" s="11"/>
      <c r="K48" s="11" t="str">
        <f>"175,0"</f>
        <v>175,0</v>
      </c>
      <c r="L48" s="11" t="str">
        <f>"107,8525"</f>
        <v>107,8525</v>
      </c>
      <c r="M48" s="10"/>
    </row>
    <row r="49" spans="1:13">
      <c r="A49" s="13" t="s">
        <v>91</v>
      </c>
      <c r="B49" s="12" t="s">
        <v>370</v>
      </c>
      <c r="C49" s="12" t="s">
        <v>371</v>
      </c>
      <c r="D49" s="12" t="s">
        <v>372</v>
      </c>
      <c r="E49" s="12" t="s">
        <v>507</v>
      </c>
      <c r="F49" s="12" t="s">
        <v>46</v>
      </c>
      <c r="G49" s="22" t="s">
        <v>112</v>
      </c>
      <c r="H49" s="22" t="s">
        <v>119</v>
      </c>
      <c r="I49" s="22" t="s">
        <v>120</v>
      </c>
      <c r="J49" s="13"/>
      <c r="K49" s="13" t="str">
        <f>"130,0"</f>
        <v>130,0</v>
      </c>
      <c r="L49" s="13" t="str">
        <f>"80,9380"</f>
        <v>80,9380</v>
      </c>
      <c r="M49" s="12" t="s">
        <v>495</v>
      </c>
    </row>
    <row r="50" spans="1:13">
      <c r="B50" s="5" t="s">
        <v>10</v>
      </c>
    </row>
    <row r="51" spans="1:13" ht="16">
      <c r="A51" s="34" t="s">
        <v>67</v>
      </c>
      <c r="B51" s="34"/>
      <c r="C51" s="35"/>
      <c r="D51" s="35"/>
      <c r="E51" s="35"/>
      <c r="F51" s="35"/>
      <c r="G51" s="35"/>
      <c r="H51" s="35"/>
      <c r="I51" s="35"/>
      <c r="J51" s="35"/>
    </row>
    <row r="52" spans="1:13">
      <c r="A52" s="11" t="s">
        <v>89</v>
      </c>
      <c r="B52" s="10" t="s">
        <v>373</v>
      </c>
      <c r="C52" s="10" t="s">
        <v>464</v>
      </c>
      <c r="D52" s="10" t="s">
        <v>374</v>
      </c>
      <c r="E52" s="10" t="s">
        <v>506</v>
      </c>
      <c r="F52" s="10" t="s">
        <v>375</v>
      </c>
      <c r="G52" s="20" t="s">
        <v>36</v>
      </c>
      <c r="H52" s="21" t="s">
        <v>20</v>
      </c>
      <c r="I52" s="21" t="s">
        <v>220</v>
      </c>
      <c r="J52" s="11"/>
      <c r="K52" s="11" t="str">
        <f>"165,0"</f>
        <v>165,0</v>
      </c>
      <c r="L52" s="11" t="str">
        <f>"97,5810"</f>
        <v>97,5810</v>
      </c>
      <c r="M52" s="10"/>
    </row>
    <row r="53" spans="1:13">
      <c r="A53" s="13" t="s">
        <v>89</v>
      </c>
      <c r="B53" s="12" t="s">
        <v>376</v>
      </c>
      <c r="C53" s="12" t="s">
        <v>377</v>
      </c>
      <c r="D53" s="12" t="s">
        <v>378</v>
      </c>
      <c r="E53" s="12" t="s">
        <v>507</v>
      </c>
      <c r="F53" s="12" t="s">
        <v>128</v>
      </c>
      <c r="G53" s="22" t="s">
        <v>219</v>
      </c>
      <c r="H53" s="23" t="s">
        <v>220</v>
      </c>
      <c r="I53" s="22" t="s">
        <v>220</v>
      </c>
      <c r="J53" s="13"/>
      <c r="K53" s="13" t="str">
        <f>"172,5"</f>
        <v>172,5</v>
      </c>
      <c r="L53" s="13" t="str">
        <f>"102,1027"</f>
        <v>102,1027</v>
      </c>
      <c r="M53" s="12"/>
    </row>
    <row r="54" spans="1:13">
      <c r="B54" s="5" t="s">
        <v>10</v>
      </c>
    </row>
    <row r="55" spans="1:13" ht="16">
      <c r="A55" s="34" t="s">
        <v>379</v>
      </c>
      <c r="B55" s="34"/>
      <c r="C55" s="35"/>
      <c r="D55" s="35"/>
      <c r="E55" s="35"/>
      <c r="F55" s="35"/>
      <c r="G55" s="35"/>
      <c r="H55" s="35"/>
      <c r="I55" s="35"/>
      <c r="J55" s="35"/>
    </row>
    <row r="56" spans="1:13">
      <c r="A56" s="11" t="s">
        <v>89</v>
      </c>
      <c r="B56" s="10" t="s">
        <v>380</v>
      </c>
      <c r="C56" s="10" t="s">
        <v>381</v>
      </c>
      <c r="D56" s="10" t="s">
        <v>382</v>
      </c>
      <c r="E56" s="10" t="s">
        <v>507</v>
      </c>
      <c r="F56" s="10" t="s">
        <v>340</v>
      </c>
      <c r="G56" s="20" t="s">
        <v>27</v>
      </c>
      <c r="H56" s="21" t="s">
        <v>383</v>
      </c>
      <c r="I56" s="21" t="s">
        <v>383</v>
      </c>
      <c r="J56" s="11"/>
      <c r="K56" s="11" t="str">
        <f>"220,0"</f>
        <v>220,0</v>
      </c>
      <c r="L56" s="11" t="str">
        <f>"123,4640"</f>
        <v>123,4640</v>
      </c>
      <c r="M56" s="10" t="s">
        <v>500</v>
      </c>
    </row>
    <row r="57" spans="1:13">
      <c r="A57" s="13" t="s">
        <v>91</v>
      </c>
      <c r="B57" s="12" t="s">
        <v>384</v>
      </c>
      <c r="C57" s="12" t="s">
        <v>385</v>
      </c>
      <c r="D57" s="12" t="s">
        <v>386</v>
      </c>
      <c r="E57" s="12" t="s">
        <v>507</v>
      </c>
      <c r="F57" s="12" t="s">
        <v>46</v>
      </c>
      <c r="G57" s="22" t="s">
        <v>20</v>
      </c>
      <c r="H57" s="22" t="s">
        <v>38</v>
      </c>
      <c r="I57" s="22" t="s">
        <v>22</v>
      </c>
      <c r="J57" s="13"/>
      <c r="K57" s="13" t="str">
        <f>"190,0"</f>
        <v>190,0</v>
      </c>
      <c r="L57" s="13" t="str">
        <f>"107,0840"</f>
        <v>107,0840</v>
      </c>
      <c r="M57" s="12"/>
    </row>
    <row r="58" spans="1:13">
      <c r="B58" s="5" t="s">
        <v>10</v>
      </c>
    </row>
    <row r="59" spans="1:13">
      <c r="B59" s="5" t="s">
        <v>10</v>
      </c>
    </row>
    <row r="60" spans="1:13">
      <c r="B60" s="5" t="s">
        <v>10</v>
      </c>
    </row>
    <row r="61" spans="1:13" ht="18">
      <c r="B61" s="7" t="s">
        <v>9</v>
      </c>
      <c r="C61" s="7"/>
      <c r="F61" s="3"/>
    </row>
    <row r="62" spans="1:13" ht="16">
      <c r="B62" s="14" t="s">
        <v>74</v>
      </c>
      <c r="C62" s="14"/>
      <c r="F62" s="3"/>
    </row>
    <row r="63" spans="1:13" ht="14">
      <c r="B63" s="15"/>
      <c r="C63" s="16" t="s">
        <v>75</v>
      </c>
      <c r="F63" s="3"/>
    </row>
    <row r="64" spans="1:13" ht="14">
      <c r="B64" s="17" t="s">
        <v>76</v>
      </c>
      <c r="C64" s="17" t="s">
        <v>77</v>
      </c>
      <c r="D64" s="17" t="s">
        <v>479</v>
      </c>
      <c r="E64" s="17" t="s">
        <v>301</v>
      </c>
      <c r="F64" s="17" t="s">
        <v>79</v>
      </c>
    </row>
    <row r="65" spans="2:6">
      <c r="B65" s="5" t="s">
        <v>380</v>
      </c>
      <c r="C65" s="5" t="s">
        <v>75</v>
      </c>
      <c r="D65" s="6" t="s">
        <v>387</v>
      </c>
      <c r="E65" s="6" t="s">
        <v>27</v>
      </c>
      <c r="F65" s="6" t="s">
        <v>388</v>
      </c>
    </row>
    <row r="66" spans="2:6">
      <c r="B66" s="5" t="s">
        <v>337</v>
      </c>
      <c r="C66" s="5" t="s">
        <v>75</v>
      </c>
      <c r="D66" s="6" t="s">
        <v>251</v>
      </c>
      <c r="E66" s="6" t="s">
        <v>62</v>
      </c>
      <c r="F66" s="6" t="s">
        <v>389</v>
      </c>
    </row>
    <row r="67" spans="2:6">
      <c r="B67" s="5" t="s">
        <v>367</v>
      </c>
      <c r="C67" s="5" t="s">
        <v>75</v>
      </c>
      <c r="D67" s="6" t="s">
        <v>86</v>
      </c>
      <c r="E67" s="6" t="s">
        <v>37</v>
      </c>
      <c r="F67" s="6" t="s">
        <v>390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7:J47"/>
    <mergeCell ref="A51:J51"/>
    <mergeCell ref="A55:J55"/>
    <mergeCell ref="B3:B4"/>
    <mergeCell ref="A8:J8"/>
    <mergeCell ref="A15:J15"/>
    <mergeCell ref="A18:J18"/>
    <mergeCell ref="A24:J24"/>
    <mergeCell ref="A28:J28"/>
    <mergeCell ref="A38:J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47"/>
  <sheetViews>
    <sheetView topLeftCell="A18" workbookViewId="0">
      <selection activeCell="E38" sqref="E38"/>
    </sheetView>
  </sheetViews>
  <sheetFormatPr baseColWidth="10" defaultColWidth="9.1640625" defaultRowHeight="13"/>
  <cols>
    <col min="1" max="1" width="7.1640625" style="5" bestFit="1" customWidth="1"/>
    <col min="2" max="2" width="21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2.332031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4" t="s">
        <v>450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13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9" t="s">
        <v>89</v>
      </c>
      <c r="B6" s="8" t="s">
        <v>255</v>
      </c>
      <c r="C6" s="8" t="s">
        <v>256</v>
      </c>
      <c r="D6" s="8" t="s">
        <v>257</v>
      </c>
      <c r="E6" s="8" t="s">
        <v>507</v>
      </c>
      <c r="F6" s="8" t="s">
        <v>46</v>
      </c>
      <c r="G6" s="18" t="s">
        <v>96</v>
      </c>
      <c r="H6" s="18" t="s">
        <v>129</v>
      </c>
      <c r="I6" s="18" t="s">
        <v>150</v>
      </c>
      <c r="J6" s="9"/>
      <c r="K6" s="9" t="str">
        <f>"87,5"</f>
        <v>87,5</v>
      </c>
      <c r="L6" s="9" t="str">
        <f>"79,5200"</f>
        <v>79,5200</v>
      </c>
      <c r="M6" s="8" t="s">
        <v>501</v>
      </c>
    </row>
    <row r="7" spans="1:13">
      <c r="B7" s="5" t="s">
        <v>10</v>
      </c>
    </row>
    <row r="8" spans="1:13" ht="16">
      <c r="A8" s="34" t="s">
        <v>178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11" t="s">
        <v>89</v>
      </c>
      <c r="B9" s="10" t="s">
        <v>258</v>
      </c>
      <c r="C9" s="10" t="s">
        <v>259</v>
      </c>
      <c r="D9" s="10" t="s">
        <v>260</v>
      </c>
      <c r="E9" s="10" t="s">
        <v>507</v>
      </c>
      <c r="F9" s="10" t="s">
        <v>46</v>
      </c>
      <c r="G9" s="20" t="s">
        <v>25</v>
      </c>
      <c r="H9" s="20" t="s">
        <v>175</v>
      </c>
      <c r="I9" s="20" t="s">
        <v>36</v>
      </c>
      <c r="J9" s="11"/>
      <c r="K9" s="11" t="str">
        <f>"165,0"</f>
        <v>165,0</v>
      </c>
      <c r="L9" s="11" t="str">
        <f>"119,8560"</f>
        <v>119,8560</v>
      </c>
      <c r="M9" s="10" t="s">
        <v>495</v>
      </c>
    </row>
    <row r="10" spans="1:13">
      <c r="A10" s="13" t="s">
        <v>91</v>
      </c>
      <c r="B10" s="12" t="s">
        <v>261</v>
      </c>
      <c r="C10" s="12" t="s">
        <v>262</v>
      </c>
      <c r="D10" s="12" t="s">
        <v>180</v>
      </c>
      <c r="E10" s="12" t="s">
        <v>507</v>
      </c>
      <c r="F10" s="12" t="s">
        <v>46</v>
      </c>
      <c r="G10" s="22" t="s">
        <v>185</v>
      </c>
      <c r="H10" s="22" t="s">
        <v>23</v>
      </c>
      <c r="I10" s="22" t="s">
        <v>212</v>
      </c>
      <c r="J10" s="13"/>
      <c r="K10" s="13" t="str">
        <f>"145,0"</f>
        <v>145,0</v>
      </c>
      <c r="L10" s="13" t="str">
        <f>"104,4000"</f>
        <v>104,4000</v>
      </c>
      <c r="M10" s="12" t="s">
        <v>485</v>
      </c>
    </row>
    <row r="11" spans="1:13">
      <c r="B11" s="5" t="s">
        <v>10</v>
      </c>
    </row>
    <row r="12" spans="1:13" ht="16">
      <c r="A12" s="34" t="s">
        <v>15</v>
      </c>
      <c r="B12" s="34"/>
      <c r="C12" s="35"/>
      <c r="D12" s="35"/>
      <c r="E12" s="35"/>
      <c r="F12" s="35"/>
      <c r="G12" s="35"/>
      <c r="H12" s="35"/>
      <c r="I12" s="35"/>
      <c r="J12" s="35"/>
    </row>
    <row r="13" spans="1:13">
      <c r="A13" s="9" t="s">
        <v>89</v>
      </c>
      <c r="B13" s="8" t="s">
        <v>263</v>
      </c>
      <c r="C13" s="8" t="s">
        <v>264</v>
      </c>
      <c r="D13" s="8" t="s">
        <v>208</v>
      </c>
      <c r="E13" s="8" t="s">
        <v>507</v>
      </c>
      <c r="F13" s="8" t="s">
        <v>46</v>
      </c>
      <c r="G13" s="18" t="s">
        <v>175</v>
      </c>
      <c r="H13" s="18" t="s">
        <v>55</v>
      </c>
      <c r="I13" s="19" t="s">
        <v>36</v>
      </c>
      <c r="J13" s="9"/>
      <c r="K13" s="9" t="str">
        <f>"160,0"</f>
        <v>160,0</v>
      </c>
      <c r="L13" s="9" t="str">
        <f>"107,5840"</f>
        <v>107,5840</v>
      </c>
      <c r="M13" s="8"/>
    </row>
    <row r="14" spans="1:13">
      <c r="B14" s="5" t="s">
        <v>10</v>
      </c>
    </row>
    <row r="15" spans="1:13" ht="16">
      <c r="A15" s="34" t="s">
        <v>29</v>
      </c>
      <c r="B15" s="34"/>
      <c r="C15" s="35"/>
      <c r="D15" s="35"/>
      <c r="E15" s="35"/>
      <c r="F15" s="35"/>
      <c r="G15" s="35"/>
      <c r="H15" s="35"/>
      <c r="I15" s="35"/>
      <c r="J15" s="35"/>
    </row>
    <row r="16" spans="1:13">
      <c r="A16" s="11" t="s">
        <v>89</v>
      </c>
      <c r="B16" s="10" t="s">
        <v>30</v>
      </c>
      <c r="C16" s="10" t="s">
        <v>31</v>
      </c>
      <c r="D16" s="10" t="s">
        <v>32</v>
      </c>
      <c r="E16" s="10" t="s">
        <v>507</v>
      </c>
      <c r="F16" s="10" t="s">
        <v>33</v>
      </c>
      <c r="G16" s="20" t="s">
        <v>36</v>
      </c>
      <c r="H16" s="20" t="s">
        <v>37</v>
      </c>
      <c r="I16" s="20" t="s">
        <v>38</v>
      </c>
      <c r="J16" s="11"/>
      <c r="K16" s="11" t="str">
        <f>"182,5"</f>
        <v>182,5</v>
      </c>
      <c r="L16" s="11" t="str">
        <f>"117,8768"</f>
        <v>117,8768</v>
      </c>
      <c r="M16" s="10" t="s">
        <v>42</v>
      </c>
    </row>
    <row r="17" spans="1:13">
      <c r="A17" s="13" t="s">
        <v>89</v>
      </c>
      <c r="B17" s="12" t="s">
        <v>265</v>
      </c>
      <c r="C17" s="12" t="s">
        <v>465</v>
      </c>
      <c r="D17" s="12" t="s">
        <v>266</v>
      </c>
      <c r="E17" s="12" t="s">
        <v>512</v>
      </c>
      <c r="F17" s="12" t="s">
        <v>46</v>
      </c>
      <c r="G17" s="22" t="s">
        <v>185</v>
      </c>
      <c r="H17" s="22" t="s">
        <v>23</v>
      </c>
      <c r="I17" s="23" t="s">
        <v>156</v>
      </c>
      <c r="J17" s="13"/>
      <c r="K17" s="13" t="str">
        <f>"135,0"</f>
        <v>135,0</v>
      </c>
      <c r="L17" s="13" t="str">
        <f>"110,5371"</f>
        <v>110,5371</v>
      </c>
      <c r="M17" s="12" t="s">
        <v>495</v>
      </c>
    </row>
    <row r="18" spans="1:13">
      <c r="B18" s="5" t="s">
        <v>10</v>
      </c>
    </row>
    <row r="19" spans="1:13" ht="16">
      <c r="A19" s="34" t="s">
        <v>48</v>
      </c>
      <c r="B19" s="34"/>
      <c r="C19" s="35"/>
      <c r="D19" s="35"/>
      <c r="E19" s="35"/>
      <c r="F19" s="35"/>
      <c r="G19" s="35"/>
      <c r="H19" s="35"/>
      <c r="I19" s="35"/>
      <c r="J19" s="35"/>
    </row>
    <row r="20" spans="1:13">
      <c r="A20" s="9" t="s">
        <v>89</v>
      </c>
      <c r="B20" s="8" t="s">
        <v>267</v>
      </c>
      <c r="C20" s="8" t="s">
        <v>268</v>
      </c>
      <c r="D20" s="8" t="s">
        <v>269</v>
      </c>
      <c r="E20" s="8" t="s">
        <v>507</v>
      </c>
      <c r="F20" s="8" t="s">
        <v>46</v>
      </c>
      <c r="G20" s="18" t="s">
        <v>36</v>
      </c>
      <c r="H20" s="18" t="s">
        <v>220</v>
      </c>
      <c r="I20" s="19" t="s">
        <v>21</v>
      </c>
      <c r="J20" s="9"/>
      <c r="K20" s="9" t="str">
        <f>"172,5"</f>
        <v>172,5</v>
      </c>
      <c r="L20" s="9" t="str">
        <f>"106,0358"</f>
        <v>106,0358</v>
      </c>
      <c r="M20" s="8"/>
    </row>
    <row r="21" spans="1:13">
      <c r="B21" s="5" t="s">
        <v>10</v>
      </c>
    </row>
    <row r="22" spans="1:13" ht="16">
      <c r="A22" s="34" t="s">
        <v>67</v>
      </c>
      <c r="B22" s="34"/>
      <c r="C22" s="35"/>
      <c r="D22" s="35"/>
      <c r="E22" s="35"/>
      <c r="F22" s="35"/>
      <c r="G22" s="35"/>
      <c r="H22" s="35"/>
      <c r="I22" s="35"/>
      <c r="J22" s="35"/>
    </row>
    <row r="23" spans="1:13">
      <c r="A23" s="11" t="s">
        <v>89</v>
      </c>
      <c r="B23" s="10" t="s">
        <v>270</v>
      </c>
      <c r="C23" s="10" t="s">
        <v>271</v>
      </c>
      <c r="D23" s="10" t="s">
        <v>272</v>
      </c>
      <c r="E23" s="10" t="s">
        <v>507</v>
      </c>
      <c r="F23" s="10" t="s">
        <v>46</v>
      </c>
      <c r="G23" s="20" t="s">
        <v>35</v>
      </c>
      <c r="H23" s="20" t="s">
        <v>195</v>
      </c>
      <c r="I23" s="11"/>
      <c r="J23" s="11"/>
      <c r="K23" s="11" t="str">
        <f>"215,0"</f>
        <v>215,0</v>
      </c>
      <c r="L23" s="11" t="str">
        <f>"127,8390"</f>
        <v>127,8390</v>
      </c>
      <c r="M23" s="10"/>
    </row>
    <row r="24" spans="1:13">
      <c r="A24" s="25" t="s">
        <v>91</v>
      </c>
      <c r="B24" s="24" t="s">
        <v>273</v>
      </c>
      <c r="C24" s="24" t="s">
        <v>274</v>
      </c>
      <c r="D24" s="24" t="s">
        <v>275</v>
      </c>
      <c r="E24" s="24" t="s">
        <v>507</v>
      </c>
      <c r="F24" s="24" t="s">
        <v>46</v>
      </c>
      <c r="G24" s="26" t="s">
        <v>34</v>
      </c>
      <c r="H24" s="26" t="s">
        <v>26</v>
      </c>
      <c r="I24" s="26" t="s">
        <v>35</v>
      </c>
      <c r="J24" s="25"/>
      <c r="K24" s="25" t="str">
        <f>"210,0"</f>
        <v>210,0</v>
      </c>
      <c r="L24" s="25" t="str">
        <f>"124,0890"</f>
        <v>124,0890</v>
      </c>
      <c r="M24" s="24" t="s">
        <v>502</v>
      </c>
    </row>
    <row r="25" spans="1:13">
      <c r="A25" s="25" t="s">
        <v>252</v>
      </c>
      <c r="B25" s="24" t="s">
        <v>276</v>
      </c>
      <c r="C25" s="24" t="s">
        <v>277</v>
      </c>
      <c r="D25" s="24" t="s">
        <v>278</v>
      </c>
      <c r="E25" s="24" t="s">
        <v>507</v>
      </c>
      <c r="F25" s="24" t="s">
        <v>279</v>
      </c>
      <c r="G25" s="26" t="s">
        <v>186</v>
      </c>
      <c r="H25" s="26" t="s">
        <v>231</v>
      </c>
      <c r="I25" s="27" t="s">
        <v>226</v>
      </c>
      <c r="J25" s="25"/>
      <c r="K25" s="25" t="str">
        <f>"207,5"</f>
        <v>207,5</v>
      </c>
      <c r="L25" s="25" t="str">
        <f>"123,1927"</f>
        <v>123,1927</v>
      </c>
      <c r="M25" s="24"/>
    </row>
    <row r="26" spans="1:13">
      <c r="A26" s="25" t="s">
        <v>253</v>
      </c>
      <c r="B26" s="24" t="s">
        <v>68</v>
      </c>
      <c r="C26" s="24" t="s">
        <v>69</v>
      </c>
      <c r="D26" s="24" t="s">
        <v>70</v>
      </c>
      <c r="E26" s="24" t="s">
        <v>507</v>
      </c>
      <c r="F26" s="24" t="s">
        <v>46</v>
      </c>
      <c r="G26" s="26" t="s">
        <v>72</v>
      </c>
      <c r="H26" s="25"/>
      <c r="I26" s="25"/>
      <c r="J26" s="25"/>
      <c r="K26" s="25" t="str">
        <f>"185,0"</f>
        <v>185,0</v>
      </c>
      <c r="L26" s="25" t="str">
        <f>"109,7050"</f>
        <v>109,7050</v>
      </c>
      <c r="M26" s="24"/>
    </row>
    <row r="27" spans="1:13">
      <c r="A27" s="25" t="s">
        <v>89</v>
      </c>
      <c r="B27" s="24" t="s">
        <v>283</v>
      </c>
      <c r="C27" s="24" t="s">
        <v>466</v>
      </c>
      <c r="D27" s="24" t="s">
        <v>284</v>
      </c>
      <c r="E27" s="24" t="s">
        <v>510</v>
      </c>
      <c r="F27" s="24" t="s">
        <v>46</v>
      </c>
      <c r="G27" s="26" t="s">
        <v>20</v>
      </c>
      <c r="H27" s="26" t="s">
        <v>21</v>
      </c>
      <c r="I27" s="26" t="s">
        <v>72</v>
      </c>
      <c r="J27" s="25"/>
      <c r="K27" s="25" t="str">
        <f>"185,0"</f>
        <v>185,0</v>
      </c>
      <c r="L27" s="25" t="str">
        <f>"114,6785"</f>
        <v>114,6785</v>
      </c>
      <c r="M27" s="24" t="s">
        <v>495</v>
      </c>
    </row>
    <row r="28" spans="1:13">
      <c r="A28" s="25" t="s">
        <v>91</v>
      </c>
      <c r="B28" s="24" t="s">
        <v>68</v>
      </c>
      <c r="C28" s="24" t="s">
        <v>467</v>
      </c>
      <c r="D28" s="24" t="s">
        <v>70</v>
      </c>
      <c r="E28" s="24" t="s">
        <v>510</v>
      </c>
      <c r="F28" s="24" t="s">
        <v>46</v>
      </c>
      <c r="G28" s="26" t="s">
        <v>72</v>
      </c>
      <c r="H28" s="25"/>
      <c r="I28" s="25"/>
      <c r="J28" s="25"/>
      <c r="K28" s="25" t="str">
        <f>"185,0"</f>
        <v>185,0</v>
      </c>
      <c r="L28" s="25" t="str">
        <f>"114,5320"</f>
        <v>114,5320</v>
      </c>
      <c r="M28" s="24"/>
    </row>
    <row r="29" spans="1:13">
      <c r="A29" s="13" t="s">
        <v>252</v>
      </c>
      <c r="B29" s="12" t="s">
        <v>285</v>
      </c>
      <c r="C29" s="12" t="s">
        <v>468</v>
      </c>
      <c r="D29" s="12" t="s">
        <v>286</v>
      </c>
      <c r="E29" s="12" t="s">
        <v>510</v>
      </c>
      <c r="F29" s="12" t="s">
        <v>46</v>
      </c>
      <c r="G29" s="22" t="s">
        <v>54</v>
      </c>
      <c r="H29" s="22" t="s">
        <v>61</v>
      </c>
      <c r="I29" s="22" t="s">
        <v>62</v>
      </c>
      <c r="J29" s="13"/>
      <c r="K29" s="13" t="str">
        <f>"162,5"</f>
        <v>162,5</v>
      </c>
      <c r="L29" s="13" t="str">
        <f>"97,8900"</f>
        <v>97,8900</v>
      </c>
      <c r="M29" s="12" t="s">
        <v>495</v>
      </c>
    </row>
    <row r="30" spans="1:13">
      <c r="B30" s="5" t="s">
        <v>10</v>
      </c>
    </row>
    <row r="31" spans="1:13" ht="16">
      <c r="A31" s="34" t="s">
        <v>287</v>
      </c>
      <c r="B31" s="34"/>
      <c r="C31" s="35"/>
      <c r="D31" s="35"/>
      <c r="E31" s="35"/>
      <c r="F31" s="35"/>
      <c r="G31" s="35"/>
      <c r="H31" s="35"/>
      <c r="I31" s="35"/>
      <c r="J31" s="35"/>
    </row>
    <row r="32" spans="1:13">
      <c r="A32" s="11" t="s">
        <v>89</v>
      </c>
      <c r="B32" s="10" t="s">
        <v>288</v>
      </c>
      <c r="C32" s="10" t="s">
        <v>289</v>
      </c>
      <c r="D32" s="10" t="s">
        <v>290</v>
      </c>
      <c r="E32" s="10" t="s">
        <v>507</v>
      </c>
      <c r="F32" s="10" t="s">
        <v>184</v>
      </c>
      <c r="G32" s="20" t="s">
        <v>35</v>
      </c>
      <c r="H32" s="20" t="s">
        <v>196</v>
      </c>
      <c r="I32" s="20" t="s">
        <v>47</v>
      </c>
      <c r="J32" s="11"/>
      <c r="K32" s="11" t="str">
        <f>"225,0"</f>
        <v>225,0</v>
      </c>
      <c r="L32" s="11" t="str">
        <f>"129,6450"</f>
        <v>129,6450</v>
      </c>
      <c r="M32" s="10"/>
    </row>
    <row r="33" spans="1:13">
      <c r="A33" s="25" t="s">
        <v>91</v>
      </c>
      <c r="B33" s="24" t="s">
        <v>291</v>
      </c>
      <c r="C33" s="24" t="s">
        <v>292</v>
      </c>
      <c r="D33" s="24" t="s">
        <v>293</v>
      </c>
      <c r="E33" s="24" t="s">
        <v>507</v>
      </c>
      <c r="F33" s="24" t="s">
        <v>128</v>
      </c>
      <c r="G33" s="26" t="s">
        <v>21</v>
      </c>
      <c r="H33" s="26" t="s">
        <v>22</v>
      </c>
      <c r="I33" s="26" t="s">
        <v>177</v>
      </c>
      <c r="J33" s="25"/>
      <c r="K33" s="25" t="str">
        <f>"195,0"</f>
        <v>195,0</v>
      </c>
      <c r="L33" s="25" t="str">
        <f>"113,2170"</f>
        <v>113,2170</v>
      </c>
      <c r="M33" s="24"/>
    </row>
    <row r="34" spans="1:13">
      <c r="A34" s="13" t="s">
        <v>89</v>
      </c>
      <c r="B34" s="12" t="s">
        <v>294</v>
      </c>
      <c r="C34" s="12" t="s">
        <v>469</v>
      </c>
      <c r="D34" s="12" t="s">
        <v>295</v>
      </c>
      <c r="E34" s="12" t="s">
        <v>510</v>
      </c>
      <c r="F34" s="12" t="s">
        <v>33</v>
      </c>
      <c r="G34" s="22" t="s">
        <v>55</v>
      </c>
      <c r="H34" s="23" t="s">
        <v>20</v>
      </c>
      <c r="I34" s="23" t="s">
        <v>20</v>
      </c>
      <c r="J34" s="13"/>
      <c r="K34" s="13" t="str">
        <f>"160,0"</f>
        <v>160,0</v>
      </c>
      <c r="L34" s="13" t="str">
        <f>"93,2158"</f>
        <v>93,2158</v>
      </c>
      <c r="M34" s="12"/>
    </row>
    <row r="35" spans="1:13">
      <c r="B35" s="5" t="s">
        <v>10</v>
      </c>
    </row>
    <row r="36" spans="1:13" ht="16">
      <c r="A36" s="34" t="s">
        <v>296</v>
      </c>
      <c r="B36" s="34"/>
      <c r="C36" s="35"/>
      <c r="D36" s="35"/>
      <c r="E36" s="35"/>
      <c r="F36" s="35"/>
      <c r="G36" s="35"/>
      <c r="H36" s="35"/>
      <c r="I36" s="35"/>
      <c r="J36" s="35"/>
    </row>
    <row r="37" spans="1:13">
      <c r="A37" s="9" t="s">
        <v>89</v>
      </c>
      <c r="B37" s="8" t="s">
        <v>297</v>
      </c>
      <c r="C37" s="8" t="s">
        <v>298</v>
      </c>
      <c r="D37" s="8" t="s">
        <v>299</v>
      </c>
      <c r="E37" s="8" t="s">
        <v>507</v>
      </c>
      <c r="F37" s="8" t="s">
        <v>300</v>
      </c>
      <c r="G37" s="18" t="s">
        <v>34</v>
      </c>
      <c r="H37" s="18" t="s">
        <v>195</v>
      </c>
      <c r="I37" s="19" t="s">
        <v>27</v>
      </c>
      <c r="J37" s="9"/>
      <c r="K37" s="9" t="str">
        <f>"215,0"</f>
        <v>215,0</v>
      </c>
      <c r="L37" s="9" t="str">
        <f>"119,2605"</f>
        <v>119,2605</v>
      </c>
      <c r="M37" s="8" t="s">
        <v>481</v>
      </c>
    </row>
    <row r="38" spans="1:13">
      <c r="B38" s="5" t="s">
        <v>10</v>
      </c>
    </row>
    <row r="39" spans="1:13">
      <c r="B39" s="5" t="s">
        <v>10</v>
      </c>
    </row>
    <row r="40" spans="1:13">
      <c r="B40" s="5" t="s">
        <v>10</v>
      </c>
    </row>
    <row r="41" spans="1:13" ht="18">
      <c r="B41" s="7" t="s">
        <v>9</v>
      </c>
      <c r="C41" s="7"/>
      <c r="F41" s="3"/>
    </row>
    <row r="42" spans="1:13" ht="16">
      <c r="B42" s="14" t="s">
        <v>74</v>
      </c>
      <c r="C42" s="14"/>
      <c r="F42" s="3"/>
    </row>
    <row r="43" spans="1:13" ht="14">
      <c r="B43" s="15"/>
      <c r="C43" s="16" t="s">
        <v>75</v>
      </c>
      <c r="F43" s="3"/>
    </row>
    <row r="44" spans="1:13" ht="14">
      <c r="B44" s="17" t="s">
        <v>76</v>
      </c>
      <c r="C44" s="17" t="s">
        <v>77</v>
      </c>
      <c r="D44" s="17" t="s">
        <v>479</v>
      </c>
      <c r="E44" s="17" t="s">
        <v>301</v>
      </c>
      <c r="F44" s="17" t="s">
        <v>79</v>
      </c>
    </row>
    <row r="45" spans="1:13">
      <c r="B45" s="5" t="s">
        <v>288</v>
      </c>
      <c r="C45" s="5" t="s">
        <v>75</v>
      </c>
      <c r="D45" s="6" t="s">
        <v>302</v>
      </c>
      <c r="E45" s="6" t="s">
        <v>47</v>
      </c>
      <c r="F45" s="6" t="s">
        <v>303</v>
      </c>
    </row>
    <row r="46" spans="1:13">
      <c r="B46" s="5" t="s">
        <v>270</v>
      </c>
      <c r="C46" s="5" t="s">
        <v>75</v>
      </c>
      <c r="D46" s="6" t="s">
        <v>83</v>
      </c>
      <c r="E46" s="6" t="s">
        <v>195</v>
      </c>
      <c r="F46" s="6" t="s">
        <v>304</v>
      </c>
    </row>
    <row r="47" spans="1:13">
      <c r="B47" s="5" t="s">
        <v>273</v>
      </c>
      <c r="C47" s="5" t="s">
        <v>75</v>
      </c>
      <c r="D47" s="6" t="s">
        <v>83</v>
      </c>
      <c r="E47" s="6" t="s">
        <v>35</v>
      </c>
      <c r="F47" s="6" t="s">
        <v>305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6:J36"/>
    <mergeCell ref="B3:B4"/>
    <mergeCell ref="A8:J8"/>
    <mergeCell ref="A12:J12"/>
    <mergeCell ref="A15:J15"/>
    <mergeCell ref="A19:J19"/>
    <mergeCell ref="A22:J22"/>
    <mergeCell ref="A31:J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67"/>
  <sheetViews>
    <sheetView tabSelected="1" topLeftCell="A16" workbookViewId="0">
      <selection activeCell="E51" sqref="E51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2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44" t="s">
        <v>447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14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408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1" t="s">
        <v>89</v>
      </c>
      <c r="B6" s="10" t="s">
        <v>409</v>
      </c>
      <c r="C6" s="10" t="s">
        <v>410</v>
      </c>
      <c r="D6" s="10" t="s">
        <v>411</v>
      </c>
      <c r="E6" s="10" t="s">
        <v>508</v>
      </c>
      <c r="F6" s="10" t="s">
        <v>46</v>
      </c>
      <c r="G6" s="20" t="s">
        <v>106</v>
      </c>
      <c r="H6" s="20" t="s">
        <v>164</v>
      </c>
      <c r="I6" s="20" t="s">
        <v>160</v>
      </c>
      <c r="J6" s="11"/>
      <c r="K6" s="11" t="str">
        <f>"97,5"</f>
        <v>97,5</v>
      </c>
      <c r="L6" s="11" t="str">
        <f>"130,9230"</f>
        <v>130,9230</v>
      </c>
      <c r="M6" s="10" t="s">
        <v>421</v>
      </c>
    </row>
    <row r="7" spans="1:13">
      <c r="A7" s="13" t="s">
        <v>89</v>
      </c>
      <c r="B7" s="12" t="s">
        <v>412</v>
      </c>
      <c r="C7" s="12" t="s">
        <v>413</v>
      </c>
      <c r="D7" s="12" t="s">
        <v>414</v>
      </c>
      <c r="E7" s="12" t="s">
        <v>507</v>
      </c>
      <c r="F7" s="12" t="s">
        <v>46</v>
      </c>
      <c r="G7" s="23" t="s">
        <v>160</v>
      </c>
      <c r="H7" s="22" t="s">
        <v>154</v>
      </c>
      <c r="I7" s="22" t="s">
        <v>123</v>
      </c>
      <c r="J7" s="13"/>
      <c r="K7" s="13" t="str">
        <f>"110,0"</f>
        <v>110,0</v>
      </c>
      <c r="L7" s="13" t="str">
        <f>"145,6840"</f>
        <v>145,6840</v>
      </c>
      <c r="M7" s="12"/>
    </row>
    <row r="8" spans="1:13">
      <c r="B8" s="5" t="s">
        <v>10</v>
      </c>
    </row>
    <row r="9" spans="1:13" ht="16">
      <c r="A9" s="34" t="s">
        <v>92</v>
      </c>
      <c r="B9" s="34"/>
      <c r="C9" s="35"/>
      <c r="D9" s="35"/>
      <c r="E9" s="35"/>
      <c r="F9" s="35"/>
      <c r="G9" s="35"/>
      <c r="H9" s="35"/>
      <c r="I9" s="35"/>
      <c r="J9" s="35"/>
    </row>
    <row r="10" spans="1:13">
      <c r="A10" s="11" t="s">
        <v>89</v>
      </c>
      <c r="B10" s="10" t="s">
        <v>415</v>
      </c>
      <c r="C10" s="10" t="s">
        <v>416</v>
      </c>
      <c r="D10" s="10" t="s">
        <v>417</v>
      </c>
      <c r="E10" s="10" t="s">
        <v>508</v>
      </c>
      <c r="F10" s="10" t="s">
        <v>46</v>
      </c>
      <c r="G10" s="20" t="s">
        <v>95</v>
      </c>
      <c r="H10" s="20" t="s">
        <v>145</v>
      </c>
      <c r="I10" s="21" t="s">
        <v>106</v>
      </c>
      <c r="J10" s="11"/>
      <c r="K10" s="11" t="str">
        <f>"80,0"</f>
        <v>80,0</v>
      </c>
      <c r="L10" s="11" t="str">
        <f>"100,1760"</f>
        <v>100,1760</v>
      </c>
      <c r="M10" s="10" t="s">
        <v>421</v>
      </c>
    </row>
    <row r="11" spans="1:13">
      <c r="A11" s="13" t="s">
        <v>89</v>
      </c>
      <c r="B11" s="12" t="s">
        <v>103</v>
      </c>
      <c r="C11" s="12" t="s">
        <v>104</v>
      </c>
      <c r="D11" s="12" t="s">
        <v>105</v>
      </c>
      <c r="E11" s="12" t="s">
        <v>507</v>
      </c>
      <c r="F11" s="12" t="s">
        <v>46</v>
      </c>
      <c r="G11" s="23" t="s">
        <v>111</v>
      </c>
      <c r="H11" s="22" t="s">
        <v>112</v>
      </c>
      <c r="I11" s="23" t="s">
        <v>113</v>
      </c>
      <c r="J11" s="13"/>
      <c r="K11" s="13" t="str">
        <f>"120,0"</f>
        <v>120,0</v>
      </c>
      <c r="L11" s="13" t="str">
        <f>"152,3040"</f>
        <v>152,3040</v>
      </c>
      <c r="M11" s="12" t="s">
        <v>486</v>
      </c>
    </row>
    <row r="12" spans="1:13">
      <c r="B12" s="5" t="s">
        <v>10</v>
      </c>
    </row>
    <row r="13" spans="1:13" ht="16">
      <c r="A13" s="34" t="s">
        <v>114</v>
      </c>
      <c r="B13" s="34"/>
      <c r="C13" s="35"/>
      <c r="D13" s="35"/>
      <c r="E13" s="35"/>
      <c r="F13" s="35"/>
      <c r="G13" s="35"/>
      <c r="H13" s="35"/>
      <c r="I13" s="35"/>
      <c r="J13" s="35"/>
    </row>
    <row r="14" spans="1:13">
      <c r="A14" s="11" t="s">
        <v>89</v>
      </c>
      <c r="B14" s="10" t="s">
        <v>115</v>
      </c>
      <c r="C14" s="10" t="s">
        <v>455</v>
      </c>
      <c r="D14" s="10" t="s">
        <v>116</v>
      </c>
      <c r="E14" s="10" t="s">
        <v>506</v>
      </c>
      <c r="F14" s="10" t="s">
        <v>46</v>
      </c>
      <c r="G14" s="20" t="s">
        <v>112</v>
      </c>
      <c r="H14" s="20" t="s">
        <v>119</v>
      </c>
      <c r="I14" s="20" t="s">
        <v>120</v>
      </c>
      <c r="J14" s="11"/>
      <c r="K14" s="11" t="str">
        <f>"130,0"</f>
        <v>130,0</v>
      </c>
      <c r="L14" s="11" t="str">
        <f>"154,2580"</f>
        <v>154,2580</v>
      </c>
      <c r="M14" s="10" t="s">
        <v>487</v>
      </c>
    </row>
    <row r="15" spans="1:13">
      <c r="A15" s="25" t="s">
        <v>89</v>
      </c>
      <c r="B15" s="24" t="s">
        <v>125</v>
      </c>
      <c r="C15" s="24" t="s">
        <v>126</v>
      </c>
      <c r="D15" s="24" t="s">
        <v>127</v>
      </c>
      <c r="E15" s="24" t="s">
        <v>507</v>
      </c>
      <c r="F15" s="24" t="s">
        <v>128</v>
      </c>
      <c r="G15" s="26" t="s">
        <v>123</v>
      </c>
      <c r="H15" s="26" t="s">
        <v>112</v>
      </c>
      <c r="I15" s="26" t="s">
        <v>119</v>
      </c>
      <c r="J15" s="25"/>
      <c r="K15" s="25" t="str">
        <f>"125,0"</f>
        <v>125,0</v>
      </c>
      <c r="L15" s="25" t="str">
        <f>"150,8875"</f>
        <v>150,8875</v>
      </c>
      <c r="M15" s="24" t="s">
        <v>488</v>
      </c>
    </row>
    <row r="16" spans="1:13">
      <c r="A16" s="13" t="s">
        <v>91</v>
      </c>
      <c r="B16" s="12" t="s">
        <v>418</v>
      </c>
      <c r="C16" s="12" t="s">
        <v>419</v>
      </c>
      <c r="D16" s="12" t="s">
        <v>420</v>
      </c>
      <c r="E16" s="12" t="s">
        <v>507</v>
      </c>
      <c r="F16" s="12" t="s">
        <v>46</v>
      </c>
      <c r="G16" s="22" t="s">
        <v>160</v>
      </c>
      <c r="H16" s="23" t="s">
        <v>123</v>
      </c>
      <c r="I16" s="23" t="s">
        <v>123</v>
      </c>
      <c r="J16" s="13"/>
      <c r="K16" s="13" t="str">
        <f>"97,5"</f>
        <v>97,5</v>
      </c>
      <c r="L16" s="13" t="str">
        <f>"115,8593"</f>
        <v>115,8593</v>
      </c>
      <c r="M16" s="12" t="s">
        <v>421</v>
      </c>
    </row>
    <row r="17" spans="1:13">
      <c r="B17" s="5" t="s">
        <v>10</v>
      </c>
    </row>
    <row r="18" spans="1:13" ht="16">
      <c r="A18" s="34" t="s">
        <v>146</v>
      </c>
      <c r="B18" s="34"/>
      <c r="C18" s="35"/>
      <c r="D18" s="35"/>
      <c r="E18" s="35"/>
      <c r="F18" s="35"/>
      <c r="G18" s="35"/>
      <c r="H18" s="35"/>
      <c r="I18" s="35"/>
      <c r="J18" s="35"/>
    </row>
    <row r="19" spans="1:13">
      <c r="A19" s="11" t="s">
        <v>89</v>
      </c>
      <c r="B19" s="10" t="s">
        <v>151</v>
      </c>
      <c r="C19" s="10" t="s">
        <v>152</v>
      </c>
      <c r="D19" s="10" t="s">
        <v>153</v>
      </c>
      <c r="E19" s="10" t="s">
        <v>507</v>
      </c>
      <c r="F19" s="10" t="s">
        <v>19</v>
      </c>
      <c r="G19" s="20" t="s">
        <v>119</v>
      </c>
      <c r="H19" s="20" t="s">
        <v>155</v>
      </c>
      <c r="I19" s="21" t="s">
        <v>156</v>
      </c>
      <c r="J19" s="11"/>
      <c r="K19" s="11" t="str">
        <f>"132,5"</f>
        <v>132,5</v>
      </c>
      <c r="L19" s="11" t="str">
        <f>"148,8770"</f>
        <v>148,8770</v>
      </c>
      <c r="M19" s="10" t="s">
        <v>66</v>
      </c>
    </row>
    <row r="20" spans="1:13">
      <c r="A20" s="13" t="s">
        <v>91</v>
      </c>
      <c r="B20" s="12" t="s">
        <v>157</v>
      </c>
      <c r="C20" s="12" t="s">
        <v>158</v>
      </c>
      <c r="D20" s="12" t="s">
        <v>159</v>
      </c>
      <c r="E20" s="12" t="s">
        <v>507</v>
      </c>
      <c r="F20" s="12" t="s">
        <v>46</v>
      </c>
      <c r="G20" s="23" t="s">
        <v>123</v>
      </c>
      <c r="H20" s="22" t="s">
        <v>123</v>
      </c>
      <c r="I20" s="22" t="s">
        <v>111</v>
      </c>
      <c r="J20" s="13"/>
      <c r="K20" s="13" t="str">
        <f>"115,0"</f>
        <v>115,0</v>
      </c>
      <c r="L20" s="13" t="str">
        <f>"131,8245"</f>
        <v>131,8245</v>
      </c>
      <c r="M20" s="12" t="s">
        <v>489</v>
      </c>
    </row>
    <row r="21" spans="1:13">
      <c r="B21" s="5" t="s">
        <v>10</v>
      </c>
    </row>
    <row r="22" spans="1:13" ht="16">
      <c r="A22" s="34" t="s">
        <v>168</v>
      </c>
      <c r="B22" s="34"/>
      <c r="C22" s="35"/>
      <c r="D22" s="35"/>
      <c r="E22" s="35"/>
      <c r="F22" s="35"/>
      <c r="G22" s="35"/>
      <c r="H22" s="35"/>
      <c r="I22" s="35"/>
      <c r="J22" s="35"/>
    </row>
    <row r="23" spans="1:13">
      <c r="A23" s="9" t="s">
        <v>89</v>
      </c>
      <c r="B23" s="8" t="s">
        <v>391</v>
      </c>
      <c r="C23" s="8" t="s">
        <v>392</v>
      </c>
      <c r="D23" s="8" t="s">
        <v>393</v>
      </c>
      <c r="E23" s="8" t="s">
        <v>507</v>
      </c>
      <c r="F23" s="8" t="s">
        <v>128</v>
      </c>
      <c r="G23" s="18" t="s">
        <v>106</v>
      </c>
      <c r="H23" s="18" t="s">
        <v>107</v>
      </c>
      <c r="I23" s="18" t="s">
        <v>108</v>
      </c>
      <c r="J23" s="9"/>
      <c r="K23" s="9" t="str">
        <f>"95,0"</f>
        <v>95,0</v>
      </c>
      <c r="L23" s="9" t="str">
        <f>"103,5310"</f>
        <v>103,5310</v>
      </c>
      <c r="M23" s="8" t="s">
        <v>488</v>
      </c>
    </row>
    <row r="24" spans="1:13">
      <c r="B24" s="5" t="s">
        <v>10</v>
      </c>
    </row>
    <row r="25" spans="1:13" ht="16">
      <c r="A25" s="34" t="s">
        <v>168</v>
      </c>
      <c r="B25" s="34"/>
      <c r="C25" s="35"/>
      <c r="D25" s="35"/>
      <c r="E25" s="35"/>
      <c r="F25" s="35"/>
      <c r="G25" s="35"/>
      <c r="H25" s="35"/>
      <c r="I25" s="35"/>
      <c r="J25" s="35"/>
    </row>
    <row r="26" spans="1:13">
      <c r="A26" s="9" t="s">
        <v>89</v>
      </c>
      <c r="B26" s="8" t="s">
        <v>172</v>
      </c>
      <c r="C26" s="8" t="s">
        <v>456</v>
      </c>
      <c r="D26" s="8" t="s">
        <v>174</v>
      </c>
      <c r="E26" s="8" t="s">
        <v>509</v>
      </c>
      <c r="F26" s="8" t="s">
        <v>33</v>
      </c>
      <c r="G26" s="18" t="s">
        <v>37</v>
      </c>
      <c r="H26" s="18" t="s">
        <v>176</v>
      </c>
      <c r="I26" s="19" t="s">
        <v>177</v>
      </c>
      <c r="J26" s="9"/>
      <c r="K26" s="9" t="str">
        <f>"187,5"</f>
        <v>187,5</v>
      </c>
      <c r="L26" s="9" t="str">
        <f>"166,2469"</f>
        <v>166,2469</v>
      </c>
      <c r="M26" s="8" t="s">
        <v>490</v>
      </c>
    </row>
    <row r="27" spans="1:13">
      <c r="B27" s="5" t="s">
        <v>10</v>
      </c>
    </row>
    <row r="28" spans="1:13" ht="16">
      <c r="A28" s="34" t="s">
        <v>178</v>
      </c>
      <c r="B28" s="34"/>
      <c r="C28" s="35"/>
      <c r="D28" s="35"/>
      <c r="E28" s="35"/>
      <c r="F28" s="35"/>
      <c r="G28" s="35"/>
      <c r="H28" s="35"/>
      <c r="I28" s="35"/>
      <c r="J28" s="35"/>
    </row>
    <row r="29" spans="1:13">
      <c r="A29" s="11" t="s">
        <v>89</v>
      </c>
      <c r="B29" s="10" t="s">
        <v>181</v>
      </c>
      <c r="C29" s="10" t="s">
        <v>182</v>
      </c>
      <c r="D29" s="10" t="s">
        <v>183</v>
      </c>
      <c r="E29" s="10" t="s">
        <v>507</v>
      </c>
      <c r="F29" s="10" t="s">
        <v>184</v>
      </c>
      <c r="G29" s="21" t="s">
        <v>177</v>
      </c>
      <c r="H29" s="20" t="s">
        <v>177</v>
      </c>
      <c r="I29" s="21" t="s">
        <v>186</v>
      </c>
      <c r="J29" s="11"/>
      <c r="K29" s="11" t="str">
        <f>"195,0"</f>
        <v>195,0</v>
      </c>
      <c r="L29" s="11" t="str">
        <f>"139,0740"</f>
        <v>139,0740</v>
      </c>
      <c r="M29" s="10" t="s">
        <v>187</v>
      </c>
    </row>
    <row r="30" spans="1:13">
      <c r="A30" s="13" t="s">
        <v>91</v>
      </c>
      <c r="B30" s="12" t="s">
        <v>394</v>
      </c>
      <c r="C30" s="12" t="s">
        <v>395</v>
      </c>
      <c r="D30" s="12" t="s">
        <v>396</v>
      </c>
      <c r="E30" s="12" t="s">
        <v>507</v>
      </c>
      <c r="F30" s="12" t="s">
        <v>128</v>
      </c>
      <c r="G30" s="22" t="s">
        <v>112</v>
      </c>
      <c r="H30" s="22" t="s">
        <v>23</v>
      </c>
      <c r="I30" s="22" t="s">
        <v>167</v>
      </c>
      <c r="J30" s="13"/>
      <c r="K30" s="13" t="str">
        <f>"140,0"</f>
        <v>140,0</v>
      </c>
      <c r="L30" s="13" t="str">
        <f>"100,8980"</f>
        <v>100,8980</v>
      </c>
      <c r="M30" s="12" t="s">
        <v>488</v>
      </c>
    </row>
    <row r="31" spans="1:13">
      <c r="B31" s="5" t="s">
        <v>10</v>
      </c>
    </row>
    <row r="32" spans="1:13" ht="16">
      <c r="A32" s="34" t="s">
        <v>15</v>
      </c>
      <c r="B32" s="34"/>
      <c r="C32" s="35"/>
      <c r="D32" s="35"/>
      <c r="E32" s="35"/>
      <c r="F32" s="35"/>
      <c r="G32" s="35"/>
      <c r="H32" s="35"/>
      <c r="I32" s="35"/>
      <c r="J32" s="35"/>
    </row>
    <row r="33" spans="1:13">
      <c r="A33" s="11" t="s">
        <v>89</v>
      </c>
      <c r="B33" s="10" t="s">
        <v>197</v>
      </c>
      <c r="C33" s="10" t="s">
        <v>198</v>
      </c>
      <c r="D33" s="10" t="s">
        <v>199</v>
      </c>
      <c r="E33" s="10" t="s">
        <v>507</v>
      </c>
      <c r="F33" s="10" t="s">
        <v>200</v>
      </c>
      <c r="G33" s="21" t="s">
        <v>27</v>
      </c>
      <c r="H33" s="20" t="s">
        <v>60</v>
      </c>
      <c r="I33" s="21" t="s">
        <v>39</v>
      </c>
      <c r="J33" s="11"/>
      <c r="K33" s="11" t="str">
        <f>"230,0"</f>
        <v>230,0</v>
      </c>
      <c r="L33" s="11" t="str">
        <f>"155,6870"</f>
        <v>155,6870</v>
      </c>
      <c r="M33" s="10" t="s">
        <v>491</v>
      </c>
    </row>
    <row r="34" spans="1:13">
      <c r="A34" s="25" t="s">
        <v>91</v>
      </c>
      <c r="B34" s="24" t="s">
        <v>422</v>
      </c>
      <c r="C34" s="24" t="s">
        <v>423</v>
      </c>
      <c r="D34" s="24" t="s">
        <v>343</v>
      </c>
      <c r="E34" s="24" t="s">
        <v>507</v>
      </c>
      <c r="F34" s="24" t="s">
        <v>19</v>
      </c>
      <c r="G34" s="27" t="s">
        <v>34</v>
      </c>
      <c r="H34" s="26" t="s">
        <v>35</v>
      </c>
      <c r="I34" s="26" t="s">
        <v>27</v>
      </c>
      <c r="J34" s="25"/>
      <c r="K34" s="25" t="str">
        <f>"220,0"</f>
        <v>220,0</v>
      </c>
      <c r="L34" s="25" t="str">
        <f>"148,4780"</f>
        <v>148,4780</v>
      </c>
      <c r="M34" s="24" t="s">
        <v>492</v>
      </c>
    </row>
    <row r="35" spans="1:13">
      <c r="A35" s="25" t="s">
        <v>252</v>
      </c>
      <c r="B35" s="24" t="s">
        <v>206</v>
      </c>
      <c r="C35" s="24" t="s">
        <v>207</v>
      </c>
      <c r="D35" s="24" t="s">
        <v>208</v>
      </c>
      <c r="E35" s="24" t="s">
        <v>507</v>
      </c>
      <c r="F35" s="24" t="s">
        <v>46</v>
      </c>
      <c r="G35" s="26" t="s">
        <v>177</v>
      </c>
      <c r="H35" s="26" t="s">
        <v>35</v>
      </c>
      <c r="I35" s="27" t="s">
        <v>27</v>
      </c>
      <c r="J35" s="25"/>
      <c r="K35" s="25" t="str">
        <f>"210,0"</f>
        <v>210,0</v>
      </c>
      <c r="L35" s="25" t="str">
        <f>"141,2040"</f>
        <v>141,2040</v>
      </c>
      <c r="M35" s="24"/>
    </row>
    <row r="36" spans="1:13">
      <c r="A36" s="13" t="s">
        <v>253</v>
      </c>
      <c r="B36" s="12" t="s">
        <v>424</v>
      </c>
      <c r="C36" s="12" t="s">
        <v>425</v>
      </c>
      <c r="D36" s="12" t="s">
        <v>426</v>
      </c>
      <c r="E36" s="12" t="s">
        <v>507</v>
      </c>
      <c r="F36" s="12" t="s">
        <v>46</v>
      </c>
      <c r="G36" s="22" t="s">
        <v>21</v>
      </c>
      <c r="H36" s="23" t="s">
        <v>22</v>
      </c>
      <c r="I36" s="22" t="s">
        <v>22</v>
      </c>
      <c r="J36" s="13"/>
      <c r="K36" s="13" t="str">
        <f>"190,0"</f>
        <v>190,0</v>
      </c>
      <c r="L36" s="13" t="str">
        <f>"128,4210"</f>
        <v>128,4210</v>
      </c>
      <c r="M36" s="12" t="s">
        <v>480</v>
      </c>
    </row>
    <row r="37" spans="1:13">
      <c r="B37" s="5" t="s">
        <v>10</v>
      </c>
    </row>
    <row r="38" spans="1:13" ht="16">
      <c r="A38" s="34" t="s">
        <v>29</v>
      </c>
      <c r="B38" s="34"/>
      <c r="C38" s="35"/>
      <c r="D38" s="35"/>
      <c r="E38" s="35"/>
      <c r="F38" s="35"/>
      <c r="G38" s="35"/>
      <c r="H38" s="35"/>
      <c r="I38" s="35"/>
      <c r="J38" s="35"/>
    </row>
    <row r="39" spans="1:13">
      <c r="A39" s="11" t="s">
        <v>89</v>
      </c>
      <c r="B39" s="10" t="s">
        <v>223</v>
      </c>
      <c r="C39" s="10" t="s">
        <v>224</v>
      </c>
      <c r="D39" s="10" t="s">
        <v>225</v>
      </c>
      <c r="E39" s="10" t="s">
        <v>507</v>
      </c>
      <c r="F39" s="10" t="s">
        <v>19</v>
      </c>
      <c r="G39" s="20" t="s">
        <v>52</v>
      </c>
      <c r="H39" s="21" t="s">
        <v>227</v>
      </c>
      <c r="I39" s="21" t="s">
        <v>227</v>
      </c>
      <c r="J39" s="11"/>
      <c r="K39" s="11" t="str">
        <f>"240,0"</f>
        <v>240,0</v>
      </c>
      <c r="L39" s="11" t="str">
        <f>"154,5600"</f>
        <v>154,5600</v>
      </c>
      <c r="M39" s="10"/>
    </row>
    <row r="40" spans="1:13">
      <c r="A40" s="25" t="s">
        <v>91</v>
      </c>
      <c r="B40" s="24" t="s">
        <v>400</v>
      </c>
      <c r="C40" s="24" t="s">
        <v>401</v>
      </c>
      <c r="D40" s="24" t="s">
        <v>402</v>
      </c>
      <c r="E40" s="24" t="s">
        <v>507</v>
      </c>
      <c r="F40" s="24" t="s">
        <v>128</v>
      </c>
      <c r="G40" s="26" t="s">
        <v>27</v>
      </c>
      <c r="H40" s="27" t="s">
        <v>60</v>
      </c>
      <c r="I40" s="27" t="s">
        <v>52</v>
      </c>
      <c r="J40" s="25"/>
      <c r="K40" s="25" t="str">
        <f>"220,0"</f>
        <v>220,0</v>
      </c>
      <c r="L40" s="25" t="str">
        <f>"144,8260"</f>
        <v>144,8260</v>
      </c>
      <c r="M40" s="24" t="s">
        <v>478</v>
      </c>
    </row>
    <row r="41" spans="1:13">
      <c r="A41" s="25" t="s">
        <v>252</v>
      </c>
      <c r="B41" s="24" t="s">
        <v>403</v>
      </c>
      <c r="C41" s="24" t="s">
        <v>404</v>
      </c>
      <c r="D41" s="24" t="s">
        <v>218</v>
      </c>
      <c r="E41" s="24" t="s">
        <v>507</v>
      </c>
      <c r="F41" s="24" t="s">
        <v>128</v>
      </c>
      <c r="G41" s="26" t="s">
        <v>167</v>
      </c>
      <c r="H41" s="26" t="s">
        <v>55</v>
      </c>
      <c r="I41" s="26" t="s">
        <v>37</v>
      </c>
      <c r="J41" s="25"/>
      <c r="K41" s="25" t="str">
        <f>"175,0"</f>
        <v>175,0</v>
      </c>
      <c r="L41" s="25" t="str">
        <f>"116,9875"</f>
        <v>116,9875</v>
      </c>
      <c r="M41" s="24" t="s">
        <v>488</v>
      </c>
    </row>
    <row r="42" spans="1:13">
      <c r="A42" s="13" t="s">
        <v>89</v>
      </c>
      <c r="B42" s="12" t="s">
        <v>400</v>
      </c>
      <c r="C42" s="12" t="s">
        <v>457</v>
      </c>
      <c r="D42" s="12" t="s">
        <v>402</v>
      </c>
      <c r="E42" s="12" t="s">
        <v>510</v>
      </c>
      <c r="F42" s="12" t="s">
        <v>128</v>
      </c>
      <c r="G42" s="22" t="s">
        <v>27</v>
      </c>
      <c r="H42" s="23" t="s">
        <v>60</v>
      </c>
      <c r="I42" s="23" t="s">
        <v>52</v>
      </c>
      <c r="J42" s="13"/>
      <c r="K42" s="13" t="str">
        <f>"220,0"</f>
        <v>220,0</v>
      </c>
      <c r="L42" s="13" t="str">
        <f>"144,8260"</f>
        <v>144,8260</v>
      </c>
      <c r="M42" s="12" t="s">
        <v>478</v>
      </c>
    </row>
    <row r="43" spans="1:13">
      <c r="B43" s="5" t="s">
        <v>10</v>
      </c>
    </row>
    <row r="44" spans="1:13" ht="16">
      <c r="A44" s="34" t="s">
        <v>48</v>
      </c>
      <c r="B44" s="34"/>
      <c r="C44" s="35"/>
      <c r="D44" s="35"/>
      <c r="E44" s="35"/>
      <c r="F44" s="35"/>
      <c r="G44" s="35"/>
      <c r="H44" s="35"/>
      <c r="I44" s="35"/>
      <c r="J44" s="35"/>
    </row>
    <row r="45" spans="1:13">
      <c r="A45" s="11" t="s">
        <v>89</v>
      </c>
      <c r="B45" s="10" t="s">
        <v>427</v>
      </c>
      <c r="C45" s="10" t="s">
        <v>428</v>
      </c>
      <c r="D45" s="10" t="s">
        <v>429</v>
      </c>
      <c r="E45" s="10" t="s">
        <v>507</v>
      </c>
      <c r="F45" s="10" t="s">
        <v>46</v>
      </c>
      <c r="G45" s="20" t="s">
        <v>242</v>
      </c>
      <c r="H45" s="20" t="s">
        <v>63</v>
      </c>
      <c r="I45" s="20" t="s">
        <v>40</v>
      </c>
      <c r="J45" s="11"/>
      <c r="K45" s="11" t="str">
        <f>"265,0"</f>
        <v>265,0</v>
      </c>
      <c r="L45" s="11" t="str">
        <f>"162,8160"</f>
        <v>162,8160</v>
      </c>
      <c r="M45" s="10" t="s">
        <v>484</v>
      </c>
    </row>
    <row r="46" spans="1:13">
      <c r="A46" s="13" t="s">
        <v>91</v>
      </c>
      <c r="B46" s="12" t="s">
        <v>239</v>
      </c>
      <c r="C46" s="12" t="s">
        <v>240</v>
      </c>
      <c r="D46" s="12" t="s">
        <v>241</v>
      </c>
      <c r="E46" s="12" t="s">
        <v>507</v>
      </c>
      <c r="F46" s="12" t="s">
        <v>46</v>
      </c>
      <c r="G46" s="22" t="s">
        <v>242</v>
      </c>
      <c r="H46" s="22" t="s">
        <v>243</v>
      </c>
      <c r="I46" s="23" t="s">
        <v>64</v>
      </c>
      <c r="J46" s="13"/>
      <c r="K46" s="13" t="str">
        <f>"262,5"</f>
        <v>262,5</v>
      </c>
      <c r="L46" s="13" t="str">
        <f>"160,8075"</f>
        <v>160,8075</v>
      </c>
      <c r="M46" s="12" t="s">
        <v>483</v>
      </c>
    </row>
    <row r="47" spans="1:13">
      <c r="B47" s="5" t="s">
        <v>10</v>
      </c>
    </row>
    <row r="48" spans="1:13" ht="16">
      <c r="A48" s="34" t="s">
        <v>67</v>
      </c>
      <c r="B48" s="34"/>
      <c r="C48" s="35"/>
      <c r="D48" s="35"/>
      <c r="E48" s="35"/>
      <c r="F48" s="35"/>
      <c r="G48" s="35"/>
      <c r="H48" s="35"/>
      <c r="I48" s="35"/>
      <c r="J48" s="35"/>
    </row>
    <row r="49" spans="1:13">
      <c r="A49" s="11" t="s">
        <v>89</v>
      </c>
      <c r="B49" s="10" t="s">
        <v>405</v>
      </c>
      <c r="C49" s="10" t="s">
        <v>406</v>
      </c>
      <c r="D49" s="10" t="s">
        <v>407</v>
      </c>
      <c r="E49" s="10" t="s">
        <v>507</v>
      </c>
      <c r="F49" s="10" t="s">
        <v>128</v>
      </c>
      <c r="G49" s="20" t="s">
        <v>52</v>
      </c>
      <c r="H49" s="20" t="s">
        <v>39</v>
      </c>
      <c r="I49" s="21" t="s">
        <v>40</v>
      </c>
      <c r="J49" s="11"/>
      <c r="K49" s="11" t="str">
        <f>"255,0"</f>
        <v>255,0</v>
      </c>
      <c r="L49" s="11" t="str">
        <f>"150,2715"</f>
        <v>150,2715</v>
      </c>
      <c r="M49" s="10" t="s">
        <v>488</v>
      </c>
    </row>
    <row r="50" spans="1:13">
      <c r="A50" s="13" t="s">
        <v>91</v>
      </c>
      <c r="B50" s="12" t="s">
        <v>244</v>
      </c>
      <c r="C50" s="12" t="s">
        <v>245</v>
      </c>
      <c r="D50" s="12" t="s">
        <v>246</v>
      </c>
      <c r="E50" s="12" t="s">
        <v>507</v>
      </c>
      <c r="F50" s="12" t="s">
        <v>46</v>
      </c>
      <c r="G50" s="22" t="s">
        <v>52</v>
      </c>
      <c r="H50" s="22" t="s">
        <v>242</v>
      </c>
      <c r="I50" s="23" t="s">
        <v>63</v>
      </c>
      <c r="J50" s="13"/>
      <c r="K50" s="13" t="str">
        <f>"250,0"</f>
        <v>250,0</v>
      </c>
      <c r="L50" s="13" t="str">
        <f>"148,1500"</f>
        <v>148,1500</v>
      </c>
      <c r="M50" s="12"/>
    </row>
    <row r="51" spans="1:13">
      <c r="B51" s="5" t="s">
        <v>10</v>
      </c>
    </row>
    <row r="52" spans="1:13">
      <c r="B52" s="5" t="s">
        <v>10</v>
      </c>
    </row>
    <row r="53" spans="1:13">
      <c r="B53" s="5" t="s">
        <v>10</v>
      </c>
    </row>
    <row r="54" spans="1:13" ht="18">
      <c r="B54" s="7" t="s">
        <v>9</v>
      </c>
      <c r="C54" s="7"/>
      <c r="F54" s="3"/>
    </row>
    <row r="55" spans="1:13" ht="16">
      <c r="B55" s="14" t="s">
        <v>247</v>
      </c>
      <c r="C55" s="14"/>
      <c r="F55" s="3"/>
    </row>
    <row r="56" spans="1:13" ht="14">
      <c r="B56" s="15"/>
      <c r="C56" s="16" t="s">
        <v>75</v>
      </c>
      <c r="F56" s="3"/>
    </row>
    <row r="57" spans="1:13" ht="14">
      <c r="B57" s="17" t="s">
        <v>76</v>
      </c>
      <c r="C57" s="17" t="s">
        <v>77</v>
      </c>
      <c r="D57" s="17" t="s">
        <v>479</v>
      </c>
      <c r="E57" s="17" t="s">
        <v>301</v>
      </c>
      <c r="F57" s="17" t="s">
        <v>79</v>
      </c>
    </row>
    <row r="58" spans="1:13">
      <c r="B58" s="5" t="s">
        <v>103</v>
      </c>
      <c r="C58" s="5" t="s">
        <v>75</v>
      </c>
      <c r="D58" s="6" t="s">
        <v>250</v>
      </c>
      <c r="E58" s="6" t="s">
        <v>112</v>
      </c>
      <c r="F58" s="6" t="s">
        <v>430</v>
      </c>
    </row>
    <row r="59" spans="1:13">
      <c r="B59" s="5" t="s">
        <v>125</v>
      </c>
      <c r="C59" s="5" t="s">
        <v>75</v>
      </c>
      <c r="D59" s="6" t="s">
        <v>249</v>
      </c>
      <c r="E59" s="6" t="s">
        <v>119</v>
      </c>
      <c r="F59" s="6" t="s">
        <v>431</v>
      </c>
    </row>
    <row r="60" spans="1:13">
      <c r="B60" s="5" t="s">
        <v>151</v>
      </c>
      <c r="C60" s="5" t="s">
        <v>75</v>
      </c>
      <c r="D60" s="6" t="s">
        <v>248</v>
      </c>
      <c r="E60" s="6" t="s">
        <v>155</v>
      </c>
      <c r="F60" s="6" t="s">
        <v>432</v>
      </c>
    </row>
    <row r="62" spans="1:13" ht="16">
      <c r="B62" s="14" t="s">
        <v>74</v>
      </c>
      <c r="C62" s="14"/>
    </row>
    <row r="63" spans="1:13" ht="14">
      <c r="B63" s="15"/>
      <c r="C63" s="16" t="s">
        <v>75</v>
      </c>
    </row>
    <row r="64" spans="1:13" ht="14">
      <c r="B64" s="17" t="s">
        <v>76</v>
      </c>
      <c r="C64" s="17" t="s">
        <v>77</v>
      </c>
      <c r="D64" s="17" t="s">
        <v>479</v>
      </c>
      <c r="E64" s="17" t="s">
        <v>301</v>
      </c>
      <c r="F64" s="17" t="s">
        <v>79</v>
      </c>
    </row>
    <row r="65" spans="2:6">
      <c r="B65" s="5" t="s">
        <v>427</v>
      </c>
      <c r="C65" s="5" t="s">
        <v>75</v>
      </c>
      <c r="D65" s="6" t="s">
        <v>86</v>
      </c>
      <c r="E65" s="6" t="s">
        <v>40</v>
      </c>
      <c r="F65" s="6" t="s">
        <v>433</v>
      </c>
    </row>
    <row r="66" spans="2:6">
      <c r="B66" s="5" t="s">
        <v>239</v>
      </c>
      <c r="C66" s="5" t="s">
        <v>75</v>
      </c>
      <c r="D66" s="6" t="s">
        <v>86</v>
      </c>
      <c r="E66" s="6" t="s">
        <v>243</v>
      </c>
      <c r="F66" s="6" t="s">
        <v>434</v>
      </c>
    </row>
    <row r="67" spans="2:6">
      <c r="B67" s="5" t="s">
        <v>197</v>
      </c>
      <c r="C67" s="5" t="s">
        <v>75</v>
      </c>
      <c r="D67" s="6" t="s">
        <v>251</v>
      </c>
      <c r="E67" s="6" t="s">
        <v>60</v>
      </c>
      <c r="F67" s="6" t="s">
        <v>435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2:J32"/>
    <mergeCell ref="A38:J38"/>
    <mergeCell ref="A44:J44"/>
    <mergeCell ref="A48:J48"/>
    <mergeCell ref="B3:B4"/>
    <mergeCell ref="A9:J9"/>
    <mergeCell ref="A13:J13"/>
    <mergeCell ref="A18:J18"/>
    <mergeCell ref="A22:J22"/>
    <mergeCell ref="A25:J25"/>
    <mergeCell ref="A28:J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21"/>
  <sheetViews>
    <sheetView workbookViewId="0">
      <selection activeCell="E21" sqref="E21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0.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44" t="s">
        <v>448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14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168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9" t="s">
        <v>89</v>
      </c>
      <c r="B6" s="8" t="s">
        <v>391</v>
      </c>
      <c r="C6" s="8" t="s">
        <v>392</v>
      </c>
      <c r="D6" s="8" t="s">
        <v>393</v>
      </c>
      <c r="E6" s="8" t="s">
        <v>507</v>
      </c>
      <c r="F6" s="8" t="s">
        <v>128</v>
      </c>
      <c r="G6" s="18" t="s">
        <v>106</v>
      </c>
      <c r="H6" s="18" t="s">
        <v>107</v>
      </c>
      <c r="I6" s="18" t="s">
        <v>108</v>
      </c>
      <c r="J6" s="9"/>
      <c r="K6" s="9" t="str">
        <f>"95,0"</f>
        <v>95,0</v>
      </c>
      <c r="L6" s="9" t="str">
        <f>"103,5310"</f>
        <v>103,5310</v>
      </c>
      <c r="M6" s="8" t="s">
        <v>488</v>
      </c>
    </row>
    <row r="7" spans="1:13">
      <c r="B7" s="5" t="s">
        <v>10</v>
      </c>
    </row>
    <row r="8" spans="1:13" ht="16">
      <c r="A8" s="34" t="s">
        <v>178</v>
      </c>
      <c r="B8" s="34"/>
      <c r="C8" s="35"/>
      <c r="D8" s="35"/>
      <c r="E8" s="35"/>
      <c r="F8" s="35"/>
      <c r="G8" s="35"/>
      <c r="H8" s="35"/>
      <c r="I8" s="35"/>
      <c r="J8" s="35"/>
    </row>
    <row r="9" spans="1:13">
      <c r="A9" s="9" t="s">
        <v>89</v>
      </c>
      <c r="B9" s="8" t="s">
        <v>394</v>
      </c>
      <c r="C9" s="8" t="s">
        <v>395</v>
      </c>
      <c r="D9" s="8" t="s">
        <v>396</v>
      </c>
      <c r="E9" s="8" t="s">
        <v>507</v>
      </c>
      <c r="F9" s="8" t="s">
        <v>128</v>
      </c>
      <c r="G9" s="18" t="s">
        <v>112</v>
      </c>
      <c r="H9" s="18" t="s">
        <v>23</v>
      </c>
      <c r="I9" s="18" t="s">
        <v>167</v>
      </c>
      <c r="J9" s="9"/>
      <c r="K9" s="9" t="str">
        <f>"140,0"</f>
        <v>140,0</v>
      </c>
      <c r="L9" s="9" t="str">
        <f>"100,8980"</f>
        <v>100,8980</v>
      </c>
      <c r="M9" s="8" t="s">
        <v>488</v>
      </c>
    </row>
    <row r="10" spans="1:13">
      <c r="B10" s="5" t="s">
        <v>10</v>
      </c>
    </row>
    <row r="11" spans="1:13" ht="16">
      <c r="A11" s="34" t="s">
        <v>29</v>
      </c>
      <c r="B11" s="34"/>
      <c r="C11" s="35"/>
      <c r="D11" s="35"/>
      <c r="E11" s="35"/>
      <c r="F11" s="35"/>
      <c r="G11" s="35"/>
      <c r="H11" s="35"/>
      <c r="I11" s="35"/>
      <c r="J11" s="35"/>
    </row>
    <row r="12" spans="1:13">
      <c r="A12" s="11" t="s">
        <v>89</v>
      </c>
      <c r="B12" s="10" t="s">
        <v>397</v>
      </c>
      <c r="C12" s="10" t="s">
        <v>398</v>
      </c>
      <c r="D12" s="10" t="s">
        <v>399</v>
      </c>
      <c r="E12" s="10" t="s">
        <v>507</v>
      </c>
      <c r="F12" s="10" t="s">
        <v>46</v>
      </c>
      <c r="G12" s="21" t="s">
        <v>63</v>
      </c>
      <c r="H12" s="20" t="s">
        <v>63</v>
      </c>
      <c r="I12" s="21" t="s">
        <v>41</v>
      </c>
      <c r="J12" s="11"/>
      <c r="K12" s="11" t="str">
        <f>"260,0"</f>
        <v>260,0</v>
      </c>
      <c r="L12" s="11" t="str">
        <f>"166,4520"</f>
        <v>166,4520</v>
      </c>
      <c r="M12" s="10"/>
    </row>
    <row r="13" spans="1:13">
      <c r="A13" s="25" t="s">
        <v>91</v>
      </c>
      <c r="B13" s="24" t="s">
        <v>400</v>
      </c>
      <c r="C13" s="24" t="s">
        <v>401</v>
      </c>
      <c r="D13" s="24" t="s">
        <v>402</v>
      </c>
      <c r="E13" s="24" t="s">
        <v>507</v>
      </c>
      <c r="F13" s="24" t="s">
        <v>128</v>
      </c>
      <c r="G13" s="26" t="s">
        <v>27</v>
      </c>
      <c r="H13" s="27" t="s">
        <v>60</v>
      </c>
      <c r="I13" s="27" t="s">
        <v>52</v>
      </c>
      <c r="J13" s="25"/>
      <c r="K13" s="25" t="str">
        <f>"220,0"</f>
        <v>220,0</v>
      </c>
      <c r="L13" s="25" t="str">
        <f>"144,8260"</f>
        <v>144,8260</v>
      </c>
      <c r="M13" s="24" t="s">
        <v>478</v>
      </c>
    </row>
    <row r="14" spans="1:13">
      <c r="A14" s="25" t="s">
        <v>252</v>
      </c>
      <c r="B14" s="24" t="s">
        <v>403</v>
      </c>
      <c r="C14" s="24" t="s">
        <v>404</v>
      </c>
      <c r="D14" s="24" t="s">
        <v>218</v>
      </c>
      <c r="E14" s="24" t="s">
        <v>507</v>
      </c>
      <c r="F14" s="24" t="s">
        <v>128</v>
      </c>
      <c r="G14" s="26" t="s">
        <v>167</v>
      </c>
      <c r="H14" s="26" t="s">
        <v>55</v>
      </c>
      <c r="I14" s="26" t="s">
        <v>37</v>
      </c>
      <c r="J14" s="25"/>
      <c r="K14" s="25" t="str">
        <f>"175,0"</f>
        <v>175,0</v>
      </c>
      <c r="L14" s="25" t="str">
        <f>"116,9875"</f>
        <v>116,9875</v>
      </c>
      <c r="M14" s="24" t="s">
        <v>488</v>
      </c>
    </row>
    <row r="15" spans="1:13">
      <c r="A15" s="13" t="s">
        <v>89</v>
      </c>
      <c r="B15" s="12" t="s">
        <v>400</v>
      </c>
      <c r="C15" s="12" t="s">
        <v>457</v>
      </c>
      <c r="D15" s="12" t="s">
        <v>402</v>
      </c>
      <c r="E15" s="12" t="s">
        <v>510</v>
      </c>
      <c r="F15" s="12" t="s">
        <v>128</v>
      </c>
      <c r="G15" s="22" t="s">
        <v>27</v>
      </c>
      <c r="H15" s="23" t="s">
        <v>60</v>
      </c>
      <c r="I15" s="23" t="s">
        <v>52</v>
      </c>
      <c r="J15" s="13"/>
      <c r="K15" s="13" t="str">
        <f>"220,0"</f>
        <v>220,0</v>
      </c>
      <c r="L15" s="13" t="str">
        <f>"144,8260"</f>
        <v>144,8260</v>
      </c>
      <c r="M15" s="12" t="s">
        <v>478</v>
      </c>
    </row>
    <row r="16" spans="1:13">
      <c r="B16" s="5" t="s">
        <v>10</v>
      </c>
    </row>
    <row r="17" spans="1:13" ht="16">
      <c r="A17" s="34" t="s">
        <v>67</v>
      </c>
      <c r="B17" s="34"/>
      <c r="C17" s="35"/>
      <c r="D17" s="35"/>
      <c r="E17" s="35"/>
      <c r="F17" s="35"/>
      <c r="G17" s="35"/>
      <c r="H17" s="35"/>
      <c r="I17" s="35"/>
      <c r="J17" s="35"/>
    </row>
    <row r="18" spans="1:13">
      <c r="A18" s="11" t="s">
        <v>89</v>
      </c>
      <c r="B18" s="10" t="s">
        <v>68</v>
      </c>
      <c r="C18" s="10" t="s">
        <v>69</v>
      </c>
      <c r="D18" s="10" t="s">
        <v>70</v>
      </c>
      <c r="E18" s="10" t="s">
        <v>507</v>
      </c>
      <c r="F18" s="10" t="s">
        <v>46</v>
      </c>
      <c r="G18" s="20" t="s">
        <v>63</v>
      </c>
      <c r="H18" s="20" t="s">
        <v>56</v>
      </c>
      <c r="I18" s="20" t="s">
        <v>73</v>
      </c>
      <c r="J18" s="11"/>
      <c r="K18" s="11" t="str">
        <f>"280,0"</f>
        <v>280,0</v>
      </c>
      <c r="L18" s="11" t="str">
        <f>"166,0400"</f>
        <v>166,0400</v>
      </c>
      <c r="M18" s="10"/>
    </row>
    <row r="19" spans="1:13">
      <c r="A19" s="25" t="s">
        <v>91</v>
      </c>
      <c r="B19" s="24" t="s">
        <v>276</v>
      </c>
      <c r="C19" s="24" t="s">
        <v>277</v>
      </c>
      <c r="D19" s="24" t="s">
        <v>278</v>
      </c>
      <c r="E19" s="24" t="s">
        <v>507</v>
      </c>
      <c r="F19" s="24" t="s">
        <v>279</v>
      </c>
      <c r="G19" s="26" t="s">
        <v>242</v>
      </c>
      <c r="H19" s="26" t="s">
        <v>40</v>
      </c>
      <c r="I19" s="27" t="s">
        <v>65</v>
      </c>
      <c r="J19" s="25"/>
      <c r="K19" s="25" t="str">
        <f>"265,0"</f>
        <v>265,0</v>
      </c>
      <c r="L19" s="25" t="str">
        <f>"157,3305"</f>
        <v>157,3305</v>
      </c>
      <c r="M19" s="24"/>
    </row>
    <row r="20" spans="1:13">
      <c r="A20" s="13" t="s">
        <v>252</v>
      </c>
      <c r="B20" s="12" t="s">
        <v>405</v>
      </c>
      <c r="C20" s="12" t="s">
        <v>406</v>
      </c>
      <c r="D20" s="12" t="s">
        <v>407</v>
      </c>
      <c r="E20" s="12" t="s">
        <v>507</v>
      </c>
      <c r="F20" s="12" t="s">
        <v>128</v>
      </c>
      <c r="G20" s="22" t="s">
        <v>52</v>
      </c>
      <c r="H20" s="22" t="s">
        <v>39</v>
      </c>
      <c r="I20" s="23" t="s">
        <v>40</v>
      </c>
      <c r="J20" s="13"/>
      <c r="K20" s="13" t="str">
        <f>"255,0"</f>
        <v>255,0</v>
      </c>
      <c r="L20" s="13" t="str">
        <f>"150,2715"</f>
        <v>150,2715</v>
      </c>
      <c r="M20" s="12" t="s">
        <v>488</v>
      </c>
    </row>
    <row r="21" spans="1:13">
      <c r="B21" s="5" t="s">
        <v>10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7:J17"/>
    <mergeCell ref="B3:B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2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0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4" t="s">
        <v>446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14</v>
      </c>
      <c r="H3" s="38"/>
      <c r="I3" s="38"/>
      <c r="J3" s="38"/>
      <c r="K3" s="38" t="s">
        <v>306</v>
      </c>
      <c r="L3" s="38" t="s">
        <v>3</v>
      </c>
      <c r="M3" s="40" t="s">
        <v>2</v>
      </c>
    </row>
    <row r="4" spans="1:13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29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9" t="s">
        <v>89</v>
      </c>
      <c r="B6" s="8" t="s">
        <v>436</v>
      </c>
      <c r="C6" s="8" t="s">
        <v>454</v>
      </c>
      <c r="D6" s="8" t="s">
        <v>437</v>
      </c>
      <c r="E6" s="8" t="s">
        <v>510</v>
      </c>
      <c r="F6" s="8" t="s">
        <v>46</v>
      </c>
      <c r="G6" s="18" t="s">
        <v>41</v>
      </c>
      <c r="H6" s="18" t="s">
        <v>438</v>
      </c>
      <c r="I6" s="18" t="s">
        <v>439</v>
      </c>
      <c r="J6" s="9"/>
      <c r="K6" s="9" t="str">
        <f>"302,5"</f>
        <v>302,5</v>
      </c>
      <c r="L6" s="9" t="str">
        <f>"195,1427"</f>
        <v>195,1427</v>
      </c>
      <c r="M6" s="8" t="s">
        <v>485</v>
      </c>
    </row>
    <row r="7" spans="1:13">
      <c r="B7" s="5" t="s">
        <v>10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8.6640625" style="5" bestFit="1" customWidth="1"/>
    <col min="4" max="4" width="20.83203125" style="5" bestFit="1" customWidth="1"/>
    <col min="5" max="5" width="15.1640625" style="5" bestFit="1" customWidth="1"/>
    <col min="6" max="6" width="16.83203125" style="5" bestFit="1" customWidth="1"/>
    <col min="7" max="9" width="5.5" style="6" customWidth="1"/>
    <col min="10" max="10" width="4.5" style="6" customWidth="1"/>
    <col min="11" max="11" width="11" style="6" customWidth="1"/>
    <col min="12" max="12" width="14.6640625" style="6" customWidth="1"/>
    <col min="13" max="13" width="7.6640625" style="6" bestFit="1" customWidth="1"/>
    <col min="14" max="14" width="9.5" style="6" bestFit="1" customWidth="1"/>
    <col min="15" max="15" width="16.83203125" style="5" customWidth="1"/>
    <col min="16" max="16384" width="9.1640625" style="3"/>
  </cols>
  <sheetData>
    <row r="1" spans="1:15" s="2" customFormat="1" ht="29" customHeight="1">
      <c r="A1" s="44" t="s">
        <v>444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5" s="1" customFormat="1" ht="12.75" customHeight="1">
      <c r="A3" s="52" t="s">
        <v>11</v>
      </c>
      <c r="B3" s="36" t="s">
        <v>0</v>
      </c>
      <c r="C3" s="54" t="s">
        <v>504</v>
      </c>
      <c r="D3" s="54" t="s">
        <v>7</v>
      </c>
      <c r="E3" s="38" t="s">
        <v>505</v>
      </c>
      <c r="F3" s="38" t="s">
        <v>8</v>
      </c>
      <c r="G3" s="38" t="s">
        <v>13</v>
      </c>
      <c r="H3" s="38"/>
      <c r="I3" s="38"/>
      <c r="J3" s="38"/>
      <c r="K3" s="38" t="s">
        <v>476</v>
      </c>
      <c r="L3" s="38"/>
      <c r="M3" s="38" t="s">
        <v>1</v>
      </c>
      <c r="N3" s="38" t="s">
        <v>3</v>
      </c>
      <c r="O3" s="40" t="s">
        <v>2</v>
      </c>
    </row>
    <row r="4" spans="1:15" s="1" customFormat="1" ht="21" customHeight="1" thickBot="1">
      <c r="A4" s="53"/>
      <c r="B4" s="37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 t="s">
        <v>5</v>
      </c>
      <c r="L4" s="4" t="s">
        <v>6</v>
      </c>
      <c r="M4" s="39"/>
      <c r="N4" s="39"/>
      <c r="O4" s="41"/>
    </row>
    <row r="5" spans="1:15" ht="16">
      <c r="A5" s="42" t="s">
        <v>29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5">
      <c r="A6" s="9" t="s">
        <v>89</v>
      </c>
      <c r="B6" s="8" t="s">
        <v>441</v>
      </c>
      <c r="C6" s="8" t="s">
        <v>453</v>
      </c>
      <c r="D6" s="8" t="s">
        <v>440</v>
      </c>
      <c r="E6" s="8" t="s">
        <v>510</v>
      </c>
      <c r="F6" s="8" t="s">
        <v>46</v>
      </c>
      <c r="G6" s="18" t="s">
        <v>155</v>
      </c>
      <c r="H6" s="18" t="s">
        <v>156</v>
      </c>
      <c r="I6" s="18" t="s">
        <v>167</v>
      </c>
      <c r="J6" s="9"/>
      <c r="K6" s="9" t="s">
        <v>131</v>
      </c>
      <c r="L6" s="29">
        <v>65</v>
      </c>
      <c r="M6" s="9" t="str">
        <f>"205,0"</f>
        <v>205,0</v>
      </c>
      <c r="N6" s="9" t="str">
        <f>"6787,2200"</f>
        <v>6787,2200</v>
      </c>
      <c r="O6" s="8"/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IPL ПЛ без экипировки ДК</vt:lpstr>
      <vt:lpstr>IPL ПЛ без экипировки</vt:lpstr>
      <vt:lpstr>IPL Двоеборье без экип ДК</vt:lpstr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  <vt:lpstr>IPL Тяга однослой</vt:lpstr>
      <vt:lpstr>ФЖД Любители двоеборье 1_2 ДК</vt:lpstr>
      <vt:lpstr>ФЖД Военный жим максимум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2022-04-24T17:05:37Z</dcterms:modified>
</cp:coreProperties>
</file>