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62D42B12-3AAF-A443-9874-72DF51FEDA0B}" xr6:coauthVersionLast="45" xr6:coauthVersionMax="45" xr10:uidLastSave="{00000000-0000-0000-0000-000000000000}"/>
  <bookViews>
    <workbookView xWindow="0" yWindow="460" windowWidth="28540" windowHeight="16020" tabRatio="846" firstSheet="13" activeTab="19" xr2:uid="{00000000-000D-0000-FFFF-FFFF00000000}"/>
  </bookViews>
  <sheets>
    <sheet name="Лист19" sheetId="24" state="hidden" r:id="rId1"/>
    <sheet name="IPL ПЛ без экипировки ДК" sheetId="6" r:id="rId2"/>
    <sheet name="IPL ПЛ без экипировки" sheetId="5" r:id="rId3"/>
    <sheet name="IPL ПЛ в бинтах ДК" sheetId="8" r:id="rId4"/>
    <sheet name="IPL ПЛ в бинтах" sheetId="7" r:id="rId5"/>
    <sheet name="IPL Двоеборье без экип ДК" sheetId="22" r:id="rId6"/>
    <sheet name="IPL Двоеборье без экип" sheetId="21" r:id="rId7"/>
    <sheet name="IPL Присед без экипировки ДК" sheetId="18" r:id="rId8"/>
    <sheet name="IPL Присед без экипировки" sheetId="17" r:id="rId9"/>
    <sheet name="IPL Жим без экипировки ДК" sheetId="10" r:id="rId10"/>
    <sheet name="IPL Жим без экипировки" sheetId="9" r:id="rId11"/>
    <sheet name="IPL Жим однослой ДК" sheetId="11" r:id="rId12"/>
    <sheet name="СПР Жим софт однопетельная ДК" sheetId="26" r:id="rId13"/>
    <sheet name="СПР Жим софт однопетельная" sheetId="27" r:id="rId14"/>
    <sheet name="СПР Жим софт многопетельная" sheetId="25" r:id="rId15"/>
    <sheet name="СПР СФО" sheetId="28" r:id="rId16"/>
    <sheet name="IPL Тяга без экипировки ДК" sheetId="13" r:id="rId17"/>
    <sheet name="IPL Тяга без экипировки" sheetId="12" r:id="rId18"/>
    <sheet name="СПР Подъем на бицепс ДК" sheetId="33" r:id="rId19"/>
    <sheet name="СПР Подъем на бицепс" sheetId="34" r:id="rId20"/>
  </sheets>
  <definedNames>
    <definedName name="_FilterDatabase" localSheetId="13" hidden="1">'СПР Жим софт однопетельная'!$A$1:$K$3</definedName>
    <definedName name="_FilterDatabase" localSheetId="19" hidden="1">'СПР Подъем на бицепс'!$A$1:$K$3</definedName>
    <definedName name="_FilterDatabase" localSheetId="15" hidden="1">'СПР СФО'!$A$1:$K$3</definedName>
    <definedName name="_FilterDatabase" localSheetId="2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34" l="1"/>
  <c r="K22" i="34"/>
  <c r="L19" i="34"/>
  <c r="K19" i="34"/>
  <c r="L18" i="34"/>
  <c r="K18" i="34"/>
  <c r="L15" i="34"/>
  <c r="K15" i="34"/>
  <c r="L12" i="34"/>
  <c r="K12" i="34"/>
  <c r="L9" i="34"/>
  <c r="K9" i="34"/>
  <c r="L6" i="34"/>
  <c r="K6" i="34"/>
  <c r="L26" i="33"/>
  <c r="K26" i="33"/>
  <c r="L23" i="33"/>
  <c r="K23" i="33"/>
  <c r="L20" i="33"/>
  <c r="K20" i="33"/>
  <c r="L17" i="33"/>
  <c r="K17" i="33"/>
  <c r="L14" i="33"/>
  <c r="K14" i="33"/>
  <c r="L13" i="33"/>
  <c r="K13" i="33"/>
  <c r="L10" i="33"/>
  <c r="K10" i="33"/>
  <c r="L9" i="33"/>
  <c r="K9" i="33"/>
  <c r="L6" i="33"/>
  <c r="K6" i="33"/>
  <c r="L6" i="28"/>
  <c r="K6" i="28"/>
  <c r="L6" i="27"/>
  <c r="K6" i="27"/>
  <c r="L10" i="26"/>
  <c r="K10" i="26"/>
  <c r="L7" i="26"/>
  <c r="K7" i="26"/>
  <c r="L6" i="26"/>
  <c r="K6" i="26"/>
  <c r="L6" i="25"/>
  <c r="K6" i="25"/>
  <c r="P12" i="22"/>
  <c r="O12" i="22"/>
  <c r="P11" i="22"/>
  <c r="O11" i="22"/>
  <c r="P10" i="22"/>
  <c r="O10" i="22"/>
  <c r="P7" i="22"/>
  <c r="O7" i="22"/>
  <c r="P6" i="22"/>
  <c r="O6" i="22"/>
  <c r="P20" i="21"/>
  <c r="O20" i="21"/>
  <c r="P17" i="21"/>
  <c r="O17" i="21"/>
  <c r="P14" i="21"/>
  <c r="O14" i="21"/>
  <c r="P13" i="21"/>
  <c r="O13" i="21"/>
  <c r="P10" i="21"/>
  <c r="O10" i="21"/>
  <c r="P9" i="21"/>
  <c r="O9" i="21"/>
  <c r="P6" i="21"/>
  <c r="O6" i="21"/>
  <c r="L6" i="18"/>
  <c r="K6" i="18"/>
  <c r="L6" i="17"/>
  <c r="K6" i="17"/>
  <c r="L37" i="13"/>
  <c r="K37" i="13"/>
  <c r="L34" i="13"/>
  <c r="K34" i="13"/>
  <c r="L33" i="13"/>
  <c r="K33" i="13"/>
  <c r="L30" i="13"/>
  <c r="K30" i="13"/>
  <c r="L29" i="13"/>
  <c r="K29" i="13"/>
  <c r="L28" i="13"/>
  <c r="K28" i="13"/>
  <c r="L25" i="13"/>
  <c r="K25" i="13"/>
  <c r="L24" i="13"/>
  <c r="K24" i="13"/>
  <c r="L23" i="13"/>
  <c r="K23" i="13"/>
  <c r="L22" i="13"/>
  <c r="K22" i="13"/>
  <c r="L21" i="13"/>
  <c r="K21" i="13"/>
  <c r="L18" i="13"/>
  <c r="K18" i="13"/>
  <c r="L15" i="13"/>
  <c r="K15" i="13"/>
  <c r="L12" i="13"/>
  <c r="K12" i="13"/>
  <c r="L9" i="13"/>
  <c r="K9" i="13"/>
  <c r="L6" i="13"/>
  <c r="K6" i="13"/>
  <c r="L29" i="12"/>
  <c r="K29" i="12"/>
  <c r="L26" i="12"/>
  <c r="K26" i="12"/>
  <c r="L23" i="12"/>
  <c r="K23" i="12"/>
  <c r="L20" i="12"/>
  <c r="K20" i="12"/>
  <c r="L19" i="12"/>
  <c r="K19" i="12"/>
  <c r="L18" i="12"/>
  <c r="K18" i="12"/>
  <c r="L15" i="12"/>
  <c r="K15" i="12"/>
  <c r="L14" i="12"/>
  <c r="K14" i="12"/>
  <c r="L11" i="12"/>
  <c r="K11" i="12"/>
  <c r="L10" i="12"/>
  <c r="K10" i="12"/>
  <c r="L7" i="12"/>
  <c r="K7" i="12"/>
  <c r="L6" i="12"/>
  <c r="K6" i="12"/>
  <c r="L13" i="11"/>
  <c r="K13" i="11"/>
  <c r="L10" i="11"/>
  <c r="K10" i="11"/>
  <c r="L7" i="11"/>
  <c r="K7" i="11"/>
  <c r="L6" i="11"/>
  <c r="K6" i="11"/>
  <c r="L74" i="10"/>
  <c r="K74" i="10"/>
  <c r="L73" i="10"/>
  <c r="K73" i="10"/>
  <c r="L70" i="10"/>
  <c r="K70" i="10"/>
  <c r="L69" i="10"/>
  <c r="K69" i="10"/>
  <c r="L68" i="10"/>
  <c r="K68" i="10"/>
  <c r="L67" i="10"/>
  <c r="K67" i="10"/>
  <c r="L64" i="10"/>
  <c r="K64" i="10"/>
  <c r="L63" i="10"/>
  <c r="K63" i="10"/>
  <c r="L62" i="10"/>
  <c r="K62" i="10"/>
  <c r="L61" i="10"/>
  <c r="K61" i="10"/>
  <c r="L60" i="10"/>
  <c r="K60" i="10"/>
  <c r="L57" i="10"/>
  <c r="K57" i="10"/>
  <c r="L56" i="10"/>
  <c r="K56" i="10"/>
  <c r="L55" i="10"/>
  <c r="K55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4" i="10"/>
  <c r="K44" i="10"/>
  <c r="L43" i="10"/>
  <c r="K43" i="10"/>
  <c r="L42" i="10"/>
  <c r="K42" i="10"/>
  <c r="L39" i="10"/>
  <c r="K39" i="10"/>
  <c r="L38" i="10"/>
  <c r="K38" i="10"/>
  <c r="L37" i="10"/>
  <c r="K37" i="10"/>
  <c r="L36" i="10"/>
  <c r="K36" i="10"/>
  <c r="L33" i="10"/>
  <c r="K33" i="10"/>
  <c r="L30" i="10"/>
  <c r="K30" i="10"/>
  <c r="L27" i="10"/>
  <c r="K27" i="10"/>
  <c r="L24" i="10"/>
  <c r="K24" i="10"/>
  <c r="L23" i="10"/>
  <c r="K23" i="10"/>
  <c r="L22" i="10"/>
  <c r="K22" i="10"/>
  <c r="L21" i="10"/>
  <c r="K21" i="10"/>
  <c r="L20" i="10"/>
  <c r="K20" i="10"/>
  <c r="L17" i="10"/>
  <c r="K17" i="10"/>
  <c r="L16" i="10"/>
  <c r="K16" i="10"/>
  <c r="L15" i="10"/>
  <c r="K15" i="10"/>
  <c r="L12" i="10"/>
  <c r="K12" i="10"/>
  <c r="L11" i="10"/>
  <c r="K11" i="10"/>
  <c r="L10" i="10"/>
  <c r="K10" i="10"/>
  <c r="L9" i="10"/>
  <c r="K9" i="10"/>
  <c r="L6" i="10"/>
  <c r="K6" i="10"/>
  <c r="L47" i="9"/>
  <c r="F55" i="9" s="1"/>
  <c r="K47" i="9"/>
  <c r="L44" i="9"/>
  <c r="K44" i="9"/>
  <c r="L43" i="9"/>
  <c r="K43" i="9"/>
  <c r="L40" i="9"/>
  <c r="K40" i="9"/>
  <c r="L39" i="9"/>
  <c r="K39" i="9"/>
  <c r="L38" i="9"/>
  <c r="K38" i="9"/>
  <c r="L37" i="9"/>
  <c r="K37" i="9"/>
  <c r="L34" i="9"/>
  <c r="K34" i="9"/>
  <c r="L33" i="9"/>
  <c r="K33" i="9"/>
  <c r="L32" i="9"/>
  <c r="K32" i="9"/>
  <c r="L31" i="9"/>
  <c r="K31" i="9"/>
  <c r="L30" i="9"/>
  <c r="F57" i="9" s="1"/>
  <c r="K30" i="9"/>
  <c r="L27" i="9"/>
  <c r="K27" i="9"/>
  <c r="L26" i="9"/>
  <c r="K26" i="9"/>
  <c r="L25" i="9"/>
  <c r="K25" i="9"/>
  <c r="L24" i="9"/>
  <c r="F56" i="9" s="1"/>
  <c r="K24" i="9"/>
  <c r="L21" i="9"/>
  <c r="K21" i="9"/>
  <c r="L20" i="9"/>
  <c r="K20" i="9"/>
  <c r="L19" i="9"/>
  <c r="K19" i="9"/>
  <c r="L16" i="9"/>
  <c r="K16" i="9"/>
  <c r="L13" i="9"/>
  <c r="K13" i="9"/>
  <c r="L12" i="9"/>
  <c r="K12" i="9"/>
  <c r="L9" i="9"/>
  <c r="K9" i="9"/>
  <c r="L6" i="9"/>
  <c r="K6" i="9"/>
  <c r="T13" i="8"/>
  <c r="S13" i="8"/>
  <c r="T10" i="8"/>
  <c r="S10" i="8"/>
  <c r="T9" i="8"/>
  <c r="S9" i="8"/>
  <c r="T6" i="8"/>
  <c r="S6" i="8"/>
  <c r="T16" i="7"/>
  <c r="S16" i="7"/>
  <c r="T13" i="7"/>
  <c r="S13" i="7"/>
  <c r="T12" i="7"/>
  <c r="S12" i="7"/>
  <c r="T9" i="7"/>
  <c r="S9" i="7"/>
  <c r="T6" i="7"/>
  <c r="S6" i="7"/>
  <c r="T40" i="6"/>
  <c r="S40" i="6"/>
  <c r="T39" i="6"/>
  <c r="S39" i="6"/>
  <c r="T36" i="6"/>
  <c r="S36" i="6"/>
  <c r="T35" i="6"/>
  <c r="S35" i="6"/>
  <c r="T34" i="6"/>
  <c r="S34" i="6"/>
  <c r="T31" i="6"/>
  <c r="S31" i="6"/>
  <c r="T28" i="6"/>
  <c r="S28" i="6"/>
  <c r="T25" i="6"/>
  <c r="S25" i="6"/>
  <c r="T22" i="6"/>
  <c r="S22" i="6"/>
  <c r="T19" i="6"/>
  <c r="S19" i="6"/>
  <c r="T18" i="6"/>
  <c r="S18" i="6"/>
  <c r="T17" i="6"/>
  <c r="S17" i="6"/>
  <c r="T16" i="6"/>
  <c r="S16" i="6"/>
  <c r="T13" i="6"/>
  <c r="S13" i="6"/>
  <c r="T12" i="6"/>
  <c r="S12" i="6"/>
  <c r="T11" i="6"/>
  <c r="S11" i="6"/>
  <c r="T10" i="6"/>
  <c r="S10" i="6"/>
  <c r="T9" i="6"/>
  <c r="S9" i="6"/>
  <c r="T6" i="6"/>
  <c r="S6" i="6"/>
  <c r="T32" i="5"/>
  <c r="S32" i="5"/>
  <c r="T31" i="5"/>
  <c r="S31" i="5"/>
  <c r="T30" i="5"/>
  <c r="S30" i="5"/>
  <c r="T27" i="5"/>
  <c r="S27" i="5"/>
  <c r="T26" i="5"/>
  <c r="S26" i="5"/>
  <c r="T23" i="5"/>
  <c r="S23" i="5"/>
  <c r="T22" i="5"/>
  <c r="S22" i="5"/>
  <c r="T19" i="5"/>
  <c r="S19" i="5"/>
  <c r="T18" i="5"/>
  <c r="S18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<sst xmlns="http://schemas.openxmlformats.org/spreadsheetml/2006/main" count="2115" uniqueCount="672">
  <si>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</si>
  <si>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</si>
  <si>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</si>
  <si>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</si>
  <si>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</si>
  <si>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</si>
  <si>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</si>
  <si>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</si>
  <si>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</si>
  <si>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</si>
  <si>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</si>
  <si>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</si>
  <si>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</si>
  <si>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</si>
  <si>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</si>
  <si>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</si>
  <si>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Ежова Ангелина</t>
  </si>
  <si>
    <t>Открытая (27.06.1985)/36</t>
  </si>
  <si>
    <t>51,50</t>
  </si>
  <si>
    <t xml:space="preserve">Арзамас/Нижегородская область </t>
  </si>
  <si>
    <t>80,0</t>
  </si>
  <si>
    <t>85,0</t>
  </si>
  <si>
    <t>55,0</t>
  </si>
  <si>
    <t>57,5</t>
  </si>
  <si>
    <t>100,0</t>
  </si>
  <si>
    <t>105,0</t>
  </si>
  <si>
    <t>110,0</t>
  </si>
  <si>
    <t>ВЕСОВАЯ КАТЕГОРИЯ   75</t>
  </si>
  <si>
    <t>Белова Елена</t>
  </si>
  <si>
    <t>Открытая (28.06.1993)/28</t>
  </si>
  <si>
    <t>73,30</t>
  </si>
  <si>
    <t xml:space="preserve">Городец/Нижегородская область </t>
  </si>
  <si>
    <t>120,0</t>
  </si>
  <si>
    <t>132,5</t>
  </si>
  <si>
    <t>140,0</t>
  </si>
  <si>
    <t>70,0</t>
  </si>
  <si>
    <t>135,0</t>
  </si>
  <si>
    <t>145,0</t>
  </si>
  <si>
    <t>ВЕСОВАЯ КАТЕГОРИЯ   90</t>
  </si>
  <si>
    <t>Кузьмина Наталья</t>
  </si>
  <si>
    <t>89,60</t>
  </si>
  <si>
    <t xml:space="preserve">Нижний Новгород/Нижегородская </t>
  </si>
  <si>
    <t>50,0</t>
  </si>
  <si>
    <t>60,0</t>
  </si>
  <si>
    <t>30,0</t>
  </si>
  <si>
    <t>32,5</t>
  </si>
  <si>
    <t>35,0</t>
  </si>
  <si>
    <t>90,0</t>
  </si>
  <si>
    <t>95,0</t>
  </si>
  <si>
    <t>ВЕСОВАЯ КАТЕГОРИЯ   67.5</t>
  </si>
  <si>
    <t>Ерофеев Сергей</t>
  </si>
  <si>
    <t>67,20</t>
  </si>
  <si>
    <t>125,0</t>
  </si>
  <si>
    <t>92,5</t>
  </si>
  <si>
    <t>97,5</t>
  </si>
  <si>
    <t>130,0</t>
  </si>
  <si>
    <t>150,0</t>
  </si>
  <si>
    <t>160,0</t>
  </si>
  <si>
    <t>ВЕСОВАЯ КАТЕГОРИЯ   82.5</t>
  </si>
  <si>
    <t>Сытин Константин</t>
  </si>
  <si>
    <t>Юноши 15-19 (28.08.2004)/17</t>
  </si>
  <si>
    <t>79,50</t>
  </si>
  <si>
    <t>165,0</t>
  </si>
  <si>
    <t>172,5</t>
  </si>
  <si>
    <t>175,0</t>
  </si>
  <si>
    <t>180,0</t>
  </si>
  <si>
    <t>190,0</t>
  </si>
  <si>
    <t>195,0</t>
  </si>
  <si>
    <t>Холодов Максим</t>
  </si>
  <si>
    <t>82,40</t>
  </si>
  <si>
    <t>107,5</t>
  </si>
  <si>
    <t>170,0</t>
  </si>
  <si>
    <t>Жаднов Евгений</t>
  </si>
  <si>
    <t>Открытая (11.06.1996)/25</t>
  </si>
  <si>
    <t>89,70</t>
  </si>
  <si>
    <t xml:space="preserve">Ковров/Владимирская область </t>
  </si>
  <si>
    <t>225,0</t>
  </si>
  <si>
    <t>240,0</t>
  </si>
  <si>
    <t>245,0</t>
  </si>
  <si>
    <t>255,0</t>
  </si>
  <si>
    <t>Мешалкин Артур</t>
  </si>
  <si>
    <t>Открытая (23.08.1996)/25</t>
  </si>
  <si>
    <t>88,50</t>
  </si>
  <si>
    <t>200,0</t>
  </si>
  <si>
    <t>207,5</t>
  </si>
  <si>
    <t>ВЕСОВАЯ КАТЕГОРИЯ   100</t>
  </si>
  <si>
    <t>Кострюков Константин</t>
  </si>
  <si>
    <t>Открытая (24.11.1991)/30</t>
  </si>
  <si>
    <t>97,40</t>
  </si>
  <si>
    <t>210,0</t>
  </si>
  <si>
    <t>220,0</t>
  </si>
  <si>
    <t>235,0</t>
  </si>
  <si>
    <t>250,0</t>
  </si>
  <si>
    <t>Маюров Андрей</t>
  </si>
  <si>
    <t>Открытая (26.10.1994)/27</t>
  </si>
  <si>
    <t>91,50</t>
  </si>
  <si>
    <t>157,5</t>
  </si>
  <si>
    <t>115,0</t>
  </si>
  <si>
    <t>122,5</t>
  </si>
  <si>
    <t>127,5</t>
  </si>
  <si>
    <t>177,5</t>
  </si>
  <si>
    <t>185,0</t>
  </si>
  <si>
    <t>ВЕСОВАЯ КАТЕГОРИЯ   110</t>
  </si>
  <si>
    <t>Яруков Станислав</t>
  </si>
  <si>
    <t>Открытая (12.07.1990)/31</t>
  </si>
  <si>
    <t>100,30</t>
  </si>
  <si>
    <t xml:space="preserve">Вязники/Владимирская область </t>
  </si>
  <si>
    <t>215,0</t>
  </si>
  <si>
    <t>222,5</t>
  </si>
  <si>
    <t>230,0</t>
  </si>
  <si>
    <t>142,5</t>
  </si>
  <si>
    <t>155,0</t>
  </si>
  <si>
    <t>295,0</t>
  </si>
  <si>
    <t>310,0</t>
  </si>
  <si>
    <t>320,0</t>
  </si>
  <si>
    <t>Воронин Александр</t>
  </si>
  <si>
    <t>Открытая (26.03.1995)/27</t>
  </si>
  <si>
    <t>108,00</t>
  </si>
  <si>
    <t>280,0</t>
  </si>
  <si>
    <t>Шишкин Александр</t>
  </si>
  <si>
    <t>101,70</t>
  </si>
  <si>
    <t>257,5</t>
  </si>
  <si>
    <t>262,5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</si>
  <si>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</si>
  <si>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</si>
  <si>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</si>
  <si>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</si>
  <si>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</si>
  <si>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</si>
  <si>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</si>
  <si>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</si>
  <si>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182,5</t>
  </si>
  <si>
    <t xml:space="preserve">Мужчины </t>
  </si>
  <si>
    <t>ВЕСОВАЯ КАТЕГОРИЯ   48</t>
  </si>
  <si>
    <t>Михайлова Ольга</t>
  </si>
  <si>
    <t>Открытая (07.07.1990)/31</t>
  </si>
  <si>
    <t>47,60</t>
  </si>
  <si>
    <t>40,0</t>
  </si>
  <si>
    <t>ВЕСОВАЯ КАТЕГОРИЯ   56</t>
  </si>
  <si>
    <t>Данилова Арина</t>
  </si>
  <si>
    <t>53,90</t>
  </si>
  <si>
    <t>102,5</t>
  </si>
  <si>
    <t>117,5</t>
  </si>
  <si>
    <t>Открытая (20.01.2002)/20</t>
  </si>
  <si>
    <t>Першина Наталья</t>
  </si>
  <si>
    <t>Открытая (07.05.1988)/34</t>
  </si>
  <si>
    <t>54,10</t>
  </si>
  <si>
    <t>Сидорова Ксения</t>
  </si>
  <si>
    <t>Открытая (20.06.1994)/27</t>
  </si>
  <si>
    <t>54,90</t>
  </si>
  <si>
    <t>52,5</t>
  </si>
  <si>
    <t>Медникова Мария</t>
  </si>
  <si>
    <t>Открытая (13.04.1992)/30</t>
  </si>
  <si>
    <t>52,70</t>
  </si>
  <si>
    <t>75,0</t>
  </si>
  <si>
    <t>112,5</t>
  </si>
  <si>
    <t>ВЕСОВАЯ КАТЕГОРИЯ   60</t>
  </si>
  <si>
    <t>Замцалина Ольга</t>
  </si>
  <si>
    <t>59,20</t>
  </si>
  <si>
    <t>65,0</t>
  </si>
  <si>
    <t>67,5</t>
  </si>
  <si>
    <t>Морозова Анастасия</t>
  </si>
  <si>
    <t>Открытая (06.12.1995)/26</t>
  </si>
  <si>
    <t>59,10</t>
  </si>
  <si>
    <t xml:space="preserve">Балахна/Нижегородская область </t>
  </si>
  <si>
    <t>Открытая (30.04.2001)/21</t>
  </si>
  <si>
    <t>Синицкая Ольга</t>
  </si>
  <si>
    <t>59,30</t>
  </si>
  <si>
    <t>Мартьянцева Ирина</t>
  </si>
  <si>
    <t>Открытая (20.12.1989)/32</t>
  </si>
  <si>
    <t>62,80</t>
  </si>
  <si>
    <t>37,5</t>
  </si>
  <si>
    <t>42,5</t>
  </si>
  <si>
    <t>Лашманов Дмитрий</t>
  </si>
  <si>
    <t>Открытая (05.01.1996)/26</t>
  </si>
  <si>
    <t>57,90</t>
  </si>
  <si>
    <t>147,5</t>
  </si>
  <si>
    <t>152,5</t>
  </si>
  <si>
    <t>Шарафиев Наиль</t>
  </si>
  <si>
    <t>Открытая (27.08.1984)/37</t>
  </si>
  <si>
    <t>74,80</t>
  </si>
  <si>
    <t>217,5</t>
  </si>
  <si>
    <t>242,5</t>
  </si>
  <si>
    <t>Иванов Максим</t>
  </si>
  <si>
    <t>Открытая (19.08.1993)/28</t>
  </si>
  <si>
    <t>76,20</t>
  </si>
  <si>
    <t>Смирнов Даниил</t>
  </si>
  <si>
    <t>Юноши 15-19 (25.07.2008)/13</t>
  </si>
  <si>
    <t>84,10</t>
  </si>
  <si>
    <t>Киселев Евгений</t>
  </si>
  <si>
    <t>Открытая (23.08.1988)/33</t>
  </si>
  <si>
    <t>89,90</t>
  </si>
  <si>
    <t>232,5</t>
  </si>
  <si>
    <t>Рожнов Евгений</t>
  </si>
  <si>
    <t>Открытая (30.06.1990)/31</t>
  </si>
  <si>
    <t>83,00</t>
  </si>
  <si>
    <t>205,0</t>
  </si>
  <si>
    <t>212,5</t>
  </si>
  <si>
    <t>Строкин Дмитрий</t>
  </si>
  <si>
    <t>Открытая (30.05.1991)/30</t>
  </si>
  <si>
    <t>91,60</t>
  </si>
  <si>
    <t>Ширшов Михаил</t>
  </si>
  <si>
    <t>Открытая (30.04.1987)/35</t>
  </si>
  <si>
    <t>98,90</t>
  </si>
  <si>
    <t>275,0</t>
  </si>
  <si>
    <t>290,0</t>
  </si>
  <si>
    <t>270,0</t>
  </si>
  <si>
    <t>597,5</t>
  </si>
  <si>
    <t>527,5</t>
  </si>
  <si>
    <t>525,0</t>
  </si>
  <si>
    <t>Ражев Алексей</t>
  </si>
  <si>
    <t>Юноши 15-19 (14.08.2008)/13</t>
  </si>
  <si>
    <t>66,20</t>
  </si>
  <si>
    <t>62,5</t>
  </si>
  <si>
    <t>Корепанов Даниил</t>
  </si>
  <si>
    <t>Юноши 15-19 (08.04.2006)/16</t>
  </si>
  <si>
    <t>72,10</t>
  </si>
  <si>
    <t>47,5</t>
  </si>
  <si>
    <t>Трошин Дмитрий</t>
  </si>
  <si>
    <t>Юноши 15-19 (01.04.2005)/17</t>
  </si>
  <si>
    <t>87,60</t>
  </si>
  <si>
    <t>Костылев Андрей</t>
  </si>
  <si>
    <t>Открытая (06.08.1996)/25</t>
  </si>
  <si>
    <t>89,80</t>
  </si>
  <si>
    <t>162,5</t>
  </si>
  <si>
    <t>167,5</t>
  </si>
  <si>
    <t>Борисов Александр</t>
  </si>
  <si>
    <t>Открытая (03.06.1997)/24</t>
  </si>
  <si>
    <t>88,90</t>
  </si>
  <si>
    <t>Айрапетян Армен</t>
  </si>
  <si>
    <t>Открытая (20.06.1986)/35</t>
  </si>
  <si>
    <t>105,00</t>
  </si>
  <si>
    <t xml:space="preserve">Кстово/Нижегородская область </t>
  </si>
  <si>
    <t>Фриман Кристина</t>
  </si>
  <si>
    <t>Открытая (07.12.1989)/32</t>
  </si>
  <si>
    <t>47,90</t>
  </si>
  <si>
    <t>82,5</t>
  </si>
  <si>
    <t>87,5</t>
  </si>
  <si>
    <t>Голявин Илья</t>
  </si>
  <si>
    <t>Открытая (14.08.1993)/28</t>
  </si>
  <si>
    <t>81,60</t>
  </si>
  <si>
    <t>237,5</t>
  </si>
  <si>
    <t>137,5</t>
  </si>
  <si>
    <t>Ахматов Илья</t>
  </si>
  <si>
    <t>Открытая (27.06.2004)/17</t>
  </si>
  <si>
    <t>80,00</t>
  </si>
  <si>
    <t>Галактионов Дмитрий</t>
  </si>
  <si>
    <t>Открытая (10.01.1983)/39</t>
  </si>
  <si>
    <t>Волков Александр</t>
  </si>
  <si>
    <t>Юноши 15-19 (05.05.2011)/11</t>
  </si>
  <si>
    <t>52,60</t>
  </si>
  <si>
    <t xml:space="preserve">Нижний Новгород/Нижегородская область </t>
  </si>
  <si>
    <t>25,0</t>
  </si>
  <si>
    <t>Солдатенков Сергей</t>
  </si>
  <si>
    <t>Юноши 15-19 (10.07.2006)/15</t>
  </si>
  <si>
    <t>59,00</t>
  </si>
  <si>
    <t xml:space="preserve">Чкаловск/Нижегородская область </t>
  </si>
  <si>
    <t>Купрюшин Андрей</t>
  </si>
  <si>
    <t>Открытая (17.05.1997)/25</t>
  </si>
  <si>
    <t>57,40</t>
  </si>
  <si>
    <t>Жуков Виталий</t>
  </si>
  <si>
    <t>Юноши 15-19 (21.03.2006)/16</t>
  </si>
  <si>
    <t>70,00</t>
  </si>
  <si>
    <t>77,5</t>
  </si>
  <si>
    <t>Буханцев Антон</t>
  </si>
  <si>
    <t>Открытая (22.06.1991)/30</t>
  </si>
  <si>
    <t>80,50</t>
  </si>
  <si>
    <t xml:space="preserve">Москва </t>
  </si>
  <si>
    <t>Цветков Евгений</t>
  </si>
  <si>
    <t>Открытая (03.07.1994)/27</t>
  </si>
  <si>
    <t>81,10</t>
  </si>
  <si>
    <t>Баранцев Михаил</t>
  </si>
  <si>
    <t>Открытая (07.10.1984)/37</t>
  </si>
  <si>
    <t>81,80</t>
  </si>
  <si>
    <t>Степанов Роман</t>
  </si>
  <si>
    <t>88,60</t>
  </si>
  <si>
    <t>Панкратов Максим</t>
  </si>
  <si>
    <t>Открытая (06.06.1995)/26</t>
  </si>
  <si>
    <t>187,5</t>
  </si>
  <si>
    <t>Ширяев Андрей</t>
  </si>
  <si>
    <t>Открытая (06.06.1997)/24</t>
  </si>
  <si>
    <t>89,10</t>
  </si>
  <si>
    <t>Шамраев Григорий</t>
  </si>
  <si>
    <t>Открытая (12.09.1991)/30</t>
  </si>
  <si>
    <t>86,10</t>
  </si>
  <si>
    <t>Сорокин Валерий</t>
  </si>
  <si>
    <t>Открытая (05.04.1986)/36</t>
  </si>
  <si>
    <t>93,80</t>
  </si>
  <si>
    <t>Николаев Максим</t>
  </si>
  <si>
    <t>Открытая (09.08.1983)/38</t>
  </si>
  <si>
    <t>97,30</t>
  </si>
  <si>
    <t>Майоров Олег</t>
  </si>
  <si>
    <t>Открытая (25.12.1987)/34</t>
  </si>
  <si>
    <t>93,60</t>
  </si>
  <si>
    <t>Пахомов Дмитрий</t>
  </si>
  <si>
    <t>94,00</t>
  </si>
  <si>
    <t xml:space="preserve">Дзержинск/Нижегородская область </t>
  </si>
  <si>
    <t>Моисеев Александр</t>
  </si>
  <si>
    <t>Открытая (11.11.1972)/49</t>
  </si>
  <si>
    <t>109,80</t>
  </si>
  <si>
    <t>192,5</t>
  </si>
  <si>
    <t>Солин Олег</t>
  </si>
  <si>
    <t>Открытая (07.11.1992)/29</t>
  </si>
  <si>
    <t>100,90</t>
  </si>
  <si>
    <t>Игнатов Андрей</t>
  </si>
  <si>
    <t>102,30</t>
  </si>
  <si>
    <t>ВЕСОВАЯ КАТЕГОРИЯ   125</t>
  </si>
  <si>
    <t>Кучеров Артём</t>
  </si>
  <si>
    <t>Открытая (18.10.1988)/33</t>
  </si>
  <si>
    <t>121,00</t>
  </si>
  <si>
    <t>Кустов Максим</t>
  </si>
  <si>
    <t>Открытая (25.03.1985)/37</t>
  </si>
  <si>
    <t>116,40</t>
  </si>
  <si>
    <t>202,5</t>
  </si>
  <si>
    <t>ВЕСОВАЯ КАТЕГОРИЯ   140</t>
  </si>
  <si>
    <t>Сидоров Александр</t>
  </si>
  <si>
    <t>Открытая (20.07.1980)/41</t>
  </si>
  <si>
    <t>129,30</t>
  </si>
  <si>
    <t xml:space="preserve">Первомайск/Нижегородская область </t>
  </si>
  <si>
    <t xml:space="preserve">Результат </t>
  </si>
  <si>
    <t>Результат</t>
  </si>
  <si>
    <t>Зеленова Дарья</t>
  </si>
  <si>
    <t>47,40</t>
  </si>
  <si>
    <t>45,0</t>
  </si>
  <si>
    <t>Кокурина Юлия</t>
  </si>
  <si>
    <t>Открытая (29.04.1982)/40</t>
  </si>
  <si>
    <t>51,00</t>
  </si>
  <si>
    <t>Будаева Галина</t>
  </si>
  <si>
    <t>Открытая (27.03.1993)/29</t>
  </si>
  <si>
    <t>52,00</t>
  </si>
  <si>
    <t>Красильникова Яна</t>
  </si>
  <si>
    <t>Открытая (28.06.1983)/38</t>
  </si>
  <si>
    <t>51,20</t>
  </si>
  <si>
    <t xml:space="preserve">Мулино/Нижегородская область </t>
  </si>
  <si>
    <t>Ремизова Юлия</t>
  </si>
  <si>
    <t>Открытая (22.10.1980)/41</t>
  </si>
  <si>
    <t>54,70</t>
  </si>
  <si>
    <t>Шахунц Евгения</t>
  </si>
  <si>
    <t>Открытая (14.04.1992)/30</t>
  </si>
  <si>
    <t>54,80</t>
  </si>
  <si>
    <t>Шишова Ирина</t>
  </si>
  <si>
    <t>Открытая (12.05.1986)/36</t>
  </si>
  <si>
    <t>58,70</t>
  </si>
  <si>
    <t>Волкова Елена</t>
  </si>
  <si>
    <t>Открытая (21.03.1983)/39</t>
  </si>
  <si>
    <t>58,40</t>
  </si>
  <si>
    <t>Булдакова Екатерина</t>
  </si>
  <si>
    <t>Открытая (17.01.1987)/35</t>
  </si>
  <si>
    <t>58,80</t>
  </si>
  <si>
    <t>Карасева Лариса</t>
  </si>
  <si>
    <t>57,20</t>
  </si>
  <si>
    <t>Костина Елена</t>
  </si>
  <si>
    <t>Открытая (13.04.1984)/38</t>
  </si>
  <si>
    <t>73,00</t>
  </si>
  <si>
    <t>72,5</t>
  </si>
  <si>
    <t>Первомайский Юрий</t>
  </si>
  <si>
    <t>Открытая (02.05.1994)/28</t>
  </si>
  <si>
    <t>Ефимов Геннадий</t>
  </si>
  <si>
    <t>Открытая (10.06.1991)/30</t>
  </si>
  <si>
    <t>67,40</t>
  </si>
  <si>
    <t>Киселев Никита</t>
  </si>
  <si>
    <t>Юноши 15-19 (08.11.2005)/16</t>
  </si>
  <si>
    <t>Горюков Илья</t>
  </si>
  <si>
    <t>Юноши 15-19 (20.07.2006)/15</t>
  </si>
  <si>
    <t>72,50</t>
  </si>
  <si>
    <t>Мольков Глеб</t>
  </si>
  <si>
    <t>Открытая (14.05.1991)/31</t>
  </si>
  <si>
    <t>73,40</t>
  </si>
  <si>
    <t>Шишов Вячеслав</t>
  </si>
  <si>
    <t>Открытая (10.12.1984)/37</t>
  </si>
  <si>
    <t>75,00</t>
  </si>
  <si>
    <t>Пилосян Артем</t>
  </si>
  <si>
    <t>Открытая (01.01.1984)/38</t>
  </si>
  <si>
    <t>Кононов Юрий</t>
  </si>
  <si>
    <t>Открытая (03.05.1987)/35</t>
  </si>
  <si>
    <t>82,30</t>
  </si>
  <si>
    <t>Птушко Владислав</t>
  </si>
  <si>
    <t>82,50</t>
  </si>
  <si>
    <t>Балясников Денис</t>
  </si>
  <si>
    <t>90,00</t>
  </si>
  <si>
    <t>Разживин Дмитрий</t>
  </si>
  <si>
    <t>Открытая (04.07.1995)/26</t>
  </si>
  <si>
    <t>88,30</t>
  </si>
  <si>
    <t>Коротков Артем</t>
  </si>
  <si>
    <t>Открытая (01.02.1998)/24</t>
  </si>
  <si>
    <t>83,10</t>
  </si>
  <si>
    <t>Чижаев Григорий</t>
  </si>
  <si>
    <t>Открытая (25.04.1994)/28</t>
  </si>
  <si>
    <t>89,20</t>
  </si>
  <si>
    <t>Литов Николай</t>
  </si>
  <si>
    <t>Открытая (14.05.1994)/28</t>
  </si>
  <si>
    <t>87,10</t>
  </si>
  <si>
    <t>Ушаков Владимир</t>
  </si>
  <si>
    <t>197,5</t>
  </si>
  <si>
    <t>Мардоян Аветин</t>
  </si>
  <si>
    <t>Открытая (02.03.1992)/30</t>
  </si>
  <si>
    <t>Шалавин Андрей</t>
  </si>
  <si>
    <t>Открытая (22.09.1984)/37</t>
  </si>
  <si>
    <t>100,00</t>
  </si>
  <si>
    <t>Ельчанинов Сергей</t>
  </si>
  <si>
    <t>Дерябин Андрей</t>
  </si>
  <si>
    <t>Открытая (07.10.1994)/27</t>
  </si>
  <si>
    <t>109,10</t>
  </si>
  <si>
    <t>Февралев Алексей</t>
  </si>
  <si>
    <t>Открытая (17.02.1985)/37</t>
  </si>
  <si>
    <t>108,30</t>
  </si>
  <si>
    <t>Лябакин Олег</t>
  </si>
  <si>
    <t>Открытая (25.07.1964)/57</t>
  </si>
  <si>
    <t>Гришков Станислав</t>
  </si>
  <si>
    <t>110,00</t>
  </si>
  <si>
    <t>Орляков Сергей</t>
  </si>
  <si>
    <t>Открытая (30.03.1983)/39</t>
  </si>
  <si>
    <t>123,30</t>
  </si>
  <si>
    <t>Тимин Сергей</t>
  </si>
  <si>
    <t>Открытая (19.05.1991)/31</t>
  </si>
  <si>
    <t>120,00</t>
  </si>
  <si>
    <t>Открытая (04.06.1978)/43</t>
  </si>
  <si>
    <t>124,80</t>
  </si>
  <si>
    <t xml:space="preserve">Бор/Нижегородская область </t>
  </si>
  <si>
    <t>Нефедов Андрей</t>
  </si>
  <si>
    <t>121,70</t>
  </si>
  <si>
    <t xml:space="preserve">Хрестин Ф. </t>
  </si>
  <si>
    <t>Карасев Николай</t>
  </si>
  <si>
    <t>113,80</t>
  </si>
  <si>
    <t>Генералов Олег</t>
  </si>
  <si>
    <t>126,40</t>
  </si>
  <si>
    <t>Шпагин Максим</t>
  </si>
  <si>
    <t>126,60</t>
  </si>
  <si>
    <t>Суртаева Оксана</t>
  </si>
  <si>
    <t>Открытая (10.03.1977)/45</t>
  </si>
  <si>
    <t>60,00</t>
  </si>
  <si>
    <t>Головкин Геннадий</t>
  </si>
  <si>
    <t>Открытая (27.02.1985)/37</t>
  </si>
  <si>
    <t>Бергерт Лев</t>
  </si>
  <si>
    <t>Открытая (13.06.1966)/55</t>
  </si>
  <si>
    <t>123,90</t>
  </si>
  <si>
    <t>Монова Анастасия</t>
  </si>
  <si>
    <t>Девушки 15-19 (22.04.2007)/15</t>
  </si>
  <si>
    <t>48,50</t>
  </si>
  <si>
    <t>Кейдина Екатерина</t>
  </si>
  <si>
    <t>50,90</t>
  </si>
  <si>
    <t>Матвеев Андрей</t>
  </si>
  <si>
    <t>Юноши 15-19 (02.01.2006)/16</t>
  </si>
  <si>
    <t>55,70</t>
  </si>
  <si>
    <t>Охотников Родион</t>
  </si>
  <si>
    <t>Юноши 15-19 (15.02.2007)/15</t>
  </si>
  <si>
    <t>54,20</t>
  </si>
  <si>
    <t>Кондратьев Владимир</t>
  </si>
  <si>
    <t>Юноши 15-19 (13.06.2005)/16</t>
  </si>
  <si>
    <t>73,70</t>
  </si>
  <si>
    <t>Волков Родион</t>
  </si>
  <si>
    <t>Юноши 15-19 (18.11.2006)/15</t>
  </si>
  <si>
    <t>74,20</t>
  </si>
  <si>
    <t>Парфенов Степан</t>
  </si>
  <si>
    <t>Юноши 15-19 (13.04.2005)/17</t>
  </si>
  <si>
    <t>Станкевич Вячеслав</t>
  </si>
  <si>
    <t>77,20</t>
  </si>
  <si>
    <t>Эсаулов Владимир</t>
  </si>
  <si>
    <t>88,40</t>
  </si>
  <si>
    <t>Кулаков Артём</t>
  </si>
  <si>
    <t>Открытая (29.12.1990)/31</t>
  </si>
  <si>
    <t>Самарянов Дмитрий</t>
  </si>
  <si>
    <t>Открытая (17.10.1978)/43</t>
  </si>
  <si>
    <t>118,40</t>
  </si>
  <si>
    <t>Шигапова Антонина</t>
  </si>
  <si>
    <t>Открытая (05.04.1988)/34</t>
  </si>
  <si>
    <t>57,00</t>
  </si>
  <si>
    <t>Ланцов Дмитрий</t>
  </si>
  <si>
    <t>Открытая (15.05.1988)/34</t>
  </si>
  <si>
    <t>59,40</t>
  </si>
  <si>
    <t>Назаров Егор</t>
  </si>
  <si>
    <t>72,00</t>
  </si>
  <si>
    <t>Шишин Александр</t>
  </si>
  <si>
    <t>73,90</t>
  </si>
  <si>
    <t>Алёшин Никита</t>
  </si>
  <si>
    <t>72,90</t>
  </si>
  <si>
    <t>Пирогов Иван</t>
  </si>
  <si>
    <t>Открытая (17.08.1996)/25</t>
  </si>
  <si>
    <t>Карев Сергей</t>
  </si>
  <si>
    <t>Открытая (24.06.1997)/24</t>
  </si>
  <si>
    <t>91,00</t>
  </si>
  <si>
    <t>Пахомов Арсений</t>
  </si>
  <si>
    <t>Открытая (13.04.1993)/29</t>
  </si>
  <si>
    <t>105,90</t>
  </si>
  <si>
    <t>Липатова Валентина</t>
  </si>
  <si>
    <t>Нидворягин Илья</t>
  </si>
  <si>
    <t>Юноши 15-19 (19.08.2002)/19</t>
  </si>
  <si>
    <t>53,00</t>
  </si>
  <si>
    <t>Каякин Дмитрий</t>
  </si>
  <si>
    <t>68,00</t>
  </si>
  <si>
    <t>Боровков Владимир</t>
  </si>
  <si>
    <t>Открытая (13.11.1992)/29</t>
  </si>
  <si>
    <t>72,80</t>
  </si>
  <si>
    <t>Лебедев Павел</t>
  </si>
  <si>
    <t>Открытая (12.07.1996)/25</t>
  </si>
  <si>
    <t>80,20</t>
  </si>
  <si>
    <t>Вагин Иван</t>
  </si>
  <si>
    <t>Открытая (24.03.1993)/29</t>
  </si>
  <si>
    <t>88,80</t>
  </si>
  <si>
    <t>Пайдемеров Александр</t>
  </si>
  <si>
    <t>101,40</t>
  </si>
  <si>
    <t>Дугушкин Денис</t>
  </si>
  <si>
    <t>Открытая (25.07.1987)/34</t>
  </si>
  <si>
    <t>340,0</t>
  </si>
  <si>
    <t>Спиридонов Василий</t>
  </si>
  <si>
    <t>Открытая (06.01.1984)/38</t>
  </si>
  <si>
    <t>139,00</t>
  </si>
  <si>
    <t>Апрелова Надежда</t>
  </si>
  <si>
    <t>Открытая (24.07.1963)/58</t>
  </si>
  <si>
    <t>50,80</t>
  </si>
  <si>
    <t>Коптелов Игорь</t>
  </si>
  <si>
    <t>Байдуров Егор</t>
  </si>
  <si>
    <t>Открытая (13.01.1986)/36</t>
  </si>
  <si>
    <t>Мирошников Артем</t>
  </si>
  <si>
    <t>Мастера 40-49 (05.11.1981)/40</t>
  </si>
  <si>
    <t>51,90</t>
  </si>
  <si>
    <t>Булычёв Вадим</t>
  </si>
  <si>
    <t>27,5</t>
  </si>
  <si>
    <t>22,5</t>
  </si>
  <si>
    <t>Барыльченко Данил</t>
  </si>
  <si>
    <t>Савин Александр</t>
  </si>
  <si>
    <t>Открытая (04.08.1983)/38</t>
  </si>
  <si>
    <t>67,30</t>
  </si>
  <si>
    <t>Лялин Антон</t>
  </si>
  <si>
    <t>Открытая (03.01.1989)/33</t>
  </si>
  <si>
    <t>71,50</t>
  </si>
  <si>
    <t>Мкртчан Агван</t>
  </si>
  <si>
    <t>Открытая (06.10.1989)/32</t>
  </si>
  <si>
    <t>84,30</t>
  </si>
  <si>
    <t>Купрюшина Наталья</t>
  </si>
  <si>
    <t>Мечетина Любовь</t>
  </si>
  <si>
    <t>64,00</t>
  </si>
  <si>
    <t>Козлова Юлия</t>
  </si>
  <si>
    <t>Суртаев Александр</t>
  </si>
  <si>
    <t>Мастера 60+ (22.07.1960)/61</t>
  </si>
  <si>
    <t>Романов Валерий</t>
  </si>
  <si>
    <t>Мастера 60+ (15.02.1960)/62</t>
  </si>
  <si>
    <t>99,40</t>
  </si>
  <si>
    <t>Нижний Новгород/Нижегородская область</t>
  </si>
  <si>
    <t>Пушкин И.</t>
  </si>
  <si>
    <t>Ляпин Е.</t>
  </si>
  <si>
    <t>Самостоятельно</t>
  </si>
  <si>
    <t xml:space="preserve">Поляков А. </t>
  </si>
  <si>
    <t>Поляков А.</t>
  </si>
  <si>
    <t xml:space="preserve">Козырев О. </t>
  </si>
  <si>
    <t>Козырев О.</t>
  </si>
  <si>
    <t>Волжский А.</t>
  </si>
  <si>
    <t>Дзержинск/Нижегородская область</t>
  </si>
  <si>
    <t>Кокурина Ю.</t>
  </si>
  <si>
    <t>Романов В.</t>
  </si>
  <si>
    <t>Бугров Е.</t>
  </si>
  <si>
    <t>Шалаев Е.</t>
  </si>
  <si>
    <t>Коптелов И.</t>
  </si>
  <si>
    <t xml:space="preserve">Тимин С. </t>
  </si>
  <si>
    <t xml:space="preserve">Бобков М. </t>
  </si>
  <si>
    <t xml:space="preserve">Новиков А. </t>
  </si>
  <si>
    <t>Петрушкин Р.</t>
  </si>
  <si>
    <t>Панкратов М.</t>
  </si>
  <si>
    <t xml:space="preserve">Петрушкин Р. </t>
  </si>
  <si>
    <t>Тамамян Э.</t>
  </si>
  <si>
    <t>Шляпников М.</t>
  </si>
  <si>
    <t>Кириллов В.</t>
  </si>
  <si>
    <t>Бобков М.</t>
  </si>
  <si>
    <t>Васев А.</t>
  </si>
  <si>
    <t>Богдасаров В.</t>
  </si>
  <si>
    <t>Спиридонов В.</t>
  </si>
  <si>
    <t>Балашов А.</t>
  </si>
  <si>
    <t>Хрестин Ф.</t>
  </si>
  <si>
    <t>378,0980</t>
  </si>
  <si>
    <t>376,5823</t>
  </si>
  <si>
    <t>350,4375</t>
  </si>
  <si>
    <t>333,3825</t>
  </si>
  <si>
    <t>327,1490</t>
  </si>
  <si>
    <t>326,3760</t>
  </si>
  <si>
    <t>Салахетдинов Э.</t>
  </si>
  <si>
    <t>Шахунц Е.</t>
  </si>
  <si>
    <t>Спиридонов М.</t>
  </si>
  <si>
    <t>Кузин Н.</t>
  </si>
  <si>
    <t>Малыгин А.</t>
  </si>
  <si>
    <t>164,1970</t>
  </si>
  <si>
    <t>152,3760</t>
  </si>
  <si>
    <t>150,6400</t>
  </si>
  <si>
    <t>112,8713</t>
  </si>
  <si>
    <t>112,1055</t>
  </si>
  <si>
    <t>112,1000</t>
  </si>
  <si>
    <t>Лябакин О.</t>
  </si>
  <si>
    <t>Лапшин А.</t>
  </si>
  <si>
    <t>Сычев В.</t>
  </si>
  <si>
    <t>Яруков С.</t>
  </si>
  <si>
    <t>Кулаков А.</t>
  </si>
  <si>
    <t>Марченко В.</t>
  </si>
  <si>
    <t>Всероссийский мастерский турнир «Кубок Чкалова»
IPL Пауэрлифтинг без экипировки ДК
Чкаловск/Нижегородская область, 28 мая 2022 года</t>
  </si>
  <si>
    <t>Всероссийский мастерский турнир «Кубок Чкалова»
IPL Пауэрлифтинг без экипировки
Чкаловск/Нижегородская область, 28 мая 2022 года</t>
  </si>
  <si>
    <t>Всероссийский мастерский турнир «Кубок Чкалова»
IPL Пауэрлифтинг в бинтах ДК
Чкаловск/Нижегородская область, 28 мая 2022 года</t>
  </si>
  <si>
    <t>Всероссийский мастерский турнир «Кубок Чкалова»
IPL Пауэрлифтинг в бинтах
Чкаловск/Нижегородская область, 28 мая 2022 года</t>
  </si>
  <si>
    <t>Всероссийский мастерский турнир «Кубок Чкалова»
IPL Силовое двоеборье без экипировки ДК
Чкаловск/Нижегородская область, 28 мая 2022 года</t>
  </si>
  <si>
    <t>Всероссийский мастерский турнир «Кубок Чкалова»
IPL Силовое двоеборье без экипировки
Чкаловск/Нижегородская область, 28 мая 2022 года</t>
  </si>
  <si>
    <t>Всероссийский мастерский турнир «Кубок Чкалова»
IPL Присед без экипировки ДК
Чкаловск/Нижегородская область, 28 мая 2022 года</t>
  </si>
  <si>
    <t>Всероссийский мастерский турнир «Кубок Чкалова»
IPL Присед без экипировки
Чкаловск/Нижегородская область, 28 мая 2022 года</t>
  </si>
  <si>
    <t>Всероссийский мастерский турнир «Кубок Чкалова»
IPL Жим лежа без экипировки ДК
Чкаловск/Нижегородская область, 28 мая 2022 года</t>
  </si>
  <si>
    <t>Всероссийский мастерский турнир «Кубок Чкалова»
IPL Жим лежа без экипировки
Чкаловск/Нижегородская область, 28 мая 2022 года</t>
  </si>
  <si>
    <t>Всероссийский мастерский турнир «Кубок Чкалова»
IPL Жим лежа в однослойной экипировке ДК
Чкаловск/Нижегородская область, 28 мая 2022 года</t>
  </si>
  <si>
    <t>Всероссийский мастерский турнир «Кубок Чкалова»
СПР Жим лежа в однопетельной софт экипировке ДК
Чкаловск/Нижегородская область, 28 мая 2022 года</t>
  </si>
  <si>
    <t>Всероссийский мастерский турнир «Кубок Чкалова»
СПР Жим лежа в однопетельной софт экипировке
Чкаловск/Нижегородская область, 28 мая 2022 года</t>
  </si>
  <si>
    <t>Всероссийский мастерский турнир «Кубок Чкалова»
СПР Жим лежа в многопетельной софт экипировке
Чкаловск/Нижегородская область, 28 мая 2022 года</t>
  </si>
  <si>
    <t>Всероссийский мастерский турнир «Кубок Чкалова»
СПР Жим лежа среди спортсменов с физическими особенностями
Чкаловск/Нижегородская область, 28 мая 2022 года</t>
  </si>
  <si>
    <t>Всероссийский мастерский турнир «Кубок Чкалова»
IPL Становая тяга без экипировки ДК
Чкаловск/Нижегородская область, 28 мая 2022 года</t>
  </si>
  <si>
    <t>Всероссийский мастерский турнир «Кубок Чкалова»
IPL Становая тяга без экипировки
Чкаловск/Нижегородская область, 28 мая 2022 года</t>
  </si>
  <si>
    <t>Всероссийский мастерский турнир «Кубок Чкалова»
СПР Строгий подъем штанги на бицепс ДК
Чкаловск/Нижегородская область, 28 мая 2022 года</t>
  </si>
  <si>
    <t>Всероссийский мастерский турнир «Кубок Чкалова»
СПР Строгий подъем штанги на бицепс
Чкаловск/Нижегородская область, 28 мая 2022 года</t>
  </si>
  <si>
    <t>Юниорки 20-23 (20.01.2002)/20</t>
  </si>
  <si>
    <t>Юниорки 20-23 (30.04.2001)/21</t>
  </si>
  <si>
    <t>Мастера 45-49 (29.06.1975)/46</t>
  </si>
  <si>
    <t>Мастера 55-59 (16.02.1964)/58</t>
  </si>
  <si>
    <t>Юниоры 20-23 (21.04.2001)/21</t>
  </si>
  <si>
    <t>Юниоры 20-23 (06.12.2001)/20</t>
  </si>
  <si>
    <t>Мастера 45-49 (27.10.1975)/46</t>
  </si>
  <si>
    <t>Мастера 40-44 (29.04.1982)/40</t>
  </si>
  <si>
    <t>Мастера 45-49 (11.10.1973)/48</t>
  </si>
  <si>
    <t>Юниоры 20-23 (09.08.2000)/21</t>
  </si>
  <si>
    <t>Мастера 45-49 (24.07.1976)/45</t>
  </si>
  <si>
    <t>Юниорки 20-23 (14.02.1999)/23</t>
  </si>
  <si>
    <t>Юниорки 20-23 (30.06.2000)/21</t>
  </si>
  <si>
    <t>Мастера 40-44 (22.10.1980)/41</t>
  </si>
  <si>
    <t>Мастера 45-49 (22.02.1973)/49</t>
  </si>
  <si>
    <t>Мастера 40-44 (28.05.1982)/40</t>
  </si>
  <si>
    <t>Юниоры 20-23 (18.06.2000)/21</t>
  </si>
  <si>
    <t>Мастера 45-49 (21.07.1975)/46</t>
  </si>
  <si>
    <t>Мастера 45-49 (16.05.1977)/45</t>
  </si>
  <si>
    <t>Мастера 55-59 (25.07.1964)/57</t>
  </si>
  <si>
    <t>Мастера 45-49 (28.01.1974)/48</t>
  </si>
  <si>
    <t>Юниоры 20-23 (27.12.1999)/22</t>
  </si>
  <si>
    <t>Мастера 40-44 (04.01.1979)/43</t>
  </si>
  <si>
    <t>Мастера 40-44 (09.02.1978)/44</t>
  </si>
  <si>
    <t>Мастера 45-49 (11.11.1972)/49</t>
  </si>
  <si>
    <t>Мастера 45-49 (31.05.1975)/46</t>
  </si>
  <si>
    <t>Мастера 45-49 (10.03.1977)/45</t>
  </si>
  <si>
    <t>Мастера 50-59 (24.07.1963)/58</t>
  </si>
  <si>
    <t>Мастера 40-49 (29.01.1973)/49</t>
  </si>
  <si>
    <t>Юниоры 20-23 (07.07.1998)/23</t>
  </si>
  <si>
    <t>Юниоры 20-23 (29.07.1998)/23</t>
  </si>
  <si>
    <t>Юниоры 20-23 (24.02.2001)/21</t>
  </si>
  <si>
    <t>Мастера 45-49 (08.08.1976)/45</t>
  </si>
  <si>
    <t>Мастера 70-74 (02.10.1950)/71</t>
  </si>
  <si>
    <t>Мастера 60-64 (22.07.1960)/61</t>
  </si>
  <si>
    <t>Мастера 40-49 (22.02.1973)/49</t>
  </si>
  <si>
    <t>Юниоры 20-23 (02.05.2002)/20</t>
  </si>
  <si>
    <t>Мастера 40-49 (10.10.1973)/48</t>
  </si>
  <si>
    <t>Мастера 40-49 (21.07.1975)/46</t>
  </si>
  <si>
    <t>Мастера 40-49 (18.10.1973)/48</t>
  </si>
  <si>
    <t>Мастера 50-59 (15.05.1972)/50</t>
  </si>
  <si>
    <t>Девушки 13-19 (08.03.2005)/17</t>
  </si>
  <si>
    <t>Мастера 40-49 (10.08.1974)/47</t>
  </si>
  <si>
    <t>Мастера 50-59 (03.10.1969)/52</t>
  </si>
  <si>
    <t>Весовая категория</t>
  </si>
  <si>
    <t xml:space="preserve">Казань/Республика Татарстан </t>
  </si>
  <si>
    <t xml:space="preserve">Саров/Нижегородская область область </t>
  </si>
  <si>
    <t>Балахна/Нижегородская область</t>
  </si>
  <si>
    <t>Жим</t>
  </si>
  <si>
    <t>№</t>
  </si>
  <si>
    <t xml:space="preserve">
Дата рождения/Возраст</t>
  </si>
  <si>
    <t>Возрастная группа</t>
  </si>
  <si>
    <t>O</t>
  </si>
  <si>
    <t>J</t>
  </si>
  <si>
    <t>M2</t>
  </si>
  <si>
    <t>T</t>
  </si>
  <si>
    <t>M4</t>
  </si>
  <si>
    <t>M1</t>
  </si>
  <si>
    <t>M</t>
  </si>
  <si>
    <t>M7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</si>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</sst>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6\4"/>
    <numFmt numFmtId="165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 indent="1"/>
    </xf>
    <xf numFmtId="164" fontId="6" fillId="0" borderId="0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5" fontId="1" fillId="2" borderId="20" xfId="0" applyNumberFormat="1" applyFont="1" applyFill="1" applyBorder="1" applyAlignment="1">
      <alignment horizontal="center" vertical="center"/>
    </xf>
    <xf numFmtId="165" fontId="1" fillId="2" borderId="21" xfId="0" applyNumberFormat="1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5" fontId="1" fillId="2" borderId="24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Fill="1" applyBorder="1" applyAlignment="1">
      <alignment horizontal="center" vertical="center"/>
    </xf>
    <xf numFmtId="165" fontId="1" fillId="2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7" fillId="0" borderId="21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2" fontId="7" fillId="0" borderId="2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AB93-40AB-4EFD-8994-AA844EF94AEA}">
  <sheetPr codeName="Лист1"/>
  <dimension ref="A1:Y5"/>
  <sheetViews>
    <sheetView workbookViewId="0">
      <selection sqref="A1:XFD1048576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6.5" style="4" customWidth="1"/>
    <col min="4" max="4" width="6.5" style="5" bestFit="1" customWidth="1"/>
    <col min="5" max="5" width="23.6640625" style="4" bestFit="1" customWidth="1"/>
    <col min="6" max="6" width="21.1640625" style="4" bestFit="1" customWidth="1"/>
    <col min="7" max="7" width="6.5" style="3" bestFit="1" customWidth="1"/>
    <col min="8" max="9" width="2.1640625" style="3" bestFit="1" customWidth="1"/>
    <col min="10" max="10" width="4.83203125" style="3" bestFit="1" customWidth="1"/>
    <col min="11" max="13" width="2.1640625" style="3" bestFit="1" customWidth="1"/>
    <col min="14" max="14" width="4.83203125" style="3" bestFit="1" customWidth="1"/>
    <col min="15" max="17" width="2.1640625" style="3" bestFit="1" customWidth="1"/>
    <col min="18" max="18" width="4.83203125" style="3" bestFit="1" customWidth="1"/>
    <col min="19" max="19" width="5" style="3" bestFit="1" customWidth="1"/>
    <col min="20" max="20" width="10.5" style="3" bestFit="1" customWidth="1"/>
    <col min="21" max="21" width="5" style="3" bestFit="1" customWidth="1"/>
    <col min="22" max="22" width="10.5" style="3" bestFit="1" customWidth="1"/>
    <col min="23" max="23" width="7.83203125" style="7" bestFit="1" customWidth="1"/>
    <col min="24" max="24" width="8.5" style="8" bestFit="1" customWidth="1"/>
    <col min="25" max="25" width="23" style="4" bestFit="1" customWidth="1"/>
    <col min="26" max="16384" width="9.1640625" style="3"/>
  </cols>
  <sheetData>
    <row r="1" spans="1:25" s="2" customFormat="1" ht="15" customHeigh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4"/>
    </row>
    <row r="2" spans="1:25" s="2" customFormat="1" ht="66" customHeight="1" thickBot="1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7"/>
    </row>
    <row r="3" spans="1:25" s="1" customFormat="1" ht="12.75" customHeight="1">
      <c r="A3" s="118" t="s">
        <v>0</v>
      </c>
      <c r="B3" s="120" t="s">
        <v>7</v>
      </c>
      <c r="C3" s="120" t="s">
        <v>11</v>
      </c>
      <c r="D3" s="122" t="s">
        <v>6</v>
      </c>
      <c r="E3" s="124" t="s">
        <v>4</v>
      </c>
      <c r="F3" s="124" t="s">
        <v>8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2" t="s">
        <v>1</v>
      </c>
      <c r="X3" s="122" t="s">
        <v>3</v>
      </c>
      <c r="Y3" s="125" t="s">
        <v>2</v>
      </c>
    </row>
    <row r="4" spans="1:25" s="1" customFormat="1" ht="21" customHeight="1" thickBot="1">
      <c r="A4" s="119"/>
      <c r="B4" s="121"/>
      <c r="C4" s="121"/>
      <c r="D4" s="123"/>
      <c r="E4" s="121"/>
      <c r="F4" s="121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9" t="s">
        <v>9</v>
      </c>
      <c r="T4" s="9" t="s">
        <v>10</v>
      </c>
      <c r="U4" s="9" t="s">
        <v>9</v>
      </c>
      <c r="V4" s="9" t="s">
        <v>10</v>
      </c>
      <c r="W4" s="123"/>
      <c r="X4" s="123"/>
      <c r="Y4" s="126"/>
    </row>
    <row r="5" spans="1:25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017A-8D08-40C4-BC92-8691C3A50DCE}">
  <sheetPr codeName="Лист10"/>
  <dimension ref="A1:M84"/>
  <sheetViews>
    <sheetView topLeftCell="A47" workbookViewId="0">
      <selection activeCell="E75" sqref="E75"/>
    </sheetView>
  </sheetViews>
  <sheetFormatPr baseColWidth="10" defaultColWidth="9.1640625" defaultRowHeight="13"/>
  <cols>
    <col min="1" max="1" width="7.1640625" style="11" bestFit="1" customWidth="1"/>
    <col min="2" max="2" width="19.83203125" style="11" bestFit="1" customWidth="1"/>
    <col min="3" max="3" width="28.83203125" style="11" bestFit="1" customWidth="1"/>
    <col min="4" max="4" width="20.83203125" style="11" bestFit="1" customWidth="1"/>
    <col min="5" max="5" width="10.1640625" style="11" bestFit="1" customWidth="1"/>
    <col min="6" max="6" width="38.5" style="11" bestFit="1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27" style="11" bestFit="1" customWidth="1"/>
    <col min="14" max="16384" width="9.1640625" style="3"/>
  </cols>
  <sheetData>
    <row r="1" spans="1:13" s="2" customFormat="1" ht="29" customHeight="1">
      <c r="A1" s="133" t="s">
        <v>599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13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133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52">
        <v>1</v>
      </c>
      <c r="B6" s="13" t="s">
        <v>321</v>
      </c>
      <c r="C6" s="13" t="s">
        <v>622</v>
      </c>
      <c r="D6" s="13" t="s">
        <v>322</v>
      </c>
      <c r="E6" s="13" t="s">
        <v>663</v>
      </c>
      <c r="F6" s="13" t="s">
        <v>538</v>
      </c>
      <c r="G6" s="27" t="s">
        <v>172</v>
      </c>
      <c r="H6" s="27" t="s">
        <v>323</v>
      </c>
      <c r="I6" s="27" t="s">
        <v>42</v>
      </c>
      <c r="J6" s="14"/>
      <c r="K6" s="14" t="str">
        <f>"50,0"</f>
        <v>50,0</v>
      </c>
      <c r="L6" s="14" t="str">
        <f>"66,8350"</f>
        <v>66,8350</v>
      </c>
      <c r="M6" s="13" t="s">
        <v>539</v>
      </c>
    </row>
    <row r="8" spans="1:13" ht="16">
      <c r="A8" s="144" t="s">
        <v>15</v>
      </c>
      <c r="B8" s="144"/>
      <c r="C8" s="145"/>
      <c r="D8" s="145"/>
      <c r="E8" s="145"/>
      <c r="F8" s="145"/>
      <c r="G8" s="145"/>
      <c r="H8" s="145"/>
      <c r="I8" s="145"/>
      <c r="J8" s="145"/>
    </row>
    <row r="9" spans="1:13">
      <c r="A9" s="49">
        <v>1</v>
      </c>
      <c r="B9" s="15" t="s">
        <v>324</v>
      </c>
      <c r="C9" s="15" t="s">
        <v>325</v>
      </c>
      <c r="D9" s="15" t="s">
        <v>326</v>
      </c>
      <c r="E9" s="15" t="s">
        <v>662</v>
      </c>
      <c r="F9" s="15" t="s">
        <v>538</v>
      </c>
      <c r="G9" s="29" t="s">
        <v>43</v>
      </c>
      <c r="H9" s="28" t="s">
        <v>43</v>
      </c>
      <c r="I9" s="29" t="s">
        <v>159</v>
      </c>
      <c r="J9" s="16"/>
      <c r="K9" s="16" t="str">
        <f>"60,0"</f>
        <v>60,0</v>
      </c>
      <c r="L9" s="16" t="str">
        <f>"75,9240"</f>
        <v>75,9240</v>
      </c>
      <c r="M9" s="15"/>
    </row>
    <row r="10" spans="1:13">
      <c r="A10" s="50">
        <v>2</v>
      </c>
      <c r="B10" s="19" t="s">
        <v>327</v>
      </c>
      <c r="C10" s="19" t="s">
        <v>328</v>
      </c>
      <c r="D10" s="19" t="s">
        <v>329</v>
      </c>
      <c r="E10" s="19" t="s">
        <v>662</v>
      </c>
      <c r="F10" s="19" t="s">
        <v>538</v>
      </c>
      <c r="G10" s="33" t="s">
        <v>150</v>
      </c>
      <c r="H10" s="32" t="s">
        <v>43</v>
      </c>
      <c r="I10" s="33" t="s">
        <v>159</v>
      </c>
      <c r="J10" s="20"/>
      <c r="K10" s="20" t="str">
        <f>"60,0"</f>
        <v>60,0</v>
      </c>
      <c r="L10" s="20" t="str">
        <f>"74,7960"</f>
        <v>74,7960</v>
      </c>
      <c r="M10" s="19"/>
    </row>
    <row r="11" spans="1:13">
      <c r="A11" s="50">
        <v>3</v>
      </c>
      <c r="B11" s="19" t="s">
        <v>330</v>
      </c>
      <c r="C11" s="19" t="s">
        <v>331</v>
      </c>
      <c r="D11" s="19" t="s">
        <v>332</v>
      </c>
      <c r="E11" s="19" t="s">
        <v>662</v>
      </c>
      <c r="F11" s="19" t="s">
        <v>333</v>
      </c>
      <c r="G11" s="32" t="s">
        <v>22</v>
      </c>
      <c r="H11" s="33" t="s">
        <v>23</v>
      </c>
      <c r="I11" s="33" t="s">
        <v>23</v>
      </c>
      <c r="J11" s="20"/>
      <c r="K11" s="20" t="str">
        <f>"55,0"</f>
        <v>55,0</v>
      </c>
      <c r="L11" s="20" t="str">
        <f>"69,3880"</f>
        <v>69,3880</v>
      </c>
      <c r="M11" s="19"/>
    </row>
    <row r="12" spans="1:13">
      <c r="A12" s="51">
        <v>1</v>
      </c>
      <c r="B12" s="17" t="s">
        <v>324</v>
      </c>
      <c r="C12" s="17" t="s">
        <v>617</v>
      </c>
      <c r="D12" s="17" t="s">
        <v>326</v>
      </c>
      <c r="E12" s="17" t="s">
        <v>667</v>
      </c>
      <c r="F12" s="17" t="s">
        <v>538</v>
      </c>
      <c r="G12" s="31" t="s">
        <v>43</v>
      </c>
      <c r="H12" s="30" t="s">
        <v>43</v>
      </c>
      <c r="I12" s="31" t="s">
        <v>159</v>
      </c>
      <c r="J12" s="18"/>
      <c r="K12" s="18" t="str">
        <f>"60,0"</f>
        <v>60,0</v>
      </c>
      <c r="L12" s="18" t="str">
        <f>"75,9240"</f>
        <v>75,9240</v>
      </c>
      <c r="M12" s="17"/>
    </row>
    <row r="14" spans="1:13" ht="16">
      <c r="A14" s="144" t="s">
        <v>138</v>
      </c>
      <c r="B14" s="144"/>
      <c r="C14" s="145"/>
      <c r="D14" s="145"/>
      <c r="E14" s="145"/>
      <c r="F14" s="145"/>
      <c r="G14" s="145"/>
      <c r="H14" s="145"/>
      <c r="I14" s="145"/>
      <c r="J14" s="145"/>
    </row>
    <row r="15" spans="1:13">
      <c r="A15" s="49">
        <v>1</v>
      </c>
      <c r="B15" s="15" t="s">
        <v>334</v>
      </c>
      <c r="C15" s="15" t="s">
        <v>335</v>
      </c>
      <c r="D15" s="15" t="s">
        <v>336</v>
      </c>
      <c r="E15" s="15" t="s">
        <v>662</v>
      </c>
      <c r="F15" s="15" t="s">
        <v>31</v>
      </c>
      <c r="G15" s="28" t="s">
        <v>23</v>
      </c>
      <c r="H15" s="28" t="s">
        <v>213</v>
      </c>
      <c r="I15" s="29" t="s">
        <v>159</v>
      </c>
      <c r="J15" s="16"/>
      <c r="K15" s="16" t="str">
        <f>"62,5"</f>
        <v>62,5</v>
      </c>
      <c r="L15" s="16" t="str">
        <f>"74,9063"</f>
        <v>74,9063</v>
      </c>
      <c r="M15" s="15" t="s">
        <v>550</v>
      </c>
    </row>
    <row r="16" spans="1:13">
      <c r="A16" s="50">
        <v>2</v>
      </c>
      <c r="B16" s="19" t="s">
        <v>151</v>
      </c>
      <c r="C16" s="19" t="s">
        <v>152</v>
      </c>
      <c r="D16" s="19" t="s">
        <v>153</v>
      </c>
      <c r="E16" s="19" t="s">
        <v>662</v>
      </c>
      <c r="F16" s="19" t="s">
        <v>19</v>
      </c>
      <c r="G16" s="32" t="s">
        <v>42</v>
      </c>
      <c r="H16" s="32" t="s">
        <v>150</v>
      </c>
      <c r="I16" s="32" t="s">
        <v>22</v>
      </c>
      <c r="J16" s="20"/>
      <c r="K16" s="20" t="str">
        <f>"55,0"</f>
        <v>55,0</v>
      </c>
      <c r="L16" s="20" t="str">
        <f>"67,8590"</f>
        <v>67,8590</v>
      </c>
      <c r="M16" s="19"/>
    </row>
    <row r="17" spans="1:13">
      <c r="A17" s="51">
        <v>1</v>
      </c>
      <c r="B17" s="17" t="s">
        <v>334</v>
      </c>
      <c r="C17" s="17" t="s">
        <v>623</v>
      </c>
      <c r="D17" s="17" t="s">
        <v>336</v>
      </c>
      <c r="E17" s="17" t="s">
        <v>667</v>
      </c>
      <c r="F17" s="17" t="s">
        <v>31</v>
      </c>
      <c r="G17" s="30" t="s">
        <v>23</v>
      </c>
      <c r="H17" s="30" t="s">
        <v>213</v>
      </c>
      <c r="I17" s="31" t="s">
        <v>159</v>
      </c>
      <c r="J17" s="18"/>
      <c r="K17" s="18" t="str">
        <f>"62,5"</f>
        <v>62,5</v>
      </c>
      <c r="L17" s="18" t="str">
        <f>"75,2808"</f>
        <v>75,2808</v>
      </c>
      <c r="M17" s="17" t="s">
        <v>550</v>
      </c>
    </row>
    <row r="19" spans="1:13" ht="16">
      <c r="A19" s="144" t="s">
        <v>156</v>
      </c>
      <c r="B19" s="144"/>
      <c r="C19" s="145"/>
      <c r="D19" s="145"/>
      <c r="E19" s="145"/>
      <c r="F19" s="145"/>
      <c r="G19" s="145"/>
      <c r="H19" s="145"/>
      <c r="I19" s="145"/>
      <c r="J19" s="145"/>
    </row>
    <row r="20" spans="1:13">
      <c r="A20" s="49">
        <v>1</v>
      </c>
      <c r="B20" s="15" t="s">
        <v>157</v>
      </c>
      <c r="C20" s="15" t="s">
        <v>611</v>
      </c>
      <c r="D20" s="15" t="s">
        <v>158</v>
      </c>
      <c r="E20" s="15" t="s">
        <v>663</v>
      </c>
      <c r="F20" s="15" t="s">
        <v>538</v>
      </c>
      <c r="G20" s="28" t="s">
        <v>159</v>
      </c>
      <c r="H20" s="29" t="s">
        <v>160</v>
      </c>
      <c r="I20" s="29" t="s">
        <v>160</v>
      </c>
      <c r="J20" s="16"/>
      <c r="K20" s="16" t="str">
        <f>"65,0"</f>
        <v>65,0</v>
      </c>
      <c r="L20" s="16" t="str">
        <f>"73,2290"</f>
        <v>73,2290</v>
      </c>
      <c r="M20" s="15" t="s">
        <v>567</v>
      </c>
    </row>
    <row r="21" spans="1:13">
      <c r="A21" s="50">
        <v>1</v>
      </c>
      <c r="B21" s="19" t="s">
        <v>340</v>
      </c>
      <c r="C21" s="19" t="s">
        <v>341</v>
      </c>
      <c r="D21" s="19" t="s">
        <v>342</v>
      </c>
      <c r="E21" s="19" t="s">
        <v>662</v>
      </c>
      <c r="F21" s="19" t="s">
        <v>538</v>
      </c>
      <c r="G21" s="32" t="s">
        <v>217</v>
      </c>
      <c r="H21" s="33" t="s">
        <v>150</v>
      </c>
      <c r="I21" s="32" t="s">
        <v>150</v>
      </c>
      <c r="J21" s="20"/>
      <c r="K21" s="20" t="str">
        <f>"52,5"</f>
        <v>52,5</v>
      </c>
      <c r="L21" s="20" t="str">
        <f>"59,5350"</f>
        <v>59,5350</v>
      </c>
      <c r="M21" s="19"/>
    </row>
    <row r="22" spans="1:13">
      <c r="A22" s="50">
        <v>2</v>
      </c>
      <c r="B22" s="19" t="s">
        <v>343</v>
      </c>
      <c r="C22" s="19" t="s">
        <v>344</v>
      </c>
      <c r="D22" s="19" t="s">
        <v>345</v>
      </c>
      <c r="E22" s="19" t="s">
        <v>662</v>
      </c>
      <c r="F22" s="19" t="s">
        <v>538</v>
      </c>
      <c r="G22" s="33" t="s">
        <v>323</v>
      </c>
      <c r="H22" s="32" t="s">
        <v>323</v>
      </c>
      <c r="I22" s="33" t="s">
        <v>42</v>
      </c>
      <c r="J22" s="20"/>
      <c r="K22" s="20" t="str">
        <f>"45,0"</f>
        <v>45,0</v>
      </c>
      <c r="L22" s="20" t="str">
        <f>"51,2370"</f>
        <v>51,2370</v>
      </c>
      <c r="M22" s="19" t="s">
        <v>539</v>
      </c>
    </row>
    <row r="23" spans="1:13">
      <c r="A23" s="50">
        <v>3</v>
      </c>
      <c r="B23" s="19" t="s">
        <v>346</v>
      </c>
      <c r="C23" s="19" t="s">
        <v>347</v>
      </c>
      <c r="D23" s="19" t="s">
        <v>348</v>
      </c>
      <c r="E23" s="19" t="s">
        <v>662</v>
      </c>
      <c r="F23" s="19" t="s">
        <v>538</v>
      </c>
      <c r="G23" s="32" t="s">
        <v>46</v>
      </c>
      <c r="H23" s="32" t="s">
        <v>137</v>
      </c>
      <c r="I23" s="33" t="s">
        <v>323</v>
      </c>
      <c r="J23" s="20"/>
      <c r="K23" s="20" t="str">
        <f>"40,0"</f>
        <v>40,0</v>
      </c>
      <c r="L23" s="20" t="str">
        <f>"45,3000"</f>
        <v>45,3000</v>
      </c>
      <c r="M23" s="19" t="s">
        <v>539</v>
      </c>
    </row>
    <row r="24" spans="1:13">
      <c r="A24" s="51">
        <v>1</v>
      </c>
      <c r="B24" s="17" t="s">
        <v>349</v>
      </c>
      <c r="C24" s="17" t="s">
        <v>624</v>
      </c>
      <c r="D24" s="17" t="s">
        <v>350</v>
      </c>
      <c r="E24" s="17" t="s">
        <v>664</v>
      </c>
      <c r="F24" s="17" t="s">
        <v>256</v>
      </c>
      <c r="G24" s="30" t="s">
        <v>137</v>
      </c>
      <c r="H24" s="30" t="s">
        <v>217</v>
      </c>
      <c r="I24" s="31" t="s">
        <v>150</v>
      </c>
      <c r="J24" s="18"/>
      <c r="K24" s="18" t="str">
        <f>"47,5"</f>
        <v>47,5</v>
      </c>
      <c r="L24" s="18" t="str">
        <f>"62,2226"</f>
        <v>62,2226</v>
      </c>
      <c r="M24" s="17"/>
    </row>
    <row r="26" spans="1:13" ht="16">
      <c r="A26" s="144" t="s">
        <v>27</v>
      </c>
      <c r="B26" s="144"/>
      <c r="C26" s="145"/>
      <c r="D26" s="145"/>
      <c r="E26" s="145"/>
      <c r="F26" s="145"/>
      <c r="G26" s="145"/>
      <c r="H26" s="145"/>
      <c r="I26" s="145"/>
      <c r="J26" s="145"/>
    </row>
    <row r="27" spans="1:13">
      <c r="A27" s="52">
        <v>1</v>
      </c>
      <c r="B27" s="13" t="s">
        <v>351</v>
      </c>
      <c r="C27" s="13" t="s">
        <v>352</v>
      </c>
      <c r="D27" s="13" t="s">
        <v>353</v>
      </c>
      <c r="E27" s="13" t="s">
        <v>662</v>
      </c>
      <c r="F27" s="13" t="s">
        <v>538</v>
      </c>
      <c r="G27" s="26" t="s">
        <v>160</v>
      </c>
      <c r="H27" s="27" t="s">
        <v>160</v>
      </c>
      <c r="I27" s="26" t="s">
        <v>354</v>
      </c>
      <c r="J27" s="14"/>
      <c r="K27" s="14" t="str">
        <f>"67,5"</f>
        <v>67,5</v>
      </c>
      <c r="L27" s="14" t="str">
        <f>"65,2860"</f>
        <v>65,2860</v>
      </c>
      <c r="M27" s="13" t="s">
        <v>559</v>
      </c>
    </row>
    <row r="29" spans="1:13" ht="16">
      <c r="A29" s="144" t="s">
        <v>156</v>
      </c>
      <c r="B29" s="144"/>
      <c r="C29" s="145"/>
      <c r="D29" s="145"/>
      <c r="E29" s="145"/>
      <c r="F29" s="145"/>
      <c r="G29" s="145"/>
      <c r="H29" s="145"/>
      <c r="I29" s="145"/>
      <c r="J29" s="145"/>
    </row>
    <row r="30" spans="1:13">
      <c r="A30" s="52">
        <v>1</v>
      </c>
      <c r="B30" s="13" t="s">
        <v>355</v>
      </c>
      <c r="C30" s="13" t="s">
        <v>356</v>
      </c>
      <c r="D30" s="13" t="s">
        <v>158</v>
      </c>
      <c r="E30" s="13" t="s">
        <v>662</v>
      </c>
      <c r="F30" s="13" t="s">
        <v>256</v>
      </c>
      <c r="G30" s="27" t="s">
        <v>47</v>
      </c>
      <c r="H30" s="27" t="s">
        <v>48</v>
      </c>
      <c r="I30" s="27" t="s">
        <v>24</v>
      </c>
      <c r="J30" s="14"/>
      <c r="K30" s="14" t="str">
        <f>"100,0"</f>
        <v>100,0</v>
      </c>
      <c r="L30" s="14" t="str">
        <f>"86,3500"</f>
        <v>86,3500</v>
      </c>
      <c r="M30" s="13"/>
    </row>
    <row r="32" spans="1:13" ht="16">
      <c r="A32" s="144" t="s">
        <v>49</v>
      </c>
      <c r="B32" s="144"/>
      <c r="C32" s="145"/>
      <c r="D32" s="145"/>
      <c r="E32" s="145"/>
      <c r="F32" s="145"/>
      <c r="G32" s="145"/>
      <c r="H32" s="145"/>
      <c r="I32" s="145"/>
      <c r="J32" s="145"/>
    </row>
    <row r="33" spans="1:13">
      <c r="A33" s="52">
        <v>1</v>
      </c>
      <c r="B33" s="13" t="s">
        <v>357</v>
      </c>
      <c r="C33" s="13" t="s">
        <v>358</v>
      </c>
      <c r="D33" s="13" t="s">
        <v>359</v>
      </c>
      <c r="E33" s="13" t="s">
        <v>662</v>
      </c>
      <c r="F33" s="13" t="s">
        <v>251</v>
      </c>
      <c r="G33" s="27" t="s">
        <v>70</v>
      </c>
      <c r="H33" s="27" t="s">
        <v>26</v>
      </c>
      <c r="I33" s="27" t="s">
        <v>32</v>
      </c>
      <c r="J33" s="14"/>
      <c r="K33" s="14" t="str">
        <f>"120,0"</f>
        <v>120,0</v>
      </c>
      <c r="L33" s="14" t="str">
        <f>"92,6280"</f>
        <v>92,6280</v>
      </c>
      <c r="M33" s="13" t="s">
        <v>541</v>
      </c>
    </row>
    <row r="35" spans="1:13" ht="16">
      <c r="A35" s="144" t="s">
        <v>27</v>
      </c>
      <c r="B35" s="144"/>
      <c r="C35" s="145"/>
      <c r="D35" s="145"/>
      <c r="E35" s="145"/>
      <c r="F35" s="145"/>
      <c r="G35" s="145"/>
      <c r="H35" s="145"/>
      <c r="I35" s="145"/>
      <c r="J35" s="145"/>
    </row>
    <row r="36" spans="1:13">
      <c r="A36" s="49">
        <v>1</v>
      </c>
      <c r="B36" s="15" t="s">
        <v>360</v>
      </c>
      <c r="C36" s="15" t="s">
        <v>361</v>
      </c>
      <c r="D36" s="15" t="s">
        <v>353</v>
      </c>
      <c r="E36" s="15" t="s">
        <v>665</v>
      </c>
      <c r="F36" s="15" t="s">
        <v>538</v>
      </c>
      <c r="G36" s="29" t="s">
        <v>35</v>
      </c>
      <c r="H36" s="28" t="s">
        <v>154</v>
      </c>
      <c r="I36" s="28" t="s">
        <v>236</v>
      </c>
      <c r="J36" s="16"/>
      <c r="K36" s="16" t="str">
        <f>"82,5"</f>
        <v>82,5</v>
      </c>
      <c r="L36" s="16" t="str">
        <f>"59,9280"</f>
        <v>59,9280</v>
      </c>
      <c r="M36" s="15"/>
    </row>
    <row r="37" spans="1:13">
      <c r="A37" s="50">
        <v>2</v>
      </c>
      <c r="B37" s="19" t="s">
        <v>362</v>
      </c>
      <c r="C37" s="19" t="s">
        <v>363</v>
      </c>
      <c r="D37" s="19" t="s">
        <v>364</v>
      </c>
      <c r="E37" s="19" t="s">
        <v>665</v>
      </c>
      <c r="F37" s="19" t="s">
        <v>538</v>
      </c>
      <c r="G37" s="32" t="s">
        <v>159</v>
      </c>
      <c r="H37" s="32" t="s">
        <v>154</v>
      </c>
      <c r="I37" s="33" t="s">
        <v>20</v>
      </c>
      <c r="J37" s="20"/>
      <c r="K37" s="20" t="str">
        <f>"75,0"</f>
        <v>75,0</v>
      </c>
      <c r="L37" s="20" t="str">
        <f>"54,7500"</f>
        <v>54,7500</v>
      </c>
      <c r="M37" s="19"/>
    </row>
    <row r="38" spans="1:13">
      <c r="A38" s="50">
        <v>1</v>
      </c>
      <c r="B38" s="19" t="s">
        <v>365</v>
      </c>
      <c r="C38" s="19" t="s">
        <v>366</v>
      </c>
      <c r="D38" s="19" t="s">
        <v>367</v>
      </c>
      <c r="E38" s="19" t="s">
        <v>662</v>
      </c>
      <c r="F38" s="19" t="s">
        <v>164</v>
      </c>
      <c r="G38" s="32" t="s">
        <v>32</v>
      </c>
      <c r="H38" s="32" t="s">
        <v>36</v>
      </c>
      <c r="I38" s="33" t="s">
        <v>242</v>
      </c>
      <c r="J38" s="20"/>
      <c r="K38" s="20" t="str">
        <f>"135,0"</f>
        <v>135,0</v>
      </c>
      <c r="L38" s="20" t="str">
        <f>"97,6725"</f>
        <v>97,6725</v>
      </c>
      <c r="M38" s="19" t="s">
        <v>577</v>
      </c>
    </row>
    <row r="39" spans="1:13">
      <c r="A39" s="51">
        <v>2</v>
      </c>
      <c r="B39" s="17" t="s">
        <v>368</v>
      </c>
      <c r="C39" s="17" t="s">
        <v>369</v>
      </c>
      <c r="D39" s="17" t="s">
        <v>370</v>
      </c>
      <c r="E39" s="17" t="s">
        <v>662</v>
      </c>
      <c r="F39" s="17" t="s">
        <v>538</v>
      </c>
      <c r="G39" s="30" t="s">
        <v>52</v>
      </c>
      <c r="H39" s="30" t="s">
        <v>55</v>
      </c>
      <c r="I39" s="31" t="s">
        <v>33</v>
      </c>
      <c r="J39" s="18"/>
      <c r="K39" s="18" t="str">
        <f>"130,0"</f>
        <v>130,0</v>
      </c>
      <c r="L39" s="18" t="str">
        <f>"92,6380"</f>
        <v>92,6380</v>
      </c>
      <c r="M39" s="17"/>
    </row>
    <row r="41" spans="1:13" ht="16">
      <c r="A41" s="144" t="s">
        <v>58</v>
      </c>
      <c r="B41" s="144"/>
      <c r="C41" s="145"/>
      <c r="D41" s="145"/>
      <c r="E41" s="145"/>
      <c r="F41" s="145"/>
      <c r="G41" s="145"/>
      <c r="H41" s="145"/>
      <c r="I41" s="145"/>
      <c r="J41" s="145"/>
    </row>
    <row r="42" spans="1:13">
      <c r="A42" s="49">
        <v>1</v>
      </c>
      <c r="B42" s="15" t="s">
        <v>371</v>
      </c>
      <c r="C42" s="15" t="s">
        <v>372</v>
      </c>
      <c r="D42" s="15" t="s">
        <v>266</v>
      </c>
      <c r="E42" s="15" t="s">
        <v>662</v>
      </c>
      <c r="F42" s="15" t="s">
        <v>538</v>
      </c>
      <c r="G42" s="28" t="s">
        <v>36</v>
      </c>
      <c r="H42" s="28" t="s">
        <v>37</v>
      </c>
      <c r="I42" s="28" t="s">
        <v>56</v>
      </c>
      <c r="J42" s="16"/>
      <c r="K42" s="16" t="str">
        <f>"150,0"</f>
        <v>150,0</v>
      </c>
      <c r="L42" s="16" t="str">
        <f>"102,0000"</f>
        <v>102,0000</v>
      </c>
      <c r="M42" s="15" t="s">
        <v>585</v>
      </c>
    </row>
    <row r="43" spans="1:13">
      <c r="A43" s="50">
        <v>2</v>
      </c>
      <c r="B43" s="19" t="s">
        <v>373</v>
      </c>
      <c r="C43" s="19" t="s">
        <v>374</v>
      </c>
      <c r="D43" s="19" t="s">
        <v>375</v>
      </c>
      <c r="E43" s="19" t="s">
        <v>662</v>
      </c>
      <c r="F43" s="19" t="s">
        <v>538</v>
      </c>
      <c r="G43" s="32" t="s">
        <v>55</v>
      </c>
      <c r="H43" s="32" t="s">
        <v>242</v>
      </c>
      <c r="I43" s="32" t="s">
        <v>34</v>
      </c>
      <c r="J43" s="20"/>
      <c r="K43" s="20" t="str">
        <f>"140,0"</f>
        <v>140,0</v>
      </c>
      <c r="L43" s="20" t="str">
        <f>"93,9260"</f>
        <v>93,9260</v>
      </c>
      <c r="M43" s="19" t="s">
        <v>586</v>
      </c>
    </row>
    <row r="44" spans="1:13">
      <c r="A44" s="51">
        <v>1</v>
      </c>
      <c r="B44" s="17" t="s">
        <v>376</v>
      </c>
      <c r="C44" s="17" t="s">
        <v>625</v>
      </c>
      <c r="D44" s="17" t="s">
        <v>377</v>
      </c>
      <c r="E44" s="17" t="s">
        <v>667</v>
      </c>
      <c r="F44" s="17" t="s">
        <v>232</v>
      </c>
      <c r="G44" s="30" t="s">
        <v>24</v>
      </c>
      <c r="H44" s="30" t="s">
        <v>70</v>
      </c>
      <c r="I44" s="31" t="s">
        <v>97</v>
      </c>
      <c r="J44" s="18"/>
      <c r="K44" s="18" t="str">
        <f>"107,5"</f>
        <v>107,5</v>
      </c>
      <c r="L44" s="18" t="str">
        <f>"72,0143"</f>
        <v>72,0143</v>
      </c>
      <c r="M44" s="17" t="s">
        <v>541</v>
      </c>
    </row>
    <row r="46" spans="1:13" ht="16">
      <c r="A46" s="144" t="s">
        <v>38</v>
      </c>
      <c r="B46" s="144"/>
      <c r="C46" s="145"/>
      <c r="D46" s="145"/>
      <c r="E46" s="145"/>
      <c r="F46" s="145"/>
      <c r="G46" s="145"/>
      <c r="H46" s="145"/>
      <c r="I46" s="145"/>
      <c r="J46" s="145"/>
    </row>
    <row r="47" spans="1:13">
      <c r="A47" s="49">
        <v>1</v>
      </c>
      <c r="B47" s="15" t="s">
        <v>378</v>
      </c>
      <c r="C47" s="15" t="s">
        <v>626</v>
      </c>
      <c r="D47" s="15" t="s">
        <v>379</v>
      </c>
      <c r="E47" s="15" t="s">
        <v>663</v>
      </c>
      <c r="F47" s="15" t="s">
        <v>251</v>
      </c>
      <c r="G47" s="28" t="s">
        <v>36</v>
      </c>
      <c r="H47" s="28" t="s">
        <v>34</v>
      </c>
      <c r="I47" s="28" t="s">
        <v>110</v>
      </c>
      <c r="J47" s="16"/>
      <c r="K47" s="16" t="str">
        <f>"142,5"</f>
        <v>142,5</v>
      </c>
      <c r="L47" s="16" t="str">
        <f>"90,9720"</f>
        <v>90,9720</v>
      </c>
      <c r="M47" s="15" t="s">
        <v>421</v>
      </c>
    </row>
    <row r="48" spans="1:13">
      <c r="A48" s="50">
        <v>1</v>
      </c>
      <c r="B48" s="19" t="s">
        <v>380</v>
      </c>
      <c r="C48" s="19" t="s">
        <v>381</v>
      </c>
      <c r="D48" s="19" t="s">
        <v>382</v>
      </c>
      <c r="E48" s="19" t="s">
        <v>662</v>
      </c>
      <c r="F48" s="19" t="s">
        <v>251</v>
      </c>
      <c r="G48" s="32" t="s">
        <v>36</v>
      </c>
      <c r="H48" s="32" t="s">
        <v>110</v>
      </c>
      <c r="I48" s="33" t="s">
        <v>56</v>
      </c>
      <c r="J48" s="20"/>
      <c r="K48" s="20" t="str">
        <f>"142,5"</f>
        <v>142,5</v>
      </c>
      <c r="L48" s="20" t="str">
        <f>"91,8697"</f>
        <v>91,8697</v>
      </c>
      <c r="M48" s="19"/>
    </row>
    <row r="49" spans="1:13">
      <c r="A49" s="50">
        <v>2</v>
      </c>
      <c r="B49" s="19" t="s">
        <v>383</v>
      </c>
      <c r="C49" s="19" t="s">
        <v>384</v>
      </c>
      <c r="D49" s="19" t="s">
        <v>385</v>
      </c>
      <c r="E49" s="19" t="s">
        <v>662</v>
      </c>
      <c r="F49" s="19" t="s">
        <v>296</v>
      </c>
      <c r="G49" s="32" t="s">
        <v>33</v>
      </c>
      <c r="H49" s="32" t="s">
        <v>34</v>
      </c>
      <c r="I49" s="33" t="s">
        <v>110</v>
      </c>
      <c r="J49" s="20"/>
      <c r="K49" s="20" t="str">
        <f>"140,0"</f>
        <v>140,0</v>
      </c>
      <c r="L49" s="20" t="str">
        <f>"93,3800"</f>
        <v>93,3800</v>
      </c>
      <c r="M49" s="19" t="s">
        <v>574</v>
      </c>
    </row>
    <row r="50" spans="1:13">
      <c r="A50" s="50">
        <v>3</v>
      </c>
      <c r="B50" s="19" t="s">
        <v>386</v>
      </c>
      <c r="C50" s="19" t="s">
        <v>387</v>
      </c>
      <c r="D50" s="19" t="s">
        <v>388</v>
      </c>
      <c r="E50" s="19" t="s">
        <v>662</v>
      </c>
      <c r="F50" s="19" t="s">
        <v>251</v>
      </c>
      <c r="G50" s="32" t="s">
        <v>33</v>
      </c>
      <c r="H50" s="32" t="s">
        <v>34</v>
      </c>
      <c r="I50" s="33" t="s">
        <v>110</v>
      </c>
      <c r="J50" s="20"/>
      <c r="K50" s="20" t="str">
        <f>"140,0"</f>
        <v>140,0</v>
      </c>
      <c r="L50" s="20" t="str">
        <f>"89,7820"</f>
        <v>89,7820</v>
      </c>
      <c r="M50" s="19" t="s">
        <v>551</v>
      </c>
    </row>
    <row r="51" spans="1:13">
      <c r="A51" s="50">
        <v>4</v>
      </c>
      <c r="B51" s="19" t="s">
        <v>389</v>
      </c>
      <c r="C51" s="19" t="s">
        <v>390</v>
      </c>
      <c r="D51" s="19" t="s">
        <v>391</v>
      </c>
      <c r="E51" s="19" t="s">
        <v>662</v>
      </c>
      <c r="F51" s="19" t="s">
        <v>251</v>
      </c>
      <c r="G51" s="32" t="s">
        <v>52</v>
      </c>
      <c r="H51" s="32" t="s">
        <v>33</v>
      </c>
      <c r="I51" s="33" t="s">
        <v>36</v>
      </c>
      <c r="J51" s="20"/>
      <c r="K51" s="20" t="str">
        <f>"132,5"</f>
        <v>132,5</v>
      </c>
      <c r="L51" s="20" t="str">
        <f>"86,0588"</f>
        <v>86,0588</v>
      </c>
      <c r="M51" s="19"/>
    </row>
    <row r="52" spans="1:13">
      <c r="A52" s="51">
        <v>1</v>
      </c>
      <c r="B52" s="17" t="s">
        <v>392</v>
      </c>
      <c r="C52" s="17" t="s">
        <v>618</v>
      </c>
      <c r="D52" s="17" t="s">
        <v>388</v>
      </c>
      <c r="E52" s="17" t="s">
        <v>664</v>
      </c>
      <c r="F52" s="17" t="s">
        <v>251</v>
      </c>
      <c r="G52" s="30" t="s">
        <v>33</v>
      </c>
      <c r="H52" s="30" t="s">
        <v>36</v>
      </c>
      <c r="I52" s="30" t="s">
        <v>242</v>
      </c>
      <c r="J52" s="18"/>
      <c r="K52" s="18" t="str">
        <f>"137,5"</f>
        <v>137,5</v>
      </c>
      <c r="L52" s="18" t="str">
        <f>"98,2311"</f>
        <v>98,2311</v>
      </c>
      <c r="M52" s="17"/>
    </row>
    <row r="54" spans="1:13" ht="16">
      <c r="A54" s="144" t="s">
        <v>85</v>
      </c>
      <c r="B54" s="144"/>
      <c r="C54" s="145"/>
      <c r="D54" s="145"/>
      <c r="E54" s="145"/>
      <c r="F54" s="145"/>
      <c r="G54" s="145"/>
      <c r="H54" s="145"/>
      <c r="I54" s="145"/>
      <c r="J54" s="145"/>
    </row>
    <row r="55" spans="1:13">
      <c r="A55" s="49">
        <v>1</v>
      </c>
      <c r="B55" s="15" t="s">
        <v>394</v>
      </c>
      <c r="C55" s="15" t="s">
        <v>395</v>
      </c>
      <c r="D55" s="15" t="s">
        <v>88</v>
      </c>
      <c r="E55" s="15" t="s">
        <v>662</v>
      </c>
      <c r="F55" s="15" t="s">
        <v>232</v>
      </c>
      <c r="G55" s="64">
        <v>160</v>
      </c>
      <c r="H55" s="64">
        <v>170</v>
      </c>
      <c r="I55" s="64">
        <v>180</v>
      </c>
      <c r="J55" s="16"/>
      <c r="K55" s="16" t="str">
        <f>"180,0"</f>
        <v>180,0</v>
      </c>
      <c r="L55" s="16" t="str">
        <f>"110,7360"</f>
        <v>110,7360</v>
      </c>
      <c r="M55" s="15"/>
    </row>
    <row r="56" spans="1:13">
      <c r="A56" s="50">
        <v>2</v>
      </c>
      <c r="B56" s="19" t="s">
        <v>396</v>
      </c>
      <c r="C56" s="19" t="s">
        <v>397</v>
      </c>
      <c r="D56" s="19" t="s">
        <v>398</v>
      </c>
      <c r="E56" s="19" t="s">
        <v>662</v>
      </c>
      <c r="F56" s="19" t="s">
        <v>538</v>
      </c>
      <c r="G56" s="72" t="s">
        <v>177</v>
      </c>
      <c r="H56" s="73">
        <v>162.5</v>
      </c>
      <c r="I56" s="73">
        <v>162.5</v>
      </c>
      <c r="J56" s="20"/>
      <c r="K56" s="20" t="str">
        <f>"152,5"</f>
        <v>152,5</v>
      </c>
      <c r="L56" s="20" t="str">
        <f>"92,8115"</f>
        <v>92,8115</v>
      </c>
      <c r="M56" s="19" t="s">
        <v>587</v>
      </c>
    </row>
    <row r="57" spans="1:13">
      <c r="A57" s="51">
        <v>1</v>
      </c>
      <c r="B57" s="17" t="s">
        <v>399</v>
      </c>
      <c r="C57" s="17" t="s">
        <v>627</v>
      </c>
      <c r="D57" s="17" t="s">
        <v>398</v>
      </c>
      <c r="E57" s="17" t="s">
        <v>664</v>
      </c>
      <c r="F57" s="17" t="s">
        <v>256</v>
      </c>
      <c r="G57" s="65">
        <v>97.5</v>
      </c>
      <c r="H57" s="65" t="s">
        <v>155</v>
      </c>
      <c r="I57" s="92">
        <v>125</v>
      </c>
      <c r="J57" s="18"/>
      <c r="K57" s="18" t="str">
        <f>"112,5"</f>
        <v>112,5</v>
      </c>
      <c r="L57" s="18" t="str">
        <f>"73,8080"</f>
        <v>73,8080</v>
      </c>
      <c r="M57" s="17"/>
    </row>
    <row r="59" spans="1:13" ht="16">
      <c r="A59" s="144" t="s">
        <v>102</v>
      </c>
      <c r="B59" s="144"/>
      <c r="C59" s="145"/>
      <c r="D59" s="145"/>
      <c r="E59" s="145"/>
      <c r="F59" s="145"/>
      <c r="G59" s="145"/>
      <c r="H59" s="145"/>
      <c r="I59" s="145"/>
      <c r="J59" s="145"/>
    </row>
    <row r="60" spans="1:13">
      <c r="A60" s="49">
        <v>1</v>
      </c>
      <c r="B60" s="15" t="s">
        <v>400</v>
      </c>
      <c r="C60" s="15" t="s">
        <v>401</v>
      </c>
      <c r="D60" s="15" t="s">
        <v>402</v>
      </c>
      <c r="E60" s="15" t="s">
        <v>662</v>
      </c>
      <c r="F60" s="74" t="s">
        <v>256</v>
      </c>
      <c r="G60" s="77">
        <v>180</v>
      </c>
      <c r="H60" s="64">
        <v>185</v>
      </c>
      <c r="I60" s="102">
        <v>190</v>
      </c>
      <c r="J60" s="80"/>
      <c r="K60" s="16" t="str">
        <f>"190,0"</f>
        <v>190,0</v>
      </c>
      <c r="L60" s="16" t="str">
        <f>"112,1000"</f>
        <v>112,1000</v>
      </c>
      <c r="M60" s="15"/>
    </row>
    <row r="61" spans="1:13">
      <c r="A61" s="50">
        <v>2</v>
      </c>
      <c r="B61" s="19" t="s">
        <v>403</v>
      </c>
      <c r="C61" s="19" t="s">
        <v>404</v>
      </c>
      <c r="D61" s="19" t="s">
        <v>405</v>
      </c>
      <c r="E61" s="19" t="s">
        <v>662</v>
      </c>
      <c r="F61" s="75" t="s">
        <v>538</v>
      </c>
      <c r="G61" s="78">
        <v>150</v>
      </c>
      <c r="H61" s="73">
        <v>160</v>
      </c>
      <c r="I61" s="103" t="s">
        <v>57</v>
      </c>
      <c r="J61" s="81"/>
      <c r="K61" s="20" t="str">
        <f>"160,0"</f>
        <v>160,0</v>
      </c>
      <c r="L61" s="20" t="str">
        <f>"94,6240"</f>
        <v>94,6240</v>
      </c>
      <c r="M61" s="19"/>
    </row>
    <row r="62" spans="1:13">
      <c r="A62" s="50">
        <v>3</v>
      </c>
      <c r="B62" s="19" t="s">
        <v>406</v>
      </c>
      <c r="C62" s="19" t="s">
        <v>407</v>
      </c>
      <c r="D62" s="19" t="s">
        <v>402</v>
      </c>
      <c r="E62" s="19" t="s">
        <v>662</v>
      </c>
      <c r="F62" s="75" t="s">
        <v>538</v>
      </c>
      <c r="G62" s="78">
        <v>135</v>
      </c>
      <c r="H62" s="72">
        <v>140</v>
      </c>
      <c r="I62" s="103">
        <v>145</v>
      </c>
      <c r="J62" s="81"/>
      <c r="K62" s="20" t="str">
        <f>"145,0"</f>
        <v>145,0</v>
      </c>
      <c r="L62" s="20" t="str">
        <f>"85,5500"</f>
        <v>85,5500</v>
      </c>
      <c r="M62" s="19"/>
    </row>
    <row r="63" spans="1:13">
      <c r="A63" s="50">
        <v>1</v>
      </c>
      <c r="B63" s="19" t="s">
        <v>408</v>
      </c>
      <c r="C63" s="19" t="s">
        <v>628</v>
      </c>
      <c r="D63" s="19" t="s">
        <v>409</v>
      </c>
      <c r="E63" s="19" t="s">
        <v>664</v>
      </c>
      <c r="F63" s="75" t="s">
        <v>232</v>
      </c>
      <c r="G63" s="78">
        <v>140</v>
      </c>
      <c r="H63" s="73">
        <v>142.5</v>
      </c>
      <c r="I63" s="104">
        <v>142.5</v>
      </c>
      <c r="J63" s="81"/>
      <c r="K63" s="20" t="str">
        <f>"140,0"</f>
        <v>140,0</v>
      </c>
      <c r="L63" s="20" t="str">
        <f>"87,3334"</f>
        <v>87,3334</v>
      </c>
      <c r="M63" s="19"/>
    </row>
    <row r="64" spans="1:13">
      <c r="A64" s="51">
        <v>1</v>
      </c>
      <c r="B64" s="17" t="s">
        <v>406</v>
      </c>
      <c r="C64" s="17" t="s">
        <v>629</v>
      </c>
      <c r="D64" s="17" t="s">
        <v>402</v>
      </c>
      <c r="E64" s="17" t="s">
        <v>666</v>
      </c>
      <c r="F64" s="76" t="s">
        <v>538</v>
      </c>
      <c r="G64" s="79">
        <v>135</v>
      </c>
      <c r="H64" s="65">
        <v>140</v>
      </c>
      <c r="I64" s="105">
        <v>145</v>
      </c>
      <c r="J64" s="82"/>
      <c r="K64" s="18" t="str">
        <f>"145,0"</f>
        <v>145,0</v>
      </c>
      <c r="L64" s="18" t="str">
        <f>"110,9583"</f>
        <v>110,9583</v>
      </c>
      <c r="M64" s="17"/>
    </row>
    <row r="66" spans="1:13" ht="16">
      <c r="A66" s="144" t="s">
        <v>306</v>
      </c>
      <c r="B66" s="144"/>
      <c r="C66" s="145"/>
      <c r="D66" s="145"/>
      <c r="E66" s="145"/>
      <c r="F66" s="145"/>
      <c r="G66" s="145"/>
      <c r="H66" s="145"/>
      <c r="I66" s="145"/>
      <c r="J66" s="145"/>
    </row>
    <row r="67" spans="1:13">
      <c r="A67" s="94">
        <v>1</v>
      </c>
      <c r="B67" s="74" t="s">
        <v>410</v>
      </c>
      <c r="C67" s="74" t="s">
        <v>411</v>
      </c>
      <c r="D67" s="74" t="s">
        <v>412</v>
      </c>
      <c r="E67" s="15" t="s">
        <v>662</v>
      </c>
      <c r="F67" s="53" t="s">
        <v>538</v>
      </c>
      <c r="G67" s="95" t="s">
        <v>300</v>
      </c>
      <c r="H67" s="84" t="s">
        <v>393</v>
      </c>
      <c r="I67" s="29" t="s">
        <v>313</v>
      </c>
      <c r="J67" s="80"/>
      <c r="K67" s="80" t="str">
        <f>"197,5"</f>
        <v>197,5</v>
      </c>
      <c r="L67" s="80" t="str">
        <f>"112,8713"</f>
        <v>112,8713</v>
      </c>
      <c r="M67" s="53"/>
    </row>
    <row r="68" spans="1:13">
      <c r="A68" s="96">
        <v>2</v>
      </c>
      <c r="B68" s="75" t="s">
        <v>413</v>
      </c>
      <c r="C68" s="75" t="s">
        <v>414</v>
      </c>
      <c r="D68" s="75" t="s">
        <v>415</v>
      </c>
      <c r="E68" s="19" t="s">
        <v>662</v>
      </c>
      <c r="F68" s="97" t="s">
        <v>538</v>
      </c>
      <c r="G68" s="93" t="s">
        <v>101</v>
      </c>
      <c r="H68" s="100" t="s">
        <v>66</v>
      </c>
      <c r="I68" s="32" t="s">
        <v>67</v>
      </c>
      <c r="J68" s="81"/>
      <c r="K68" s="81" t="str">
        <f>"195,0"</f>
        <v>195,0</v>
      </c>
      <c r="L68" s="81" t="str">
        <f>"112,1055"</f>
        <v>112,1055</v>
      </c>
      <c r="M68" s="97"/>
    </row>
    <row r="69" spans="1:13">
      <c r="A69" s="96">
        <v>3</v>
      </c>
      <c r="B69" s="75" t="s">
        <v>189</v>
      </c>
      <c r="C69" s="75" t="s">
        <v>416</v>
      </c>
      <c r="D69" s="75" t="s">
        <v>417</v>
      </c>
      <c r="E69" s="19" t="s">
        <v>662</v>
      </c>
      <c r="F69" s="97" t="s">
        <v>418</v>
      </c>
      <c r="G69" s="93" t="s">
        <v>65</v>
      </c>
      <c r="H69" s="100" t="s">
        <v>66</v>
      </c>
      <c r="I69" s="33" t="s">
        <v>67</v>
      </c>
      <c r="J69" s="81"/>
      <c r="K69" s="81" t="str">
        <f>"190,0"</f>
        <v>190,0</v>
      </c>
      <c r="L69" s="81" t="str">
        <f>"108,3000"</f>
        <v>108,3000</v>
      </c>
      <c r="M69" s="97"/>
    </row>
    <row r="70" spans="1:13">
      <c r="A70" s="98">
        <v>1</v>
      </c>
      <c r="B70" s="76" t="s">
        <v>419</v>
      </c>
      <c r="C70" s="76" t="s">
        <v>630</v>
      </c>
      <c r="D70" s="76" t="s">
        <v>420</v>
      </c>
      <c r="E70" s="17" t="s">
        <v>664</v>
      </c>
      <c r="F70" s="54" t="s">
        <v>538</v>
      </c>
      <c r="G70" s="99" t="s">
        <v>71</v>
      </c>
      <c r="H70" s="101" t="s">
        <v>65</v>
      </c>
      <c r="I70" s="30" t="s">
        <v>65</v>
      </c>
      <c r="J70" s="82"/>
      <c r="K70" s="82" t="str">
        <f>"180,0"</f>
        <v>180,0</v>
      </c>
      <c r="L70" s="82" t="str">
        <f>"114,9180"</f>
        <v>114,9180</v>
      </c>
      <c r="M70" s="54" t="s">
        <v>421</v>
      </c>
    </row>
    <row r="72" spans="1:13" ht="16">
      <c r="A72" s="144" t="s">
        <v>314</v>
      </c>
      <c r="B72" s="144"/>
      <c r="C72" s="145"/>
      <c r="D72" s="145"/>
      <c r="E72" s="145"/>
      <c r="F72" s="145"/>
      <c r="G72" s="145"/>
      <c r="H72" s="145"/>
      <c r="I72" s="145"/>
      <c r="J72" s="145"/>
    </row>
    <row r="73" spans="1:13">
      <c r="A73" s="49">
        <v>1</v>
      </c>
      <c r="B73" s="15" t="s">
        <v>424</v>
      </c>
      <c r="C73" s="15" t="s">
        <v>631</v>
      </c>
      <c r="D73" s="15" t="s">
        <v>425</v>
      </c>
      <c r="E73" s="15" t="s">
        <v>663</v>
      </c>
      <c r="F73" s="15" t="s">
        <v>296</v>
      </c>
      <c r="G73" s="28" t="s">
        <v>37</v>
      </c>
      <c r="H73" s="28" t="s">
        <v>111</v>
      </c>
      <c r="I73" s="28" t="s">
        <v>96</v>
      </c>
      <c r="J73" s="16"/>
      <c r="K73" s="16" t="str">
        <f>"157,5"</f>
        <v>157,5</v>
      </c>
      <c r="L73" s="16" t="str">
        <f>"89,5545"</f>
        <v>89,5545</v>
      </c>
      <c r="M73" s="15"/>
    </row>
    <row r="74" spans="1:13">
      <c r="A74" s="51">
        <v>1</v>
      </c>
      <c r="B74" s="17" t="s">
        <v>426</v>
      </c>
      <c r="C74" s="17" t="s">
        <v>632</v>
      </c>
      <c r="D74" s="17" t="s">
        <v>427</v>
      </c>
      <c r="E74" s="17" t="s">
        <v>667</v>
      </c>
      <c r="F74" s="17" t="s">
        <v>538</v>
      </c>
      <c r="G74" s="30" t="s">
        <v>65</v>
      </c>
      <c r="H74" s="30" t="s">
        <v>66</v>
      </c>
      <c r="I74" s="30" t="s">
        <v>300</v>
      </c>
      <c r="J74" s="18"/>
      <c r="K74" s="18" t="str">
        <f>"192,5"</f>
        <v>192,5</v>
      </c>
      <c r="L74" s="18" t="str">
        <f>"112,4807"</f>
        <v>112,4807</v>
      </c>
      <c r="M74" s="17"/>
    </row>
    <row r="76" spans="1:13">
      <c r="G76" s="11"/>
      <c r="M76" s="12"/>
    </row>
    <row r="77" spans="1:13">
      <c r="G77" s="11"/>
      <c r="M77" s="12"/>
    </row>
    <row r="78" spans="1:13" ht="18">
      <c r="B78" s="21" t="s">
        <v>123</v>
      </c>
      <c r="C78" s="21"/>
      <c r="M78" s="3"/>
    </row>
    <row r="79" spans="1:13" ht="16">
      <c r="B79" s="22" t="s">
        <v>132</v>
      </c>
      <c r="C79" s="22"/>
      <c r="M79" s="3"/>
    </row>
    <row r="80" spans="1:13" ht="14">
      <c r="B80" s="23"/>
      <c r="C80" s="24" t="s">
        <v>125</v>
      </c>
      <c r="M80" s="3"/>
    </row>
    <row r="81" spans="2:13" ht="14">
      <c r="B81" s="25" t="s">
        <v>126</v>
      </c>
      <c r="C81" s="25" t="s">
        <v>127</v>
      </c>
      <c r="D81" s="25" t="s">
        <v>654</v>
      </c>
      <c r="E81" s="25" t="s">
        <v>319</v>
      </c>
      <c r="F81" s="25" t="s">
        <v>130</v>
      </c>
      <c r="M81" s="3"/>
    </row>
    <row r="82" spans="2:13">
      <c r="B82" s="11" t="s">
        <v>410</v>
      </c>
      <c r="C82" s="11" t="s">
        <v>125</v>
      </c>
      <c r="D82" s="67">
        <v>125</v>
      </c>
      <c r="E82" s="12" t="s">
        <v>393</v>
      </c>
      <c r="F82" s="12" t="s">
        <v>582</v>
      </c>
      <c r="M82" s="3"/>
    </row>
    <row r="83" spans="2:13">
      <c r="B83" s="11" t="s">
        <v>413</v>
      </c>
      <c r="C83" s="11" t="s">
        <v>125</v>
      </c>
      <c r="D83" s="67">
        <v>125</v>
      </c>
      <c r="E83" s="12" t="s">
        <v>67</v>
      </c>
      <c r="F83" s="12" t="s">
        <v>583</v>
      </c>
      <c r="M83" s="3"/>
    </row>
    <row r="84" spans="2:13">
      <c r="B84" s="11" t="s">
        <v>400</v>
      </c>
      <c r="C84" s="11" t="s">
        <v>125</v>
      </c>
      <c r="D84" s="67">
        <v>110</v>
      </c>
      <c r="E84" s="12" t="s">
        <v>66</v>
      </c>
      <c r="F84" s="12" t="s">
        <v>584</v>
      </c>
      <c r="M84" s="3"/>
    </row>
  </sheetData>
  <mergeCells count="25">
    <mergeCell ref="A72:J72"/>
    <mergeCell ref="B3:B4"/>
    <mergeCell ref="A35:J35"/>
    <mergeCell ref="A41:J41"/>
    <mergeCell ref="A46:J46"/>
    <mergeCell ref="A54:J54"/>
    <mergeCell ref="A59:J59"/>
    <mergeCell ref="A66:J66"/>
    <mergeCell ref="A8:J8"/>
    <mergeCell ref="A14:J14"/>
    <mergeCell ref="A19:J19"/>
    <mergeCell ref="A26:J26"/>
    <mergeCell ref="A29:J29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7534-915C-4403-8CD3-99A773D8603D}">
  <sheetPr codeName="Лист11"/>
  <dimension ref="A1:M57"/>
  <sheetViews>
    <sheetView topLeftCell="A12" workbookViewId="0">
      <selection activeCell="E48" sqref="E48"/>
    </sheetView>
  </sheetViews>
  <sheetFormatPr baseColWidth="10" defaultColWidth="9.1640625" defaultRowHeight="13"/>
  <cols>
    <col min="1" max="1" width="7.1640625" style="11" bestFit="1" customWidth="1"/>
    <col min="2" max="2" width="20.83203125" style="11" bestFit="1" customWidth="1"/>
    <col min="3" max="3" width="28.6640625" style="11" bestFit="1" customWidth="1"/>
    <col min="4" max="4" width="20.83203125" style="11" bestFit="1" customWidth="1"/>
    <col min="5" max="5" width="10.1640625" style="11" bestFit="1" customWidth="1"/>
    <col min="6" max="6" width="38.5" style="11" bestFit="1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30.1640625" style="11" bestFit="1" customWidth="1"/>
    <col min="14" max="16384" width="9.1640625" style="3"/>
  </cols>
  <sheetData>
    <row r="1" spans="1:13" s="2" customFormat="1" ht="29" customHeight="1">
      <c r="A1" s="133" t="s">
        <v>600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13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27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52">
        <v>1</v>
      </c>
      <c r="B6" s="13" t="s">
        <v>28</v>
      </c>
      <c r="C6" s="13" t="s">
        <v>29</v>
      </c>
      <c r="D6" s="13" t="s">
        <v>30</v>
      </c>
      <c r="E6" s="13" t="s">
        <v>662</v>
      </c>
      <c r="F6" s="13" t="s">
        <v>31</v>
      </c>
      <c r="G6" s="27" t="s">
        <v>35</v>
      </c>
      <c r="H6" s="26" t="s">
        <v>20</v>
      </c>
      <c r="I6" s="27" t="s">
        <v>20</v>
      </c>
      <c r="J6" s="14"/>
      <c r="K6" s="14" t="str">
        <f>"80,0"</f>
        <v>80,0</v>
      </c>
      <c r="L6" s="14" t="str">
        <f>"77,1680"</f>
        <v>77,1680</v>
      </c>
      <c r="M6" s="13" t="s">
        <v>550</v>
      </c>
    </row>
    <row r="8" spans="1:13" ht="16">
      <c r="A8" s="144" t="s">
        <v>138</v>
      </c>
      <c r="B8" s="144"/>
      <c r="C8" s="145"/>
      <c r="D8" s="145"/>
      <c r="E8" s="145"/>
      <c r="F8" s="145"/>
      <c r="G8" s="145"/>
      <c r="H8" s="145"/>
      <c r="I8" s="145"/>
      <c r="J8" s="145"/>
    </row>
    <row r="9" spans="1:13">
      <c r="A9" s="52">
        <v>1</v>
      </c>
      <c r="B9" s="13" t="s">
        <v>248</v>
      </c>
      <c r="C9" s="13" t="s">
        <v>249</v>
      </c>
      <c r="D9" s="13" t="s">
        <v>250</v>
      </c>
      <c r="E9" s="13" t="s">
        <v>665</v>
      </c>
      <c r="F9" s="13" t="s">
        <v>251</v>
      </c>
      <c r="G9" s="27" t="s">
        <v>252</v>
      </c>
      <c r="H9" s="27" t="s">
        <v>44</v>
      </c>
      <c r="I9" s="27" t="s">
        <v>45</v>
      </c>
      <c r="J9" s="14"/>
      <c r="K9" s="14" t="str">
        <f>"32,5"</f>
        <v>32,5</v>
      </c>
      <c r="L9" s="14" t="str">
        <f>"31,5120"</f>
        <v>31,5120</v>
      </c>
      <c r="M9" s="13" t="s">
        <v>539</v>
      </c>
    </row>
    <row r="11" spans="1:13" ht="16">
      <c r="A11" s="144" t="s">
        <v>156</v>
      </c>
      <c r="B11" s="144"/>
      <c r="C11" s="145"/>
      <c r="D11" s="145"/>
      <c r="E11" s="145"/>
      <c r="F11" s="145"/>
      <c r="G11" s="145"/>
      <c r="H11" s="145"/>
      <c r="I11" s="145"/>
      <c r="J11" s="145"/>
    </row>
    <row r="12" spans="1:13">
      <c r="A12" s="49">
        <v>1</v>
      </c>
      <c r="B12" s="15" t="s">
        <v>253</v>
      </c>
      <c r="C12" s="15" t="s">
        <v>254</v>
      </c>
      <c r="D12" s="15" t="s">
        <v>255</v>
      </c>
      <c r="E12" s="15" t="s">
        <v>665</v>
      </c>
      <c r="F12" s="15" t="s">
        <v>256</v>
      </c>
      <c r="G12" s="29" t="s">
        <v>43</v>
      </c>
      <c r="H12" s="28" t="s">
        <v>43</v>
      </c>
      <c r="I12" s="28" t="s">
        <v>159</v>
      </c>
      <c r="J12" s="16"/>
      <c r="K12" s="16" t="str">
        <f>"65,0"</f>
        <v>65,0</v>
      </c>
      <c r="L12" s="16" t="str">
        <f>"56,3030"</f>
        <v>56,3030</v>
      </c>
      <c r="M12" s="15"/>
    </row>
    <row r="13" spans="1:13">
      <c r="A13" s="51">
        <v>1</v>
      </c>
      <c r="B13" s="17" t="s">
        <v>257</v>
      </c>
      <c r="C13" s="17" t="s">
        <v>258</v>
      </c>
      <c r="D13" s="17" t="s">
        <v>259</v>
      </c>
      <c r="E13" s="17" t="s">
        <v>662</v>
      </c>
      <c r="F13" s="17" t="s">
        <v>296</v>
      </c>
      <c r="G13" s="30" t="s">
        <v>48</v>
      </c>
      <c r="H13" s="30" t="s">
        <v>24</v>
      </c>
      <c r="I13" s="31" t="s">
        <v>141</v>
      </c>
      <c r="J13" s="18"/>
      <c r="K13" s="18" t="str">
        <f>"100,0"</f>
        <v>100,0</v>
      </c>
      <c r="L13" s="18" t="str">
        <f>"88,8900"</f>
        <v>88,8900</v>
      </c>
      <c r="M13" s="17" t="s">
        <v>543</v>
      </c>
    </row>
    <row r="15" spans="1:13" ht="16">
      <c r="A15" s="144" t="s">
        <v>27</v>
      </c>
      <c r="B15" s="144"/>
      <c r="C15" s="145"/>
      <c r="D15" s="145"/>
      <c r="E15" s="145"/>
      <c r="F15" s="145"/>
      <c r="G15" s="145"/>
      <c r="H15" s="145"/>
      <c r="I15" s="145"/>
      <c r="J15" s="145"/>
    </row>
    <row r="16" spans="1:13">
      <c r="A16" s="52">
        <v>1</v>
      </c>
      <c r="B16" s="13" t="s">
        <v>260</v>
      </c>
      <c r="C16" s="13" t="s">
        <v>261</v>
      </c>
      <c r="D16" s="13" t="s">
        <v>262</v>
      </c>
      <c r="E16" s="13" t="s">
        <v>665</v>
      </c>
      <c r="F16" s="13" t="s">
        <v>256</v>
      </c>
      <c r="G16" s="27" t="s">
        <v>263</v>
      </c>
      <c r="H16" s="27" t="s">
        <v>20</v>
      </c>
      <c r="I16" s="27" t="s">
        <v>21</v>
      </c>
      <c r="J16" s="14"/>
      <c r="K16" s="14" t="str">
        <f>"85,0"</f>
        <v>85,0</v>
      </c>
      <c r="L16" s="14" t="str">
        <f>"63,6990"</f>
        <v>63,6990</v>
      </c>
      <c r="M16" s="13" t="s">
        <v>552</v>
      </c>
    </row>
    <row r="18" spans="1:13" ht="16">
      <c r="A18" s="144" t="s">
        <v>58</v>
      </c>
      <c r="B18" s="144"/>
      <c r="C18" s="145"/>
      <c r="D18" s="145"/>
      <c r="E18" s="145"/>
      <c r="F18" s="145"/>
      <c r="G18" s="145"/>
      <c r="H18" s="145"/>
      <c r="I18" s="145"/>
      <c r="J18" s="145"/>
    </row>
    <row r="19" spans="1:13">
      <c r="A19" s="49">
        <v>1</v>
      </c>
      <c r="B19" s="15" t="s">
        <v>264</v>
      </c>
      <c r="C19" s="15" t="s">
        <v>265</v>
      </c>
      <c r="D19" s="15" t="s">
        <v>266</v>
      </c>
      <c r="E19" s="15" t="s">
        <v>662</v>
      </c>
      <c r="F19" s="15" t="s">
        <v>267</v>
      </c>
      <c r="G19" s="28" t="s">
        <v>37</v>
      </c>
      <c r="H19" s="28" t="s">
        <v>56</v>
      </c>
      <c r="I19" s="29" t="s">
        <v>111</v>
      </c>
      <c r="J19" s="16"/>
      <c r="K19" s="16" t="str">
        <f>"150,0"</f>
        <v>150,0</v>
      </c>
      <c r="L19" s="16" t="str">
        <f>"102,0000"</f>
        <v>102,0000</v>
      </c>
      <c r="M19" s="15" t="s">
        <v>588</v>
      </c>
    </row>
    <row r="20" spans="1:13">
      <c r="A20" s="50">
        <v>2</v>
      </c>
      <c r="B20" s="19" t="s">
        <v>268</v>
      </c>
      <c r="C20" s="19" t="s">
        <v>269</v>
      </c>
      <c r="D20" s="19" t="s">
        <v>270</v>
      </c>
      <c r="E20" s="19" t="s">
        <v>662</v>
      </c>
      <c r="F20" s="19" t="s">
        <v>296</v>
      </c>
      <c r="G20" s="32" t="s">
        <v>97</v>
      </c>
      <c r="H20" s="33" t="s">
        <v>32</v>
      </c>
      <c r="I20" s="32" t="s">
        <v>32</v>
      </c>
      <c r="J20" s="20"/>
      <c r="K20" s="20" t="str">
        <f>"120,0"</f>
        <v>120,0</v>
      </c>
      <c r="L20" s="20" t="str">
        <f>"81,2280"</f>
        <v>81,2280</v>
      </c>
      <c r="M20" s="19" t="s">
        <v>543</v>
      </c>
    </row>
    <row r="21" spans="1:13">
      <c r="A21" s="51">
        <v>3</v>
      </c>
      <c r="B21" s="17" t="s">
        <v>271</v>
      </c>
      <c r="C21" s="17" t="s">
        <v>272</v>
      </c>
      <c r="D21" s="17" t="s">
        <v>273</v>
      </c>
      <c r="E21" s="17" t="s">
        <v>662</v>
      </c>
      <c r="F21" s="17" t="s">
        <v>251</v>
      </c>
      <c r="G21" s="31" t="s">
        <v>21</v>
      </c>
      <c r="H21" s="30" t="s">
        <v>237</v>
      </c>
      <c r="I21" s="30" t="s">
        <v>47</v>
      </c>
      <c r="J21" s="18"/>
      <c r="K21" s="18" t="str">
        <f>"90,0"</f>
        <v>90,0</v>
      </c>
      <c r="L21" s="18" t="str">
        <f>"60,6060"</f>
        <v>60,6060</v>
      </c>
      <c r="M21" s="17" t="s">
        <v>546</v>
      </c>
    </row>
    <row r="23" spans="1:13" ht="16">
      <c r="A23" s="144" t="s">
        <v>38</v>
      </c>
      <c r="B23" s="144"/>
      <c r="C23" s="145"/>
      <c r="D23" s="145"/>
      <c r="E23" s="145"/>
      <c r="F23" s="145"/>
      <c r="G23" s="145"/>
      <c r="H23" s="145"/>
      <c r="I23" s="145"/>
      <c r="J23" s="145"/>
    </row>
    <row r="24" spans="1:13">
      <c r="A24" s="49">
        <v>1</v>
      </c>
      <c r="B24" s="15" t="s">
        <v>274</v>
      </c>
      <c r="C24" s="15" t="s">
        <v>239</v>
      </c>
      <c r="D24" s="15" t="s">
        <v>275</v>
      </c>
      <c r="E24" s="15" t="s">
        <v>662</v>
      </c>
      <c r="F24" s="15" t="s">
        <v>251</v>
      </c>
      <c r="G24" s="84" t="s">
        <v>196</v>
      </c>
      <c r="H24" s="86">
        <v>220</v>
      </c>
      <c r="I24" s="69">
        <v>222.5</v>
      </c>
      <c r="J24" s="80"/>
      <c r="K24" s="16" t="str">
        <f>"205,0"</f>
        <v>205,0</v>
      </c>
      <c r="L24" s="16" t="str">
        <f>"131,9380"</f>
        <v>131,9380</v>
      </c>
      <c r="M24" s="15"/>
    </row>
    <row r="25" spans="1:13">
      <c r="A25" s="50">
        <v>2</v>
      </c>
      <c r="B25" s="19" t="s">
        <v>276</v>
      </c>
      <c r="C25" s="19" t="s">
        <v>277</v>
      </c>
      <c r="D25" s="19" t="s">
        <v>191</v>
      </c>
      <c r="E25" s="19" t="s">
        <v>662</v>
      </c>
      <c r="F25" s="19" t="s">
        <v>547</v>
      </c>
      <c r="G25" s="100" t="s">
        <v>64</v>
      </c>
      <c r="H25" s="100" t="s">
        <v>131</v>
      </c>
      <c r="I25" s="32" t="s">
        <v>278</v>
      </c>
      <c r="J25" s="81"/>
      <c r="K25" s="20" t="str">
        <f>"187,5"</f>
        <v>187,5</v>
      </c>
      <c r="L25" s="20" t="str">
        <f>"119,7750"</f>
        <v>119,7750</v>
      </c>
      <c r="M25" s="19"/>
    </row>
    <row r="26" spans="1:13">
      <c r="A26" s="50">
        <v>3</v>
      </c>
      <c r="B26" s="19" t="s">
        <v>226</v>
      </c>
      <c r="C26" s="19" t="s">
        <v>227</v>
      </c>
      <c r="D26" s="19" t="s">
        <v>228</v>
      </c>
      <c r="E26" s="19" t="s">
        <v>662</v>
      </c>
      <c r="F26" s="19" t="s">
        <v>19</v>
      </c>
      <c r="G26" s="100" t="s">
        <v>65</v>
      </c>
      <c r="H26" s="110" t="s">
        <v>101</v>
      </c>
      <c r="I26" s="33" t="s">
        <v>101</v>
      </c>
      <c r="J26" s="81"/>
      <c r="K26" s="20" t="str">
        <f>"180,0"</f>
        <v>180,0</v>
      </c>
      <c r="L26" s="20" t="str">
        <f>"115,6320"</f>
        <v>115,6320</v>
      </c>
      <c r="M26" s="19" t="s">
        <v>589</v>
      </c>
    </row>
    <row r="27" spans="1:13">
      <c r="A27" s="51">
        <v>4</v>
      </c>
      <c r="B27" s="17" t="s">
        <v>279</v>
      </c>
      <c r="C27" s="17" t="s">
        <v>280</v>
      </c>
      <c r="D27" s="17" t="s">
        <v>281</v>
      </c>
      <c r="E27" s="17" t="s">
        <v>662</v>
      </c>
      <c r="F27" s="17" t="s">
        <v>251</v>
      </c>
      <c r="G27" s="101" t="s">
        <v>65</v>
      </c>
      <c r="H27" s="85" t="s">
        <v>65</v>
      </c>
      <c r="I27" s="31" t="s">
        <v>101</v>
      </c>
      <c r="J27" s="82"/>
      <c r="K27" s="18" t="str">
        <f>"180,0"</f>
        <v>180,0</v>
      </c>
      <c r="L27" s="18" t="str">
        <f>"115,5060"</f>
        <v>115,5060</v>
      </c>
      <c r="M27" s="17" t="s">
        <v>590</v>
      </c>
    </row>
    <row r="29" spans="1:13" ht="16">
      <c r="A29" s="144" t="s">
        <v>85</v>
      </c>
      <c r="B29" s="144"/>
      <c r="C29" s="145"/>
      <c r="D29" s="145"/>
      <c r="E29" s="145"/>
      <c r="F29" s="145"/>
      <c r="G29" s="145"/>
      <c r="H29" s="145"/>
      <c r="I29" s="145"/>
      <c r="J29" s="145"/>
    </row>
    <row r="30" spans="1:13">
      <c r="A30" s="49">
        <v>1</v>
      </c>
      <c r="B30" s="15" t="s">
        <v>285</v>
      </c>
      <c r="C30" s="15" t="s">
        <v>286</v>
      </c>
      <c r="D30" s="15" t="s">
        <v>287</v>
      </c>
      <c r="E30" s="15" t="s">
        <v>662</v>
      </c>
      <c r="F30" s="15" t="s">
        <v>251</v>
      </c>
      <c r="G30" s="77" t="s">
        <v>84</v>
      </c>
      <c r="H30" s="86">
        <v>210</v>
      </c>
      <c r="I30" s="69">
        <v>210</v>
      </c>
      <c r="J30" s="80"/>
      <c r="K30" s="16" t="str">
        <f>"207,5"</f>
        <v>207,5</v>
      </c>
      <c r="L30" s="16" t="str">
        <f>"129,8327"</f>
        <v>129,8327</v>
      </c>
      <c r="M30" s="15"/>
    </row>
    <row r="31" spans="1:13">
      <c r="A31" s="50">
        <v>2</v>
      </c>
      <c r="B31" s="19" t="s">
        <v>288</v>
      </c>
      <c r="C31" s="19" t="s">
        <v>289</v>
      </c>
      <c r="D31" s="19" t="s">
        <v>290</v>
      </c>
      <c r="E31" s="19" t="s">
        <v>662</v>
      </c>
      <c r="F31" s="19" t="s">
        <v>41</v>
      </c>
      <c r="G31" s="78">
        <v>190</v>
      </c>
      <c r="H31" s="78">
        <v>197.5</v>
      </c>
      <c r="I31" s="72">
        <v>200</v>
      </c>
      <c r="J31" s="81"/>
      <c r="K31" s="20" t="str">
        <f>"200,0"</f>
        <v>200,0</v>
      </c>
      <c r="L31" s="20" t="str">
        <f>"123,1000"</f>
        <v>123,1000</v>
      </c>
      <c r="M31" s="19"/>
    </row>
    <row r="32" spans="1:13">
      <c r="A32" s="50">
        <v>3</v>
      </c>
      <c r="B32" s="19" t="s">
        <v>291</v>
      </c>
      <c r="C32" s="19" t="s">
        <v>292</v>
      </c>
      <c r="D32" s="19" t="s">
        <v>293</v>
      </c>
      <c r="E32" s="19" t="s">
        <v>662</v>
      </c>
      <c r="F32" s="19" t="s">
        <v>656</v>
      </c>
      <c r="G32" s="78" t="s">
        <v>67</v>
      </c>
      <c r="H32" s="107">
        <v>205</v>
      </c>
      <c r="I32" s="73">
        <v>205</v>
      </c>
      <c r="J32" s="81"/>
      <c r="K32" s="20" t="str">
        <f>"195,0"</f>
        <v>195,0</v>
      </c>
      <c r="L32" s="20" t="str">
        <f>"122,1285"</f>
        <v>122,1285</v>
      </c>
      <c r="M32" s="19"/>
    </row>
    <row r="33" spans="1:13">
      <c r="A33" s="50">
        <v>4</v>
      </c>
      <c r="B33" s="19" t="s">
        <v>86</v>
      </c>
      <c r="C33" s="19" t="s">
        <v>87</v>
      </c>
      <c r="D33" s="19" t="s">
        <v>88</v>
      </c>
      <c r="E33" s="19" t="s">
        <v>662</v>
      </c>
      <c r="F33" s="19" t="s">
        <v>75</v>
      </c>
      <c r="G33" s="78" t="s">
        <v>62</v>
      </c>
      <c r="H33" s="78" t="s">
        <v>71</v>
      </c>
      <c r="I33" s="71"/>
      <c r="J33" s="81"/>
      <c r="K33" s="20" t="str">
        <f>"170,0"</f>
        <v>170,0</v>
      </c>
      <c r="L33" s="20" t="str">
        <f>"104,5840"</f>
        <v>104,5840</v>
      </c>
      <c r="M33" s="19" t="s">
        <v>556</v>
      </c>
    </row>
    <row r="34" spans="1:13">
      <c r="A34" s="51">
        <v>1</v>
      </c>
      <c r="B34" s="17" t="s">
        <v>294</v>
      </c>
      <c r="C34" s="17" t="s">
        <v>633</v>
      </c>
      <c r="D34" s="17" t="s">
        <v>295</v>
      </c>
      <c r="E34" s="17" t="s">
        <v>667</v>
      </c>
      <c r="F34" s="17" t="s">
        <v>296</v>
      </c>
      <c r="G34" s="79">
        <v>170</v>
      </c>
      <c r="H34" s="79">
        <v>180</v>
      </c>
      <c r="I34" s="92">
        <v>185</v>
      </c>
      <c r="J34" s="82"/>
      <c r="K34" s="18" t="str">
        <f>"180,0"</f>
        <v>180,0</v>
      </c>
      <c r="L34" s="18" t="str">
        <f>"117,4500"</f>
        <v>117,4500</v>
      </c>
      <c r="M34" s="17"/>
    </row>
    <row r="36" spans="1:13" ht="16">
      <c r="A36" s="144" t="s">
        <v>102</v>
      </c>
      <c r="B36" s="144"/>
      <c r="C36" s="145"/>
      <c r="D36" s="145"/>
      <c r="E36" s="145"/>
      <c r="F36" s="145"/>
      <c r="G36" s="145"/>
      <c r="H36" s="145"/>
      <c r="I36" s="145"/>
      <c r="J36" s="145"/>
    </row>
    <row r="37" spans="1:13">
      <c r="A37" s="49">
        <v>1</v>
      </c>
      <c r="B37" s="15" t="s">
        <v>297</v>
      </c>
      <c r="C37" s="15" t="s">
        <v>298</v>
      </c>
      <c r="D37" s="15" t="s">
        <v>299</v>
      </c>
      <c r="E37" s="15" t="s">
        <v>662</v>
      </c>
      <c r="F37" s="15" t="s">
        <v>251</v>
      </c>
      <c r="G37" s="77">
        <v>180</v>
      </c>
      <c r="H37" s="77" t="s">
        <v>300</v>
      </c>
      <c r="I37" s="91"/>
      <c r="J37" s="80"/>
      <c r="K37" s="16" t="str">
        <f>"192,5"</f>
        <v>192,5</v>
      </c>
      <c r="L37" s="16" t="str">
        <f>"113,3440"</f>
        <v>113,3440</v>
      </c>
      <c r="M37" s="15"/>
    </row>
    <row r="38" spans="1:13">
      <c r="A38" s="50">
        <v>2</v>
      </c>
      <c r="B38" s="19" t="s">
        <v>301</v>
      </c>
      <c r="C38" s="19" t="s">
        <v>302</v>
      </c>
      <c r="D38" s="19" t="s">
        <v>303</v>
      </c>
      <c r="E38" s="19" t="s">
        <v>662</v>
      </c>
      <c r="F38" s="19" t="s">
        <v>19</v>
      </c>
      <c r="G38" s="78">
        <v>190</v>
      </c>
      <c r="H38" s="107">
        <v>195</v>
      </c>
      <c r="I38" s="73">
        <v>195</v>
      </c>
      <c r="J38" s="81"/>
      <c r="K38" s="20" t="str">
        <f>"190,0"</f>
        <v>190,0</v>
      </c>
      <c r="L38" s="20" t="str">
        <f>"115,2160"</f>
        <v>115,2160</v>
      </c>
      <c r="M38" s="19"/>
    </row>
    <row r="39" spans="1:13">
      <c r="A39" s="50">
        <v>1</v>
      </c>
      <c r="B39" s="19" t="s">
        <v>297</v>
      </c>
      <c r="C39" s="19" t="s">
        <v>634</v>
      </c>
      <c r="D39" s="19" t="s">
        <v>299</v>
      </c>
      <c r="E39" s="19" t="s">
        <v>664</v>
      </c>
      <c r="F39" s="19" t="s">
        <v>251</v>
      </c>
      <c r="G39" s="78">
        <v>180</v>
      </c>
      <c r="H39" s="78" t="s">
        <v>300</v>
      </c>
      <c r="I39" s="71"/>
      <c r="J39" s="81"/>
      <c r="K39" s="20" t="str">
        <f>"192,5"</f>
        <v>192,5</v>
      </c>
      <c r="L39" s="20" t="str">
        <f>"128,3054"</f>
        <v>128,3054</v>
      </c>
      <c r="M39" s="19"/>
    </row>
    <row r="40" spans="1:13">
      <c r="A40" s="51">
        <v>2</v>
      </c>
      <c r="B40" s="17" t="s">
        <v>304</v>
      </c>
      <c r="C40" s="17" t="s">
        <v>635</v>
      </c>
      <c r="D40" s="17" t="s">
        <v>305</v>
      </c>
      <c r="E40" s="17" t="s">
        <v>664</v>
      </c>
      <c r="F40" s="17" t="s">
        <v>251</v>
      </c>
      <c r="G40" s="79">
        <v>155</v>
      </c>
      <c r="H40" s="79">
        <v>165</v>
      </c>
      <c r="I40" s="65" t="s">
        <v>63</v>
      </c>
      <c r="J40" s="82"/>
      <c r="K40" s="18" t="str">
        <f>"172,5"</f>
        <v>172,5</v>
      </c>
      <c r="L40" s="18" t="str">
        <f>"112,1681"</f>
        <v>112,1681</v>
      </c>
      <c r="M40" s="17"/>
    </row>
    <row r="41" spans="1:13">
      <c r="E41" s="11" t="s">
        <v>668</v>
      </c>
    </row>
    <row r="42" spans="1:13" ht="16">
      <c r="A42" s="144" t="s">
        <v>306</v>
      </c>
      <c r="B42" s="144"/>
      <c r="C42" s="145"/>
      <c r="D42" s="145"/>
      <c r="E42" s="145"/>
      <c r="F42" s="145"/>
      <c r="G42" s="145"/>
      <c r="H42" s="145"/>
      <c r="I42" s="145"/>
      <c r="J42" s="145"/>
    </row>
    <row r="43" spans="1:13">
      <c r="A43" s="49">
        <v>1</v>
      </c>
      <c r="B43" s="15" t="s">
        <v>307</v>
      </c>
      <c r="C43" s="15" t="s">
        <v>308</v>
      </c>
      <c r="D43" s="15" t="s">
        <v>309</v>
      </c>
      <c r="E43" s="15" t="s">
        <v>662</v>
      </c>
      <c r="F43" s="15" t="s">
        <v>19</v>
      </c>
      <c r="G43" s="28" t="s">
        <v>83</v>
      </c>
      <c r="H43" s="28" t="s">
        <v>89</v>
      </c>
      <c r="I43" s="29" t="s">
        <v>197</v>
      </c>
      <c r="J43" s="16"/>
      <c r="K43" s="16" t="str">
        <f>"210,0"</f>
        <v>210,0</v>
      </c>
      <c r="L43" s="16" t="str">
        <f>"120,4980"</f>
        <v>120,4980</v>
      </c>
      <c r="M43" s="15"/>
    </row>
    <row r="44" spans="1:13">
      <c r="A44" s="51">
        <v>2</v>
      </c>
      <c r="B44" s="17" t="s">
        <v>310</v>
      </c>
      <c r="C44" s="17" t="s">
        <v>311</v>
      </c>
      <c r="D44" s="17" t="s">
        <v>312</v>
      </c>
      <c r="E44" s="17" t="s">
        <v>662</v>
      </c>
      <c r="F44" s="17" t="s">
        <v>251</v>
      </c>
      <c r="G44" s="30" t="s">
        <v>67</v>
      </c>
      <c r="H44" s="30" t="s">
        <v>313</v>
      </c>
      <c r="I44" s="30" t="s">
        <v>84</v>
      </c>
      <c r="J44" s="18"/>
      <c r="K44" s="18" t="str">
        <f>"207,5"</f>
        <v>207,5</v>
      </c>
      <c r="L44" s="18" t="str">
        <f>"120,1840"</f>
        <v>120,1840</v>
      </c>
      <c r="M44" s="17" t="s">
        <v>551</v>
      </c>
    </row>
    <row r="46" spans="1:13" ht="16">
      <c r="A46" s="144" t="s">
        <v>314</v>
      </c>
      <c r="B46" s="144"/>
      <c r="C46" s="145"/>
      <c r="D46" s="145"/>
      <c r="E46" s="145"/>
      <c r="F46" s="145"/>
      <c r="G46" s="145"/>
      <c r="H46" s="145"/>
      <c r="I46" s="145"/>
      <c r="J46" s="145"/>
    </row>
    <row r="47" spans="1:13">
      <c r="A47" s="52">
        <v>1</v>
      </c>
      <c r="B47" s="13" t="s">
        <v>315</v>
      </c>
      <c r="C47" s="13" t="s">
        <v>316</v>
      </c>
      <c r="D47" s="13" t="s">
        <v>317</v>
      </c>
      <c r="E47" s="13" t="s">
        <v>662</v>
      </c>
      <c r="F47" s="13" t="s">
        <v>318</v>
      </c>
      <c r="G47" s="27" t="s">
        <v>91</v>
      </c>
      <c r="H47" s="27" t="s">
        <v>77</v>
      </c>
      <c r="I47" s="14"/>
      <c r="J47" s="14"/>
      <c r="K47" s="14" t="str">
        <f>"240,0"</f>
        <v>240,0</v>
      </c>
      <c r="L47" s="14" t="str">
        <f>"135,8640"</f>
        <v>135,8640</v>
      </c>
      <c r="M47" s="13" t="s">
        <v>541</v>
      </c>
    </row>
    <row r="49" spans="2:13">
      <c r="G49" s="11"/>
      <c r="M49" s="12"/>
    </row>
    <row r="50" spans="2:13">
      <c r="G50" s="11"/>
      <c r="M50" s="12"/>
    </row>
    <row r="51" spans="2:13" ht="18">
      <c r="B51" s="21" t="s">
        <v>123</v>
      </c>
      <c r="C51" s="21"/>
      <c r="G51" s="11"/>
      <c r="M51" s="12"/>
    </row>
    <row r="52" spans="2:13" ht="16">
      <c r="B52" s="22" t="s">
        <v>132</v>
      </c>
      <c r="C52" s="22"/>
      <c r="F52" s="3"/>
      <c r="G52" s="11"/>
      <c r="M52" s="12"/>
    </row>
    <row r="53" spans="2:13" ht="14">
      <c r="B53" s="23"/>
      <c r="C53" s="24" t="s">
        <v>125</v>
      </c>
      <c r="F53" s="3"/>
      <c r="M53" s="3"/>
    </row>
    <row r="54" spans="2:13" ht="14">
      <c r="B54" s="25" t="s">
        <v>126</v>
      </c>
      <c r="C54" s="25" t="s">
        <v>127</v>
      </c>
      <c r="D54" s="25" t="s">
        <v>654</v>
      </c>
      <c r="E54" s="25" t="s">
        <v>319</v>
      </c>
      <c r="F54" s="25" t="s">
        <v>130</v>
      </c>
      <c r="M54" s="3"/>
    </row>
    <row r="55" spans="2:13">
      <c r="B55" s="11" t="s">
        <v>315</v>
      </c>
      <c r="C55" s="11" t="s">
        <v>125</v>
      </c>
      <c r="D55" s="106">
        <v>140</v>
      </c>
      <c r="E55" s="12" t="s">
        <v>77</v>
      </c>
      <c r="F55" s="12" t="str">
        <f>L47</f>
        <v>135,8640</v>
      </c>
      <c r="M55" s="3"/>
    </row>
    <row r="56" spans="2:13">
      <c r="B56" s="11" t="s">
        <v>274</v>
      </c>
      <c r="C56" s="11" t="s">
        <v>125</v>
      </c>
      <c r="D56" s="106">
        <v>90</v>
      </c>
      <c r="E56" s="12" t="s">
        <v>196</v>
      </c>
      <c r="F56" s="12" t="str">
        <f>L24</f>
        <v>131,9380</v>
      </c>
      <c r="M56" s="3"/>
    </row>
    <row r="57" spans="2:13">
      <c r="B57" s="11" t="s">
        <v>285</v>
      </c>
      <c r="C57" s="11" t="s">
        <v>125</v>
      </c>
      <c r="D57" s="106">
        <v>100</v>
      </c>
      <c r="E57" s="12" t="s">
        <v>84</v>
      </c>
      <c r="F57" s="12" t="str">
        <f>L30</f>
        <v>129,8327</v>
      </c>
      <c r="G57" s="11"/>
      <c r="M57" s="12"/>
    </row>
  </sheetData>
  <mergeCells count="21">
    <mergeCell ref="A36:J36"/>
    <mergeCell ref="A42:J42"/>
    <mergeCell ref="A46:J46"/>
    <mergeCell ref="B3:B4"/>
    <mergeCell ref="A8:J8"/>
    <mergeCell ref="A11:J11"/>
    <mergeCell ref="A15:J15"/>
    <mergeCell ref="A18:J18"/>
    <mergeCell ref="A23:J23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4FE9-DEEE-4BD3-B79B-47003402F031}">
  <sheetPr codeName="Лист9"/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11" bestFit="1" customWidth="1"/>
    <col min="2" max="2" width="19.1640625" style="11" customWidth="1"/>
    <col min="3" max="3" width="28.6640625" style="11" bestFit="1" customWidth="1"/>
    <col min="4" max="4" width="16.1640625" style="11" customWidth="1"/>
    <col min="5" max="5" width="10.1640625" style="11" bestFit="1" customWidth="1"/>
    <col min="6" max="6" width="31" style="11" bestFit="1" customWidth="1"/>
    <col min="7" max="7" width="5.5" style="12" customWidth="1"/>
    <col min="8" max="9" width="5.5" style="67" customWidth="1"/>
    <col min="10" max="10" width="4.5" style="12" customWidth="1"/>
    <col min="11" max="11" width="12.5" style="12" customWidth="1"/>
    <col min="12" max="12" width="8.5" style="12" bestFit="1" customWidth="1"/>
    <col min="13" max="13" width="20" style="11" customWidth="1"/>
    <col min="14" max="16384" width="9.1640625" style="3"/>
  </cols>
  <sheetData>
    <row r="1" spans="1:13" s="2" customFormat="1" ht="29" customHeight="1">
      <c r="A1" s="133" t="s">
        <v>601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13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156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49">
        <v>1</v>
      </c>
      <c r="B6" s="15" t="s">
        <v>428</v>
      </c>
      <c r="C6" s="15" t="s">
        <v>429</v>
      </c>
      <c r="D6" s="15" t="s">
        <v>430</v>
      </c>
      <c r="E6" s="15" t="s">
        <v>662</v>
      </c>
      <c r="F6" s="15" t="s">
        <v>31</v>
      </c>
      <c r="G6" s="29" t="s">
        <v>154</v>
      </c>
      <c r="H6" s="64" t="s">
        <v>154</v>
      </c>
      <c r="I6" s="69" t="s">
        <v>21</v>
      </c>
      <c r="J6" s="16"/>
      <c r="K6" s="16" t="str">
        <f>"75,0"</f>
        <v>75,0</v>
      </c>
      <c r="L6" s="16" t="str">
        <f>"83,6175"</f>
        <v>83,6175</v>
      </c>
      <c r="M6" s="15" t="s">
        <v>550</v>
      </c>
    </row>
    <row r="7" spans="1:13">
      <c r="A7" s="51">
        <v>1</v>
      </c>
      <c r="B7" s="17" t="s">
        <v>428</v>
      </c>
      <c r="C7" s="17" t="s">
        <v>636</v>
      </c>
      <c r="D7" s="17" t="s">
        <v>430</v>
      </c>
      <c r="E7" s="17" t="s">
        <v>664</v>
      </c>
      <c r="F7" s="17" t="s">
        <v>31</v>
      </c>
      <c r="G7" s="31" t="s">
        <v>154</v>
      </c>
      <c r="H7" s="65" t="s">
        <v>154</v>
      </c>
      <c r="I7" s="92" t="s">
        <v>21</v>
      </c>
      <c r="J7" s="18"/>
      <c r="K7" s="18" t="str">
        <f>"75,0"</f>
        <v>75,0</v>
      </c>
      <c r="L7" s="18" t="str">
        <f>"88,6345"</f>
        <v>88,6345</v>
      </c>
      <c r="M7" s="17" t="s">
        <v>550</v>
      </c>
    </row>
    <row r="9" spans="1:13" ht="16">
      <c r="A9" s="144" t="s">
        <v>38</v>
      </c>
      <c r="B9" s="144"/>
      <c r="C9" s="145"/>
      <c r="D9" s="145"/>
      <c r="E9" s="145"/>
      <c r="F9" s="145"/>
      <c r="G9" s="145"/>
      <c r="H9" s="145"/>
      <c r="I9" s="145"/>
      <c r="J9" s="145"/>
    </row>
    <row r="10" spans="1:13">
      <c r="A10" s="52">
        <v>1</v>
      </c>
      <c r="B10" s="13" t="s">
        <v>431</v>
      </c>
      <c r="C10" s="13" t="s">
        <v>432</v>
      </c>
      <c r="D10" s="13" t="s">
        <v>191</v>
      </c>
      <c r="E10" s="13" t="s">
        <v>662</v>
      </c>
      <c r="F10" s="13" t="s">
        <v>256</v>
      </c>
      <c r="G10" s="68" t="s">
        <v>62</v>
      </c>
      <c r="H10" s="70">
        <v>175</v>
      </c>
      <c r="I10" s="70">
        <v>175</v>
      </c>
      <c r="J10" s="14"/>
      <c r="K10" s="14" t="str">
        <f>"165,0"</f>
        <v>165,0</v>
      </c>
      <c r="L10" s="14" t="str">
        <f>"105,4020"</f>
        <v>105,4020</v>
      </c>
      <c r="M10" s="13"/>
    </row>
    <row r="12" spans="1:13" ht="16">
      <c r="A12" s="144" t="s">
        <v>306</v>
      </c>
      <c r="B12" s="144"/>
      <c r="C12" s="145"/>
      <c r="D12" s="145"/>
      <c r="E12" s="145"/>
      <c r="F12" s="145"/>
      <c r="G12" s="145"/>
      <c r="H12" s="145"/>
      <c r="I12" s="145"/>
      <c r="J12" s="145"/>
    </row>
    <row r="13" spans="1:13">
      <c r="A13" s="52">
        <v>1</v>
      </c>
      <c r="B13" s="13" t="s">
        <v>433</v>
      </c>
      <c r="C13" s="13" t="s">
        <v>434</v>
      </c>
      <c r="D13" s="13" t="s">
        <v>435</v>
      </c>
      <c r="E13" s="13" t="s">
        <v>662</v>
      </c>
      <c r="F13" s="13" t="s">
        <v>256</v>
      </c>
      <c r="G13" s="68" t="s">
        <v>67</v>
      </c>
      <c r="H13" s="70">
        <v>210</v>
      </c>
      <c r="I13" s="70">
        <v>210</v>
      </c>
      <c r="J13" s="14"/>
      <c r="K13" s="14" t="str">
        <f>"195,0"</f>
        <v>195,0</v>
      </c>
      <c r="L13" s="14" t="str">
        <f>"111,3255"</f>
        <v>111,3255</v>
      </c>
      <c r="M13" s="13" t="s">
        <v>552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C606-7278-49BC-8B2F-5CDB74B84802}">
  <sheetPr codeName="Лист16"/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38" bestFit="1" customWidth="1"/>
    <col min="2" max="2" width="17.83203125" style="38" bestFit="1" customWidth="1"/>
    <col min="3" max="3" width="28.6640625" style="38" bestFit="1" customWidth="1"/>
    <col min="4" max="4" width="20.83203125" style="38" bestFit="1" customWidth="1"/>
    <col min="5" max="5" width="10.1640625" style="38" bestFit="1" customWidth="1"/>
    <col min="6" max="6" width="31.5" style="38" bestFit="1" customWidth="1"/>
    <col min="7" max="9" width="5.5" style="37" customWidth="1"/>
    <col min="10" max="10" width="4.5" style="37" customWidth="1"/>
    <col min="11" max="11" width="9.83203125" style="37" customWidth="1"/>
    <col min="12" max="12" width="8.5" style="37" bestFit="1" customWidth="1"/>
    <col min="13" max="13" width="17.83203125" style="38" bestFit="1" customWidth="1"/>
    <col min="14" max="16384" width="9.1640625" style="39"/>
  </cols>
  <sheetData>
    <row r="1" spans="1:13" s="34" customFormat="1" ht="29" customHeight="1">
      <c r="A1" s="152" t="s">
        <v>602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13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15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59">
        <v>1</v>
      </c>
      <c r="B6" s="43" t="s">
        <v>507</v>
      </c>
      <c r="C6" s="43" t="s">
        <v>508</v>
      </c>
      <c r="D6" s="43" t="s">
        <v>509</v>
      </c>
      <c r="E6" s="43" t="s">
        <v>662</v>
      </c>
      <c r="F6" s="43" t="s">
        <v>256</v>
      </c>
      <c r="G6" s="64">
        <v>70</v>
      </c>
      <c r="H6" s="64">
        <v>77.5</v>
      </c>
      <c r="I6" s="64" t="s">
        <v>236</v>
      </c>
      <c r="J6" s="42"/>
      <c r="K6" s="42" t="str">
        <f>"82,5"</f>
        <v>82,5</v>
      </c>
      <c r="L6" s="42" t="str">
        <f>"93,0765"</f>
        <v>93,0765</v>
      </c>
      <c r="M6" s="43" t="s">
        <v>552</v>
      </c>
    </row>
    <row r="7" spans="1:13">
      <c r="A7" s="60">
        <v>1</v>
      </c>
      <c r="B7" s="45" t="s">
        <v>507</v>
      </c>
      <c r="C7" s="45" t="s">
        <v>637</v>
      </c>
      <c r="D7" s="45" t="s">
        <v>509</v>
      </c>
      <c r="E7" s="45" t="s">
        <v>664</v>
      </c>
      <c r="F7" s="45" t="s">
        <v>256</v>
      </c>
      <c r="G7" s="65">
        <v>70</v>
      </c>
      <c r="H7" s="65">
        <v>77.5</v>
      </c>
      <c r="I7" s="65" t="s">
        <v>236</v>
      </c>
      <c r="J7" s="44"/>
      <c r="K7" s="44" t="str">
        <f>"82,5"</f>
        <v>82,5</v>
      </c>
      <c r="L7" s="44" t="str">
        <f>"120,1618"</f>
        <v>120,1618</v>
      </c>
      <c r="M7" s="45" t="s">
        <v>552</v>
      </c>
    </row>
    <row r="9" spans="1:13" ht="16">
      <c r="A9" s="145" t="s">
        <v>38</v>
      </c>
      <c r="B9" s="145"/>
      <c r="C9" s="145"/>
      <c r="D9" s="145"/>
      <c r="E9" s="145"/>
      <c r="F9" s="145"/>
      <c r="G9" s="145"/>
      <c r="H9" s="145"/>
      <c r="I9" s="145"/>
      <c r="J9" s="145"/>
    </row>
    <row r="10" spans="1:13">
      <c r="A10" s="58">
        <v>1</v>
      </c>
      <c r="B10" s="41" t="s">
        <v>510</v>
      </c>
      <c r="C10" s="41" t="s">
        <v>638</v>
      </c>
      <c r="D10" s="41" t="s">
        <v>382</v>
      </c>
      <c r="E10" s="41" t="s">
        <v>667</v>
      </c>
      <c r="F10" s="41" t="s">
        <v>256</v>
      </c>
      <c r="G10" s="27" t="s">
        <v>83</v>
      </c>
      <c r="H10" s="63">
        <v>210</v>
      </c>
      <c r="I10" s="63">
        <v>210</v>
      </c>
      <c r="J10" s="40"/>
      <c r="K10" s="40" t="str">
        <f>"200,0"</f>
        <v>200,0</v>
      </c>
      <c r="L10" s="40" t="str">
        <f>"137,6670"</f>
        <v>137,6670</v>
      </c>
      <c r="M10" s="41"/>
    </row>
  </sheetData>
  <mergeCells count="13">
    <mergeCell ref="L3:L4"/>
    <mergeCell ref="M3:M4"/>
    <mergeCell ref="A5:J5"/>
    <mergeCell ref="A9:J9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2E07-B306-4C8B-828B-E35BCB0DA753}">
  <sheetPr codeName="Лист17">
    <pageSetUpPr fitToPage="1"/>
  </sheetPr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38" bestFit="1" customWidth="1"/>
    <col min="2" max="2" width="18.83203125" style="38" customWidth="1"/>
    <col min="3" max="3" width="25.1640625" style="38" bestFit="1" customWidth="1"/>
    <col min="4" max="4" width="20.83203125" style="38" bestFit="1" customWidth="1"/>
    <col min="5" max="5" width="10.1640625" style="38" bestFit="1" customWidth="1"/>
    <col min="6" max="6" width="40.6640625" style="38" customWidth="1"/>
    <col min="7" max="7" width="5.5" style="37" customWidth="1"/>
    <col min="8" max="8" width="6.5" style="37" customWidth="1"/>
    <col min="9" max="9" width="5.83203125" style="37" customWidth="1"/>
    <col min="10" max="10" width="4.5" style="37" customWidth="1"/>
    <col min="11" max="11" width="12.5" style="37" customWidth="1"/>
    <col min="12" max="12" width="8.5" style="37" bestFit="1" customWidth="1"/>
    <col min="13" max="13" width="15.83203125" style="38" bestFit="1" customWidth="1"/>
    <col min="14" max="16384" width="9.1640625" style="39"/>
  </cols>
  <sheetData>
    <row r="1" spans="1:13" s="34" customFormat="1" ht="29" customHeight="1">
      <c r="A1" s="152" t="s">
        <v>603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13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27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58">
        <v>1</v>
      </c>
      <c r="B6" s="41" t="s">
        <v>511</v>
      </c>
      <c r="C6" s="41" t="s">
        <v>512</v>
      </c>
      <c r="D6" s="41" t="s">
        <v>180</v>
      </c>
      <c r="E6" s="41" t="s">
        <v>662</v>
      </c>
      <c r="F6" s="41" t="s">
        <v>251</v>
      </c>
      <c r="G6" s="27" t="s">
        <v>66</v>
      </c>
      <c r="H6" s="63">
        <v>200</v>
      </c>
      <c r="I6" s="63">
        <v>200</v>
      </c>
      <c r="J6" s="40"/>
      <c r="K6" s="40" t="str">
        <f>"190,0"</f>
        <v>190,0</v>
      </c>
      <c r="L6" s="40" t="str">
        <f>"131,0810"</f>
        <v>131,0810</v>
      </c>
      <c r="M6" s="41"/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B8BD-BE16-494C-B0DC-83F01A7181D2}">
  <sheetPr codeName="Лист15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38" bestFit="1" customWidth="1"/>
    <col min="2" max="2" width="19.5" style="38" bestFit="1" customWidth="1"/>
    <col min="3" max="3" width="25.1640625" style="38" bestFit="1" customWidth="1"/>
    <col min="4" max="4" width="16.5" style="38" customWidth="1"/>
    <col min="5" max="5" width="10.1640625" style="38" bestFit="1" customWidth="1"/>
    <col min="6" max="6" width="41" style="38" customWidth="1"/>
    <col min="7" max="7" width="5.5" style="37" customWidth="1"/>
    <col min="8" max="8" width="6.1640625" style="37" customWidth="1"/>
    <col min="9" max="9" width="6.83203125" style="37" customWidth="1"/>
    <col min="10" max="10" width="4.5" style="37" customWidth="1"/>
    <col min="11" max="11" width="12.5" style="37" customWidth="1"/>
    <col min="12" max="12" width="8.5" style="37" bestFit="1" customWidth="1"/>
    <col min="13" max="13" width="15.83203125" style="38" bestFit="1" customWidth="1"/>
    <col min="14" max="16384" width="9.1640625" style="39"/>
  </cols>
  <sheetData>
    <row r="1" spans="1:13" s="34" customFormat="1" ht="29" customHeight="1">
      <c r="A1" s="152" t="s">
        <v>604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13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314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66">
        <v>1</v>
      </c>
      <c r="B6" s="41" t="s">
        <v>504</v>
      </c>
      <c r="C6" s="41" t="s">
        <v>505</v>
      </c>
      <c r="D6" s="41" t="s">
        <v>506</v>
      </c>
      <c r="E6" s="41" t="s">
        <v>662</v>
      </c>
      <c r="F6" s="41" t="s">
        <v>251</v>
      </c>
      <c r="G6" s="27" t="s">
        <v>503</v>
      </c>
      <c r="H6" s="63">
        <v>375</v>
      </c>
      <c r="I6" s="63">
        <v>375</v>
      </c>
      <c r="J6" s="40"/>
      <c r="K6" s="40" t="str">
        <f>"340,0"</f>
        <v>340,0</v>
      </c>
      <c r="L6" s="40" t="str">
        <f>"180,8868"</f>
        <v>180,8868</v>
      </c>
      <c r="M6" s="41"/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01B2-CDBF-4A66-8CFB-97BBB2120AA8}">
  <sheetPr>
    <pageSetUpPr fitToPage="1"/>
  </sheetPr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38" bestFit="1" customWidth="1"/>
    <col min="2" max="2" width="17.83203125" style="38" bestFit="1" customWidth="1"/>
    <col min="3" max="3" width="27.6640625" style="38" bestFit="1" customWidth="1"/>
    <col min="4" max="4" width="20.83203125" style="38" bestFit="1" customWidth="1"/>
    <col min="5" max="5" width="10.1640625" style="38" bestFit="1" customWidth="1"/>
    <col min="6" max="6" width="31.5" style="38" bestFit="1" customWidth="1"/>
    <col min="7" max="9" width="5.5" style="37" customWidth="1"/>
    <col min="10" max="10" width="4.5" style="37" customWidth="1"/>
    <col min="11" max="11" width="11.33203125" style="37" customWidth="1"/>
    <col min="12" max="12" width="7.5" style="37" bestFit="1" customWidth="1"/>
    <col min="13" max="13" width="15.83203125" style="38" bestFit="1" customWidth="1"/>
    <col min="14" max="16384" width="9.1640625" style="39"/>
  </cols>
  <sheetData>
    <row r="1" spans="1:13" s="34" customFormat="1" ht="29" customHeight="1">
      <c r="A1" s="152" t="s">
        <v>605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13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15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58">
        <v>1</v>
      </c>
      <c r="B6" s="41" t="s">
        <v>513</v>
      </c>
      <c r="C6" s="41" t="s">
        <v>514</v>
      </c>
      <c r="D6" s="41" t="s">
        <v>515</v>
      </c>
      <c r="E6" s="41" t="s">
        <v>667</v>
      </c>
      <c r="F6" s="41" t="s">
        <v>296</v>
      </c>
      <c r="G6" s="61">
        <v>80</v>
      </c>
      <c r="H6" s="63">
        <v>85</v>
      </c>
      <c r="I6" s="61">
        <v>87.5</v>
      </c>
      <c r="J6" s="40"/>
      <c r="K6" s="40" t="str">
        <f>"87,5"</f>
        <v>87,5</v>
      </c>
      <c r="L6" s="40" t="str">
        <f>"84,7394"</f>
        <v>84,7394</v>
      </c>
      <c r="M6" s="41"/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185E-85B3-4100-B387-C74C3EAEF410}">
  <sheetPr codeName="Лист7"/>
  <dimension ref="A1:M47"/>
  <sheetViews>
    <sheetView topLeftCell="A16" workbookViewId="0">
      <selection activeCell="E38" sqref="E38"/>
    </sheetView>
  </sheetViews>
  <sheetFormatPr baseColWidth="10" defaultColWidth="9.1640625" defaultRowHeight="13"/>
  <cols>
    <col min="1" max="1" width="7.1640625" style="11" bestFit="1" customWidth="1"/>
    <col min="2" max="2" width="18.5" style="11" bestFit="1" customWidth="1"/>
    <col min="3" max="3" width="28.6640625" style="11" bestFit="1" customWidth="1"/>
    <col min="4" max="4" width="16.33203125" style="11" customWidth="1"/>
    <col min="5" max="5" width="12.6640625" style="11" customWidth="1"/>
    <col min="6" max="6" width="38.5" style="11" bestFit="1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28.83203125" style="11" bestFit="1" customWidth="1"/>
    <col min="14" max="16384" width="9.1640625" style="3"/>
  </cols>
  <sheetData>
    <row r="1" spans="1:13" s="2" customFormat="1" ht="29" customHeight="1">
      <c r="A1" s="133" t="s">
        <v>606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14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15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52">
        <v>1</v>
      </c>
      <c r="B6" s="13" t="s">
        <v>324</v>
      </c>
      <c r="C6" s="13" t="s">
        <v>617</v>
      </c>
      <c r="D6" s="13" t="s">
        <v>326</v>
      </c>
      <c r="E6" s="13" t="s">
        <v>667</v>
      </c>
      <c r="F6" s="13" t="s">
        <v>538</v>
      </c>
      <c r="G6" s="27" t="s">
        <v>32</v>
      </c>
      <c r="H6" s="27" t="s">
        <v>99</v>
      </c>
      <c r="I6" s="14"/>
      <c r="J6" s="14"/>
      <c r="K6" s="14" t="str">
        <f>"127,5"</f>
        <v>127,5</v>
      </c>
      <c r="L6" s="14" t="str">
        <f>"161,3385"</f>
        <v>161,3385</v>
      </c>
      <c r="M6" s="13"/>
    </row>
    <row r="8" spans="1:13" ht="16">
      <c r="A8" s="144" t="s">
        <v>138</v>
      </c>
      <c r="B8" s="144"/>
      <c r="C8" s="145"/>
      <c r="D8" s="145"/>
      <c r="E8" s="145"/>
      <c r="F8" s="145"/>
      <c r="G8" s="145"/>
      <c r="H8" s="145"/>
      <c r="I8" s="145"/>
      <c r="J8" s="145"/>
    </row>
    <row r="9" spans="1:13">
      <c r="A9" s="52">
        <v>1</v>
      </c>
      <c r="B9" s="13" t="s">
        <v>337</v>
      </c>
      <c r="C9" s="13" t="s">
        <v>338</v>
      </c>
      <c r="D9" s="13" t="s">
        <v>339</v>
      </c>
      <c r="E9" s="13" t="s">
        <v>662</v>
      </c>
      <c r="F9" s="13" t="s">
        <v>547</v>
      </c>
      <c r="G9" s="61">
        <v>125</v>
      </c>
      <c r="H9" s="61">
        <v>135</v>
      </c>
      <c r="I9" s="61" t="s">
        <v>242</v>
      </c>
      <c r="J9" s="14"/>
      <c r="K9" s="14" t="str">
        <f>"137,5"</f>
        <v>137,5</v>
      </c>
      <c r="L9" s="14" t="str">
        <f>"164,5462"</f>
        <v>164,5462</v>
      </c>
      <c r="M9" s="13" t="s">
        <v>574</v>
      </c>
    </row>
    <row r="11" spans="1:13" ht="16">
      <c r="A11" s="144" t="s">
        <v>156</v>
      </c>
      <c r="B11" s="144"/>
      <c r="C11" s="145"/>
      <c r="D11" s="145"/>
      <c r="E11" s="145"/>
      <c r="F11" s="145"/>
      <c r="G11" s="145"/>
      <c r="H11" s="145"/>
      <c r="I11" s="145"/>
      <c r="J11" s="145"/>
    </row>
    <row r="12" spans="1:13">
      <c r="A12" s="52">
        <v>1</v>
      </c>
      <c r="B12" s="13" t="s">
        <v>464</v>
      </c>
      <c r="C12" s="13" t="s">
        <v>465</v>
      </c>
      <c r="D12" s="13" t="s">
        <v>466</v>
      </c>
      <c r="E12" s="13" t="s">
        <v>662</v>
      </c>
      <c r="F12" s="13" t="s">
        <v>538</v>
      </c>
      <c r="G12" s="61" t="s">
        <v>97</v>
      </c>
      <c r="H12" s="70">
        <v>125</v>
      </c>
      <c r="I12" s="70">
        <v>125</v>
      </c>
      <c r="J12" s="14"/>
      <c r="K12" s="14" t="str">
        <f>"115,0"</f>
        <v>115,0</v>
      </c>
      <c r="L12" s="14" t="str">
        <f>"133,4460"</f>
        <v>133,4460</v>
      </c>
      <c r="M12" s="13"/>
    </row>
    <row r="14" spans="1:13" ht="16">
      <c r="A14" s="144" t="s">
        <v>49</v>
      </c>
      <c r="B14" s="144"/>
      <c r="C14" s="145"/>
      <c r="D14" s="145"/>
      <c r="E14" s="145"/>
      <c r="F14" s="145"/>
      <c r="G14" s="145"/>
      <c r="H14" s="145"/>
      <c r="I14" s="145"/>
      <c r="J14" s="145"/>
    </row>
    <row r="15" spans="1:13">
      <c r="A15" s="52">
        <v>1</v>
      </c>
      <c r="B15" s="13" t="s">
        <v>168</v>
      </c>
      <c r="C15" s="13" t="s">
        <v>169</v>
      </c>
      <c r="D15" s="13" t="s">
        <v>170</v>
      </c>
      <c r="E15" s="13" t="s">
        <v>662</v>
      </c>
      <c r="F15" s="13" t="s">
        <v>538</v>
      </c>
      <c r="G15" s="27" t="s">
        <v>97</v>
      </c>
      <c r="H15" s="27" t="s">
        <v>98</v>
      </c>
      <c r="I15" s="26" t="s">
        <v>33</v>
      </c>
      <c r="J15" s="14"/>
      <c r="K15" s="14" t="str">
        <f>"122,5"</f>
        <v>122,5</v>
      </c>
      <c r="L15" s="14" t="str">
        <f>"131,8713"</f>
        <v>131,8713</v>
      </c>
      <c r="M15" s="13" t="s">
        <v>565</v>
      </c>
    </row>
    <row r="17" spans="1:13" ht="16">
      <c r="A17" s="144" t="s">
        <v>156</v>
      </c>
      <c r="B17" s="144"/>
      <c r="C17" s="145"/>
      <c r="D17" s="145"/>
      <c r="E17" s="145"/>
      <c r="F17" s="145"/>
      <c r="G17" s="145"/>
      <c r="H17" s="145"/>
      <c r="I17" s="145"/>
      <c r="J17" s="145"/>
    </row>
    <row r="18" spans="1:13">
      <c r="A18" s="52">
        <v>1</v>
      </c>
      <c r="B18" s="13" t="s">
        <v>467</v>
      </c>
      <c r="C18" s="13" t="s">
        <v>468</v>
      </c>
      <c r="D18" s="13" t="s">
        <v>469</v>
      </c>
      <c r="E18" s="13" t="s">
        <v>662</v>
      </c>
      <c r="F18" s="13" t="s">
        <v>256</v>
      </c>
      <c r="G18" s="61" t="s">
        <v>64</v>
      </c>
      <c r="H18" s="70">
        <v>185</v>
      </c>
      <c r="I18" s="70">
        <v>185</v>
      </c>
      <c r="J18" s="14"/>
      <c r="K18" s="14" t="str">
        <f>"175,0"</f>
        <v>175,0</v>
      </c>
      <c r="L18" s="14" t="str">
        <f>"150,6400"</f>
        <v>150,6400</v>
      </c>
      <c r="M18" s="13" t="s">
        <v>552</v>
      </c>
    </row>
    <row r="20" spans="1:13" ht="16">
      <c r="A20" s="144" t="s">
        <v>27</v>
      </c>
      <c r="B20" s="144"/>
      <c r="C20" s="145"/>
      <c r="D20" s="145"/>
      <c r="E20" s="145"/>
      <c r="F20" s="145"/>
      <c r="G20" s="145"/>
      <c r="H20" s="145"/>
      <c r="I20" s="145"/>
      <c r="J20" s="145"/>
    </row>
    <row r="21" spans="1:13">
      <c r="A21" s="49">
        <v>1</v>
      </c>
      <c r="B21" s="15" t="s">
        <v>470</v>
      </c>
      <c r="C21" s="15" t="s">
        <v>639</v>
      </c>
      <c r="D21" s="15" t="s">
        <v>471</v>
      </c>
      <c r="E21" s="15" t="s">
        <v>663</v>
      </c>
      <c r="F21" s="74" t="s">
        <v>547</v>
      </c>
      <c r="G21" s="77">
        <v>190</v>
      </c>
      <c r="H21" s="77" t="s">
        <v>84</v>
      </c>
      <c r="I21" s="69" t="s">
        <v>89</v>
      </c>
      <c r="J21" s="80"/>
      <c r="K21" s="16" t="str">
        <f>"207,5"</f>
        <v>207,5</v>
      </c>
      <c r="L21" s="16" t="str">
        <f>"152,2427"</f>
        <v>152,2427</v>
      </c>
      <c r="M21" s="15" t="s">
        <v>574</v>
      </c>
    </row>
    <row r="22" spans="1:13">
      <c r="A22" s="50">
        <v>2</v>
      </c>
      <c r="B22" s="19" t="s">
        <v>472</v>
      </c>
      <c r="C22" s="19" t="s">
        <v>640</v>
      </c>
      <c r="D22" s="19" t="s">
        <v>473</v>
      </c>
      <c r="E22" s="19" t="s">
        <v>663</v>
      </c>
      <c r="F22" s="75" t="s">
        <v>657</v>
      </c>
      <c r="G22" s="78">
        <v>185</v>
      </c>
      <c r="H22" s="78">
        <v>195</v>
      </c>
      <c r="I22" s="72">
        <v>207.5</v>
      </c>
      <c r="J22" s="81"/>
      <c r="K22" s="20" t="str">
        <f>"207,5"</f>
        <v>207,5</v>
      </c>
      <c r="L22" s="20" t="str">
        <f>"149,4000"</f>
        <v>149,4000</v>
      </c>
      <c r="M22" s="19" t="s">
        <v>577</v>
      </c>
    </row>
    <row r="23" spans="1:13">
      <c r="A23" s="50">
        <v>3</v>
      </c>
      <c r="B23" s="19" t="s">
        <v>474</v>
      </c>
      <c r="C23" s="19" t="s">
        <v>641</v>
      </c>
      <c r="D23" s="19" t="s">
        <v>475</v>
      </c>
      <c r="E23" s="19" t="s">
        <v>663</v>
      </c>
      <c r="F23" s="75" t="s">
        <v>547</v>
      </c>
      <c r="G23" s="78">
        <v>170</v>
      </c>
      <c r="H23" s="78">
        <v>182.5</v>
      </c>
      <c r="I23" s="71"/>
      <c r="J23" s="81"/>
      <c r="K23" s="20" t="str">
        <f>"182,5"</f>
        <v>182,5</v>
      </c>
      <c r="L23" s="20" t="str">
        <f>"132,6958"</f>
        <v>132,6958</v>
      </c>
      <c r="M23" s="19"/>
    </row>
    <row r="24" spans="1:13">
      <c r="A24" s="50">
        <v>1</v>
      </c>
      <c r="B24" s="19" t="s">
        <v>178</v>
      </c>
      <c r="C24" s="19" t="s">
        <v>179</v>
      </c>
      <c r="D24" s="19" t="s">
        <v>180</v>
      </c>
      <c r="E24" s="19" t="s">
        <v>662</v>
      </c>
      <c r="F24" s="75" t="s">
        <v>655</v>
      </c>
      <c r="G24" s="78" t="s">
        <v>181</v>
      </c>
      <c r="H24" s="78" t="s">
        <v>109</v>
      </c>
      <c r="I24" s="73" t="s">
        <v>182</v>
      </c>
      <c r="J24" s="81"/>
      <c r="K24" s="20" t="str">
        <f>"230,0"</f>
        <v>230,0</v>
      </c>
      <c r="L24" s="20" t="str">
        <f>"164,1970"</f>
        <v>164,1970</v>
      </c>
      <c r="M24" s="19"/>
    </row>
    <row r="25" spans="1:13">
      <c r="A25" s="51">
        <v>2</v>
      </c>
      <c r="B25" s="17" t="s">
        <v>476</v>
      </c>
      <c r="C25" s="17" t="s">
        <v>477</v>
      </c>
      <c r="D25" s="17" t="s">
        <v>30</v>
      </c>
      <c r="E25" s="17" t="s">
        <v>662</v>
      </c>
      <c r="F25" s="76" t="s">
        <v>251</v>
      </c>
      <c r="G25" s="79">
        <v>180</v>
      </c>
      <c r="H25" s="79">
        <v>200</v>
      </c>
      <c r="I25" s="65">
        <v>207.5</v>
      </c>
      <c r="J25" s="82"/>
      <c r="K25" s="18" t="str">
        <f>"207,5"</f>
        <v>207,5</v>
      </c>
      <c r="L25" s="18" t="str">
        <f>"150,2715"</f>
        <v>150,2715</v>
      </c>
      <c r="M25" s="17" t="s">
        <v>546</v>
      </c>
    </row>
    <row r="27" spans="1:13" ht="16">
      <c r="A27" s="144" t="s">
        <v>38</v>
      </c>
      <c r="B27" s="144"/>
      <c r="C27" s="145"/>
      <c r="D27" s="145"/>
      <c r="E27" s="145"/>
      <c r="F27" s="145"/>
      <c r="G27" s="145"/>
      <c r="H27" s="145"/>
      <c r="I27" s="145"/>
      <c r="J27" s="145"/>
    </row>
    <row r="28" spans="1:13">
      <c r="A28" s="49">
        <v>1</v>
      </c>
      <c r="B28" s="15" t="s">
        <v>186</v>
      </c>
      <c r="C28" s="15" t="s">
        <v>187</v>
      </c>
      <c r="D28" s="15" t="s">
        <v>188</v>
      </c>
      <c r="E28" s="15" t="s">
        <v>665</v>
      </c>
      <c r="F28" s="15" t="s">
        <v>164</v>
      </c>
      <c r="G28" s="28" t="s">
        <v>57</v>
      </c>
      <c r="H28" s="28" t="s">
        <v>64</v>
      </c>
      <c r="I28" s="29" t="s">
        <v>100</v>
      </c>
      <c r="J28" s="16"/>
      <c r="K28" s="16" t="str">
        <f>"175,0"</f>
        <v>175,0</v>
      </c>
      <c r="L28" s="16" t="str">
        <f>"115,9200"</f>
        <v>115,9200</v>
      </c>
      <c r="M28" s="15" t="s">
        <v>562</v>
      </c>
    </row>
    <row r="29" spans="1:13">
      <c r="A29" s="50">
        <v>1</v>
      </c>
      <c r="B29" s="19" t="s">
        <v>189</v>
      </c>
      <c r="C29" s="19" t="s">
        <v>190</v>
      </c>
      <c r="D29" s="19" t="s">
        <v>191</v>
      </c>
      <c r="E29" s="19" t="s">
        <v>662</v>
      </c>
      <c r="F29" s="19" t="s">
        <v>251</v>
      </c>
      <c r="G29" s="32" t="s">
        <v>107</v>
      </c>
      <c r="H29" s="33" t="s">
        <v>192</v>
      </c>
      <c r="I29" s="33" t="s">
        <v>192</v>
      </c>
      <c r="J29" s="20"/>
      <c r="K29" s="20" t="str">
        <f>"215,0"</f>
        <v>215,0</v>
      </c>
      <c r="L29" s="20" t="str">
        <f>"137,3420"</f>
        <v>137,3420</v>
      </c>
      <c r="M29" s="19" t="s">
        <v>540</v>
      </c>
    </row>
    <row r="30" spans="1:13">
      <c r="A30" s="51">
        <v>1</v>
      </c>
      <c r="B30" s="17" t="s">
        <v>392</v>
      </c>
      <c r="C30" s="17" t="s">
        <v>618</v>
      </c>
      <c r="D30" s="17" t="s">
        <v>388</v>
      </c>
      <c r="E30" s="17" t="s">
        <v>664</v>
      </c>
      <c r="F30" s="17" t="s">
        <v>251</v>
      </c>
      <c r="G30" s="30" t="s">
        <v>66</v>
      </c>
      <c r="H30" s="30" t="s">
        <v>393</v>
      </c>
      <c r="I30" s="30" t="s">
        <v>313</v>
      </c>
      <c r="J30" s="18"/>
      <c r="K30" s="18" t="str">
        <f>"202,5"</f>
        <v>202,5</v>
      </c>
      <c r="L30" s="18" t="str">
        <f>"144,6677"</f>
        <v>144,6677</v>
      </c>
      <c r="M30" s="17" t="s">
        <v>541</v>
      </c>
    </row>
    <row r="32" spans="1:13" ht="16">
      <c r="A32" s="144" t="s">
        <v>85</v>
      </c>
      <c r="B32" s="144"/>
      <c r="C32" s="145"/>
      <c r="D32" s="145"/>
      <c r="E32" s="145"/>
      <c r="F32" s="145"/>
      <c r="G32" s="145"/>
      <c r="H32" s="145"/>
      <c r="I32" s="145"/>
      <c r="J32" s="145"/>
    </row>
    <row r="33" spans="1:13">
      <c r="A33" s="49">
        <v>1</v>
      </c>
      <c r="B33" s="15" t="s">
        <v>478</v>
      </c>
      <c r="C33" s="15" t="s">
        <v>479</v>
      </c>
      <c r="D33" s="15" t="s">
        <v>480</v>
      </c>
      <c r="E33" s="15" t="s">
        <v>662</v>
      </c>
      <c r="F33" s="15" t="s">
        <v>547</v>
      </c>
      <c r="G33" s="84" t="s">
        <v>77</v>
      </c>
      <c r="H33" s="86">
        <v>250</v>
      </c>
      <c r="I33" s="69">
        <v>250</v>
      </c>
      <c r="J33" s="80"/>
      <c r="K33" s="16" t="str">
        <f>"240,0"</f>
        <v>240,0</v>
      </c>
      <c r="L33" s="16" t="str">
        <f>"152,3760"</f>
        <v>152,3760</v>
      </c>
      <c r="M33" s="15"/>
    </row>
    <row r="34" spans="1:13">
      <c r="A34" s="51">
        <v>2</v>
      </c>
      <c r="B34" s="17" t="s">
        <v>201</v>
      </c>
      <c r="C34" s="17" t="s">
        <v>202</v>
      </c>
      <c r="D34" s="17" t="s">
        <v>203</v>
      </c>
      <c r="E34" s="17" t="s">
        <v>662</v>
      </c>
      <c r="F34" s="17" t="s">
        <v>538</v>
      </c>
      <c r="G34" s="85" t="s">
        <v>90</v>
      </c>
      <c r="H34" s="85" t="s">
        <v>109</v>
      </c>
      <c r="I34" s="31" t="s">
        <v>77</v>
      </c>
      <c r="J34" s="82"/>
      <c r="K34" s="18" t="str">
        <f>"230,0"</f>
        <v>230,0</v>
      </c>
      <c r="L34" s="18" t="str">
        <f>"140,5990"</f>
        <v>140,5990</v>
      </c>
      <c r="M34" s="17" t="s">
        <v>564</v>
      </c>
    </row>
    <row r="36" spans="1:13" ht="16">
      <c r="A36" s="144" t="s">
        <v>102</v>
      </c>
      <c r="B36" s="144"/>
      <c r="C36" s="145"/>
      <c r="D36" s="145"/>
      <c r="E36" s="145"/>
      <c r="F36" s="145"/>
      <c r="G36" s="145"/>
      <c r="H36" s="145"/>
      <c r="I36" s="145"/>
      <c r="J36" s="145"/>
    </row>
    <row r="37" spans="1:13">
      <c r="A37" s="52">
        <v>1</v>
      </c>
      <c r="B37" s="13" t="s">
        <v>481</v>
      </c>
      <c r="C37" s="13" t="s">
        <v>482</v>
      </c>
      <c r="D37" s="13" t="s">
        <v>483</v>
      </c>
      <c r="E37" s="13" t="s">
        <v>662</v>
      </c>
      <c r="F37" s="13" t="s">
        <v>538</v>
      </c>
      <c r="G37" s="83">
        <v>230</v>
      </c>
      <c r="H37" s="83">
        <v>247.5</v>
      </c>
      <c r="I37" s="61">
        <v>250</v>
      </c>
      <c r="J37" s="14"/>
      <c r="K37" s="14" t="str">
        <f>"250,0"</f>
        <v>250,0</v>
      </c>
      <c r="L37" s="14" t="str">
        <f>"148,9500"</f>
        <v>148,9500</v>
      </c>
      <c r="M37" s="13" t="s">
        <v>578</v>
      </c>
    </row>
    <row r="39" spans="1:13">
      <c r="G39" s="11"/>
      <c r="M39" s="12"/>
    </row>
    <row r="40" spans="1:13">
      <c r="G40" s="11"/>
      <c r="M40" s="12"/>
    </row>
    <row r="41" spans="1:13" ht="18">
      <c r="B41" s="21" t="s">
        <v>123</v>
      </c>
      <c r="C41" s="21"/>
      <c r="G41" s="11"/>
      <c r="M41" s="12"/>
    </row>
    <row r="42" spans="1:13" ht="16">
      <c r="B42" s="22" t="s">
        <v>132</v>
      </c>
      <c r="C42" s="22"/>
      <c r="F42" s="3"/>
      <c r="G42" s="11"/>
      <c r="M42" s="12"/>
    </row>
    <row r="43" spans="1:13" ht="14">
      <c r="B43" s="23"/>
      <c r="C43" s="24" t="s">
        <v>125</v>
      </c>
      <c r="F43" s="3"/>
      <c r="M43" s="3"/>
    </row>
    <row r="44" spans="1:13" ht="14">
      <c r="B44" s="25" t="s">
        <v>126</v>
      </c>
      <c r="C44" s="25" t="s">
        <v>127</v>
      </c>
      <c r="D44" s="25" t="s">
        <v>128</v>
      </c>
      <c r="E44" s="25" t="s">
        <v>319</v>
      </c>
      <c r="F44" s="25" t="s">
        <v>130</v>
      </c>
      <c r="M44" s="3"/>
    </row>
    <row r="45" spans="1:13">
      <c r="B45" s="11" t="s">
        <v>178</v>
      </c>
      <c r="C45" s="11" t="s">
        <v>125</v>
      </c>
      <c r="D45" s="57">
        <v>75</v>
      </c>
      <c r="E45" s="12" t="s">
        <v>109</v>
      </c>
      <c r="F45" s="57" t="s">
        <v>579</v>
      </c>
      <c r="M45" s="3"/>
    </row>
    <row r="46" spans="1:13">
      <c r="B46" s="11" t="s">
        <v>478</v>
      </c>
      <c r="C46" s="11" t="s">
        <v>125</v>
      </c>
      <c r="D46" s="57">
        <v>100</v>
      </c>
      <c r="E46" s="12" t="s">
        <v>77</v>
      </c>
      <c r="F46" s="57" t="s">
        <v>580</v>
      </c>
      <c r="M46" s="3"/>
    </row>
    <row r="47" spans="1:13">
      <c r="B47" s="11" t="s">
        <v>467</v>
      </c>
      <c r="C47" s="11" t="s">
        <v>125</v>
      </c>
      <c r="D47" s="57">
        <v>60</v>
      </c>
      <c r="E47" s="12" t="s">
        <v>64</v>
      </c>
      <c r="F47" s="57" t="s">
        <v>581</v>
      </c>
      <c r="G47" s="11"/>
      <c r="M47" s="12"/>
    </row>
  </sheetData>
  <mergeCells count="20">
    <mergeCell ref="A32:J32"/>
    <mergeCell ref="A36:J36"/>
    <mergeCell ref="B3:B4"/>
    <mergeCell ref="A8:J8"/>
    <mergeCell ref="A11:J11"/>
    <mergeCell ref="A14:J14"/>
    <mergeCell ref="A17:J17"/>
    <mergeCell ref="A20:J20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9891-60B6-43F3-AADF-A8304F574720}">
  <sheetPr codeName="Лист8"/>
  <dimension ref="A1:M29"/>
  <sheetViews>
    <sheetView workbookViewId="0">
      <selection activeCell="E30" sqref="E30"/>
    </sheetView>
  </sheetViews>
  <sheetFormatPr baseColWidth="10" defaultColWidth="9.1640625" defaultRowHeight="13"/>
  <cols>
    <col min="1" max="1" width="7.1640625" style="11" bestFit="1" customWidth="1"/>
    <col min="2" max="2" width="20.5" style="11" bestFit="1" customWidth="1"/>
    <col min="3" max="3" width="28.6640625" style="11" bestFit="1" customWidth="1"/>
    <col min="4" max="4" width="20.83203125" style="11" bestFit="1" customWidth="1"/>
    <col min="5" max="5" width="10.1640625" style="11" bestFit="1" customWidth="1"/>
    <col min="6" max="6" width="35.33203125" style="11" bestFit="1" customWidth="1"/>
    <col min="7" max="7" width="5.5" style="12" customWidth="1"/>
    <col min="8" max="9" width="5.5" style="67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28.5" style="11" bestFit="1" customWidth="1"/>
    <col min="14" max="16384" width="9.1640625" style="3"/>
  </cols>
  <sheetData>
    <row r="1" spans="1:13" s="2" customFormat="1" ht="29" customHeight="1">
      <c r="A1" s="133" t="s">
        <v>607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14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15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49">
        <v>1</v>
      </c>
      <c r="B6" s="15" t="s">
        <v>436</v>
      </c>
      <c r="C6" s="15" t="s">
        <v>437</v>
      </c>
      <c r="D6" s="15" t="s">
        <v>438</v>
      </c>
      <c r="E6" s="15" t="s">
        <v>665</v>
      </c>
      <c r="F6" s="74" t="s">
        <v>296</v>
      </c>
      <c r="G6" s="77" t="s">
        <v>47</v>
      </c>
      <c r="H6" s="69">
        <v>100</v>
      </c>
      <c r="I6" s="108">
        <v>100</v>
      </c>
      <c r="J6" s="80"/>
      <c r="K6" s="16" t="str">
        <f>"90,0"</f>
        <v>90,0</v>
      </c>
      <c r="L6" s="16" t="str">
        <f>"118,2870"</f>
        <v>118,2870</v>
      </c>
      <c r="M6" s="15" t="s">
        <v>574</v>
      </c>
    </row>
    <row r="7" spans="1:13">
      <c r="A7" s="51">
        <v>1</v>
      </c>
      <c r="B7" s="17" t="s">
        <v>439</v>
      </c>
      <c r="C7" s="17" t="s">
        <v>642</v>
      </c>
      <c r="D7" s="17" t="s">
        <v>440</v>
      </c>
      <c r="E7" s="17" t="s">
        <v>664</v>
      </c>
      <c r="F7" s="76" t="s">
        <v>296</v>
      </c>
      <c r="G7" s="79">
        <v>75</v>
      </c>
      <c r="H7" s="65">
        <v>85</v>
      </c>
      <c r="I7" s="105">
        <v>100</v>
      </c>
      <c r="J7" s="82"/>
      <c r="K7" s="18" t="str">
        <f>"100,0"</f>
        <v>100,0</v>
      </c>
      <c r="L7" s="18" t="str">
        <f>"134,3338"</f>
        <v>134,3338</v>
      </c>
      <c r="M7" s="17" t="s">
        <v>549</v>
      </c>
    </row>
    <row r="9" spans="1:13" ht="16">
      <c r="A9" s="144" t="s">
        <v>138</v>
      </c>
      <c r="B9" s="144"/>
      <c r="C9" s="145"/>
      <c r="D9" s="145"/>
      <c r="E9" s="145"/>
      <c r="F9" s="145"/>
      <c r="G9" s="145"/>
      <c r="H9" s="145"/>
      <c r="I9" s="145"/>
      <c r="J9" s="145"/>
    </row>
    <row r="10" spans="1:13">
      <c r="A10" s="49">
        <v>1</v>
      </c>
      <c r="B10" s="15" t="s">
        <v>441</v>
      </c>
      <c r="C10" s="15" t="s">
        <v>442</v>
      </c>
      <c r="D10" s="15" t="s">
        <v>443</v>
      </c>
      <c r="E10" s="15" t="s">
        <v>665</v>
      </c>
      <c r="F10" s="74" t="s">
        <v>296</v>
      </c>
      <c r="G10" s="111">
        <v>80</v>
      </c>
      <c r="H10" s="64">
        <v>90</v>
      </c>
      <c r="I10" s="102">
        <v>105</v>
      </c>
      <c r="J10" s="80"/>
      <c r="K10" s="16" t="str">
        <f>"105,0"</f>
        <v>105,0</v>
      </c>
      <c r="L10" s="16" t="str">
        <f>"96,0960"</f>
        <v>96,0960</v>
      </c>
      <c r="M10" s="15" t="s">
        <v>549</v>
      </c>
    </row>
    <row r="11" spans="1:13">
      <c r="A11" s="51">
        <v>2</v>
      </c>
      <c r="B11" s="17" t="s">
        <v>444</v>
      </c>
      <c r="C11" s="17" t="s">
        <v>445</v>
      </c>
      <c r="D11" s="17" t="s">
        <v>446</v>
      </c>
      <c r="E11" s="17" t="s">
        <v>665</v>
      </c>
      <c r="F11" s="76" t="s">
        <v>296</v>
      </c>
      <c r="G11" s="79">
        <v>90</v>
      </c>
      <c r="H11" s="65">
        <v>95</v>
      </c>
      <c r="I11" s="109">
        <v>100</v>
      </c>
      <c r="J11" s="82"/>
      <c r="K11" s="18" t="str">
        <f>"95,0"</f>
        <v>95,0</v>
      </c>
      <c r="L11" s="18" t="str">
        <f>"89,3380"</f>
        <v>89,3380</v>
      </c>
      <c r="M11" s="17" t="s">
        <v>575</v>
      </c>
    </row>
    <row r="13" spans="1:13" ht="16">
      <c r="A13" s="144" t="s">
        <v>27</v>
      </c>
      <c r="B13" s="144"/>
      <c r="C13" s="145"/>
      <c r="D13" s="145"/>
      <c r="E13" s="145"/>
      <c r="F13" s="145"/>
      <c r="G13" s="145"/>
      <c r="H13" s="145"/>
      <c r="I13" s="145"/>
      <c r="J13" s="145"/>
    </row>
    <row r="14" spans="1:13">
      <c r="A14" s="49">
        <v>1</v>
      </c>
      <c r="B14" s="15" t="s">
        <v>447</v>
      </c>
      <c r="C14" s="15" t="s">
        <v>448</v>
      </c>
      <c r="D14" s="15" t="s">
        <v>449</v>
      </c>
      <c r="E14" s="15" t="s">
        <v>665</v>
      </c>
      <c r="F14" s="15" t="s">
        <v>251</v>
      </c>
      <c r="G14" s="64">
        <v>100</v>
      </c>
      <c r="H14" s="64">
        <v>120</v>
      </c>
      <c r="I14" s="64">
        <v>130</v>
      </c>
      <c r="J14" s="16"/>
      <c r="K14" s="16" t="str">
        <f>"130,0"</f>
        <v>130,0</v>
      </c>
      <c r="L14" s="16" t="str">
        <f>"93,7820"</f>
        <v>93,7820</v>
      </c>
      <c r="M14" s="15"/>
    </row>
    <row r="15" spans="1:13">
      <c r="A15" s="51">
        <v>2</v>
      </c>
      <c r="B15" s="17" t="s">
        <v>450</v>
      </c>
      <c r="C15" s="17" t="s">
        <v>451</v>
      </c>
      <c r="D15" s="17" t="s">
        <v>452</v>
      </c>
      <c r="E15" s="17" t="s">
        <v>665</v>
      </c>
      <c r="F15" s="17" t="s">
        <v>296</v>
      </c>
      <c r="G15" s="65">
        <v>60</v>
      </c>
      <c r="H15" s="65">
        <v>75</v>
      </c>
      <c r="I15" s="65">
        <v>95</v>
      </c>
      <c r="J15" s="18"/>
      <c r="K15" s="18" t="str">
        <f>"95,0"</f>
        <v>95,0</v>
      </c>
      <c r="L15" s="18" t="str">
        <f>"68,2005"</f>
        <v>68,2005</v>
      </c>
      <c r="M15" s="17" t="s">
        <v>549</v>
      </c>
    </row>
    <row r="17" spans="1:13" ht="16">
      <c r="A17" s="144" t="s">
        <v>58</v>
      </c>
      <c r="B17" s="144"/>
      <c r="C17" s="145"/>
      <c r="D17" s="145"/>
      <c r="E17" s="145"/>
      <c r="F17" s="145"/>
      <c r="G17" s="145"/>
      <c r="H17" s="145"/>
      <c r="I17" s="145"/>
      <c r="J17" s="145"/>
    </row>
    <row r="18" spans="1:13">
      <c r="A18" s="87">
        <v>1</v>
      </c>
      <c r="B18" s="15" t="s">
        <v>453</v>
      </c>
      <c r="C18" s="15" t="s">
        <v>454</v>
      </c>
      <c r="D18" s="15" t="s">
        <v>377</v>
      </c>
      <c r="E18" s="15" t="s">
        <v>665</v>
      </c>
      <c r="F18" s="74" t="s">
        <v>296</v>
      </c>
      <c r="G18" s="77">
        <v>150</v>
      </c>
      <c r="H18" s="64">
        <v>160</v>
      </c>
      <c r="I18" s="108">
        <v>170</v>
      </c>
      <c r="J18" s="80"/>
      <c r="K18" s="16" t="str">
        <f>"160,0"</f>
        <v>160,0</v>
      </c>
      <c r="L18" s="16" t="str">
        <f>"107,1840"</f>
        <v>107,1840</v>
      </c>
      <c r="M18" s="15" t="s">
        <v>576</v>
      </c>
    </row>
    <row r="19" spans="1:13">
      <c r="A19" s="88">
        <v>1</v>
      </c>
      <c r="B19" s="19" t="s">
        <v>271</v>
      </c>
      <c r="C19" s="19" t="s">
        <v>272</v>
      </c>
      <c r="D19" s="19" t="s">
        <v>273</v>
      </c>
      <c r="E19" s="19" t="s">
        <v>662</v>
      </c>
      <c r="F19" s="75" t="s">
        <v>251</v>
      </c>
      <c r="G19" s="100" t="s">
        <v>36</v>
      </c>
      <c r="H19" s="72" t="s">
        <v>242</v>
      </c>
      <c r="I19" s="103" t="s">
        <v>34</v>
      </c>
      <c r="J19" s="81"/>
      <c r="K19" s="20" t="str">
        <f>"140,0"</f>
        <v>140,0</v>
      </c>
      <c r="L19" s="20" t="str">
        <f>"94,2760"</f>
        <v>94,2760</v>
      </c>
      <c r="M19" s="19" t="s">
        <v>546</v>
      </c>
    </row>
    <row r="20" spans="1:13">
      <c r="A20" s="89">
        <v>1</v>
      </c>
      <c r="B20" s="17" t="s">
        <v>455</v>
      </c>
      <c r="C20" s="17" t="s">
        <v>643</v>
      </c>
      <c r="D20" s="17" t="s">
        <v>456</v>
      </c>
      <c r="E20" s="17" t="s">
        <v>669</v>
      </c>
      <c r="F20" s="76" t="s">
        <v>296</v>
      </c>
      <c r="G20" s="79">
        <v>190</v>
      </c>
      <c r="H20" s="65">
        <v>190</v>
      </c>
      <c r="I20" s="105">
        <v>200</v>
      </c>
      <c r="J20" s="82"/>
      <c r="K20" s="18" t="str">
        <f>"200,0"</f>
        <v>200,0</v>
      </c>
      <c r="L20" s="18" t="str">
        <f>"243,1476"</f>
        <v>243,1476</v>
      </c>
      <c r="M20" s="17"/>
    </row>
    <row r="22" spans="1:13" ht="16">
      <c r="A22" s="144" t="s">
        <v>38</v>
      </c>
      <c r="B22" s="144"/>
      <c r="C22" s="145"/>
      <c r="D22" s="145"/>
      <c r="E22" s="145"/>
      <c r="F22" s="145"/>
      <c r="G22" s="145"/>
      <c r="H22" s="145"/>
      <c r="I22" s="145"/>
      <c r="J22" s="145"/>
    </row>
    <row r="23" spans="1:13">
      <c r="A23" s="90">
        <v>1</v>
      </c>
      <c r="B23" s="13" t="s">
        <v>457</v>
      </c>
      <c r="C23" s="13" t="s">
        <v>644</v>
      </c>
      <c r="D23" s="13" t="s">
        <v>458</v>
      </c>
      <c r="E23" s="13" t="s">
        <v>670</v>
      </c>
      <c r="F23" s="13" t="s">
        <v>296</v>
      </c>
      <c r="G23" s="61">
        <v>190</v>
      </c>
      <c r="H23" s="61">
        <v>210</v>
      </c>
      <c r="I23" s="61">
        <v>230</v>
      </c>
      <c r="J23" s="14"/>
      <c r="K23" s="14" t="str">
        <f>"230,0"</f>
        <v>230,0</v>
      </c>
      <c r="L23" s="14" t="str">
        <f>"208,9789"</f>
        <v>208,9789</v>
      </c>
      <c r="M23" s="13"/>
    </row>
    <row r="25" spans="1:13" ht="16">
      <c r="A25" s="144" t="s">
        <v>85</v>
      </c>
      <c r="B25" s="144"/>
      <c r="C25" s="145"/>
      <c r="D25" s="145"/>
      <c r="E25" s="145"/>
      <c r="F25" s="145"/>
      <c r="G25" s="145"/>
      <c r="H25" s="145"/>
      <c r="I25" s="145"/>
      <c r="J25" s="145"/>
    </row>
    <row r="26" spans="1:13">
      <c r="A26" s="90">
        <v>1</v>
      </c>
      <c r="B26" s="13" t="s">
        <v>459</v>
      </c>
      <c r="C26" s="13" t="s">
        <v>460</v>
      </c>
      <c r="D26" s="13" t="s">
        <v>293</v>
      </c>
      <c r="E26" s="13" t="s">
        <v>662</v>
      </c>
      <c r="F26" s="13" t="s">
        <v>19</v>
      </c>
      <c r="G26" s="61">
        <v>280</v>
      </c>
      <c r="H26" s="61">
        <v>290</v>
      </c>
      <c r="I26" s="70">
        <v>300</v>
      </c>
      <c r="J26" s="14"/>
      <c r="K26" s="14" t="str">
        <f>"290,0"</f>
        <v>290,0</v>
      </c>
      <c r="L26" s="14" t="str">
        <f>"181,6270"</f>
        <v>181,6270</v>
      </c>
      <c r="M26" s="13"/>
    </row>
    <row r="28" spans="1:13" ht="16">
      <c r="A28" s="144" t="s">
        <v>306</v>
      </c>
      <c r="B28" s="144"/>
      <c r="C28" s="145"/>
      <c r="D28" s="145"/>
      <c r="E28" s="145"/>
      <c r="F28" s="145"/>
      <c r="G28" s="145"/>
      <c r="H28" s="145"/>
      <c r="I28" s="145"/>
      <c r="J28" s="145"/>
    </row>
    <row r="29" spans="1:13">
      <c r="A29" s="90">
        <v>1</v>
      </c>
      <c r="B29" s="13" t="s">
        <v>461</v>
      </c>
      <c r="C29" s="13" t="s">
        <v>462</v>
      </c>
      <c r="D29" s="13" t="s">
        <v>463</v>
      </c>
      <c r="E29" s="13" t="s">
        <v>662</v>
      </c>
      <c r="F29" s="13" t="s">
        <v>251</v>
      </c>
      <c r="G29" s="61">
        <v>270</v>
      </c>
      <c r="H29" s="61">
        <v>280</v>
      </c>
      <c r="I29" s="61">
        <v>290</v>
      </c>
      <c r="J29" s="14"/>
      <c r="K29" s="14" t="str">
        <f>"290,0"</f>
        <v>290,0</v>
      </c>
      <c r="L29" s="14" t="str">
        <f>"167,2720"</f>
        <v>167,2720</v>
      </c>
      <c r="M29" s="13"/>
    </row>
  </sheetData>
  <mergeCells count="18">
    <mergeCell ref="A28:J28"/>
    <mergeCell ref="K3:K4"/>
    <mergeCell ref="L3:L4"/>
    <mergeCell ref="M3:M4"/>
    <mergeCell ref="A5:J5"/>
    <mergeCell ref="B3:B4"/>
    <mergeCell ref="A9:J9"/>
    <mergeCell ref="A13:J13"/>
    <mergeCell ref="A17:J17"/>
    <mergeCell ref="A22:J22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C65E-6D1A-4830-92E7-0E30CE6D3BEF}">
  <dimension ref="A1:M26"/>
  <sheetViews>
    <sheetView workbookViewId="0">
      <selection activeCell="E27" sqref="E27"/>
    </sheetView>
  </sheetViews>
  <sheetFormatPr baseColWidth="10" defaultColWidth="9.1640625" defaultRowHeight="13"/>
  <cols>
    <col min="1" max="1" width="7.1640625" style="38" bestFit="1" customWidth="1"/>
    <col min="2" max="2" width="18.6640625" style="38" bestFit="1" customWidth="1"/>
    <col min="3" max="3" width="28.6640625" style="38" bestFit="1" customWidth="1"/>
    <col min="4" max="4" width="20.83203125" style="38" bestFit="1" customWidth="1"/>
    <col min="5" max="5" width="10.1640625" style="38" bestFit="1" customWidth="1"/>
    <col min="6" max="6" width="38.5" style="38" bestFit="1" customWidth="1"/>
    <col min="7" max="9" width="5.5" style="37" customWidth="1"/>
    <col min="10" max="10" width="4.5" style="37" customWidth="1"/>
    <col min="11" max="11" width="10.5" style="37" bestFit="1" customWidth="1"/>
    <col min="12" max="12" width="7.5" style="37" bestFit="1" customWidth="1"/>
    <col min="13" max="13" width="20.83203125" style="38" customWidth="1"/>
    <col min="14" max="16384" width="9.1640625" style="39"/>
  </cols>
  <sheetData>
    <row r="1" spans="1:13" s="34" customFormat="1" ht="29" customHeight="1">
      <c r="A1" s="152" t="s">
        <v>608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658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156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58">
        <v>1</v>
      </c>
      <c r="B6" s="41" t="s">
        <v>349</v>
      </c>
      <c r="C6" s="41" t="s">
        <v>645</v>
      </c>
      <c r="D6" s="41" t="s">
        <v>350</v>
      </c>
      <c r="E6" s="41" t="s">
        <v>667</v>
      </c>
      <c r="F6" s="41" t="s">
        <v>256</v>
      </c>
      <c r="G6" s="27" t="s">
        <v>518</v>
      </c>
      <c r="H6" s="27" t="s">
        <v>252</v>
      </c>
      <c r="I6" s="47" t="s">
        <v>517</v>
      </c>
      <c r="J6" s="40"/>
      <c r="K6" s="40" t="str">
        <f>"25,0"</f>
        <v>25,0</v>
      </c>
      <c r="L6" s="40" t="str">
        <f>"28,5568"</f>
        <v>28,5568</v>
      </c>
      <c r="M6" s="41"/>
    </row>
    <row r="8" spans="1:13" ht="16">
      <c r="A8" s="145" t="s">
        <v>49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3">
      <c r="A9" s="59">
        <v>1</v>
      </c>
      <c r="B9" s="43" t="s">
        <v>519</v>
      </c>
      <c r="C9" s="43" t="s">
        <v>646</v>
      </c>
      <c r="D9" s="43" t="s">
        <v>51</v>
      </c>
      <c r="E9" s="43" t="s">
        <v>663</v>
      </c>
      <c r="F9" s="43" t="s">
        <v>19</v>
      </c>
      <c r="G9" s="46" t="s">
        <v>323</v>
      </c>
      <c r="H9" s="28" t="s">
        <v>323</v>
      </c>
      <c r="I9" s="28" t="s">
        <v>217</v>
      </c>
      <c r="J9" s="42"/>
      <c r="K9" s="42" t="str">
        <f>"47,5"</f>
        <v>47,5</v>
      </c>
      <c r="L9" s="42" t="str">
        <f>"35,6844"</f>
        <v>35,6844</v>
      </c>
      <c r="M9" s="43"/>
    </row>
    <row r="10" spans="1:13">
      <c r="A10" s="60">
        <v>1</v>
      </c>
      <c r="B10" s="45" t="s">
        <v>520</v>
      </c>
      <c r="C10" s="45" t="s">
        <v>521</v>
      </c>
      <c r="D10" s="45" t="s">
        <v>522</v>
      </c>
      <c r="E10" s="45" t="s">
        <v>662</v>
      </c>
      <c r="F10" s="45" t="s">
        <v>538</v>
      </c>
      <c r="G10" s="30" t="s">
        <v>323</v>
      </c>
      <c r="H10" s="30" t="s">
        <v>42</v>
      </c>
      <c r="I10" s="48" t="s">
        <v>150</v>
      </c>
      <c r="J10" s="44"/>
      <c r="K10" s="44" t="str">
        <f>"50,0"</f>
        <v>50,0</v>
      </c>
      <c r="L10" s="44" t="str">
        <f>"37,5175"</f>
        <v>37,5175</v>
      </c>
      <c r="M10" s="45"/>
    </row>
    <row r="12" spans="1:13" ht="16">
      <c r="A12" s="145" t="s">
        <v>27</v>
      </c>
      <c r="B12" s="145"/>
      <c r="C12" s="145"/>
      <c r="D12" s="145"/>
      <c r="E12" s="145"/>
      <c r="F12" s="145"/>
      <c r="G12" s="145"/>
      <c r="H12" s="145"/>
      <c r="I12" s="145"/>
      <c r="J12" s="145"/>
    </row>
    <row r="13" spans="1:13">
      <c r="A13" s="59">
        <v>1</v>
      </c>
      <c r="B13" s="43" t="s">
        <v>178</v>
      </c>
      <c r="C13" s="43" t="s">
        <v>179</v>
      </c>
      <c r="D13" s="43" t="s">
        <v>180</v>
      </c>
      <c r="E13" s="43" t="s">
        <v>662</v>
      </c>
      <c r="F13" s="43" t="s">
        <v>655</v>
      </c>
      <c r="G13" s="28" t="s">
        <v>22</v>
      </c>
      <c r="H13" s="28" t="s">
        <v>43</v>
      </c>
      <c r="I13" s="46" t="s">
        <v>159</v>
      </c>
      <c r="J13" s="42"/>
      <c r="K13" s="42" t="str">
        <f>"60,0"</f>
        <v>60,0</v>
      </c>
      <c r="L13" s="42" t="str">
        <f>"41,3940"</f>
        <v>41,3940</v>
      </c>
      <c r="M13" s="43"/>
    </row>
    <row r="14" spans="1:13">
      <c r="A14" s="60">
        <v>2</v>
      </c>
      <c r="B14" s="45" t="s">
        <v>523</v>
      </c>
      <c r="C14" s="45" t="s">
        <v>524</v>
      </c>
      <c r="D14" s="45" t="s">
        <v>525</v>
      </c>
      <c r="E14" s="45" t="s">
        <v>662</v>
      </c>
      <c r="F14" s="45" t="s">
        <v>538</v>
      </c>
      <c r="G14" s="30" t="s">
        <v>217</v>
      </c>
      <c r="H14" s="44"/>
      <c r="I14" s="44"/>
      <c r="J14" s="44"/>
      <c r="K14" s="44" t="str">
        <f>"47,5"</f>
        <v>47,5</v>
      </c>
      <c r="L14" s="44" t="str">
        <f>"33,9174"</f>
        <v>33,9174</v>
      </c>
      <c r="M14" s="45"/>
    </row>
    <row r="16" spans="1:13" ht="16">
      <c r="A16" s="145" t="s">
        <v>58</v>
      </c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3">
      <c r="A17" s="58">
        <v>1</v>
      </c>
      <c r="B17" s="41" t="s">
        <v>516</v>
      </c>
      <c r="C17" s="41" t="s">
        <v>647</v>
      </c>
      <c r="D17" s="41" t="s">
        <v>377</v>
      </c>
      <c r="E17" s="41" t="s">
        <v>667</v>
      </c>
      <c r="F17" s="41" t="s">
        <v>538</v>
      </c>
      <c r="G17" s="27" t="s">
        <v>22</v>
      </c>
      <c r="H17" s="27" t="s">
        <v>43</v>
      </c>
      <c r="I17" s="27" t="s">
        <v>159</v>
      </c>
      <c r="J17" s="40"/>
      <c r="K17" s="40" t="str">
        <f>"65,0"</f>
        <v>65,0</v>
      </c>
      <c r="L17" s="40" t="str">
        <f>"45,9632"</f>
        <v>45,9632</v>
      </c>
      <c r="M17" s="41"/>
    </row>
    <row r="19" spans="1:13" ht="16">
      <c r="A19" s="145" t="s">
        <v>38</v>
      </c>
      <c r="B19" s="145"/>
      <c r="C19" s="145"/>
      <c r="D19" s="145"/>
      <c r="E19" s="145"/>
      <c r="F19" s="145"/>
      <c r="G19" s="145"/>
      <c r="H19" s="145"/>
      <c r="I19" s="145"/>
      <c r="J19" s="145"/>
    </row>
    <row r="20" spans="1:13">
      <c r="A20" s="58">
        <v>1</v>
      </c>
      <c r="B20" s="41" t="s">
        <v>526</v>
      </c>
      <c r="C20" s="41" t="s">
        <v>527</v>
      </c>
      <c r="D20" s="41" t="s">
        <v>528</v>
      </c>
      <c r="E20" s="41" t="s">
        <v>662</v>
      </c>
      <c r="F20" s="41" t="s">
        <v>251</v>
      </c>
      <c r="G20" s="27" t="s">
        <v>23</v>
      </c>
      <c r="H20" s="47" t="s">
        <v>43</v>
      </c>
      <c r="I20" s="47" t="s">
        <v>159</v>
      </c>
      <c r="J20" s="40"/>
      <c r="K20" s="40" t="str">
        <f>"57,5"</f>
        <v>57,5</v>
      </c>
      <c r="L20" s="40" t="str">
        <f>"36,5614"</f>
        <v>36,5614</v>
      </c>
      <c r="M20" s="41"/>
    </row>
    <row r="22" spans="1:13" ht="16">
      <c r="A22" s="145" t="s">
        <v>85</v>
      </c>
      <c r="B22" s="145"/>
      <c r="C22" s="145"/>
      <c r="D22" s="145"/>
      <c r="E22" s="145"/>
      <c r="F22" s="145"/>
      <c r="G22" s="145"/>
      <c r="H22" s="145"/>
      <c r="I22" s="145"/>
      <c r="J22" s="145"/>
    </row>
    <row r="23" spans="1:13">
      <c r="A23" s="58">
        <v>1</v>
      </c>
      <c r="B23" s="41" t="s">
        <v>399</v>
      </c>
      <c r="C23" s="41" t="s">
        <v>648</v>
      </c>
      <c r="D23" s="41" t="s">
        <v>398</v>
      </c>
      <c r="E23" s="41" t="s">
        <v>667</v>
      </c>
      <c r="F23" s="41" t="s">
        <v>256</v>
      </c>
      <c r="G23" s="27" t="s">
        <v>323</v>
      </c>
      <c r="H23" s="27" t="s">
        <v>42</v>
      </c>
      <c r="I23" s="27" t="s">
        <v>22</v>
      </c>
      <c r="J23" s="40"/>
      <c r="K23" s="40" t="str">
        <f>"55,0"</f>
        <v>55,0</v>
      </c>
      <c r="L23" s="40" t="str">
        <f>"34,1456"</f>
        <v>34,1456</v>
      </c>
      <c r="M23" s="41"/>
    </row>
    <row r="25" spans="1:13" ht="16">
      <c r="A25" s="145" t="s">
        <v>306</v>
      </c>
      <c r="B25" s="145"/>
      <c r="C25" s="145"/>
      <c r="D25" s="145"/>
      <c r="E25" s="145"/>
      <c r="F25" s="145"/>
      <c r="G25" s="145"/>
      <c r="H25" s="145"/>
      <c r="I25" s="145"/>
      <c r="J25" s="145"/>
    </row>
    <row r="26" spans="1:13">
      <c r="A26" s="58">
        <v>1</v>
      </c>
      <c r="B26" s="41" t="s">
        <v>422</v>
      </c>
      <c r="C26" s="41" t="s">
        <v>649</v>
      </c>
      <c r="D26" s="41" t="s">
        <v>423</v>
      </c>
      <c r="E26" s="41" t="s">
        <v>667</v>
      </c>
      <c r="F26" s="41" t="s">
        <v>256</v>
      </c>
      <c r="G26" s="47" t="s">
        <v>22</v>
      </c>
      <c r="H26" s="27" t="s">
        <v>22</v>
      </c>
      <c r="I26" s="47" t="s">
        <v>43</v>
      </c>
      <c r="J26" s="40"/>
      <c r="K26" s="40" t="str">
        <f>"55,0"</f>
        <v>55,0</v>
      </c>
      <c r="L26" s="40" t="str">
        <f>"33,6428"</f>
        <v>33,6428</v>
      </c>
      <c r="M26" s="41"/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19:J19"/>
    <mergeCell ref="A22:J22"/>
    <mergeCell ref="A25:J25"/>
    <mergeCell ref="L3:L4"/>
    <mergeCell ref="M3:M4"/>
    <mergeCell ref="A5:J5"/>
    <mergeCell ref="A8:J8"/>
    <mergeCell ref="A12:J12"/>
    <mergeCell ref="A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206A-DA2B-4214-80FE-D812CCE4C2E2}">
  <sheetPr codeName="Лист14"/>
  <dimension ref="A1:U57"/>
  <sheetViews>
    <sheetView topLeftCell="A24" workbookViewId="0">
      <selection activeCell="E41" sqref="E41"/>
    </sheetView>
  </sheetViews>
  <sheetFormatPr baseColWidth="10" defaultColWidth="9.1640625" defaultRowHeight="13"/>
  <cols>
    <col min="1" max="1" width="7.1640625" style="11" bestFit="1" customWidth="1"/>
    <col min="2" max="2" width="19.1640625" style="11" bestFit="1" customWidth="1"/>
    <col min="3" max="3" width="28.83203125" style="11" bestFit="1" customWidth="1"/>
    <col min="4" max="4" width="17.5" style="11" customWidth="1"/>
    <col min="5" max="5" width="10.1640625" style="11" bestFit="1" customWidth="1"/>
    <col min="6" max="6" width="38.33203125" style="1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12" bestFit="1" customWidth="1"/>
    <col min="21" max="21" width="29.5" style="11" bestFit="1" customWidth="1"/>
    <col min="22" max="16384" width="9.1640625" style="3"/>
  </cols>
  <sheetData>
    <row r="1" spans="1:21" s="2" customFormat="1" ht="29" customHeight="1">
      <c r="A1" s="133" t="s">
        <v>591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</row>
    <row r="2" spans="1:21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</row>
    <row r="3" spans="1:21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13</v>
      </c>
      <c r="L3" s="127"/>
      <c r="M3" s="127"/>
      <c r="N3" s="127"/>
      <c r="O3" s="127" t="s">
        <v>14</v>
      </c>
      <c r="P3" s="127"/>
      <c r="Q3" s="127"/>
      <c r="R3" s="127"/>
      <c r="S3" s="127" t="s">
        <v>1</v>
      </c>
      <c r="T3" s="127" t="s">
        <v>3</v>
      </c>
      <c r="U3" s="129" t="s">
        <v>2</v>
      </c>
    </row>
    <row r="4" spans="1:21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55">
        <v>1</v>
      </c>
      <c r="L4" s="55">
        <v>2</v>
      </c>
      <c r="M4" s="55">
        <v>3</v>
      </c>
      <c r="N4" s="10" t="s">
        <v>5</v>
      </c>
      <c r="O4" s="55">
        <v>1</v>
      </c>
      <c r="P4" s="55">
        <v>2</v>
      </c>
      <c r="Q4" s="55">
        <v>3</v>
      </c>
      <c r="R4" s="10" t="s">
        <v>5</v>
      </c>
      <c r="S4" s="128"/>
      <c r="T4" s="128"/>
      <c r="U4" s="130"/>
    </row>
    <row r="5" spans="1:21" ht="16">
      <c r="A5" s="131" t="s">
        <v>133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21">
      <c r="A6" s="52">
        <v>1</v>
      </c>
      <c r="B6" s="13" t="s">
        <v>134</v>
      </c>
      <c r="C6" s="13" t="s">
        <v>135</v>
      </c>
      <c r="D6" s="13" t="s">
        <v>136</v>
      </c>
      <c r="E6" s="13" t="s">
        <v>662</v>
      </c>
      <c r="F6" s="13" t="s">
        <v>538</v>
      </c>
      <c r="G6" s="27" t="s">
        <v>22</v>
      </c>
      <c r="H6" s="26" t="s">
        <v>43</v>
      </c>
      <c r="I6" s="27" t="s">
        <v>43</v>
      </c>
      <c r="J6" s="14"/>
      <c r="K6" s="27" t="s">
        <v>44</v>
      </c>
      <c r="L6" s="27" t="s">
        <v>46</v>
      </c>
      <c r="M6" s="26" t="s">
        <v>137</v>
      </c>
      <c r="N6" s="14"/>
      <c r="O6" s="27" t="s">
        <v>22</v>
      </c>
      <c r="P6" s="27" t="s">
        <v>43</v>
      </c>
      <c r="Q6" s="27" t="s">
        <v>35</v>
      </c>
      <c r="R6" s="14"/>
      <c r="S6" s="14" t="str">
        <f>"165,0"</f>
        <v>165,0</v>
      </c>
      <c r="T6" s="14" t="str">
        <f>"219,8790"</f>
        <v>219,8790</v>
      </c>
      <c r="U6" s="13" t="s">
        <v>559</v>
      </c>
    </row>
    <row r="8" spans="1:21" ht="16">
      <c r="A8" s="144" t="s">
        <v>138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21">
      <c r="A9" s="49">
        <v>1</v>
      </c>
      <c r="B9" s="15" t="s">
        <v>139</v>
      </c>
      <c r="C9" s="15" t="s">
        <v>610</v>
      </c>
      <c r="D9" s="15" t="s">
        <v>140</v>
      </c>
      <c r="E9" s="15" t="s">
        <v>663</v>
      </c>
      <c r="F9" s="15" t="s">
        <v>75</v>
      </c>
      <c r="G9" s="28" t="s">
        <v>48</v>
      </c>
      <c r="H9" s="28" t="s">
        <v>24</v>
      </c>
      <c r="I9" s="28" t="s">
        <v>141</v>
      </c>
      <c r="J9" s="16"/>
      <c r="K9" s="29" t="s">
        <v>22</v>
      </c>
      <c r="L9" s="28" t="s">
        <v>22</v>
      </c>
      <c r="M9" s="28" t="s">
        <v>23</v>
      </c>
      <c r="N9" s="16"/>
      <c r="O9" s="28" t="s">
        <v>26</v>
      </c>
      <c r="P9" s="28" t="s">
        <v>97</v>
      </c>
      <c r="Q9" s="29" t="s">
        <v>142</v>
      </c>
      <c r="R9" s="16"/>
      <c r="S9" s="16" t="str">
        <f>"275,0"</f>
        <v>275,0</v>
      </c>
      <c r="T9" s="16" t="str">
        <f>"333,3825"</f>
        <v>333,3825</v>
      </c>
      <c r="U9" s="15" t="s">
        <v>556</v>
      </c>
    </row>
    <row r="10" spans="1:21">
      <c r="A10" s="50">
        <v>1</v>
      </c>
      <c r="B10" s="19" t="s">
        <v>139</v>
      </c>
      <c r="C10" s="19" t="s">
        <v>143</v>
      </c>
      <c r="D10" s="19" t="s">
        <v>140</v>
      </c>
      <c r="E10" s="19" t="s">
        <v>662</v>
      </c>
      <c r="F10" s="19" t="s">
        <v>75</v>
      </c>
      <c r="G10" s="32" t="s">
        <v>48</v>
      </c>
      <c r="H10" s="32" t="s">
        <v>24</v>
      </c>
      <c r="I10" s="32" t="s">
        <v>141</v>
      </c>
      <c r="J10" s="20"/>
      <c r="K10" s="33" t="s">
        <v>22</v>
      </c>
      <c r="L10" s="32" t="s">
        <v>22</v>
      </c>
      <c r="M10" s="32" t="s">
        <v>23</v>
      </c>
      <c r="N10" s="20"/>
      <c r="O10" s="32" t="s">
        <v>26</v>
      </c>
      <c r="P10" s="32" t="s">
        <v>97</v>
      </c>
      <c r="Q10" s="33" t="s">
        <v>142</v>
      </c>
      <c r="R10" s="20"/>
      <c r="S10" s="20" t="str">
        <f>"275,0"</f>
        <v>275,0</v>
      </c>
      <c r="T10" s="20" t="str">
        <f>"333,3825"</f>
        <v>333,3825</v>
      </c>
      <c r="U10" s="19" t="s">
        <v>556</v>
      </c>
    </row>
    <row r="11" spans="1:21">
      <c r="A11" s="50">
        <v>2</v>
      </c>
      <c r="B11" s="19" t="s">
        <v>144</v>
      </c>
      <c r="C11" s="19" t="s">
        <v>145</v>
      </c>
      <c r="D11" s="19" t="s">
        <v>146</v>
      </c>
      <c r="E11" s="19" t="s">
        <v>662</v>
      </c>
      <c r="F11" s="19" t="s">
        <v>538</v>
      </c>
      <c r="G11" s="33" t="s">
        <v>20</v>
      </c>
      <c r="H11" s="32" t="s">
        <v>20</v>
      </c>
      <c r="I11" s="32" t="s">
        <v>47</v>
      </c>
      <c r="J11" s="20"/>
      <c r="K11" s="32" t="s">
        <v>137</v>
      </c>
      <c r="L11" s="32" t="s">
        <v>42</v>
      </c>
      <c r="M11" s="32" t="s">
        <v>22</v>
      </c>
      <c r="N11" s="20"/>
      <c r="O11" s="32" t="s">
        <v>26</v>
      </c>
      <c r="P11" s="32" t="s">
        <v>32</v>
      </c>
      <c r="Q11" s="32" t="s">
        <v>52</v>
      </c>
      <c r="R11" s="20"/>
      <c r="S11" s="20" t="str">
        <f>"270,0"</f>
        <v>270,0</v>
      </c>
      <c r="T11" s="20" t="str">
        <f>"326,3760"</f>
        <v>326,3760</v>
      </c>
      <c r="U11" s="19" t="s">
        <v>560</v>
      </c>
    </row>
    <row r="12" spans="1:21">
      <c r="A12" s="50">
        <v>3</v>
      </c>
      <c r="B12" s="19" t="s">
        <v>147</v>
      </c>
      <c r="C12" s="19" t="s">
        <v>148</v>
      </c>
      <c r="D12" s="19" t="s">
        <v>149</v>
      </c>
      <c r="E12" s="19" t="s">
        <v>662</v>
      </c>
      <c r="F12" s="19" t="s">
        <v>538</v>
      </c>
      <c r="G12" s="32" t="s">
        <v>47</v>
      </c>
      <c r="H12" s="32" t="s">
        <v>48</v>
      </c>
      <c r="I12" s="33" t="s">
        <v>24</v>
      </c>
      <c r="J12" s="20"/>
      <c r="K12" s="32" t="s">
        <v>42</v>
      </c>
      <c r="L12" s="33" t="s">
        <v>150</v>
      </c>
      <c r="M12" s="33" t="s">
        <v>150</v>
      </c>
      <c r="N12" s="20"/>
      <c r="O12" s="32" t="s">
        <v>24</v>
      </c>
      <c r="P12" s="33" t="s">
        <v>25</v>
      </c>
      <c r="Q12" s="32" t="s">
        <v>25</v>
      </c>
      <c r="R12" s="20"/>
      <c r="S12" s="20" t="str">
        <f>"250,0"</f>
        <v>250,0</v>
      </c>
      <c r="T12" s="20" t="str">
        <f>"298,7500"</f>
        <v>298,7500</v>
      </c>
      <c r="U12" s="19" t="s">
        <v>561</v>
      </c>
    </row>
    <row r="13" spans="1:21">
      <c r="A13" s="51">
        <v>4</v>
      </c>
      <c r="B13" s="17" t="s">
        <v>151</v>
      </c>
      <c r="C13" s="17" t="s">
        <v>152</v>
      </c>
      <c r="D13" s="17" t="s">
        <v>153</v>
      </c>
      <c r="E13" s="17" t="s">
        <v>662</v>
      </c>
      <c r="F13" s="17" t="s">
        <v>19</v>
      </c>
      <c r="G13" s="31" t="s">
        <v>35</v>
      </c>
      <c r="H13" s="30" t="s">
        <v>35</v>
      </c>
      <c r="I13" s="30" t="s">
        <v>154</v>
      </c>
      <c r="J13" s="18"/>
      <c r="K13" s="30" t="s">
        <v>42</v>
      </c>
      <c r="L13" s="30" t="s">
        <v>150</v>
      </c>
      <c r="M13" s="30" t="s">
        <v>22</v>
      </c>
      <c r="N13" s="18"/>
      <c r="O13" s="30" t="s">
        <v>48</v>
      </c>
      <c r="P13" s="30" t="s">
        <v>24</v>
      </c>
      <c r="Q13" s="31" t="s">
        <v>155</v>
      </c>
      <c r="R13" s="18"/>
      <c r="S13" s="18" t="str">
        <f>"230,0"</f>
        <v>230,0</v>
      </c>
      <c r="T13" s="18" t="str">
        <f>"283,7740"</f>
        <v>283,7740</v>
      </c>
      <c r="U13" s="17"/>
    </row>
    <row r="15" spans="1:21" ht="16">
      <c r="A15" s="144" t="s">
        <v>156</v>
      </c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21">
      <c r="A16" s="49">
        <v>1</v>
      </c>
      <c r="B16" s="15" t="s">
        <v>157</v>
      </c>
      <c r="C16" s="15" t="s">
        <v>611</v>
      </c>
      <c r="D16" s="15" t="s">
        <v>158</v>
      </c>
      <c r="E16" s="15" t="s">
        <v>663</v>
      </c>
      <c r="F16" s="15" t="s">
        <v>538</v>
      </c>
      <c r="G16" s="29" t="s">
        <v>25</v>
      </c>
      <c r="H16" s="28" t="s">
        <v>155</v>
      </c>
      <c r="I16" s="28" t="s">
        <v>97</v>
      </c>
      <c r="J16" s="16"/>
      <c r="K16" s="28" t="s">
        <v>159</v>
      </c>
      <c r="L16" s="29" t="s">
        <v>160</v>
      </c>
      <c r="M16" s="29" t="s">
        <v>160</v>
      </c>
      <c r="N16" s="16"/>
      <c r="O16" s="28" t="s">
        <v>25</v>
      </c>
      <c r="P16" s="29" t="s">
        <v>155</v>
      </c>
      <c r="Q16" s="29" t="s">
        <v>155</v>
      </c>
      <c r="R16" s="16"/>
      <c r="S16" s="16" t="str">
        <f>"285,0"</f>
        <v>285,0</v>
      </c>
      <c r="T16" s="16" t="str">
        <f>"321,0810"</f>
        <v>321,0810</v>
      </c>
      <c r="U16" s="15" t="s">
        <v>567</v>
      </c>
    </row>
    <row r="17" spans="1:21">
      <c r="A17" s="50">
        <v>1</v>
      </c>
      <c r="B17" s="19" t="s">
        <v>161</v>
      </c>
      <c r="C17" s="19" t="s">
        <v>162</v>
      </c>
      <c r="D17" s="19" t="s">
        <v>163</v>
      </c>
      <c r="E17" s="19" t="s">
        <v>662</v>
      </c>
      <c r="F17" s="19" t="s">
        <v>164</v>
      </c>
      <c r="G17" s="33" t="s">
        <v>155</v>
      </c>
      <c r="H17" s="32" t="s">
        <v>142</v>
      </c>
      <c r="I17" s="33" t="s">
        <v>98</v>
      </c>
      <c r="J17" s="20"/>
      <c r="K17" s="32" t="s">
        <v>150</v>
      </c>
      <c r="L17" s="33" t="s">
        <v>22</v>
      </c>
      <c r="M17" s="33" t="s">
        <v>22</v>
      </c>
      <c r="N17" s="20"/>
      <c r="O17" s="32" t="s">
        <v>26</v>
      </c>
      <c r="P17" s="32" t="s">
        <v>97</v>
      </c>
      <c r="Q17" s="32" t="s">
        <v>32</v>
      </c>
      <c r="R17" s="20"/>
      <c r="S17" s="20" t="str">
        <f>"290,0"</f>
        <v>290,0</v>
      </c>
      <c r="T17" s="20" t="str">
        <f>"327,1490"</f>
        <v>327,1490</v>
      </c>
      <c r="U17" s="19" t="s">
        <v>566</v>
      </c>
    </row>
    <row r="18" spans="1:21">
      <c r="A18" s="50">
        <v>2</v>
      </c>
      <c r="B18" s="19" t="s">
        <v>157</v>
      </c>
      <c r="C18" s="19" t="s">
        <v>165</v>
      </c>
      <c r="D18" s="19" t="s">
        <v>158</v>
      </c>
      <c r="E18" s="19" t="s">
        <v>662</v>
      </c>
      <c r="F18" s="19" t="s">
        <v>538</v>
      </c>
      <c r="G18" s="33" t="s">
        <v>25</v>
      </c>
      <c r="H18" s="32" t="s">
        <v>155</v>
      </c>
      <c r="I18" s="32" t="s">
        <v>97</v>
      </c>
      <c r="J18" s="20"/>
      <c r="K18" s="32" t="s">
        <v>159</v>
      </c>
      <c r="L18" s="33" t="s">
        <v>160</v>
      </c>
      <c r="M18" s="33" t="s">
        <v>160</v>
      </c>
      <c r="N18" s="20"/>
      <c r="O18" s="32" t="s">
        <v>25</v>
      </c>
      <c r="P18" s="33" t="s">
        <v>155</v>
      </c>
      <c r="Q18" s="33" t="s">
        <v>155</v>
      </c>
      <c r="R18" s="20"/>
      <c r="S18" s="20" t="str">
        <f>"285,0"</f>
        <v>285,0</v>
      </c>
      <c r="T18" s="20" t="str">
        <f>"321,0810"</f>
        <v>321,0810</v>
      </c>
      <c r="U18" s="19" t="s">
        <v>567</v>
      </c>
    </row>
    <row r="19" spans="1:21">
      <c r="A19" s="51">
        <v>1</v>
      </c>
      <c r="B19" s="17" t="s">
        <v>166</v>
      </c>
      <c r="C19" s="17" t="s">
        <v>612</v>
      </c>
      <c r="D19" s="17" t="s">
        <v>167</v>
      </c>
      <c r="E19" s="17" t="s">
        <v>664</v>
      </c>
      <c r="F19" s="17" t="s">
        <v>547</v>
      </c>
      <c r="G19" s="30" t="s">
        <v>154</v>
      </c>
      <c r="H19" s="31" t="s">
        <v>20</v>
      </c>
      <c r="I19" s="30" t="s">
        <v>20</v>
      </c>
      <c r="J19" s="18"/>
      <c r="K19" s="30" t="s">
        <v>42</v>
      </c>
      <c r="L19" s="30" t="s">
        <v>22</v>
      </c>
      <c r="M19" s="31" t="s">
        <v>23</v>
      </c>
      <c r="N19" s="18"/>
      <c r="O19" s="30" t="s">
        <v>47</v>
      </c>
      <c r="P19" s="30" t="s">
        <v>48</v>
      </c>
      <c r="Q19" s="30" t="s">
        <v>24</v>
      </c>
      <c r="R19" s="18"/>
      <c r="S19" s="18" t="str">
        <f>"235,0"</f>
        <v>235,0</v>
      </c>
      <c r="T19" s="18" t="str">
        <f>"285,0216"</f>
        <v>285,0216</v>
      </c>
      <c r="U19" s="17" t="s">
        <v>557</v>
      </c>
    </row>
    <row r="21" spans="1:21" ht="16">
      <c r="A21" s="144" t="s">
        <v>49</v>
      </c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21">
      <c r="A22" s="52">
        <v>1</v>
      </c>
      <c r="B22" s="13" t="s">
        <v>168</v>
      </c>
      <c r="C22" s="13" t="s">
        <v>169</v>
      </c>
      <c r="D22" s="13" t="s">
        <v>170</v>
      </c>
      <c r="E22" s="13" t="s">
        <v>662</v>
      </c>
      <c r="F22" s="13" t="s">
        <v>538</v>
      </c>
      <c r="G22" s="27" t="s">
        <v>24</v>
      </c>
      <c r="H22" s="26" t="s">
        <v>26</v>
      </c>
      <c r="I22" s="26" t="s">
        <v>26</v>
      </c>
      <c r="J22" s="14"/>
      <c r="K22" s="27" t="s">
        <v>46</v>
      </c>
      <c r="L22" s="27" t="s">
        <v>171</v>
      </c>
      <c r="M22" s="27" t="s">
        <v>172</v>
      </c>
      <c r="N22" s="14"/>
      <c r="O22" s="27" t="s">
        <v>97</v>
      </c>
      <c r="P22" s="27" t="s">
        <v>98</v>
      </c>
      <c r="Q22" s="26" t="s">
        <v>33</v>
      </c>
      <c r="R22" s="14"/>
      <c r="S22" s="14" t="str">
        <f>"265,0"</f>
        <v>265,0</v>
      </c>
      <c r="T22" s="14" t="str">
        <f>"285,2725"</f>
        <v>285,2725</v>
      </c>
      <c r="U22" s="13" t="s">
        <v>565</v>
      </c>
    </row>
    <row r="24" spans="1:21" ht="16">
      <c r="A24" s="144" t="s">
        <v>156</v>
      </c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</row>
    <row r="25" spans="1:21">
      <c r="A25" s="52">
        <v>1</v>
      </c>
      <c r="B25" s="13" t="s">
        <v>173</v>
      </c>
      <c r="C25" s="13" t="s">
        <v>174</v>
      </c>
      <c r="D25" s="13" t="s">
        <v>175</v>
      </c>
      <c r="E25" s="13" t="s">
        <v>662</v>
      </c>
      <c r="F25" s="13" t="s">
        <v>538</v>
      </c>
      <c r="G25" s="27" t="s">
        <v>26</v>
      </c>
      <c r="H25" s="27" t="s">
        <v>55</v>
      </c>
      <c r="I25" s="26" t="s">
        <v>34</v>
      </c>
      <c r="J25" s="14"/>
      <c r="K25" s="27" t="s">
        <v>20</v>
      </c>
      <c r="L25" s="26" t="s">
        <v>47</v>
      </c>
      <c r="M25" s="26" t="s">
        <v>47</v>
      </c>
      <c r="N25" s="14"/>
      <c r="O25" s="27" t="s">
        <v>34</v>
      </c>
      <c r="P25" s="27" t="s">
        <v>176</v>
      </c>
      <c r="Q25" s="27" t="s">
        <v>177</v>
      </c>
      <c r="R25" s="14"/>
      <c r="S25" s="14" t="str">
        <f>"362,5"</f>
        <v>362,5</v>
      </c>
      <c r="T25" s="14" t="str">
        <f>"319,5800"</f>
        <v>319,5800</v>
      </c>
      <c r="U25" s="13"/>
    </row>
    <row r="27" spans="1:21" ht="16">
      <c r="A27" s="144" t="s">
        <v>27</v>
      </c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</row>
    <row r="28" spans="1:21">
      <c r="A28" s="52">
        <v>1</v>
      </c>
      <c r="B28" s="13" t="s">
        <v>178</v>
      </c>
      <c r="C28" s="13" t="s">
        <v>179</v>
      </c>
      <c r="D28" s="13" t="s">
        <v>180</v>
      </c>
      <c r="E28" s="13" t="s">
        <v>662</v>
      </c>
      <c r="F28" s="13" t="s">
        <v>655</v>
      </c>
      <c r="G28" s="27" t="s">
        <v>65</v>
      </c>
      <c r="H28" s="27" t="s">
        <v>101</v>
      </c>
      <c r="I28" s="26" t="s">
        <v>66</v>
      </c>
      <c r="J28" s="14"/>
      <c r="K28" s="27" t="s">
        <v>155</v>
      </c>
      <c r="L28" s="26" t="s">
        <v>142</v>
      </c>
      <c r="M28" s="26" t="s">
        <v>142</v>
      </c>
      <c r="N28" s="14"/>
      <c r="O28" s="27" t="s">
        <v>181</v>
      </c>
      <c r="P28" s="27" t="s">
        <v>109</v>
      </c>
      <c r="Q28" s="26" t="s">
        <v>182</v>
      </c>
      <c r="R28" s="14"/>
      <c r="S28" s="14" t="str">
        <f>"527,5"</f>
        <v>527,5</v>
      </c>
      <c r="T28" s="14" t="str">
        <f>"376,5823"</f>
        <v>376,5823</v>
      </c>
      <c r="U28" s="13"/>
    </row>
    <row r="30" spans="1:21" ht="16">
      <c r="A30" s="144" t="s">
        <v>58</v>
      </c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</row>
    <row r="31" spans="1:21">
      <c r="A31" s="52">
        <v>1</v>
      </c>
      <c r="B31" s="13" t="s">
        <v>183</v>
      </c>
      <c r="C31" s="13" t="s">
        <v>184</v>
      </c>
      <c r="D31" s="13" t="s">
        <v>185</v>
      </c>
      <c r="E31" s="13" t="s">
        <v>662</v>
      </c>
      <c r="F31" s="13" t="s">
        <v>19</v>
      </c>
      <c r="G31" s="27" t="s">
        <v>34</v>
      </c>
      <c r="H31" s="26" t="s">
        <v>37</v>
      </c>
      <c r="I31" s="26" t="s">
        <v>37</v>
      </c>
      <c r="J31" s="14"/>
      <c r="K31" s="27" t="s">
        <v>47</v>
      </c>
      <c r="L31" s="26" t="s">
        <v>48</v>
      </c>
      <c r="M31" s="27" t="s">
        <v>48</v>
      </c>
      <c r="N31" s="14"/>
      <c r="O31" s="27" t="s">
        <v>57</v>
      </c>
      <c r="P31" s="27" t="s">
        <v>62</v>
      </c>
      <c r="Q31" s="26" t="s">
        <v>71</v>
      </c>
      <c r="R31" s="14"/>
      <c r="S31" s="14" t="str">
        <f>"400,0"</f>
        <v>400,0</v>
      </c>
      <c r="T31" s="14" t="str">
        <f>"281,9200"</f>
        <v>281,9200</v>
      </c>
      <c r="U31" s="13"/>
    </row>
    <row r="33" spans="1:21" ht="16">
      <c r="A33" s="144" t="s">
        <v>38</v>
      </c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</row>
    <row r="34" spans="1:21">
      <c r="A34" s="49">
        <v>1</v>
      </c>
      <c r="B34" s="15" t="s">
        <v>186</v>
      </c>
      <c r="C34" s="15" t="s">
        <v>187</v>
      </c>
      <c r="D34" s="15" t="s">
        <v>188</v>
      </c>
      <c r="E34" s="15" t="s">
        <v>665</v>
      </c>
      <c r="F34" s="15" t="s">
        <v>164</v>
      </c>
      <c r="G34" s="28" t="s">
        <v>34</v>
      </c>
      <c r="H34" s="29" t="s">
        <v>176</v>
      </c>
      <c r="I34" s="28" t="s">
        <v>56</v>
      </c>
      <c r="J34" s="16"/>
      <c r="K34" s="28" t="s">
        <v>20</v>
      </c>
      <c r="L34" s="28" t="s">
        <v>47</v>
      </c>
      <c r="M34" s="29" t="s">
        <v>53</v>
      </c>
      <c r="N34" s="16"/>
      <c r="O34" s="28" t="s">
        <v>57</v>
      </c>
      <c r="P34" s="28" t="s">
        <v>64</v>
      </c>
      <c r="Q34" s="29" t="s">
        <v>100</v>
      </c>
      <c r="R34" s="16"/>
      <c r="S34" s="16" t="str">
        <f>"415,0"</f>
        <v>415,0</v>
      </c>
      <c r="T34" s="16" t="str">
        <f>"274,8960"</f>
        <v>274,8960</v>
      </c>
      <c r="U34" s="15" t="s">
        <v>562</v>
      </c>
    </row>
    <row r="35" spans="1:21">
      <c r="A35" s="50">
        <v>1</v>
      </c>
      <c r="B35" s="19" t="s">
        <v>189</v>
      </c>
      <c r="C35" s="19" t="s">
        <v>190</v>
      </c>
      <c r="D35" s="19" t="s">
        <v>191</v>
      </c>
      <c r="E35" s="19" t="s">
        <v>662</v>
      </c>
      <c r="F35" s="19" t="s">
        <v>538</v>
      </c>
      <c r="G35" s="32" t="s">
        <v>71</v>
      </c>
      <c r="H35" s="32" t="s">
        <v>131</v>
      </c>
      <c r="I35" s="33" t="s">
        <v>66</v>
      </c>
      <c r="J35" s="20"/>
      <c r="K35" s="32" t="s">
        <v>52</v>
      </c>
      <c r="L35" s="32" t="s">
        <v>55</v>
      </c>
      <c r="M35" s="33" t="s">
        <v>36</v>
      </c>
      <c r="N35" s="20"/>
      <c r="O35" s="32" t="s">
        <v>107</v>
      </c>
      <c r="P35" s="33" t="s">
        <v>192</v>
      </c>
      <c r="Q35" s="33" t="s">
        <v>192</v>
      </c>
      <c r="R35" s="20"/>
      <c r="S35" s="20" t="str">
        <f>"527,5"</f>
        <v>527,5</v>
      </c>
      <c r="T35" s="20" t="str">
        <f>"336,9670"</f>
        <v>336,9670</v>
      </c>
      <c r="U35" s="19" t="s">
        <v>540</v>
      </c>
    </row>
    <row r="36" spans="1:21">
      <c r="A36" s="51">
        <v>2</v>
      </c>
      <c r="B36" s="17" t="s">
        <v>193</v>
      </c>
      <c r="C36" s="17" t="s">
        <v>194</v>
      </c>
      <c r="D36" s="17" t="s">
        <v>195</v>
      </c>
      <c r="E36" s="17" t="s">
        <v>662</v>
      </c>
      <c r="F36" s="17" t="s">
        <v>19</v>
      </c>
      <c r="G36" s="30" t="s">
        <v>65</v>
      </c>
      <c r="H36" s="31" t="s">
        <v>66</v>
      </c>
      <c r="I36" s="30" t="s">
        <v>66</v>
      </c>
      <c r="J36" s="18"/>
      <c r="K36" s="30" t="s">
        <v>97</v>
      </c>
      <c r="L36" s="30" t="s">
        <v>98</v>
      </c>
      <c r="M36" s="31" t="s">
        <v>52</v>
      </c>
      <c r="N36" s="18"/>
      <c r="O36" s="30" t="s">
        <v>67</v>
      </c>
      <c r="P36" s="30" t="s">
        <v>196</v>
      </c>
      <c r="Q36" s="30" t="s">
        <v>197</v>
      </c>
      <c r="R36" s="18"/>
      <c r="S36" s="18" t="str">
        <f>"525,0"</f>
        <v>525,0</v>
      </c>
      <c r="T36" s="18" t="str">
        <f>"350,4375"</f>
        <v>350,4375</v>
      </c>
      <c r="U36" s="17"/>
    </row>
    <row r="38" spans="1:21" ht="16">
      <c r="A38" s="144" t="s">
        <v>85</v>
      </c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</row>
    <row r="39" spans="1:21">
      <c r="A39" s="49">
        <v>1</v>
      </c>
      <c r="B39" s="15" t="s">
        <v>198</v>
      </c>
      <c r="C39" s="15" t="s">
        <v>199</v>
      </c>
      <c r="D39" s="15" t="s">
        <v>200</v>
      </c>
      <c r="E39" s="15" t="s">
        <v>662</v>
      </c>
      <c r="F39" s="15" t="s">
        <v>538</v>
      </c>
      <c r="G39" s="28" t="s">
        <v>66</v>
      </c>
      <c r="H39" s="28" t="s">
        <v>83</v>
      </c>
      <c r="I39" s="29" t="s">
        <v>196</v>
      </c>
      <c r="J39" s="16"/>
      <c r="K39" s="28" t="s">
        <v>110</v>
      </c>
      <c r="L39" s="29" t="s">
        <v>56</v>
      </c>
      <c r="M39" s="29" t="s">
        <v>56</v>
      </c>
      <c r="N39" s="16"/>
      <c r="O39" s="28" t="s">
        <v>91</v>
      </c>
      <c r="P39" s="28" t="s">
        <v>78</v>
      </c>
      <c r="Q39" s="28" t="s">
        <v>79</v>
      </c>
      <c r="R39" s="16"/>
      <c r="S39" s="16" t="str">
        <f>"597,5"</f>
        <v>597,5</v>
      </c>
      <c r="T39" s="16" t="str">
        <f>"378,0980"</f>
        <v>378,0980</v>
      </c>
      <c r="U39" s="15" t="s">
        <v>563</v>
      </c>
    </row>
    <row r="40" spans="1:21">
      <c r="A40" s="51">
        <v>2</v>
      </c>
      <c r="B40" s="17" t="s">
        <v>201</v>
      </c>
      <c r="C40" s="17" t="s">
        <v>202</v>
      </c>
      <c r="D40" s="17" t="s">
        <v>203</v>
      </c>
      <c r="E40" s="17" t="s">
        <v>662</v>
      </c>
      <c r="F40" s="17" t="s">
        <v>538</v>
      </c>
      <c r="G40" s="30" t="s">
        <v>83</v>
      </c>
      <c r="H40" s="30" t="s">
        <v>196</v>
      </c>
      <c r="I40" s="30" t="s">
        <v>89</v>
      </c>
      <c r="J40" s="18"/>
      <c r="K40" s="30" t="s">
        <v>26</v>
      </c>
      <c r="L40" s="30" t="s">
        <v>97</v>
      </c>
      <c r="M40" s="30" t="s">
        <v>32</v>
      </c>
      <c r="N40" s="18"/>
      <c r="O40" s="30" t="s">
        <v>90</v>
      </c>
      <c r="P40" s="30" t="s">
        <v>109</v>
      </c>
      <c r="Q40" s="31" t="s">
        <v>77</v>
      </c>
      <c r="R40" s="18"/>
      <c r="S40" s="18" t="str">
        <f>"560,0"</f>
        <v>560,0</v>
      </c>
      <c r="T40" s="18" t="str">
        <f>"342,3280"</f>
        <v>342,3280</v>
      </c>
      <c r="U40" s="17" t="s">
        <v>564</v>
      </c>
    </row>
    <row r="42" spans="1:21">
      <c r="G42" s="11"/>
    </row>
    <row r="43" spans="1:21">
      <c r="G43" s="11"/>
    </row>
    <row r="44" spans="1:21" ht="18">
      <c r="B44" s="21" t="s">
        <v>123</v>
      </c>
      <c r="C44" s="21"/>
      <c r="G44" s="11"/>
    </row>
    <row r="45" spans="1:21" ht="16">
      <c r="B45" s="22" t="s">
        <v>124</v>
      </c>
      <c r="C45" s="22"/>
      <c r="G45" s="11"/>
    </row>
    <row r="46" spans="1:21" ht="14">
      <c r="B46" s="23"/>
      <c r="C46" s="24" t="s">
        <v>125</v>
      </c>
      <c r="T46" s="11"/>
      <c r="U46" s="3"/>
    </row>
    <row r="47" spans="1:21" ht="14">
      <c r="B47" s="25" t="s">
        <v>126</v>
      </c>
      <c r="C47" s="25" t="s">
        <v>127</v>
      </c>
      <c r="D47" s="25" t="s">
        <v>654</v>
      </c>
      <c r="E47" s="25" t="s">
        <v>129</v>
      </c>
      <c r="F47" s="25" t="s">
        <v>130</v>
      </c>
      <c r="T47" s="11"/>
      <c r="U47" s="3"/>
    </row>
    <row r="48" spans="1:21">
      <c r="B48" s="11" t="s">
        <v>139</v>
      </c>
      <c r="C48" s="11" t="s">
        <v>125</v>
      </c>
      <c r="D48" s="67">
        <v>56</v>
      </c>
      <c r="E48" s="12" t="s">
        <v>204</v>
      </c>
      <c r="F48" s="57" t="s">
        <v>571</v>
      </c>
      <c r="T48" s="11"/>
      <c r="U48" s="3"/>
    </row>
    <row r="49" spans="2:21">
      <c r="B49" s="11" t="s">
        <v>161</v>
      </c>
      <c r="C49" s="11" t="s">
        <v>125</v>
      </c>
      <c r="D49" s="67">
        <v>60</v>
      </c>
      <c r="E49" s="12" t="s">
        <v>205</v>
      </c>
      <c r="F49" s="57" t="s">
        <v>572</v>
      </c>
      <c r="T49" s="11"/>
      <c r="U49" s="3"/>
    </row>
    <row r="50" spans="2:21">
      <c r="B50" s="11" t="s">
        <v>144</v>
      </c>
      <c r="C50" s="11" t="s">
        <v>125</v>
      </c>
      <c r="D50" s="67">
        <v>56</v>
      </c>
      <c r="E50" s="12" t="s">
        <v>206</v>
      </c>
      <c r="F50" s="57" t="s">
        <v>573</v>
      </c>
      <c r="T50" s="11"/>
      <c r="U50" s="3"/>
    </row>
    <row r="51" spans="2:21">
      <c r="T51" s="11"/>
      <c r="U51" s="3"/>
    </row>
    <row r="52" spans="2:21" ht="16">
      <c r="B52" s="22" t="s">
        <v>132</v>
      </c>
      <c r="C52" s="22"/>
      <c r="T52" s="11"/>
      <c r="U52" s="3"/>
    </row>
    <row r="53" spans="2:21" ht="14">
      <c r="B53" s="23"/>
      <c r="C53" s="24" t="s">
        <v>125</v>
      </c>
      <c r="T53" s="11"/>
      <c r="U53" s="3"/>
    </row>
    <row r="54" spans="2:21" ht="14">
      <c r="B54" s="25" t="s">
        <v>126</v>
      </c>
      <c r="C54" s="25" t="s">
        <v>127</v>
      </c>
      <c r="D54" s="25" t="s">
        <v>654</v>
      </c>
      <c r="E54" s="25" t="s">
        <v>129</v>
      </c>
      <c r="F54" s="25" t="s">
        <v>130</v>
      </c>
      <c r="T54" s="11"/>
      <c r="U54" s="3"/>
    </row>
    <row r="55" spans="2:21">
      <c r="B55" s="11" t="s">
        <v>198</v>
      </c>
      <c r="C55" s="11" t="s">
        <v>125</v>
      </c>
      <c r="D55" s="67">
        <v>100</v>
      </c>
      <c r="E55" s="12" t="s">
        <v>207</v>
      </c>
      <c r="F55" s="57" t="s">
        <v>568</v>
      </c>
      <c r="T55" s="11"/>
      <c r="U55" s="3"/>
    </row>
    <row r="56" spans="2:21">
      <c r="B56" s="11" t="s">
        <v>178</v>
      </c>
      <c r="C56" s="11" t="s">
        <v>125</v>
      </c>
      <c r="D56" s="67">
        <v>75</v>
      </c>
      <c r="E56" s="12" t="s">
        <v>208</v>
      </c>
      <c r="F56" s="57" t="s">
        <v>569</v>
      </c>
      <c r="T56" s="11"/>
      <c r="U56" s="3"/>
    </row>
    <row r="57" spans="2:21">
      <c r="B57" s="11" t="s">
        <v>193</v>
      </c>
      <c r="C57" s="11" t="s">
        <v>125</v>
      </c>
      <c r="D57" s="67">
        <v>90</v>
      </c>
      <c r="E57" s="12" t="s">
        <v>209</v>
      </c>
      <c r="F57" s="57" t="s">
        <v>570</v>
      </c>
      <c r="G57" s="11"/>
    </row>
  </sheetData>
  <mergeCells count="22">
    <mergeCell ref="A33:R33"/>
    <mergeCell ref="A38:R38"/>
    <mergeCell ref="B3:B4"/>
    <mergeCell ref="A8:R8"/>
    <mergeCell ref="A15:R15"/>
    <mergeCell ref="A21:R21"/>
    <mergeCell ref="A24:R24"/>
    <mergeCell ref="A27:R27"/>
    <mergeCell ref="A30:R30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2EFC-F83E-4E41-B1B6-71BCD447F4DF}">
  <sheetPr>
    <pageSetUpPr fitToPage="1"/>
  </sheetPr>
  <dimension ref="A1:M22"/>
  <sheetViews>
    <sheetView tabSelected="1" workbookViewId="0">
      <selection activeCell="E23" sqref="E23"/>
    </sheetView>
  </sheetViews>
  <sheetFormatPr baseColWidth="10" defaultColWidth="9.1640625" defaultRowHeight="13"/>
  <cols>
    <col min="1" max="1" width="7.1640625" style="38" bestFit="1" customWidth="1"/>
    <col min="2" max="2" width="19.1640625" style="38" bestFit="1" customWidth="1"/>
    <col min="3" max="3" width="29" style="38" bestFit="1" customWidth="1"/>
    <col min="4" max="4" width="20.83203125" style="38" bestFit="1" customWidth="1"/>
    <col min="5" max="5" width="10.1640625" style="38" bestFit="1" customWidth="1"/>
    <col min="6" max="6" width="36.83203125" style="38" customWidth="1"/>
    <col min="7" max="9" width="5.5" style="37" customWidth="1"/>
    <col min="10" max="10" width="4.5" style="37" customWidth="1"/>
    <col min="11" max="11" width="10.5" style="37" bestFit="1" customWidth="1"/>
    <col min="12" max="12" width="7.5" style="37" bestFit="1" customWidth="1"/>
    <col min="13" max="13" width="20.1640625" style="38" customWidth="1"/>
    <col min="14" max="16384" width="9.1640625" style="39"/>
  </cols>
  <sheetData>
    <row r="1" spans="1:13" s="34" customFormat="1" ht="29" customHeight="1">
      <c r="A1" s="152" t="s">
        <v>609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s="34" customFormat="1" ht="62" customHeight="1" thickBot="1">
      <c r="A2" s="156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</row>
    <row r="3" spans="1:13" s="35" customFormat="1" ht="12.75" customHeight="1">
      <c r="A3" s="160" t="s">
        <v>659</v>
      </c>
      <c r="B3" s="162" t="s">
        <v>0</v>
      </c>
      <c r="C3" s="163" t="s">
        <v>660</v>
      </c>
      <c r="D3" s="163" t="s">
        <v>11</v>
      </c>
      <c r="E3" s="148" t="s">
        <v>661</v>
      </c>
      <c r="F3" s="148" t="s">
        <v>8</v>
      </c>
      <c r="G3" s="148" t="s">
        <v>658</v>
      </c>
      <c r="H3" s="148"/>
      <c r="I3" s="148"/>
      <c r="J3" s="148"/>
      <c r="K3" s="148" t="s">
        <v>320</v>
      </c>
      <c r="L3" s="148" t="s">
        <v>3</v>
      </c>
      <c r="M3" s="150" t="s">
        <v>2</v>
      </c>
    </row>
    <row r="4" spans="1:13" s="35" customFormat="1" ht="21" customHeight="1" thickBot="1">
      <c r="A4" s="161"/>
      <c r="B4" s="147"/>
      <c r="C4" s="149"/>
      <c r="D4" s="149"/>
      <c r="E4" s="149"/>
      <c r="F4" s="149"/>
      <c r="G4" s="62">
        <v>1</v>
      </c>
      <c r="H4" s="62">
        <v>2</v>
      </c>
      <c r="I4" s="62">
        <v>3</v>
      </c>
      <c r="J4" s="36" t="s">
        <v>5</v>
      </c>
      <c r="K4" s="149"/>
      <c r="L4" s="149"/>
      <c r="M4" s="151"/>
    </row>
    <row r="5" spans="1:13" ht="16">
      <c r="A5" s="132" t="s">
        <v>15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3">
      <c r="A6" s="58">
        <v>1</v>
      </c>
      <c r="B6" s="41" t="s">
        <v>529</v>
      </c>
      <c r="C6" s="41" t="s">
        <v>650</v>
      </c>
      <c r="D6" s="41" t="s">
        <v>438</v>
      </c>
      <c r="E6" s="41" t="s">
        <v>664</v>
      </c>
      <c r="F6" s="41" t="s">
        <v>296</v>
      </c>
      <c r="G6" s="27" t="s">
        <v>518</v>
      </c>
      <c r="H6" s="27" t="s">
        <v>252</v>
      </c>
      <c r="I6" s="47" t="s">
        <v>517</v>
      </c>
      <c r="J6" s="40"/>
      <c r="K6" s="40" t="str">
        <f>"25,0"</f>
        <v>25,0</v>
      </c>
      <c r="L6" s="40" t="str">
        <f>"33,0412"</f>
        <v>33,0412</v>
      </c>
      <c r="M6" s="41" t="s">
        <v>543</v>
      </c>
    </row>
    <row r="8" spans="1:13" ht="16">
      <c r="A8" s="145" t="s">
        <v>49</v>
      </c>
      <c r="B8" s="145"/>
      <c r="C8" s="145"/>
      <c r="D8" s="145"/>
      <c r="E8" s="145"/>
      <c r="F8" s="145"/>
      <c r="G8" s="145"/>
      <c r="H8" s="145"/>
      <c r="I8" s="145"/>
      <c r="J8" s="145"/>
    </row>
    <row r="9" spans="1:13">
      <c r="A9" s="58">
        <v>1</v>
      </c>
      <c r="B9" s="41" t="s">
        <v>530</v>
      </c>
      <c r="C9" s="41" t="s">
        <v>651</v>
      </c>
      <c r="D9" s="41" t="s">
        <v>531</v>
      </c>
      <c r="E9" s="41" t="s">
        <v>665</v>
      </c>
      <c r="F9" s="41" t="s">
        <v>538</v>
      </c>
      <c r="G9" s="27" t="s">
        <v>46</v>
      </c>
      <c r="H9" s="47" t="s">
        <v>137</v>
      </c>
      <c r="I9" s="27" t="s">
        <v>137</v>
      </c>
      <c r="J9" s="40"/>
      <c r="K9" s="40" t="str">
        <f>"40,0"</f>
        <v>40,0</v>
      </c>
      <c r="L9" s="40" t="str">
        <f>"37,5220"</f>
        <v>37,5220</v>
      </c>
      <c r="M9" s="41"/>
    </row>
    <row r="11" spans="1:13" ht="16">
      <c r="A11" s="145" t="s">
        <v>27</v>
      </c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3">
      <c r="A12" s="58">
        <v>1</v>
      </c>
      <c r="B12" s="41" t="s">
        <v>532</v>
      </c>
      <c r="C12" s="41" t="s">
        <v>652</v>
      </c>
      <c r="D12" s="41" t="s">
        <v>492</v>
      </c>
      <c r="E12" s="41" t="s">
        <v>665</v>
      </c>
      <c r="F12" s="41" t="s">
        <v>296</v>
      </c>
      <c r="G12" s="47" t="s">
        <v>45</v>
      </c>
      <c r="H12" s="27" t="s">
        <v>46</v>
      </c>
      <c r="I12" s="27" t="s">
        <v>171</v>
      </c>
      <c r="J12" s="40"/>
      <c r="K12" s="40" t="str">
        <f>"37,5"</f>
        <v>37,5</v>
      </c>
      <c r="L12" s="40" t="str">
        <f>"34,6125"</f>
        <v>34,6125</v>
      </c>
      <c r="M12" s="41" t="s">
        <v>549</v>
      </c>
    </row>
    <row r="14" spans="1:13" ht="16">
      <c r="A14" s="145" t="s">
        <v>58</v>
      </c>
      <c r="B14" s="145"/>
      <c r="C14" s="145"/>
      <c r="D14" s="145"/>
      <c r="E14" s="145"/>
      <c r="F14" s="145"/>
      <c r="G14" s="145"/>
      <c r="H14" s="145"/>
      <c r="I14" s="145"/>
      <c r="J14" s="145"/>
    </row>
    <row r="15" spans="1:13">
      <c r="A15" s="58">
        <v>1</v>
      </c>
      <c r="B15" s="41" t="s">
        <v>533</v>
      </c>
      <c r="C15" s="41" t="s">
        <v>653</v>
      </c>
      <c r="D15" s="41" t="s">
        <v>270</v>
      </c>
      <c r="E15" s="41" t="s">
        <v>664</v>
      </c>
      <c r="F15" s="41" t="s">
        <v>31</v>
      </c>
      <c r="G15" s="27" t="s">
        <v>323</v>
      </c>
      <c r="H15" s="27" t="s">
        <v>42</v>
      </c>
      <c r="I15" s="47" t="s">
        <v>22</v>
      </c>
      <c r="J15" s="40"/>
      <c r="K15" s="40" t="str">
        <f>"50,0"</f>
        <v>50,0</v>
      </c>
      <c r="L15" s="40" t="str">
        <f>"37,9703"</f>
        <v>37,9703</v>
      </c>
      <c r="M15" s="41" t="s">
        <v>550</v>
      </c>
    </row>
    <row r="17" spans="1:13" ht="16">
      <c r="A17" s="145" t="s">
        <v>38</v>
      </c>
      <c r="B17" s="145"/>
      <c r="C17" s="145"/>
      <c r="D17" s="145"/>
      <c r="E17" s="145"/>
      <c r="F17" s="145"/>
      <c r="G17" s="145"/>
      <c r="H17" s="145"/>
      <c r="I17" s="145"/>
      <c r="J17" s="145"/>
    </row>
    <row r="18" spans="1:13">
      <c r="A18" s="59">
        <v>1</v>
      </c>
      <c r="B18" s="43" t="s">
        <v>282</v>
      </c>
      <c r="C18" s="43" t="s">
        <v>283</v>
      </c>
      <c r="D18" s="43" t="s">
        <v>284</v>
      </c>
      <c r="E18" s="43" t="s">
        <v>662</v>
      </c>
      <c r="F18" s="43" t="s">
        <v>296</v>
      </c>
      <c r="G18" s="28" t="s">
        <v>42</v>
      </c>
      <c r="H18" s="28" t="s">
        <v>43</v>
      </c>
      <c r="I18" s="46" t="s">
        <v>35</v>
      </c>
      <c r="J18" s="42"/>
      <c r="K18" s="42" t="str">
        <f>"60,0"</f>
        <v>60,0</v>
      </c>
      <c r="L18" s="42" t="str">
        <f>"37,6620"</f>
        <v>37,6620</v>
      </c>
      <c r="M18" s="43"/>
    </row>
    <row r="19" spans="1:13">
      <c r="A19" s="60">
        <v>1</v>
      </c>
      <c r="B19" s="45" t="s">
        <v>457</v>
      </c>
      <c r="C19" s="45" t="s">
        <v>534</v>
      </c>
      <c r="D19" s="45" t="s">
        <v>458</v>
      </c>
      <c r="E19" s="45" t="s">
        <v>671</v>
      </c>
      <c r="F19" s="45" t="s">
        <v>296</v>
      </c>
      <c r="G19" s="30" t="s">
        <v>42</v>
      </c>
      <c r="H19" s="48" t="s">
        <v>22</v>
      </c>
      <c r="I19" s="48" t="s">
        <v>43</v>
      </c>
      <c r="J19" s="44"/>
      <c r="K19" s="44" t="str">
        <f>"50,0"</f>
        <v>50,0</v>
      </c>
      <c r="L19" s="44" t="str">
        <f>"42,2162"</f>
        <v>42,2162</v>
      </c>
      <c r="M19" s="45"/>
    </row>
    <row r="21" spans="1:13" ht="16">
      <c r="A21" s="145" t="s">
        <v>85</v>
      </c>
      <c r="B21" s="145"/>
      <c r="C21" s="145"/>
      <c r="D21" s="145"/>
      <c r="E21" s="145"/>
      <c r="F21" s="145"/>
      <c r="G21" s="145"/>
      <c r="H21" s="145"/>
      <c r="I21" s="145"/>
      <c r="J21" s="145"/>
    </row>
    <row r="22" spans="1:13">
      <c r="A22" s="58">
        <v>1</v>
      </c>
      <c r="B22" s="41" t="s">
        <v>535</v>
      </c>
      <c r="C22" s="41" t="s">
        <v>536</v>
      </c>
      <c r="D22" s="41" t="s">
        <v>537</v>
      </c>
      <c r="E22" s="41" t="s">
        <v>671</v>
      </c>
      <c r="F22" s="41" t="s">
        <v>296</v>
      </c>
      <c r="G22" s="47" t="s">
        <v>42</v>
      </c>
      <c r="H22" s="27" t="s">
        <v>42</v>
      </c>
      <c r="I22" s="27" t="s">
        <v>22</v>
      </c>
      <c r="J22" s="40"/>
      <c r="K22" s="40" t="str">
        <f>"55,0"</f>
        <v>55,0</v>
      </c>
      <c r="L22" s="40" t="str">
        <f>"44,6512"</f>
        <v>44,6512</v>
      </c>
      <c r="M22" s="41"/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17:J17"/>
    <mergeCell ref="A21:J21"/>
    <mergeCell ref="L3:L4"/>
    <mergeCell ref="M3:M4"/>
    <mergeCell ref="A5:J5"/>
    <mergeCell ref="A8:J8"/>
    <mergeCell ref="A11:J11"/>
    <mergeCell ref="A14:J1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32"/>
  <sheetViews>
    <sheetView workbookViewId="0">
      <selection activeCell="E33" sqref="E33"/>
    </sheetView>
  </sheetViews>
  <sheetFormatPr baseColWidth="10" defaultColWidth="9.1640625" defaultRowHeight="13"/>
  <cols>
    <col min="1" max="1" width="7.1640625" style="11" bestFit="1" customWidth="1"/>
    <col min="2" max="2" width="20.83203125" style="11" bestFit="1" customWidth="1"/>
    <col min="3" max="3" width="28.6640625" style="11" bestFit="1" customWidth="1"/>
    <col min="4" max="4" width="20.5" style="11" customWidth="1"/>
    <col min="5" max="5" width="10.1640625" style="11" bestFit="1" customWidth="1"/>
    <col min="6" max="6" width="38.33203125" style="1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12" bestFit="1" customWidth="1"/>
    <col min="21" max="21" width="18.1640625" style="11" bestFit="1" customWidth="1"/>
    <col min="22" max="16384" width="9.1640625" style="3"/>
  </cols>
  <sheetData>
    <row r="1" spans="1:21" s="2" customFormat="1" ht="29" customHeight="1">
      <c r="A1" s="133" t="s">
        <v>592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</row>
    <row r="2" spans="1:21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</row>
    <row r="3" spans="1:21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13</v>
      </c>
      <c r="L3" s="127"/>
      <c r="M3" s="127"/>
      <c r="N3" s="127"/>
      <c r="O3" s="127" t="s">
        <v>14</v>
      </c>
      <c r="P3" s="127"/>
      <c r="Q3" s="127"/>
      <c r="R3" s="127"/>
      <c r="S3" s="127" t="s">
        <v>1</v>
      </c>
      <c r="T3" s="127" t="s">
        <v>3</v>
      </c>
      <c r="U3" s="129" t="s">
        <v>2</v>
      </c>
    </row>
    <row r="4" spans="1:21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55">
        <v>1</v>
      </c>
      <c r="L4" s="55">
        <v>2</v>
      </c>
      <c r="M4" s="55">
        <v>3</v>
      </c>
      <c r="N4" s="10" t="s">
        <v>5</v>
      </c>
      <c r="O4" s="55">
        <v>1</v>
      </c>
      <c r="P4" s="55">
        <v>2</v>
      </c>
      <c r="Q4" s="55">
        <v>3</v>
      </c>
      <c r="R4" s="10" t="s">
        <v>5</v>
      </c>
      <c r="S4" s="128"/>
      <c r="T4" s="128"/>
      <c r="U4" s="130"/>
    </row>
    <row r="5" spans="1:21" ht="16">
      <c r="A5" s="131" t="s">
        <v>15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21">
      <c r="A6" s="52">
        <v>1</v>
      </c>
      <c r="B6" s="13" t="s">
        <v>16</v>
      </c>
      <c r="C6" s="13" t="s">
        <v>17</v>
      </c>
      <c r="D6" s="13" t="s">
        <v>18</v>
      </c>
      <c r="E6" s="13" t="s">
        <v>662</v>
      </c>
      <c r="F6" s="13" t="s">
        <v>19</v>
      </c>
      <c r="G6" s="26" t="s">
        <v>20</v>
      </c>
      <c r="H6" s="26" t="s">
        <v>21</v>
      </c>
      <c r="I6" s="27" t="s">
        <v>21</v>
      </c>
      <c r="J6" s="14"/>
      <c r="K6" s="27" t="s">
        <v>22</v>
      </c>
      <c r="L6" s="27" t="s">
        <v>23</v>
      </c>
      <c r="M6" s="14"/>
      <c r="N6" s="14"/>
      <c r="O6" s="26" t="s">
        <v>24</v>
      </c>
      <c r="P6" s="27" t="s">
        <v>25</v>
      </c>
      <c r="Q6" s="26" t="s">
        <v>26</v>
      </c>
      <c r="R6" s="14"/>
      <c r="S6" s="14" t="str">
        <f>"247,5"</f>
        <v>247,5</v>
      </c>
      <c r="T6" s="14" t="str">
        <f>"310,8600"</f>
        <v>310,8600</v>
      </c>
      <c r="U6" s="13" t="s">
        <v>555</v>
      </c>
    </row>
    <row r="8" spans="1:21" ht="16">
      <c r="A8" s="144" t="s">
        <v>27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21">
      <c r="A9" s="52">
        <v>1</v>
      </c>
      <c r="B9" s="13" t="s">
        <v>28</v>
      </c>
      <c r="C9" s="13" t="s">
        <v>29</v>
      </c>
      <c r="D9" s="13" t="s">
        <v>30</v>
      </c>
      <c r="E9" s="13" t="s">
        <v>662</v>
      </c>
      <c r="F9" s="13" t="s">
        <v>31</v>
      </c>
      <c r="G9" s="27" t="s">
        <v>32</v>
      </c>
      <c r="H9" s="27" t="s">
        <v>33</v>
      </c>
      <c r="I9" s="27" t="s">
        <v>34</v>
      </c>
      <c r="J9" s="14"/>
      <c r="K9" s="27" t="s">
        <v>35</v>
      </c>
      <c r="L9" s="26" t="s">
        <v>20</v>
      </c>
      <c r="M9" s="27" t="s">
        <v>20</v>
      </c>
      <c r="N9" s="14"/>
      <c r="O9" s="27" t="s">
        <v>32</v>
      </c>
      <c r="P9" s="27" t="s">
        <v>36</v>
      </c>
      <c r="Q9" s="27" t="s">
        <v>37</v>
      </c>
      <c r="R9" s="14"/>
      <c r="S9" s="14" t="str">
        <f>"365,0"</f>
        <v>365,0</v>
      </c>
      <c r="T9" s="14" t="str">
        <f>"352,0790"</f>
        <v>352,0790</v>
      </c>
      <c r="U9" s="13" t="s">
        <v>550</v>
      </c>
    </row>
    <row r="11" spans="1:21" ht="16">
      <c r="A11" s="144" t="s">
        <v>38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</row>
    <row r="12" spans="1:21">
      <c r="A12" s="52">
        <v>1</v>
      </c>
      <c r="B12" s="13" t="s">
        <v>39</v>
      </c>
      <c r="C12" s="13" t="s">
        <v>613</v>
      </c>
      <c r="D12" s="13" t="s">
        <v>40</v>
      </c>
      <c r="E12" s="13" t="s">
        <v>666</v>
      </c>
      <c r="F12" s="13" t="s">
        <v>538</v>
      </c>
      <c r="G12" s="27" t="s">
        <v>42</v>
      </c>
      <c r="H12" s="26" t="s">
        <v>22</v>
      </c>
      <c r="I12" s="27" t="s">
        <v>43</v>
      </c>
      <c r="J12" s="14"/>
      <c r="K12" s="27" t="s">
        <v>44</v>
      </c>
      <c r="L12" s="27" t="s">
        <v>45</v>
      </c>
      <c r="M12" s="26" t="s">
        <v>46</v>
      </c>
      <c r="N12" s="14"/>
      <c r="O12" s="27" t="s">
        <v>20</v>
      </c>
      <c r="P12" s="27" t="s">
        <v>47</v>
      </c>
      <c r="Q12" s="26" t="s">
        <v>48</v>
      </c>
      <c r="R12" s="14"/>
      <c r="S12" s="14" t="str">
        <f>"182,5"</f>
        <v>182,5</v>
      </c>
      <c r="T12" s="14" t="str">
        <f>"208,8631"</f>
        <v>208,8631</v>
      </c>
      <c r="U12" s="13" t="s">
        <v>545</v>
      </c>
    </row>
    <row r="14" spans="1:21" ht="16">
      <c r="A14" s="144" t="s">
        <v>49</v>
      </c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</row>
    <row r="15" spans="1:21">
      <c r="A15" s="52">
        <v>1</v>
      </c>
      <c r="B15" s="13" t="s">
        <v>50</v>
      </c>
      <c r="C15" s="13" t="s">
        <v>614</v>
      </c>
      <c r="D15" s="13" t="s">
        <v>51</v>
      </c>
      <c r="E15" s="13" t="s">
        <v>663</v>
      </c>
      <c r="F15" s="13" t="s">
        <v>538</v>
      </c>
      <c r="G15" s="27" t="s">
        <v>52</v>
      </c>
      <c r="H15" s="27" t="s">
        <v>33</v>
      </c>
      <c r="I15" s="27" t="s">
        <v>34</v>
      </c>
      <c r="J15" s="14"/>
      <c r="K15" s="27" t="s">
        <v>53</v>
      </c>
      <c r="L15" s="27" t="s">
        <v>54</v>
      </c>
      <c r="M15" s="26" t="s">
        <v>24</v>
      </c>
      <c r="N15" s="14"/>
      <c r="O15" s="27" t="s">
        <v>55</v>
      </c>
      <c r="P15" s="27" t="s">
        <v>56</v>
      </c>
      <c r="Q15" s="26" t="s">
        <v>57</v>
      </c>
      <c r="R15" s="14"/>
      <c r="S15" s="14" t="str">
        <f>"387,5"</f>
        <v>387,5</v>
      </c>
      <c r="T15" s="14" t="str">
        <f>"299,8475"</f>
        <v>299,8475</v>
      </c>
      <c r="U15" s="13"/>
    </row>
    <row r="17" spans="1:21" ht="16">
      <c r="A17" s="144" t="s">
        <v>58</v>
      </c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</row>
    <row r="18" spans="1:21">
      <c r="A18" s="49">
        <v>1</v>
      </c>
      <c r="B18" s="15" t="s">
        <v>59</v>
      </c>
      <c r="C18" s="15" t="s">
        <v>60</v>
      </c>
      <c r="D18" s="15" t="s">
        <v>61</v>
      </c>
      <c r="E18" s="15" t="s">
        <v>665</v>
      </c>
      <c r="F18" s="15" t="s">
        <v>19</v>
      </c>
      <c r="G18" s="28" t="s">
        <v>62</v>
      </c>
      <c r="H18" s="28" t="s">
        <v>63</v>
      </c>
      <c r="I18" s="29" t="s">
        <v>64</v>
      </c>
      <c r="J18" s="16"/>
      <c r="K18" s="28" t="s">
        <v>24</v>
      </c>
      <c r="L18" s="28" t="s">
        <v>25</v>
      </c>
      <c r="M18" s="29" t="s">
        <v>26</v>
      </c>
      <c r="N18" s="16"/>
      <c r="O18" s="28" t="s">
        <v>65</v>
      </c>
      <c r="P18" s="28" t="s">
        <v>66</v>
      </c>
      <c r="Q18" s="28" t="s">
        <v>67</v>
      </c>
      <c r="R18" s="16"/>
      <c r="S18" s="16" t="str">
        <f>"472,5"</f>
        <v>472,5</v>
      </c>
      <c r="T18" s="16" t="str">
        <f>"323,8515"</f>
        <v>323,8515</v>
      </c>
      <c r="U18" s="15" t="s">
        <v>555</v>
      </c>
    </row>
    <row r="19" spans="1:21">
      <c r="A19" s="51">
        <v>1</v>
      </c>
      <c r="B19" s="17" t="s">
        <v>68</v>
      </c>
      <c r="C19" s="17" t="s">
        <v>615</v>
      </c>
      <c r="D19" s="17" t="s">
        <v>69</v>
      </c>
      <c r="E19" s="17" t="s">
        <v>663</v>
      </c>
      <c r="F19" s="17" t="s">
        <v>538</v>
      </c>
      <c r="G19" s="30" t="s">
        <v>34</v>
      </c>
      <c r="H19" s="30" t="s">
        <v>56</v>
      </c>
      <c r="I19" s="30" t="s">
        <v>57</v>
      </c>
      <c r="J19" s="18"/>
      <c r="K19" s="30" t="s">
        <v>24</v>
      </c>
      <c r="L19" s="30" t="s">
        <v>70</v>
      </c>
      <c r="M19" s="31" t="s">
        <v>26</v>
      </c>
      <c r="N19" s="18"/>
      <c r="O19" s="30" t="s">
        <v>34</v>
      </c>
      <c r="P19" s="30" t="s">
        <v>57</v>
      </c>
      <c r="Q19" s="30" t="s">
        <v>71</v>
      </c>
      <c r="R19" s="18"/>
      <c r="S19" s="18" t="str">
        <f>"437,5"</f>
        <v>437,5</v>
      </c>
      <c r="T19" s="18" t="str">
        <f>"293,3000"</f>
        <v>293,3000</v>
      </c>
      <c r="U19" s="17"/>
    </row>
    <row r="21" spans="1:21" ht="16">
      <c r="A21" s="144" t="s">
        <v>38</v>
      </c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21">
      <c r="A22" s="49">
        <v>1</v>
      </c>
      <c r="B22" s="15" t="s">
        <v>72</v>
      </c>
      <c r="C22" s="15" t="s">
        <v>73</v>
      </c>
      <c r="D22" s="15" t="s">
        <v>74</v>
      </c>
      <c r="E22" s="15" t="s">
        <v>662</v>
      </c>
      <c r="F22" s="15" t="s">
        <v>75</v>
      </c>
      <c r="G22" s="28" t="s">
        <v>76</v>
      </c>
      <c r="H22" s="29" t="s">
        <v>77</v>
      </c>
      <c r="I22" s="29" t="s">
        <v>77</v>
      </c>
      <c r="J22" s="16"/>
      <c r="K22" s="28" t="s">
        <v>34</v>
      </c>
      <c r="L22" s="28" t="s">
        <v>37</v>
      </c>
      <c r="M22" s="28" t="s">
        <v>56</v>
      </c>
      <c r="N22" s="16"/>
      <c r="O22" s="28" t="s">
        <v>78</v>
      </c>
      <c r="P22" s="29" t="s">
        <v>79</v>
      </c>
      <c r="Q22" s="29" t="s">
        <v>79</v>
      </c>
      <c r="R22" s="16"/>
      <c r="S22" s="16" t="str">
        <f>"620,0"</f>
        <v>620,0</v>
      </c>
      <c r="T22" s="16" t="str">
        <f>"396,4900"</f>
        <v>396,4900</v>
      </c>
      <c r="U22" s="15" t="s">
        <v>556</v>
      </c>
    </row>
    <row r="23" spans="1:21">
      <c r="A23" s="51">
        <v>2</v>
      </c>
      <c r="B23" s="17" t="s">
        <v>80</v>
      </c>
      <c r="C23" s="17" t="s">
        <v>81</v>
      </c>
      <c r="D23" s="17" t="s">
        <v>82</v>
      </c>
      <c r="E23" s="17" t="s">
        <v>662</v>
      </c>
      <c r="F23" s="17" t="s">
        <v>547</v>
      </c>
      <c r="G23" s="31" t="s">
        <v>71</v>
      </c>
      <c r="H23" s="31" t="s">
        <v>65</v>
      </c>
      <c r="I23" s="30" t="s">
        <v>65</v>
      </c>
      <c r="J23" s="18"/>
      <c r="K23" s="30" t="s">
        <v>55</v>
      </c>
      <c r="L23" s="30" t="s">
        <v>34</v>
      </c>
      <c r="M23" s="30" t="s">
        <v>37</v>
      </c>
      <c r="N23" s="18"/>
      <c r="O23" s="30" t="s">
        <v>66</v>
      </c>
      <c r="P23" s="30" t="s">
        <v>83</v>
      </c>
      <c r="Q23" s="31" t="s">
        <v>84</v>
      </c>
      <c r="R23" s="18"/>
      <c r="S23" s="18" t="str">
        <f>"525,0"</f>
        <v>525,0</v>
      </c>
      <c r="T23" s="18" t="str">
        <f>"338,1000"</f>
        <v>338,1000</v>
      </c>
      <c r="U23" s="17" t="s">
        <v>557</v>
      </c>
    </row>
    <row r="25" spans="1:21" ht="16">
      <c r="A25" s="144" t="s">
        <v>85</v>
      </c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</row>
    <row r="26" spans="1:21">
      <c r="A26" s="49">
        <v>1</v>
      </c>
      <c r="B26" s="15" t="s">
        <v>86</v>
      </c>
      <c r="C26" s="15" t="s">
        <v>87</v>
      </c>
      <c r="D26" s="15" t="s">
        <v>88</v>
      </c>
      <c r="E26" s="15" t="s">
        <v>662</v>
      </c>
      <c r="F26" s="15" t="s">
        <v>75</v>
      </c>
      <c r="G26" s="28" t="s">
        <v>83</v>
      </c>
      <c r="H26" s="28" t="s">
        <v>89</v>
      </c>
      <c r="I26" s="28" t="s">
        <v>90</v>
      </c>
      <c r="J26" s="16"/>
      <c r="K26" s="28" t="s">
        <v>62</v>
      </c>
      <c r="L26" s="28" t="s">
        <v>71</v>
      </c>
      <c r="M26" s="16"/>
      <c r="N26" s="16"/>
      <c r="O26" s="28" t="s">
        <v>76</v>
      </c>
      <c r="P26" s="28" t="s">
        <v>91</v>
      </c>
      <c r="Q26" s="28" t="s">
        <v>92</v>
      </c>
      <c r="R26" s="16"/>
      <c r="S26" s="16" t="str">
        <f>"640,0"</f>
        <v>640,0</v>
      </c>
      <c r="T26" s="16" t="str">
        <f>"393,7280"</f>
        <v>393,7280</v>
      </c>
      <c r="U26" s="15" t="s">
        <v>558</v>
      </c>
    </row>
    <row r="27" spans="1:21">
      <c r="A27" s="51">
        <v>2</v>
      </c>
      <c r="B27" s="17" t="s">
        <v>93</v>
      </c>
      <c r="C27" s="17" t="s">
        <v>94</v>
      </c>
      <c r="D27" s="17" t="s">
        <v>95</v>
      </c>
      <c r="E27" s="17" t="s">
        <v>662</v>
      </c>
      <c r="F27" s="17" t="s">
        <v>19</v>
      </c>
      <c r="G27" s="30" t="s">
        <v>56</v>
      </c>
      <c r="H27" s="30" t="s">
        <v>96</v>
      </c>
      <c r="I27" s="30" t="s">
        <v>62</v>
      </c>
      <c r="J27" s="18"/>
      <c r="K27" s="30" t="s">
        <v>97</v>
      </c>
      <c r="L27" s="31" t="s">
        <v>98</v>
      </c>
      <c r="M27" s="30" t="s">
        <v>99</v>
      </c>
      <c r="N27" s="18"/>
      <c r="O27" s="30" t="s">
        <v>71</v>
      </c>
      <c r="P27" s="30" t="s">
        <v>100</v>
      </c>
      <c r="Q27" s="30" t="s">
        <v>101</v>
      </c>
      <c r="R27" s="18"/>
      <c r="S27" s="18" t="str">
        <f>"477,5"</f>
        <v>477,5</v>
      </c>
      <c r="T27" s="18" t="str">
        <f>"302,3052"</f>
        <v>302,3052</v>
      </c>
      <c r="U27" s="17"/>
    </row>
    <row r="29" spans="1:21" ht="16">
      <c r="A29" s="144" t="s">
        <v>102</v>
      </c>
      <c r="B29" s="144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21">
      <c r="A30" s="49">
        <v>1</v>
      </c>
      <c r="B30" s="15" t="s">
        <v>103</v>
      </c>
      <c r="C30" s="15" t="s">
        <v>104</v>
      </c>
      <c r="D30" s="15" t="s">
        <v>105</v>
      </c>
      <c r="E30" s="15" t="s">
        <v>662</v>
      </c>
      <c r="F30" s="15" t="s">
        <v>106</v>
      </c>
      <c r="G30" s="28" t="s">
        <v>107</v>
      </c>
      <c r="H30" s="28" t="s">
        <v>108</v>
      </c>
      <c r="I30" s="28" t="s">
        <v>109</v>
      </c>
      <c r="J30" s="16"/>
      <c r="K30" s="28" t="s">
        <v>110</v>
      </c>
      <c r="L30" s="28" t="s">
        <v>56</v>
      </c>
      <c r="M30" s="29" t="s">
        <v>111</v>
      </c>
      <c r="N30" s="16"/>
      <c r="O30" s="28" t="s">
        <v>112</v>
      </c>
      <c r="P30" s="28" t="s">
        <v>113</v>
      </c>
      <c r="Q30" s="29" t="s">
        <v>114</v>
      </c>
      <c r="R30" s="16"/>
      <c r="S30" s="16" t="str">
        <f>"690,0"</f>
        <v>690,0</v>
      </c>
      <c r="T30" s="16" t="str">
        <f>"419,4510"</f>
        <v>419,4510</v>
      </c>
      <c r="U30" s="15"/>
    </row>
    <row r="31" spans="1:21">
      <c r="A31" s="50">
        <v>2</v>
      </c>
      <c r="B31" s="19" t="s">
        <v>115</v>
      </c>
      <c r="C31" s="19" t="s">
        <v>116</v>
      </c>
      <c r="D31" s="19" t="s">
        <v>117</v>
      </c>
      <c r="E31" s="19" t="s">
        <v>662</v>
      </c>
      <c r="F31" s="19" t="s">
        <v>547</v>
      </c>
      <c r="G31" s="32" t="s">
        <v>107</v>
      </c>
      <c r="H31" s="32" t="s">
        <v>109</v>
      </c>
      <c r="I31" s="32" t="s">
        <v>77</v>
      </c>
      <c r="J31" s="20"/>
      <c r="K31" s="32" t="s">
        <v>111</v>
      </c>
      <c r="L31" s="32" t="s">
        <v>62</v>
      </c>
      <c r="M31" s="33" t="s">
        <v>63</v>
      </c>
      <c r="N31" s="20"/>
      <c r="O31" s="32" t="s">
        <v>118</v>
      </c>
      <c r="P31" s="33" t="s">
        <v>112</v>
      </c>
      <c r="Q31" s="33" t="s">
        <v>112</v>
      </c>
      <c r="R31" s="20"/>
      <c r="S31" s="20" t="str">
        <f>"685,0"</f>
        <v>685,0</v>
      </c>
      <c r="T31" s="20" t="str">
        <f>"405,4515"</f>
        <v>405,4515</v>
      </c>
      <c r="U31" s="19" t="s">
        <v>557</v>
      </c>
    </row>
    <row r="32" spans="1:21">
      <c r="A32" s="51">
        <v>1</v>
      </c>
      <c r="B32" s="17" t="s">
        <v>119</v>
      </c>
      <c r="C32" s="17" t="s">
        <v>616</v>
      </c>
      <c r="D32" s="17" t="s">
        <v>120</v>
      </c>
      <c r="E32" s="17" t="s">
        <v>664</v>
      </c>
      <c r="F32" s="17" t="s">
        <v>19</v>
      </c>
      <c r="G32" s="30" t="s">
        <v>91</v>
      </c>
      <c r="H32" s="30" t="s">
        <v>77</v>
      </c>
      <c r="I32" s="30" t="s">
        <v>78</v>
      </c>
      <c r="J32" s="18"/>
      <c r="K32" s="30" t="s">
        <v>34</v>
      </c>
      <c r="L32" s="30" t="s">
        <v>37</v>
      </c>
      <c r="M32" s="30" t="s">
        <v>56</v>
      </c>
      <c r="N32" s="18"/>
      <c r="O32" s="30" t="s">
        <v>92</v>
      </c>
      <c r="P32" s="30" t="s">
        <v>121</v>
      </c>
      <c r="Q32" s="30" t="s">
        <v>122</v>
      </c>
      <c r="R32" s="18"/>
      <c r="S32" s="18" t="str">
        <f>"657,5"</f>
        <v>657,5</v>
      </c>
      <c r="T32" s="18" t="str">
        <f>"428,5314"</f>
        <v>428,5314</v>
      </c>
      <c r="U32" s="17"/>
    </row>
  </sheetData>
  <mergeCells count="21">
    <mergeCell ref="A21:R21"/>
    <mergeCell ref="A25:R25"/>
    <mergeCell ref="A29:R29"/>
    <mergeCell ref="B3:B4"/>
    <mergeCell ref="A5:R5"/>
    <mergeCell ref="A8:R8"/>
    <mergeCell ref="A11:R11"/>
    <mergeCell ref="A14:R14"/>
    <mergeCell ref="A17:R17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9EE4-F8CB-4359-8E67-4CEFC2B52568}">
  <sheetPr codeName="Лист12"/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11" bestFit="1" customWidth="1"/>
    <col min="2" max="2" width="20" style="11" bestFit="1" customWidth="1"/>
    <col min="3" max="3" width="25.1640625" style="11" bestFit="1" customWidth="1"/>
    <col min="4" max="4" width="16.5" style="11" customWidth="1"/>
    <col min="5" max="5" width="10.1640625" style="11" bestFit="1" customWidth="1"/>
    <col min="6" max="6" width="40" style="1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12" bestFit="1" customWidth="1"/>
    <col min="21" max="21" width="16.1640625" style="11" bestFit="1" customWidth="1"/>
    <col min="22" max="16384" width="9.1640625" style="3"/>
  </cols>
  <sheetData>
    <row r="1" spans="1:21" s="2" customFormat="1" ht="29" customHeight="1">
      <c r="A1" s="133" t="s">
        <v>593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</row>
    <row r="2" spans="1:21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</row>
    <row r="3" spans="1:21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13</v>
      </c>
      <c r="L3" s="127"/>
      <c r="M3" s="127"/>
      <c r="N3" s="127"/>
      <c r="O3" s="127" t="s">
        <v>14</v>
      </c>
      <c r="P3" s="127"/>
      <c r="Q3" s="127"/>
      <c r="R3" s="127"/>
      <c r="S3" s="127" t="s">
        <v>1</v>
      </c>
      <c r="T3" s="127" t="s">
        <v>3</v>
      </c>
      <c r="U3" s="129" t="s">
        <v>2</v>
      </c>
    </row>
    <row r="4" spans="1:21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55">
        <v>1</v>
      </c>
      <c r="L4" s="55">
        <v>2</v>
      </c>
      <c r="M4" s="55">
        <v>3</v>
      </c>
      <c r="N4" s="10" t="s">
        <v>5</v>
      </c>
      <c r="O4" s="55">
        <v>1</v>
      </c>
      <c r="P4" s="55">
        <v>2</v>
      </c>
      <c r="Q4" s="55">
        <v>3</v>
      </c>
      <c r="R4" s="10" t="s">
        <v>5</v>
      </c>
      <c r="S4" s="128"/>
      <c r="T4" s="128"/>
      <c r="U4" s="130"/>
    </row>
    <row r="5" spans="1:21" ht="16">
      <c r="A5" s="131" t="s">
        <v>133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21">
      <c r="A6" s="52">
        <v>1</v>
      </c>
      <c r="B6" s="13" t="s">
        <v>233</v>
      </c>
      <c r="C6" s="13" t="s">
        <v>234</v>
      </c>
      <c r="D6" s="13" t="s">
        <v>235</v>
      </c>
      <c r="E6" s="13" t="s">
        <v>662</v>
      </c>
      <c r="F6" s="13" t="s">
        <v>538</v>
      </c>
      <c r="G6" s="27" t="s">
        <v>236</v>
      </c>
      <c r="H6" s="26" t="s">
        <v>21</v>
      </c>
      <c r="I6" s="26" t="s">
        <v>21</v>
      </c>
      <c r="J6" s="14"/>
      <c r="K6" s="27" t="s">
        <v>45</v>
      </c>
      <c r="L6" s="27" t="s">
        <v>46</v>
      </c>
      <c r="M6" s="26" t="s">
        <v>137</v>
      </c>
      <c r="N6" s="14"/>
      <c r="O6" s="27" t="s">
        <v>21</v>
      </c>
      <c r="P6" s="27" t="s">
        <v>237</v>
      </c>
      <c r="Q6" s="27" t="s">
        <v>47</v>
      </c>
      <c r="R6" s="14"/>
      <c r="S6" s="14" t="str">
        <f>"207,5"</f>
        <v>207,5</v>
      </c>
      <c r="T6" s="14" t="str">
        <f>"275,2488"</f>
        <v>275,2488</v>
      </c>
      <c r="U6" s="13" t="s">
        <v>553</v>
      </c>
    </row>
    <row r="8" spans="1:21" ht="16">
      <c r="A8" s="144" t="s">
        <v>58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21">
      <c r="A9" s="49">
        <v>1</v>
      </c>
      <c r="B9" s="15" t="s">
        <v>238</v>
      </c>
      <c r="C9" s="15" t="s">
        <v>239</v>
      </c>
      <c r="D9" s="15" t="s">
        <v>240</v>
      </c>
      <c r="E9" s="15" t="s">
        <v>662</v>
      </c>
      <c r="F9" s="15" t="s">
        <v>164</v>
      </c>
      <c r="G9" s="28" t="s">
        <v>107</v>
      </c>
      <c r="H9" s="28" t="s">
        <v>109</v>
      </c>
      <c r="I9" s="29" t="s">
        <v>241</v>
      </c>
      <c r="J9" s="16"/>
      <c r="K9" s="28" t="s">
        <v>32</v>
      </c>
      <c r="L9" s="28" t="s">
        <v>55</v>
      </c>
      <c r="M9" s="29" t="s">
        <v>242</v>
      </c>
      <c r="N9" s="16"/>
      <c r="O9" s="28" t="s">
        <v>83</v>
      </c>
      <c r="P9" s="29" t="s">
        <v>89</v>
      </c>
      <c r="Q9" s="29" t="s">
        <v>89</v>
      </c>
      <c r="R9" s="16"/>
      <c r="S9" s="16" t="str">
        <f>"560,0"</f>
        <v>560,0</v>
      </c>
      <c r="T9" s="16" t="str">
        <f>"377,6640"</f>
        <v>377,6640</v>
      </c>
      <c r="U9" s="15" t="s">
        <v>554</v>
      </c>
    </row>
    <row r="10" spans="1:21">
      <c r="A10" s="51">
        <v>2</v>
      </c>
      <c r="B10" s="17" t="s">
        <v>243</v>
      </c>
      <c r="C10" s="17" t="s">
        <v>244</v>
      </c>
      <c r="D10" s="17" t="s">
        <v>245</v>
      </c>
      <c r="E10" s="17" t="s">
        <v>662</v>
      </c>
      <c r="F10" s="17" t="s">
        <v>19</v>
      </c>
      <c r="G10" s="30" t="s">
        <v>57</v>
      </c>
      <c r="H10" s="30" t="s">
        <v>64</v>
      </c>
      <c r="I10" s="30" t="s">
        <v>65</v>
      </c>
      <c r="J10" s="18"/>
      <c r="K10" s="30" t="s">
        <v>47</v>
      </c>
      <c r="L10" s="31" t="s">
        <v>24</v>
      </c>
      <c r="M10" s="31" t="s">
        <v>24</v>
      </c>
      <c r="N10" s="18"/>
      <c r="O10" s="30" t="s">
        <v>65</v>
      </c>
      <c r="P10" s="30" t="s">
        <v>67</v>
      </c>
      <c r="Q10" s="31" t="s">
        <v>83</v>
      </c>
      <c r="R10" s="18"/>
      <c r="S10" s="18" t="str">
        <f>"465,0"</f>
        <v>465,0</v>
      </c>
      <c r="T10" s="18" t="str">
        <f>"317,4555"</f>
        <v>317,4555</v>
      </c>
      <c r="U10" s="17"/>
    </row>
    <row r="12" spans="1:21" ht="16">
      <c r="A12" s="144" t="s">
        <v>38</v>
      </c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21">
      <c r="A13" s="52">
        <v>1</v>
      </c>
      <c r="B13" s="13" t="s">
        <v>246</v>
      </c>
      <c r="C13" s="13" t="s">
        <v>247</v>
      </c>
      <c r="D13" s="13" t="s">
        <v>220</v>
      </c>
      <c r="E13" s="13" t="s">
        <v>662</v>
      </c>
      <c r="F13" s="13" t="s">
        <v>75</v>
      </c>
      <c r="G13" s="27" t="s">
        <v>66</v>
      </c>
      <c r="H13" s="27" t="s">
        <v>83</v>
      </c>
      <c r="I13" s="26" t="s">
        <v>84</v>
      </c>
      <c r="J13" s="14"/>
      <c r="K13" s="27" t="s">
        <v>26</v>
      </c>
      <c r="L13" s="27" t="s">
        <v>97</v>
      </c>
      <c r="M13" s="27" t="s">
        <v>32</v>
      </c>
      <c r="N13" s="14"/>
      <c r="O13" s="27" t="s">
        <v>66</v>
      </c>
      <c r="P13" s="27" t="s">
        <v>83</v>
      </c>
      <c r="Q13" s="26" t="s">
        <v>89</v>
      </c>
      <c r="R13" s="14"/>
      <c r="S13" s="14" t="str">
        <f>"520,0"</f>
        <v>520,0</v>
      </c>
      <c r="T13" s="14" t="str">
        <f>"336,7000"</f>
        <v>336,7000</v>
      </c>
      <c r="U13" s="13"/>
    </row>
  </sheetData>
  <mergeCells count="16">
    <mergeCell ref="A8:R8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1E66-9390-4658-A127-317907D05565}">
  <sheetPr codeName="Лист13"/>
  <dimension ref="A1:U16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11" bestFit="1" customWidth="1"/>
    <col min="2" max="2" width="18.1640625" style="11" bestFit="1" customWidth="1"/>
    <col min="3" max="3" width="26.5" style="11" bestFit="1" customWidth="1"/>
    <col min="4" max="4" width="15.6640625" style="11" customWidth="1"/>
    <col min="5" max="5" width="10.1640625" style="11" bestFit="1" customWidth="1"/>
    <col min="6" max="6" width="37.5" style="1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7" width="5.5" style="12" customWidth="1"/>
    <col min="18" max="18" width="4.5" style="12" customWidth="1"/>
    <col min="19" max="19" width="7.6640625" style="12" bestFit="1" customWidth="1"/>
    <col min="20" max="20" width="8.5" style="12" bestFit="1" customWidth="1"/>
    <col min="21" max="21" width="25.83203125" style="11" bestFit="1" customWidth="1"/>
    <col min="22" max="16384" width="9.1640625" style="3"/>
  </cols>
  <sheetData>
    <row r="1" spans="1:21" s="2" customFormat="1" ht="29" customHeight="1">
      <c r="A1" s="133" t="s">
        <v>594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6"/>
    </row>
    <row r="2" spans="1:21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</row>
    <row r="3" spans="1:21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13</v>
      </c>
      <c r="L3" s="127"/>
      <c r="M3" s="127"/>
      <c r="N3" s="127"/>
      <c r="O3" s="127" t="s">
        <v>14</v>
      </c>
      <c r="P3" s="127"/>
      <c r="Q3" s="127"/>
      <c r="R3" s="127"/>
      <c r="S3" s="127" t="s">
        <v>1</v>
      </c>
      <c r="T3" s="127" t="s">
        <v>3</v>
      </c>
      <c r="U3" s="129" t="s">
        <v>2</v>
      </c>
    </row>
    <row r="4" spans="1:21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55">
        <v>1</v>
      </c>
      <c r="L4" s="55">
        <v>2</v>
      </c>
      <c r="M4" s="55">
        <v>3</v>
      </c>
      <c r="N4" s="10" t="s">
        <v>5</v>
      </c>
      <c r="O4" s="55">
        <v>1</v>
      </c>
      <c r="P4" s="55">
        <v>2</v>
      </c>
      <c r="Q4" s="55">
        <v>3</v>
      </c>
      <c r="R4" s="10" t="s">
        <v>5</v>
      </c>
      <c r="S4" s="128"/>
      <c r="T4" s="128"/>
      <c r="U4" s="130"/>
    </row>
    <row r="5" spans="1:21" ht="16">
      <c r="A5" s="144" t="s">
        <v>49</v>
      </c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21">
      <c r="A6" s="52">
        <v>1</v>
      </c>
      <c r="B6" s="13" t="s">
        <v>210</v>
      </c>
      <c r="C6" s="13" t="s">
        <v>211</v>
      </c>
      <c r="D6" s="13" t="s">
        <v>212</v>
      </c>
      <c r="E6" s="13" t="s">
        <v>665</v>
      </c>
      <c r="F6" s="13" t="s">
        <v>31</v>
      </c>
      <c r="G6" s="27" t="s">
        <v>20</v>
      </c>
      <c r="H6" s="27" t="s">
        <v>47</v>
      </c>
      <c r="I6" s="27" t="s">
        <v>48</v>
      </c>
      <c r="J6" s="14"/>
      <c r="K6" s="27" t="s">
        <v>23</v>
      </c>
      <c r="L6" s="27" t="s">
        <v>213</v>
      </c>
      <c r="M6" s="27" t="s">
        <v>159</v>
      </c>
      <c r="N6" s="14"/>
      <c r="O6" s="27" t="s">
        <v>20</v>
      </c>
      <c r="P6" s="27" t="s">
        <v>47</v>
      </c>
      <c r="Q6" s="27" t="s">
        <v>24</v>
      </c>
      <c r="R6" s="14"/>
      <c r="S6" s="14" t="str">
        <f>"260,0"</f>
        <v>260,0</v>
      </c>
      <c r="T6" s="14" t="str">
        <f>"203,6320"</f>
        <v>203,6320</v>
      </c>
      <c r="U6" s="13" t="s">
        <v>550</v>
      </c>
    </row>
    <row r="8" spans="1:21" ht="16">
      <c r="A8" s="144" t="s">
        <v>27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21">
      <c r="A9" s="52">
        <v>1</v>
      </c>
      <c r="B9" s="13" t="s">
        <v>214</v>
      </c>
      <c r="C9" s="13" t="s">
        <v>215</v>
      </c>
      <c r="D9" s="13" t="s">
        <v>216</v>
      </c>
      <c r="E9" s="13" t="s">
        <v>665</v>
      </c>
      <c r="F9" s="13" t="s">
        <v>31</v>
      </c>
      <c r="G9" s="27" t="s">
        <v>20</v>
      </c>
      <c r="H9" s="27" t="s">
        <v>47</v>
      </c>
      <c r="I9" s="27" t="s">
        <v>48</v>
      </c>
      <c r="J9" s="14"/>
      <c r="K9" s="27" t="s">
        <v>217</v>
      </c>
      <c r="L9" s="27" t="s">
        <v>42</v>
      </c>
      <c r="M9" s="27" t="s">
        <v>22</v>
      </c>
      <c r="N9" s="14"/>
      <c r="O9" s="27" t="s">
        <v>20</v>
      </c>
      <c r="P9" s="27" t="s">
        <v>48</v>
      </c>
      <c r="Q9" s="26" t="s">
        <v>25</v>
      </c>
      <c r="R9" s="14"/>
      <c r="S9" s="14" t="str">
        <f>"245,0"</f>
        <v>245,0</v>
      </c>
      <c r="T9" s="14" t="str">
        <f>"179,5850"</f>
        <v>179,5850</v>
      </c>
      <c r="U9" s="13" t="s">
        <v>550</v>
      </c>
    </row>
    <row r="11" spans="1:21" ht="16">
      <c r="A11" s="144" t="s">
        <v>38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</row>
    <row r="12" spans="1:21">
      <c r="A12" s="49">
        <v>1</v>
      </c>
      <c r="B12" s="15" t="s">
        <v>218</v>
      </c>
      <c r="C12" s="15" t="s">
        <v>219</v>
      </c>
      <c r="D12" s="15" t="s">
        <v>220</v>
      </c>
      <c r="E12" s="15" t="s">
        <v>665</v>
      </c>
      <c r="F12" s="15" t="s">
        <v>31</v>
      </c>
      <c r="G12" s="28" t="s">
        <v>56</v>
      </c>
      <c r="H12" s="28" t="s">
        <v>57</v>
      </c>
      <c r="I12" s="28" t="s">
        <v>71</v>
      </c>
      <c r="J12" s="16"/>
      <c r="K12" s="28" t="s">
        <v>35</v>
      </c>
      <c r="L12" s="28" t="s">
        <v>20</v>
      </c>
      <c r="M12" s="28" t="s">
        <v>21</v>
      </c>
      <c r="N12" s="16"/>
      <c r="O12" s="28" t="s">
        <v>71</v>
      </c>
      <c r="P12" s="28" t="s">
        <v>101</v>
      </c>
      <c r="Q12" s="28" t="s">
        <v>83</v>
      </c>
      <c r="R12" s="16"/>
      <c r="S12" s="16" t="str">
        <f>"455,0"</f>
        <v>455,0</v>
      </c>
      <c r="T12" s="16" t="str">
        <f>"294,6125"</f>
        <v>294,6125</v>
      </c>
      <c r="U12" s="15" t="s">
        <v>550</v>
      </c>
    </row>
    <row r="13" spans="1:21">
      <c r="A13" s="51">
        <v>1</v>
      </c>
      <c r="B13" s="17" t="s">
        <v>221</v>
      </c>
      <c r="C13" s="17" t="s">
        <v>222</v>
      </c>
      <c r="D13" s="17" t="s">
        <v>223</v>
      </c>
      <c r="E13" s="17" t="s">
        <v>662</v>
      </c>
      <c r="F13" s="17" t="s">
        <v>538</v>
      </c>
      <c r="G13" s="31" t="s">
        <v>109</v>
      </c>
      <c r="H13" s="30" t="s">
        <v>109</v>
      </c>
      <c r="I13" s="31" t="s">
        <v>77</v>
      </c>
      <c r="J13" s="18"/>
      <c r="K13" s="30" t="s">
        <v>224</v>
      </c>
      <c r="L13" s="30" t="s">
        <v>225</v>
      </c>
      <c r="M13" s="18"/>
      <c r="N13" s="18"/>
      <c r="O13" s="30" t="s">
        <v>109</v>
      </c>
      <c r="P13" s="30" t="s">
        <v>78</v>
      </c>
      <c r="Q13" s="31" t="s">
        <v>79</v>
      </c>
      <c r="R13" s="18"/>
      <c r="S13" s="18" t="str">
        <f>"642,5"</f>
        <v>642,5</v>
      </c>
      <c r="T13" s="18" t="str">
        <f>"410,6218"</f>
        <v>410,6218</v>
      </c>
      <c r="U13" s="17"/>
    </row>
    <row r="15" spans="1:21" ht="16">
      <c r="A15" s="144" t="s">
        <v>102</v>
      </c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</row>
    <row r="16" spans="1:21">
      <c r="A16" s="52">
        <v>1</v>
      </c>
      <c r="B16" s="13" t="s">
        <v>229</v>
      </c>
      <c r="C16" s="13" t="s">
        <v>230</v>
      </c>
      <c r="D16" s="13" t="s">
        <v>231</v>
      </c>
      <c r="E16" s="13" t="s">
        <v>662</v>
      </c>
      <c r="F16" s="13" t="s">
        <v>232</v>
      </c>
      <c r="G16" s="27" t="s">
        <v>89</v>
      </c>
      <c r="H16" s="27" t="s">
        <v>76</v>
      </c>
      <c r="I16" s="27" t="s">
        <v>91</v>
      </c>
      <c r="J16" s="14"/>
      <c r="K16" s="27" t="s">
        <v>111</v>
      </c>
      <c r="L16" s="27" t="s">
        <v>224</v>
      </c>
      <c r="M16" s="27" t="s">
        <v>71</v>
      </c>
      <c r="N16" s="14"/>
      <c r="O16" s="27" t="s">
        <v>107</v>
      </c>
      <c r="P16" s="27" t="s">
        <v>76</v>
      </c>
      <c r="Q16" s="26" t="s">
        <v>109</v>
      </c>
      <c r="R16" s="14"/>
      <c r="S16" s="14" t="str">
        <f>"630,0"</f>
        <v>630,0</v>
      </c>
      <c r="T16" s="14" t="str">
        <f>"376,4880"</f>
        <v>376,4880</v>
      </c>
      <c r="U16" s="13" t="s">
        <v>541</v>
      </c>
    </row>
  </sheetData>
  <mergeCells count="17">
    <mergeCell ref="A5:R5"/>
    <mergeCell ref="A8:R8"/>
    <mergeCell ref="A11:R11"/>
    <mergeCell ref="A15:R15"/>
    <mergeCell ref="B3:B4"/>
    <mergeCell ref="S3:S4"/>
    <mergeCell ref="T3:T4"/>
    <mergeCell ref="U3:U4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3060-C445-47A8-B09A-E21C15ABEF1A}">
  <sheetPr codeName="Лист2"/>
  <dimension ref="A1:Q15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11" bestFit="1" customWidth="1"/>
    <col min="2" max="2" width="22.5" style="11" customWidth="1"/>
    <col min="3" max="3" width="28.6640625" style="11" bestFit="1" customWidth="1"/>
    <col min="4" max="4" width="15" style="11" customWidth="1"/>
    <col min="5" max="5" width="10.1640625" style="11" bestFit="1" customWidth="1"/>
    <col min="6" max="6" width="38.5" style="11" bestFit="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5" width="7.6640625" style="12" bestFit="1" customWidth="1"/>
    <col min="16" max="16" width="8.5" style="12" bestFit="1" customWidth="1"/>
    <col min="17" max="17" width="25.83203125" style="11" bestFit="1" customWidth="1"/>
    <col min="18" max="16384" width="9.1640625" style="3"/>
  </cols>
  <sheetData>
    <row r="1" spans="1:17" s="2" customFormat="1" ht="29" customHeight="1">
      <c r="A1" s="133" t="s">
        <v>595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0"/>
    </row>
    <row r="3" spans="1:17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13</v>
      </c>
      <c r="H3" s="127"/>
      <c r="I3" s="127"/>
      <c r="J3" s="127"/>
      <c r="K3" s="127" t="s">
        <v>14</v>
      </c>
      <c r="L3" s="127"/>
      <c r="M3" s="127"/>
      <c r="N3" s="127"/>
      <c r="O3" s="127" t="s">
        <v>1</v>
      </c>
      <c r="P3" s="127" t="s">
        <v>3</v>
      </c>
      <c r="Q3" s="129" t="s">
        <v>2</v>
      </c>
    </row>
    <row r="4" spans="1:17" s="1" customFormat="1" ht="21" customHeight="1" thickBot="1">
      <c r="A4" s="142"/>
      <c r="B4" s="147"/>
      <c r="C4" s="128"/>
      <c r="D4" s="128"/>
      <c r="E4" s="128"/>
      <c r="F4" s="128"/>
      <c r="G4" s="49">
        <v>1</v>
      </c>
      <c r="H4" s="49">
        <v>2</v>
      </c>
      <c r="I4" s="49">
        <v>3</v>
      </c>
      <c r="J4" s="10" t="s">
        <v>5</v>
      </c>
      <c r="K4" s="49">
        <v>1</v>
      </c>
      <c r="L4" s="49">
        <v>2</v>
      </c>
      <c r="M4" s="49">
        <v>3</v>
      </c>
      <c r="N4" s="10" t="s">
        <v>5</v>
      </c>
      <c r="O4" s="128"/>
      <c r="P4" s="128"/>
      <c r="Q4" s="130"/>
    </row>
    <row r="5" spans="1:17" ht="16">
      <c r="A5" s="131" t="s">
        <v>15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7">
      <c r="A6" s="49">
        <v>1</v>
      </c>
      <c r="B6" s="15" t="s">
        <v>324</v>
      </c>
      <c r="C6" s="15" t="s">
        <v>325</v>
      </c>
      <c r="D6" s="15" t="s">
        <v>326</v>
      </c>
      <c r="E6" s="15" t="s">
        <v>662</v>
      </c>
      <c r="F6" s="15" t="s">
        <v>538</v>
      </c>
      <c r="G6" s="29" t="s">
        <v>43</v>
      </c>
      <c r="H6" s="28" t="s">
        <v>43</v>
      </c>
      <c r="I6" s="29" t="s">
        <v>159</v>
      </c>
      <c r="J6" s="16"/>
      <c r="K6" s="28" t="s">
        <v>32</v>
      </c>
      <c r="L6" s="28" t="s">
        <v>99</v>
      </c>
      <c r="M6" s="16"/>
      <c r="N6" s="16"/>
      <c r="O6" s="16" t="str">
        <f>"187,5"</f>
        <v>187,5</v>
      </c>
      <c r="P6" s="16" t="str">
        <f>"237,2625"</f>
        <v>237,2625</v>
      </c>
      <c r="Q6" s="15"/>
    </row>
    <row r="7" spans="1:17">
      <c r="A7" s="51">
        <v>1</v>
      </c>
      <c r="B7" s="17" t="s">
        <v>324</v>
      </c>
      <c r="C7" s="17" t="s">
        <v>617</v>
      </c>
      <c r="D7" s="17" t="s">
        <v>326</v>
      </c>
      <c r="E7" s="17" t="s">
        <v>667</v>
      </c>
      <c r="F7" s="17" t="s">
        <v>538</v>
      </c>
      <c r="G7" s="31" t="s">
        <v>43</v>
      </c>
      <c r="H7" s="30" t="s">
        <v>43</v>
      </c>
      <c r="I7" s="31" t="s">
        <v>159</v>
      </c>
      <c r="J7" s="18"/>
      <c r="K7" s="30" t="s">
        <v>32</v>
      </c>
      <c r="L7" s="30" t="s">
        <v>99</v>
      </c>
      <c r="M7" s="18"/>
      <c r="N7" s="18"/>
      <c r="O7" s="18" t="str">
        <f>"187,5"</f>
        <v>187,5</v>
      </c>
      <c r="P7" s="18" t="str">
        <f>"237,2625"</f>
        <v>237,2625</v>
      </c>
      <c r="Q7" s="17"/>
    </row>
    <row r="9" spans="1:17" ht="16">
      <c r="A9" s="144" t="s">
        <v>38</v>
      </c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7">
      <c r="A10" s="49">
        <v>1</v>
      </c>
      <c r="B10" s="15" t="s">
        <v>501</v>
      </c>
      <c r="C10" s="15" t="s">
        <v>502</v>
      </c>
      <c r="D10" s="15" t="s">
        <v>379</v>
      </c>
      <c r="E10" s="15" t="s">
        <v>662</v>
      </c>
      <c r="F10" s="15" t="s">
        <v>251</v>
      </c>
      <c r="G10" s="28" t="s">
        <v>34</v>
      </c>
      <c r="H10" s="29" t="s">
        <v>56</v>
      </c>
      <c r="I10" s="29" t="s">
        <v>56</v>
      </c>
      <c r="J10" s="16"/>
      <c r="K10" s="28" t="s">
        <v>89</v>
      </c>
      <c r="L10" s="29" t="s">
        <v>90</v>
      </c>
      <c r="M10" s="16"/>
      <c r="N10" s="16"/>
      <c r="O10" s="16" t="str">
        <f>"350,0"</f>
        <v>350,0</v>
      </c>
      <c r="P10" s="16" t="str">
        <f>"223,4400"</f>
        <v>223,4400</v>
      </c>
      <c r="Q10" s="15" t="s">
        <v>539</v>
      </c>
    </row>
    <row r="11" spans="1:17">
      <c r="A11" s="50">
        <v>2</v>
      </c>
      <c r="B11" s="19" t="s">
        <v>189</v>
      </c>
      <c r="C11" s="19" t="s">
        <v>190</v>
      </c>
      <c r="D11" s="19" t="s">
        <v>191</v>
      </c>
      <c r="E11" s="19" t="s">
        <v>662</v>
      </c>
      <c r="F11" s="19" t="s">
        <v>251</v>
      </c>
      <c r="G11" s="32" t="s">
        <v>52</v>
      </c>
      <c r="H11" s="32" t="s">
        <v>55</v>
      </c>
      <c r="I11" s="33" t="s">
        <v>36</v>
      </c>
      <c r="J11" s="20"/>
      <c r="K11" s="32" t="s">
        <v>107</v>
      </c>
      <c r="L11" s="33" t="s">
        <v>192</v>
      </c>
      <c r="M11" s="33" t="s">
        <v>192</v>
      </c>
      <c r="N11" s="20"/>
      <c r="O11" s="20" t="str">
        <f>"345,0"</f>
        <v>345,0</v>
      </c>
      <c r="P11" s="20" t="str">
        <f>"220,3860"</f>
        <v>220,3860</v>
      </c>
      <c r="Q11" s="19" t="s">
        <v>540</v>
      </c>
    </row>
    <row r="12" spans="1:17">
      <c r="A12" s="51">
        <v>1</v>
      </c>
      <c r="B12" s="17" t="s">
        <v>392</v>
      </c>
      <c r="C12" s="17" t="s">
        <v>618</v>
      </c>
      <c r="D12" s="17" t="s">
        <v>388</v>
      </c>
      <c r="E12" s="17" t="s">
        <v>664</v>
      </c>
      <c r="F12" s="17" t="s">
        <v>251</v>
      </c>
      <c r="G12" s="30" t="s">
        <v>33</v>
      </c>
      <c r="H12" s="30" t="s">
        <v>36</v>
      </c>
      <c r="I12" s="30" t="s">
        <v>242</v>
      </c>
      <c r="J12" s="18"/>
      <c r="K12" s="30" t="s">
        <v>66</v>
      </c>
      <c r="L12" s="30" t="s">
        <v>393</v>
      </c>
      <c r="M12" s="30" t="s">
        <v>313</v>
      </c>
      <c r="N12" s="18"/>
      <c r="O12" s="18" t="str">
        <f>"340,0"</f>
        <v>340,0</v>
      </c>
      <c r="P12" s="18" t="str">
        <f>"242,8988"</f>
        <v>242,8988</v>
      </c>
      <c r="Q12" s="17" t="s">
        <v>541</v>
      </c>
    </row>
    <row r="15" spans="1:17">
      <c r="E15" s="56"/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9849-3434-43ED-B62D-3BF3A33F370D}">
  <sheetPr codeName="Лист3"/>
  <dimension ref="A1:Q20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11" bestFit="1" customWidth="1"/>
    <col min="2" max="2" width="21.6640625" style="11" bestFit="1" customWidth="1"/>
    <col min="3" max="3" width="28.6640625" style="11" bestFit="1" customWidth="1"/>
    <col min="4" max="4" width="14.83203125" style="11" customWidth="1"/>
    <col min="5" max="5" width="10.1640625" style="11" bestFit="1" customWidth="1"/>
    <col min="6" max="6" width="38.5" style="11" bestFit="1" customWidth="1"/>
    <col min="7" max="9" width="5.5" style="12" customWidth="1"/>
    <col min="10" max="10" width="4.5" style="12" customWidth="1"/>
    <col min="11" max="13" width="5.5" style="12" customWidth="1"/>
    <col min="14" max="14" width="4.5" style="12" customWidth="1"/>
    <col min="15" max="15" width="7.6640625" style="12" bestFit="1" customWidth="1"/>
    <col min="16" max="16" width="8.5" style="12" bestFit="1" customWidth="1"/>
    <col min="17" max="17" width="28.5" style="11" bestFit="1" customWidth="1"/>
    <col min="18" max="16384" width="9.1640625" style="3"/>
  </cols>
  <sheetData>
    <row r="1" spans="1:17" s="2" customFormat="1" ht="29" customHeight="1">
      <c r="A1" s="133" t="s">
        <v>596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</row>
    <row r="2" spans="1:17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0"/>
    </row>
    <row r="3" spans="1:17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13</v>
      </c>
      <c r="H3" s="127"/>
      <c r="I3" s="127"/>
      <c r="J3" s="127"/>
      <c r="K3" s="127" t="s">
        <v>14</v>
      </c>
      <c r="L3" s="127"/>
      <c r="M3" s="127"/>
      <c r="N3" s="127"/>
      <c r="O3" s="127" t="s">
        <v>1</v>
      </c>
      <c r="P3" s="127" t="s">
        <v>3</v>
      </c>
      <c r="Q3" s="129" t="s">
        <v>2</v>
      </c>
    </row>
    <row r="4" spans="1:17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55">
        <v>1</v>
      </c>
      <c r="L4" s="55">
        <v>2</v>
      </c>
      <c r="M4" s="55">
        <v>3</v>
      </c>
      <c r="N4" s="10" t="s">
        <v>5</v>
      </c>
      <c r="O4" s="128"/>
      <c r="P4" s="128"/>
      <c r="Q4" s="130"/>
    </row>
    <row r="5" spans="1:17" ht="16">
      <c r="A5" s="131" t="s">
        <v>138</v>
      </c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7">
      <c r="A6" s="52">
        <v>1</v>
      </c>
      <c r="B6" s="13" t="s">
        <v>485</v>
      </c>
      <c r="C6" s="13" t="s">
        <v>486</v>
      </c>
      <c r="D6" s="13" t="s">
        <v>487</v>
      </c>
      <c r="E6" s="13" t="s">
        <v>665</v>
      </c>
      <c r="F6" s="13" t="s">
        <v>547</v>
      </c>
      <c r="G6" s="27" t="s">
        <v>21</v>
      </c>
      <c r="H6" s="27" t="s">
        <v>47</v>
      </c>
      <c r="I6" s="26" t="s">
        <v>53</v>
      </c>
      <c r="J6" s="14"/>
      <c r="K6" s="27" t="s">
        <v>36</v>
      </c>
      <c r="L6" s="26" t="s">
        <v>110</v>
      </c>
      <c r="M6" s="27" t="s">
        <v>110</v>
      </c>
      <c r="N6" s="14"/>
      <c r="O6" s="14" t="str">
        <f>"232,5"</f>
        <v>232,5</v>
      </c>
      <c r="P6" s="14" t="str">
        <f>"223,6883"</f>
        <v>223,6883</v>
      </c>
      <c r="Q6" s="13" t="s">
        <v>542</v>
      </c>
    </row>
    <row r="8" spans="1:17" ht="16">
      <c r="A8" s="144" t="s">
        <v>27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7">
      <c r="A9" s="49">
        <v>1</v>
      </c>
      <c r="B9" s="53" t="s">
        <v>488</v>
      </c>
      <c r="C9" s="15" t="s">
        <v>619</v>
      </c>
      <c r="D9" s="15" t="s">
        <v>489</v>
      </c>
      <c r="E9" s="15" t="s">
        <v>663</v>
      </c>
      <c r="F9" s="15" t="s">
        <v>296</v>
      </c>
      <c r="G9" s="28" t="s">
        <v>26</v>
      </c>
      <c r="H9" s="28" t="s">
        <v>97</v>
      </c>
      <c r="I9" s="29" t="s">
        <v>142</v>
      </c>
      <c r="J9" s="16"/>
      <c r="K9" s="29" t="s">
        <v>196</v>
      </c>
      <c r="L9" s="28" t="s">
        <v>196</v>
      </c>
      <c r="M9" s="29" t="s">
        <v>84</v>
      </c>
      <c r="N9" s="16"/>
      <c r="O9" s="16" t="str">
        <f>"320,0"</f>
        <v>320,0</v>
      </c>
      <c r="P9" s="16" t="str">
        <f>"245,2800"</f>
        <v>245,2800</v>
      </c>
      <c r="Q9" s="15" t="s">
        <v>543</v>
      </c>
    </row>
    <row r="10" spans="1:17">
      <c r="A10" s="51">
        <v>1</v>
      </c>
      <c r="B10" s="54" t="s">
        <v>490</v>
      </c>
      <c r="C10" s="17" t="s">
        <v>491</v>
      </c>
      <c r="D10" s="17" t="s">
        <v>492</v>
      </c>
      <c r="E10" s="17" t="s">
        <v>662</v>
      </c>
      <c r="F10" s="17" t="s">
        <v>232</v>
      </c>
      <c r="G10" s="30" t="s">
        <v>32</v>
      </c>
      <c r="H10" s="30" t="s">
        <v>52</v>
      </c>
      <c r="I10" s="30" t="s">
        <v>55</v>
      </c>
      <c r="J10" s="18"/>
      <c r="K10" s="30" t="s">
        <v>65</v>
      </c>
      <c r="L10" s="30" t="s">
        <v>83</v>
      </c>
      <c r="M10" s="31" t="s">
        <v>89</v>
      </c>
      <c r="N10" s="18"/>
      <c r="O10" s="18" t="str">
        <f>"330,0"</f>
        <v>330,0</v>
      </c>
      <c r="P10" s="18" t="str">
        <f>"240,1740"</f>
        <v>240,1740</v>
      </c>
      <c r="Q10" s="17" t="s">
        <v>544</v>
      </c>
    </row>
    <row r="12" spans="1:17" ht="16">
      <c r="A12" s="144" t="s">
        <v>58</v>
      </c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7">
      <c r="A13" s="49">
        <v>1</v>
      </c>
      <c r="B13" s="53" t="s">
        <v>493</v>
      </c>
      <c r="C13" s="15" t="s">
        <v>494</v>
      </c>
      <c r="D13" s="15" t="s">
        <v>495</v>
      </c>
      <c r="E13" s="15" t="s">
        <v>662</v>
      </c>
      <c r="F13" s="15" t="s">
        <v>538</v>
      </c>
      <c r="G13" s="29" t="s">
        <v>25</v>
      </c>
      <c r="H13" s="28" t="s">
        <v>70</v>
      </c>
      <c r="I13" s="29" t="s">
        <v>26</v>
      </c>
      <c r="J13" s="16"/>
      <c r="K13" s="28" t="s">
        <v>71</v>
      </c>
      <c r="L13" s="28" t="s">
        <v>65</v>
      </c>
      <c r="M13" s="28" t="s">
        <v>66</v>
      </c>
      <c r="N13" s="16"/>
      <c r="O13" s="16" t="str">
        <f>"297,5"</f>
        <v>297,5</v>
      </c>
      <c r="P13" s="16" t="str">
        <f>"202,7760"</f>
        <v>202,7760</v>
      </c>
      <c r="Q13" s="15" t="s">
        <v>545</v>
      </c>
    </row>
    <row r="14" spans="1:17">
      <c r="A14" s="51">
        <v>2</v>
      </c>
      <c r="B14" s="54" t="s">
        <v>271</v>
      </c>
      <c r="C14" s="17" t="s">
        <v>272</v>
      </c>
      <c r="D14" s="17" t="s">
        <v>273</v>
      </c>
      <c r="E14" s="17" t="s">
        <v>662</v>
      </c>
      <c r="F14" s="17" t="s">
        <v>538</v>
      </c>
      <c r="G14" s="31" t="s">
        <v>21</v>
      </c>
      <c r="H14" s="30" t="s">
        <v>237</v>
      </c>
      <c r="I14" s="30" t="s">
        <v>47</v>
      </c>
      <c r="J14" s="18"/>
      <c r="K14" s="30" t="s">
        <v>36</v>
      </c>
      <c r="L14" s="30" t="s">
        <v>242</v>
      </c>
      <c r="M14" s="30" t="s">
        <v>34</v>
      </c>
      <c r="N14" s="18"/>
      <c r="O14" s="18" t="str">
        <f>"230,0"</f>
        <v>230,0</v>
      </c>
      <c r="P14" s="18" t="str">
        <f>"154,8820"</f>
        <v>154,8820</v>
      </c>
      <c r="Q14" s="17" t="s">
        <v>546</v>
      </c>
    </row>
    <row r="16" spans="1:17" ht="16">
      <c r="A16" s="144" t="s">
        <v>38</v>
      </c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7">
      <c r="A17" s="52">
        <v>1</v>
      </c>
      <c r="B17" s="13" t="s">
        <v>496</v>
      </c>
      <c r="C17" s="13" t="s">
        <v>497</v>
      </c>
      <c r="D17" s="13" t="s">
        <v>498</v>
      </c>
      <c r="E17" s="13" t="s">
        <v>662</v>
      </c>
      <c r="F17" s="13" t="s">
        <v>19</v>
      </c>
      <c r="G17" s="27" t="s">
        <v>36</v>
      </c>
      <c r="H17" s="27" t="s">
        <v>37</v>
      </c>
      <c r="I17" s="26" t="s">
        <v>177</v>
      </c>
      <c r="J17" s="14"/>
      <c r="K17" s="27" t="s">
        <v>71</v>
      </c>
      <c r="L17" s="26" t="s">
        <v>65</v>
      </c>
      <c r="M17" s="27" t="s">
        <v>65</v>
      </c>
      <c r="N17" s="14"/>
      <c r="O17" s="14" t="str">
        <f>"325,0"</f>
        <v>325,0</v>
      </c>
      <c r="P17" s="14" t="str">
        <f>"208,9100"</f>
        <v>208,9100</v>
      </c>
      <c r="Q17" s="13"/>
    </row>
    <row r="19" spans="1:17" ht="16">
      <c r="A19" s="144" t="s">
        <v>102</v>
      </c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7">
      <c r="A20" s="52">
        <v>1</v>
      </c>
      <c r="B20" s="13" t="s">
        <v>499</v>
      </c>
      <c r="C20" s="13" t="s">
        <v>620</v>
      </c>
      <c r="D20" s="13" t="s">
        <v>500</v>
      </c>
      <c r="E20" s="13" t="s">
        <v>664</v>
      </c>
      <c r="F20" s="13" t="s">
        <v>251</v>
      </c>
      <c r="G20" s="27" t="s">
        <v>57</v>
      </c>
      <c r="H20" s="27" t="s">
        <v>62</v>
      </c>
      <c r="I20" s="27" t="s">
        <v>225</v>
      </c>
      <c r="J20" s="14"/>
      <c r="K20" s="26" t="s">
        <v>65</v>
      </c>
      <c r="L20" s="27" t="s">
        <v>65</v>
      </c>
      <c r="M20" s="27" t="s">
        <v>66</v>
      </c>
      <c r="N20" s="14"/>
      <c r="O20" s="14" t="str">
        <f>"357,5"</f>
        <v>357,5</v>
      </c>
      <c r="P20" s="14" t="str">
        <f>"229,3784"</f>
        <v>229,3784</v>
      </c>
      <c r="Q20" s="13" t="s">
        <v>541</v>
      </c>
    </row>
  </sheetData>
  <mergeCells count="17">
    <mergeCell ref="A8:N8"/>
    <mergeCell ref="A12:N12"/>
    <mergeCell ref="A16:N16"/>
    <mergeCell ref="A19:N1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BAD2-95C5-4967-94E5-B866A3CCCB60}">
  <sheetPr codeName="Лист4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11" bestFit="1" customWidth="1"/>
    <col min="2" max="2" width="19" style="11" bestFit="1" customWidth="1"/>
    <col min="3" max="3" width="28.83203125" style="11" bestFit="1" customWidth="1"/>
    <col min="4" max="4" width="16.1640625" style="11" customWidth="1"/>
    <col min="5" max="5" width="10.1640625" style="11" bestFit="1" customWidth="1"/>
    <col min="6" max="6" width="37.5" style="11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18.1640625" style="11" customWidth="1"/>
    <col min="14" max="16384" width="9.1640625" style="3"/>
  </cols>
  <sheetData>
    <row r="1" spans="1:13" s="2" customFormat="1" ht="29" customHeight="1">
      <c r="A1" s="133" t="s">
        <v>597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55">
        <v>1</v>
      </c>
      <c r="H4" s="55">
        <v>2</v>
      </c>
      <c r="I4" s="55">
        <v>3</v>
      </c>
      <c r="J4" s="10" t="s">
        <v>5</v>
      </c>
      <c r="K4" s="128"/>
      <c r="L4" s="128"/>
      <c r="M4" s="130"/>
    </row>
    <row r="5" spans="1:13" ht="16">
      <c r="A5" s="131" t="s">
        <v>15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52">
        <v>1</v>
      </c>
      <c r="B6" s="13" t="s">
        <v>484</v>
      </c>
      <c r="C6" s="13" t="s">
        <v>621</v>
      </c>
      <c r="D6" s="13" t="s">
        <v>326</v>
      </c>
      <c r="E6" s="13" t="s">
        <v>663</v>
      </c>
      <c r="F6" s="13" t="s">
        <v>251</v>
      </c>
      <c r="G6" s="27" t="s">
        <v>20</v>
      </c>
      <c r="H6" s="26" t="s">
        <v>236</v>
      </c>
      <c r="I6" s="27" t="s">
        <v>236</v>
      </c>
      <c r="J6" s="14"/>
      <c r="K6" s="14" t="str">
        <f>"82,5"</f>
        <v>82,5</v>
      </c>
      <c r="L6" s="14" t="str">
        <f>"104,3955"</f>
        <v>104,3955</v>
      </c>
      <c r="M6" s="13" t="s">
        <v>548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4DC4-CD0A-449B-817F-3545F4AA0EBF}">
  <sheetPr codeName="Лист6"/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11" bestFit="1" customWidth="1"/>
    <col min="2" max="2" width="18.83203125" style="11" bestFit="1" customWidth="1"/>
    <col min="3" max="3" width="25.1640625" style="11" bestFit="1" customWidth="1"/>
    <col min="4" max="4" width="16.33203125" style="11" customWidth="1"/>
    <col min="5" max="5" width="10.1640625" style="11" bestFit="1" customWidth="1"/>
    <col min="6" max="6" width="37.5" style="11" customWidth="1"/>
    <col min="7" max="9" width="5.5" style="12" customWidth="1"/>
    <col min="10" max="10" width="4.5" style="12" customWidth="1"/>
    <col min="11" max="11" width="10.5" style="12" bestFit="1" customWidth="1"/>
    <col min="12" max="12" width="8.5" style="12" bestFit="1" customWidth="1"/>
    <col min="13" max="13" width="20.5" style="11" customWidth="1"/>
    <col min="14" max="16384" width="9.1640625" style="3"/>
  </cols>
  <sheetData>
    <row r="1" spans="1:13" s="2" customFormat="1" ht="29" customHeight="1">
      <c r="A1" s="133" t="s">
        <v>598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13" s="2" customFormat="1" ht="62" customHeight="1" thickBot="1">
      <c r="A2" s="13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s="1" customFormat="1" ht="12.75" customHeight="1">
      <c r="A3" s="141" t="s">
        <v>659</v>
      </c>
      <c r="B3" s="146" t="s">
        <v>0</v>
      </c>
      <c r="C3" s="143" t="s">
        <v>660</v>
      </c>
      <c r="D3" s="143" t="s">
        <v>11</v>
      </c>
      <c r="E3" s="127" t="s">
        <v>661</v>
      </c>
      <c r="F3" s="127" t="s">
        <v>8</v>
      </c>
      <c r="G3" s="127" t="s">
        <v>12</v>
      </c>
      <c r="H3" s="127"/>
      <c r="I3" s="127"/>
      <c r="J3" s="127"/>
      <c r="K3" s="127" t="s">
        <v>320</v>
      </c>
      <c r="L3" s="127" t="s">
        <v>3</v>
      </c>
      <c r="M3" s="129" t="s">
        <v>2</v>
      </c>
    </row>
    <row r="4" spans="1:13" s="1" customFormat="1" ht="21" customHeight="1" thickBot="1">
      <c r="A4" s="142"/>
      <c r="B4" s="147"/>
      <c r="C4" s="128"/>
      <c r="D4" s="128"/>
      <c r="E4" s="128"/>
      <c r="F4" s="128"/>
      <c r="G4" s="49">
        <v>1</v>
      </c>
      <c r="H4" s="49">
        <v>2</v>
      </c>
      <c r="I4" s="49">
        <v>3</v>
      </c>
      <c r="J4" s="10" t="s">
        <v>5</v>
      </c>
      <c r="K4" s="128"/>
      <c r="L4" s="128"/>
      <c r="M4" s="130"/>
    </row>
    <row r="5" spans="1:13" ht="16">
      <c r="A5" s="131" t="s">
        <v>306</v>
      </c>
      <c r="B5" s="131"/>
      <c r="C5" s="132"/>
      <c r="D5" s="132"/>
      <c r="E5" s="132"/>
      <c r="F5" s="132"/>
      <c r="G5" s="132"/>
      <c r="H5" s="132"/>
      <c r="I5" s="132"/>
      <c r="J5" s="132"/>
    </row>
    <row r="6" spans="1:13">
      <c r="A6" s="52">
        <v>1</v>
      </c>
      <c r="B6" s="13" t="s">
        <v>461</v>
      </c>
      <c r="C6" s="13" t="s">
        <v>462</v>
      </c>
      <c r="D6" s="13" t="s">
        <v>463</v>
      </c>
      <c r="E6" s="13" t="s">
        <v>662</v>
      </c>
      <c r="F6" s="13" t="s">
        <v>538</v>
      </c>
      <c r="G6" s="27" t="s">
        <v>109</v>
      </c>
      <c r="H6" s="27" t="s">
        <v>77</v>
      </c>
      <c r="I6" s="27" t="s">
        <v>92</v>
      </c>
      <c r="J6" s="14"/>
      <c r="K6" s="14" t="str">
        <f>"250,0"</f>
        <v>250,0</v>
      </c>
      <c r="L6" s="14" t="str">
        <f>"144,2000"</f>
        <v>144,2000</v>
      </c>
      <c r="M6" s="13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Лист19</vt:lpstr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СПР Жим софт однопетельная ДК</vt:lpstr>
      <vt:lpstr>СПР Жим софт однопетельная</vt:lpstr>
      <vt:lpstr>СПР Жим софт многопетельная</vt:lpstr>
      <vt:lpstr>СПР СФО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2022-06-03T15:05:20Z</dcterms:modified>
</cp:coreProperties>
</file>