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F869C908-2655-4F44-8C62-0DA4F68E538A}" xr6:coauthVersionLast="45" xr6:coauthVersionMax="47" xr10:uidLastSave="{00000000-0000-0000-0000-000000000000}"/>
  <bookViews>
    <workbookView xWindow="880" yWindow="460" windowWidth="27580" windowHeight="16080" activeTab="1" xr2:uid="{00000000-000D-0000-FFFF-FFFF00000000}"/>
  </bookViews>
  <sheets>
    <sheet name="IPL Тяга без экипировки" sheetId="7" r:id="rId1"/>
    <sheet name="СПР Подъем на бицепс" sheetId="5" r:id="rId2"/>
    <sheet name="Судейская коллегия" sheetId="8" r:id="rId3"/>
  </sheets>
  <definedNames>
    <definedName name="_FilterDatabase" localSheetId="1" hidden="1">'СПР Подъем на бицепс'!$A$1:$K$3</definedName>
    <definedName name="_FilterDatabase" localSheetId="0" hidden="1">'IPL Тяга без экипировки'!$A$1:$K$3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6" i="5" l="1"/>
  <c r="F135" i="5"/>
  <c r="F134" i="5"/>
  <c r="F129" i="5"/>
  <c r="F128" i="5"/>
  <c r="F127" i="5"/>
  <c r="K6" i="7"/>
  <c r="L6" i="7"/>
  <c r="K7" i="7"/>
  <c r="L7" i="7"/>
  <c r="K8" i="7"/>
  <c r="L8" i="7"/>
  <c r="K9" i="7"/>
  <c r="L9" i="7"/>
  <c r="K12" i="7"/>
  <c r="L12" i="7"/>
  <c r="K13" i="7"/>
  <c r="L13" i="7"/>
  <c r="K14" i="7"/>
  <c r="L14" i="7"/>
  <c r="K17" i="7"/>
  <c r="L17" i="7"/>
  <c r="K20" i="7"/>
  <c r="L20" i="7"/>
  <c r="K21" i="7"/>
  <c r="L21" i="7"/>
  <c r="K22" i="7"/>
  <c r="L22" i="7"/>
  <c r="K25" i="7"/>
  <c r="L25" i="7"/>
  <c r="K26" i="7"/>
  <c r="L26" i="7"/>
  <c r="K27" i="7"/>
  <c r="L27" i="7"/>
  <c r="K28" i="7"/>
  <c r="L28" i="7"/>
  <c r="K31" i="7"/>
  <c r="L31" i="7"/>
  <c r="K32" i="7"/>
  <c r="L32" i="7"/>
  <c r="K33" i="7"/>
  <c r="L33" i="7"/>
  <c r="K34" i="7"/>
  <c r="L34" i="7"/>
  <c r="K37" i="7"/>
  <c r="L37" i="7"/>
  <c r="K40" i="7"/>
  <c r="L40" i="7"/>
  <c r="K41" i="7"/>
  <c r="L41" i="7"/>
  <c r="K44" i="7"/>
  <c r="L44" i="7"/>
  <c r="K45" i="7"/>
  <c r="L45" i="7"/>
  <c r="K48" i="7"/>
  <c r="L48" i="7"/>
  <c r="K51" i="7"/>
  <c r="L51" i="7"/>
  <c r="K52" i="7"/>
  <c r="L52" i="7"/>
  <c r="K53" i="7"/>
  <c r="L53" i="7"/>
  <c r="K54" i="7"/>
  <c r="L54" i="7"/>
  <c r="K57" i="7"/>
  <c r="L57" i="7"/>
  <c r="K58" i="7"/>
  <c r="L58" i="7"/>
  <c r="K59" i="7"/>
  <c r="L59" i="7"/>
  <c r="K62" i="7"/>
  <c r="L62" i="7"/>
  <c r="K63" i="7"/>
  <c r="L63" i="7"/>
  <c r="K64" i="7"/>
  <c r="L64" i="7"/>
  <c r="K65" i="7"/>
  <c r="L65" i="7"/>
  <c r="K66" i="7"/>
  <c r="L66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93" i="7"/>
  <c r="L93" i="7"/>
  <c r="K94" i="7"/>
  <c r="L94" i="7"/>
  <c r="K95" i="7"/>
  <c r="L95" i="7"/>
  <c r="K96" i="7"/>
  <c r="L96" i="7"/>
  <c r="K97" i="7"/>
  <c r="L97" i="7"/>
  <c r="L98" i="7"/>
  <c r="K99" i="7"/>
  <c r="L99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2" i="7"/>
  <c r="L122" i="7"/>
  <c r="K123" i="7"/>
  <c r="L123" i="7"/>
  <c r="K124" i="7"/>
  <c r="L124" i="7"/>
  <c r="K125" i="7"/>
  <c r="L125" i="7"/>
  <c r="K128" i="7"/>
  <c r="L128" i="7"/>
  <c r="K129" i="7"/>
  <c r="L129" i="7"/>
  <c r="K130" i="7"/>
  <c r="L130" i="7"/>
  <c r="K131" i="7"/>
  <c r="L131" i="7"/>
  <c r="K134" i="7"/>
  <c r="L134" i="7"/>
  <c r="L119" i="5"/>
  <c r="K119" i="5"/>
  <c r="L118" i="5"/>
  <c r="K118" i="5"/>
  <c r="L117" i="5"/>
  <c r="K117" i="5"/>
  <c r="L114" i="5"/>
  <c r="K114" i="5"/>
  <c r="L113" i="5"/>
  <c r="K113" i="5"/>
  <c r="L110" i="5"/>
  <c r="K110" i="5"/>
  <c r="L109" i="5"/>
  <c r="K109" i="5"/>
  <c r="L108" i="5"/>
  <c r="K108" i="5"/>
  <c r="L107" i="5"/>
  <c r="K107" i="5"/>
  <c r="L106" i="5"/>
  <c r="K106" i="5"/>
  <c r="L105" i="5"/>
  <c r="K105" i="5"/>
  <c r="L104" i="5"/>
  <c r="K104" i="5"/>
  <c r="L103" i="5"/>
  <c r="K103" i="5"/>
  <c r="L102" i="5"/>
  <c r="K102" i="5"/>
  <c r="L99" i="5"/>
  <c r="K99" i="5"/>
  <c r="L98" i="5"/>
  <c r="K98" i="5"/>
  <c r="L97" i="5"/>
  <c r="K97" i="5"/>
  <c r="L96" i="5"/>
  <c r="K96" i="5"/>
  <c r="L95" i="5"/>
  <c r="K95" i="5"/>
  <c r="L94" i="5"/>
  <c r="K94" i="5"/>
  <c r="L93" i="5"/>
  <c r="K93" i="5"/>
  <c r="L92" i="5"/>
  <c r="K92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3" i="5"/>
  <c r="K43" i="5"/>
  <c r="L40" i="5"/>
  <c r="K40" i="5"/>
  <c r="L39" i="5"/>
  <c r="K39" i="5"/>
  <c r="L38" i="5"/>
  <c r="K38" i="5"/>
  <c r="L35" i="5"/>
  <c r="L34" i="5"/>
  <c r="K34" i="5"/>
  <c r="L33" i="5"/>
  <c r="K33" i="5"/>
  <c r="L30" i="5"/>
  <c r="K30" i="5"/>
  <c r="L27" i="5"/>
  <c r="K27" i="5"/>
  <c r="L24" i="5"/>
  <c r="K24" i="5"/>
  <c r="L23" i="5"/>
  <c r="K23" i="5"/>
  <c r="L22" i="5"/>
  <c r="K22" i="5"/>
  <c r="L21" i="5"/>
  <c r="K21" i="5"/>
  <c r="L20" i="5"/>
  <c r="K20" i="5"/>
  <c r="L17" i="5"/>
  <c r="K17" i="5"/>
  <c r="L14" i="5"/>
  <c r="K14" i="5"/>
  <c r="L11" i="5"/>
  <c r="K11" i="5"/>
  <c r="L8" i="5"/>
  <c r="K8" i="5"/>
  <c r="L7" i="5"/>
  <c r="K7" i="5"/>
  <c r="L6" i="5"/>
  <c r="K6" i="5"/>
</calcChain>
</file>

<file path=xl/sharedStrings.xml><?xml version="1.0" encoding="utf-8"?>
<sst xmlns="http://schemas.openxmlformats.org/spreadsheetml/2006/main" count="1776" uniqueCount="626">
  <si>
    <t>ФИО</t>
  </si>
  <si>
    <t>Тренер</t>
  </si>
  <si>
    <t>Очки</t>
  </si>
  <si>
    <t>Рек</t>
  </si>
  <si>
    <t>Город/Область</t>
  </si>
  <si>
    <t>Собственный 
вес</t>
  </si>
  <si>
    <t>ВЕСОВАЯ КАТЕГОРИЯ   48</t>
  </si>
  <si>
    <t>Фролова Светлана</t>
  </si>
  <si>
    <t>47,30</t>
  </si>
  <si>
    <t xml:space="preserve">Навашино/Нижегородская область </t>
  </si>
  <si>
    <t>15,0</t>
  </si>
  <si>
    <t>17,5</t>
  </si>
  <si>
    <t>20,0</t>
  </si>
  <si>
    <t>Жунина Екатерина</t>
  </si>
  <si>
    <t>Открытая (17.12.1989)/32</t>
  </si>
  <si>
    <t>47,70</t>
  </si>
  <si>
    <t xml:space="preserve">Череповец/Вологодская область </t>
  </si>
  <si>
    <t>30,0</t>
  </si>
  <si>
    <t>32,5</t>
  </si>
  <si>
    <t>Открытая (01.11.2005)/16</t>
  </si>
  <si>
    <t>ВЕСОВАЯ КАТЕГОРИЯ   52</t>
  </si>
  <si>
    <t>Красильникова Яна</t>
  </si>
  <si>
    <t>Открытая (28.06.1983)/39</t>
  </si>
  <si>
    <t>51,00</t>
  </si>
  <si>
    <t xml:space="preserve">Мулино/Нижегородская область </t>
  </si>
  <si>
    <t>22,5</t>
  </si>
  <si>
    <t>25,0</t>
  </si>
  <si>
    <t>ВЕСОВАЯ КАТЕГОРИЯ   56</t>
  </si>
  <si>
    <t>Алексанян Анета</t>
  </si>
  <si>
    <t>55,30</t>
  </si>
  <si>
    <t>ВЕСОВАЯ КАТЕГОРИЯ   60</t>
  </si>
  <si>
    <t>Скуратова Наталья</t>
  </si>
  <si>
    <t>Открытая (24.09.1972)/49</t>
  </si>
  <si>
    <t>59,10</t>
  </si>
  <si>
    <t>ВЕСОВАЯ КАТЕГОРИЯ   67.5</t>
  </si>
  <si>
    <t>Фролова Наталия</t>
  </si>
  <si>
    <t>Открытая (30.04.1982)/40</t>
  </si>
  <si>
    <t>61,30</t>
  </si>
  <si>
    <t>35,0</t>
  </si>
  <si>
    <t>40,0</t>
  </si>
  <si>
    <t>Галкина Нина</t>
  </si>
  <si>
    <t>Открытая (02.04.1988)/34</t>
  </si>
  <si>
    <t>63,50</t>
  </si>
  <si>
    <t>37,5</t>
  </si>
  <si>
    <t>Суртаева Оксана</t>
  </si>
  <si>
    <t>Открытая (10.03.1977)/45</t>
  </si>
  <si>
    <t>63,40</t>
  </si>
  <si>
    <t xml:space="preserve">Городец/Нижегородская область </t>
  </si>
  <si>
    <t>ВЕСОВАЯ КАТЕГОРИЯ   75</t>
  </si>
  <si>
    <t>Белова Елена</t>
  </si>
  <si>
    <t>Открытая (28.06.1993)/29</t>
  </si>
  <si>
    <t>71,70</t>
  </si>
  <si>
    <t>42,5</t>
  </si>
  <si>
    <t>45,0</t>
  </si>
  <si>
    <t>ВЕСОВАЯ КАТЕГОРИЯ   90+</t>
  </si>
  <si>
    <t>Кузьмина Наталья</t>
  </si>
  <si>
    <t>93,70</t>
  </si>
  <si>
    <t>27,5</t>
  </si>
  <si>
    <t>Ожеред Антон</t>
  </si>
  <si>
    <t>50,30</t>
  </si>
  <si>
    <t>Куликов Алексей</t>
  </si>
  <si>
    <t>Климохин Константин</t>
  </si>
  <si>
    <t>51,60</t>
  </si>
  <si>
    <t xml:space="preserve">Кинешма/Ивановская область </t>
  </si>
  <si>
    <t>Камаев Артём</t>
  </si>
  <si>
    <t>55,40</t>
  </si>
  <si>
    <t xml:space="preserve">Балахна/Нижегородская область </t>
  </si>
  <si>
    <t>Нидворягин Илья</t>
  </si>
  <si>
    <t>54,80</t>
  </si>
  <si>
    <t>50,0</t>
  </si>
  <si>
    <t>52,5</t>
  </si>
  <si>
    <t>Николаев Виктор</t>
  </si>
  <si>
    <t>55,90</t>
  </si>
  <si>
    <t>47,5</t>
  </si>
  <si>
    <t>Купрюшин Андрей</t>
  </si>
  <si>
    <t>Открытая (17.05.1997)/25</t>
  </si>
  <si>
    <t>57,50</t>
  </si>
  <si>
    <t>Панкратов Никита</t>
  </si>
  <si>
    <t>63,20</t>
  </si>
  <si>
    <t xml:space="preserve">Иваново/Ивановская область </t>
  </si>
  <si>
    <t>55,0</t>
  </si>
  <si>
    <t>Вереш Роман</t>
  </si>
  <si>
    <t>66,20</t>
  </si>
  <si>
    <t>Кузнецов Денис</t>
  </si>
  <si>
    <t>65,80</t>
  </si>
  <si>
    <t>Михалев Дмитрий</t>
  </si>
  <si>
    <t>65,20</t>
  </si>
  <si>
    <t>Кондратьев Вячеслав</t>
  </si>
  <si>
    <t>63,80</t>
  </si>
  <si>
    <t>Куртышов Артем</t>
  </si>
  <si>
    <t>Нежиков Иван</t>
  </si>
  <si>
    <t>Открытая (27.04.1997)/25</t>
  </si>
  <si>
    <t>65,60</t>
  </si>
  <si>
    <t>60,0</t>
  </si>
  <si>
    <t>65,0</t>
  </si>
  <si>
    <t>Савин Александр</t>
  </si>
  <si>
    <t>Открытая (04.08.1983)/39</t>
  </si>
  <si>
    <t>66,10</t>
  </si>
  <si>
    <t>Джабаров Феликс</t>
  </si>
  <si>
    <t>Открытая (03.10.1996)/25</t>
  </si>
  <si>
    <t>67,50</t>
  </si>
  <si>
    <t>Попов Евгений</t>
  </si>
  <si>
    <t>Земнухов Кирилл</t>
  </si>
  <si>
    <t>68,40</t>
  </si>
  <si>
    <t>57,5</t>
  </si>
  <si>
    <t>Батуров Алексей</t>
  </si>
  <si>
    <t>69,30</t>
  </si>
  <si>
    <t>Кондратьев Владимир</t>
  </si>
  <si>
    <t>73,70</t>
  </si>
  <si>
    <t>Беляев Илья</t>
  </si>
  <si>
    <t>73,80</t>
  </si>
  <si>
    <t>Одинцов Никита</t>
  </si>
  <si>
    <t>73,20</t>
  </si>
  <si>
    <t>Шишкарев Сергей</t>
  </si>
  <si>
    <t>73,40</t>
  </si>
  <si>
    <t>62,5</t>
  </si>
  <si>
    <t>Алёшин Никита</t>
  </si>
  <si>
    <t>74,00</t>
  </si>
  <si>
    <t>Шарафиев Наиль</t>
  </si>
  <si>
    <t>Открытая (27.08.1984)/38</t>
  </si>
  <si>
    <t>75,00</t>
  </si>
  <si>
    <t>67,5</t>
  </si>
  <si>
    <t>Панфилов Алексей</t>
  </si>
  <si>
    <t>Открытая (18.03.1992)/30</t>
  </si>
  <si>
    <t>74,20</t>
  </si>
  <si>
    <t>Бухарев Михаил</t>
  </si>
  <si>
    <t>Открытая (10.09.1988)/34</t>
  </si>
  <si>
    <t>69,70</t>
  </si>
  <si>
    <t>Шишин Александр</t>
  </si>
  <si>
    <t>Открытая (29.07.1998)/24</t>
  </si>
  <si>
    <t>73,90</t>
  </si>
  <si>
    <t>70,0</t>
  </si>
  <si>
    <t>Боровков Владимир</t>
  </si>
  <si>
    <t>Открытая (13.11.1992)/29</t>
  </si>
  <si>
    <t>71,50</t>
  </si>
  <si>
    <t xml:space="preserve">Кстово/Нижегородская область </t>
  </si>
  <si>
    <t>Григорьев Артём</t>
  </si>
  <si>
    <t>Открытая (27.02.1995)/27</t>
  </si>
  <si>
    <t>72,00</t>
  </si>
  <si>
    <t>Лялин Антон</t>
  </si>
  <si>
    <t>Открытая (03.01.1989)/33</t>
  </si>
  <si>
    <t>70,90</t>
  </si>
  <si>
    <t>Разгулин Михаил</t>
  </si>
  <si>
    <t>Открытая (19.05.1993)/29</t>
  </si>
  <si>
    <t>72,60</t>
  </si>
  <si>
    <t>Мольков Глеб</t>
  </si>
  <si>
    <t>Открытая (14.05.1991)/31</t>
  </si>
  <si>
    <t>Лабутов Алексей</t>
  </si>
  <si>
    <t>ВЕСОВАЯ КАТЕГОРИЯ   82.5</t>
  </si>
  <si>
    <t>Пырков Максим</t>
  </si>
  <si>
    <t>78,80</t>
  </si>
  <si>
    <t>Калачев Александр</t>
  </si>
  <si>
    <t>Открытая (07.05.1993)/29</t>
  </si>
  <si>
    <t>82,00</t>
  </si>
  <si>
    <t>72,5</t>
  </si>
  <si>
    <t>75,0</t>
  </si>
  <si>
    <t>77,5</t>
  </si>
  <si>
    <t>Булычёв Вадим</t>
  </si>
  <si>
    <t>Открытая (10.10.1973)/48</t>
  </si>
  <si>
    <t>81,10</t>
  </si>
  <si>
    <t>Мкртчян Агван</t>
  </si>
  <si>
    <t>Открытая (06.10.1989)/32</t>
  </si>
  <si>
    <t>79,40</t>
  </si>
  <si>
    <t>Силантьев Кирилл</t>
  </si>
  <si>
    <t>Открытая (24.08.1998)/24</t>
  </si>
  <si>
    <t>80,60</t>
  </si>
  <si>
    <t>Хохлов Кирилл</t>
  </si>
  <si>
    <t>Открытая (29.10.1989)/32</t>
  </si>
  <si>
    <t>81,00</t>
  </si>
  <si>
    <t>Коротков Артем</t>
  </si>
  <si>
    <t>Открытая (01.02.1998)/24</t>
  </si>
  <si>
    <t>81,30</t>
  </si>
  <si>
    <t>Королик Дмитрий</t>
  </si>
  <si>
    <t>Открытая (12.10.1996)/25</t>
  </si>
  <si>
    <t>81,80</t>
  </si>
  <si>
    <t>Романов Сергей</t>
  </si>
  <si>
    <t>81,20</t>
  </si>
  <si>
    <t>Горохов Александр</t>
  </si>
  <si>
    <t>80,70</t>
  </si>
  <si>
    <t>Суртаев Александр</t>
  </si>
  <si>
    <t>81,50</t>
  </si>
  <si>
    <t>Левин Сергей</t>
  </si>
  <si>
    <t>79,30</t>
  </si>
  <si>
    <t>ВЕСОВАЯ КАТЕГОРИЯ   90</t>
  </si>
  <si>
    <t>Фролов Андрей</t>
  </si>
  <si>
    <t>86,20</t>
  </si>
  <si>
    <t>Дойников Алексей</t>
  </si>
  <si>
    <t>Открытая (04.10.1991)/30</t>
  </si>
  <si>
    <t>89,40</t>
  </si>
  <si>
    <t xml:space="preserve">Нижний Новгород/Нижегородская область </t>
  </si>
  <si>
    <t>Островский Александр</t>
  </si>
  <si>
    <t>Открытая (08.11.1994)/27</t>
  </si>
  <si>
    <t>86,10</t>
  </si>
  <si>
    <t>80,0</t>
  </si>
  <si>
    <t>Воронов Алексей</t>
  </si>
  <si>
    <t>Открытая (07.11.1996)/25</t>
  </si>
  <si>
    <t>89,30</t>
  </si>
  <si>
    <t>Ушаков Владимир</t>
  </si>
  <si>
    <t>89,00</t>
  </si>
  <si>
    <t>Чиркунов Максим</t>
  </si>
  <si>
    <t>90,00</t>
  </si>
  <si>
    <t>Мажухин Андрей</t>
  </si>
  <si>
    <t>Эсаулов Владимир</t>
  </si>
  <si>
    <t>Мастера 60+ (22.07.1960)/62</t>
  </si>
  <si>
    <t>89,50</t>
  </si>
  <si>
    <t>ВЕСОВАЯ КАТЕГОРИЯ   100</t>
  </si>
  <si>
    <t>Исаев Владислав</t>
  </si>
  <si>
    <t>96,10</t>
  </si>
  <si>
    <t>Прошин Владимир</t>
  </si>
  <si>
    <t>Открытая (19.03.1983)/39</t>
  </si>
  <si>
    <t>97,00</t>
  </si>
  <si>
    <t>Каталымов Николай</t>
  </si>
  <si>
    <t>Открытая (20.04.1993)/29</t>
  </si>
  <si>
    <t>97,20</t>
  </si>
  <si>
    <t>Резаев Илья</t>
  </si>
  <si>
    <t>Открытая (08.02.1992)/30</t>
  </si>
  <si>
    <t>91,70</t>
  </si>
  <si>
    <t>Хряков Александр</t>
  </si>
  <si>
    <t>Открытая (01.09.1998)/24</t>
  </si>
  <si>
    <t>95,50</t>
  </si>
  <si>
    <t xml:space="preserve">Павлово/Нижегородская область </t>
  </si>
  <si>
    <t>Шалавин Андрей</t>
  </si>
  <si>
    <t>Открытая (22.09.1984)/37</t>
  </si>
  <si>
    <t>99,00</t>
  </si>
  <si>
    <t>Лябакин Олег</t>
  </si>
  <si>
    <t>Открытая (25.07.1964)/58</t>
  </si>
  <si>
    <t>99,90</t>
  </si>
  <si>
    <t>Шкуратов Кирилл</t>
  </si>
  <si>
    <t>96,70</t>
  </si>
  <si>
    <t>ВЕСОВАЯ КАТЕГОРИЯ   110</t>
  </si>
  <si>
    <t>Ганин Антон</t>
  </si>
  <si>
    <t>Открытая (26.06.1985)/37</t>
  </si>
  <si>
    <t>106,50</t>
  </si>
  <si>
    <t>Игнатов Андрей</t>
  </si>
  <si>
    <t>108,30</t>
  </si>
  <si>
    <t>ВЕСОВАЯ КАТЕГОРИЯ   125</t>
  </si>
  <si>
    <t>Моисеев Александр</t>
  </si>
  <si>
    <t>Открытая (11.11.1972)/49</t>
  </si>
  <si>
    <t>114,50</t>
  </si>
  <si>
    <t>Шпагин Максим</t>
  </si>
  <si>
    <t>124,50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</si>
  <si>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</si>
  <si>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</si>
  <si>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</si>
  <si>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</si>
  <si>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Результат </t>
  </si>
  <si>
    <t>48</t>
  </si>
  <si>
    <t>56</t>
  </si>
  <si>
    <t xml:space="preserve">Открытая </t>
  </si>
  <si>
    <t>75</t>
  </si>
  <si>
    <t>67.5</t>
  </si>
  <si>
    <t xml:space="preserve">Мужчины </t>
  </si>
  <si>
    <t>82.5</t>
  </si>
  <si>
    <t>90</t>
  </si>
  <si>
    <t>100</t>
  </si>
  <si>
    <t>Результат</t>
  </si>
  <si>
    <t>1</t>
  </si>
  <si>
    <t>2</t>
  </si>
  <si>
    <t>-</t>
  </si>
  <si>
    <t>3</t>
  </si>
  <si>
    <t>4</t>
  </si>
  <si>
    <t>5</t>
  </si>
  <si>
    <t>6</t>
  </si>
  <si>
    <t>7</t>
  </si>
  <si>
    <t>8</t>
  </si>
  <si>
    <t>9</t>
  </si>
  <si>
    <t>Абрамов Алексей</t>
  </si>
  <si>
    <t>Соловьев Михаил</t>
  </si>
  <si>
    <t>Станкевич Вячеслав</t>
  </si>
  <si>
    <t xml:space="preserve">Wilks </t>
  </si>
  <si>
    <t>125</t>
  </si>
  <si>
    <t>Самарянов Дмитрий</t>
  </si>
  <si>
    <t>Яруков Станислав</t>
  </si>
  <si>
    <t>Лисиченко Ярослав</t>
  </si>
  <si>
    <t>Хрычёв Роман</t>
  </si>
  <si>
    <t>Махов Виталий</t>
  </si>
  <si>
    <t>Бекреев Александр</t>
  </si>
  <si>
    <t>Ремизова Юлия</t>
  </si>
  <si>
    <t>Шаповалова Юлия</t>
  </si>
  <si>
    <t>Русова Дарья</t>
  </si>
  <si>
    <t>Волкова Арина</t>
  </si>
  <si>
    <t>Жогот Олеся</t>
  </si>
  <si>
    <t>Зубарева Мария</t>
  </si>
  <si>
    <t>Монова Анастасия</t>
  </si>
  <si>
    <t>290,0</t>
  </si>
  <si>
    <t>275,0</t>
  </si>
  <si>
    <t>260,0</t>
  </si>
  <si>
    <t xml:space="preserve">Арзамас/Нижегородская область </t>
  </si>
  <si>
    <t>148,20</t>
  </si>
  <si>
    <t>Открытая (05.08.1998)/24</t>
  </si>
  <si>
    <t>Муравьёв Евгений</t>
  </si>
  <si>
    <t>ВЕСОВАЯ КАТЕГОРИЯ   140+</t>
  </si>
  <si>
    <t>205,0</t>
  </si>
  <si>
    <t>187,5</t>
  </si>
  <si>
    <t>172,5</t>
  </si>
  <si>
    <t>119,80</t>
  </si>
  <si>
    <t>Открытая (05.09.1994)/28</t>
  </si>
  <si>
    <t>Иванов Григорий</t>
  </si>
  <si>
    <t>292,5</t>
  </si>
  <si>
    <t>285,0</t>
  </si>
  <si>
    <t>113,80</t>
  </si>
  <si>
    <t>Открытая (26.03.1995)/27</t>
  </si>
  <si>
    <t>Воронин Александр</t>
  </si>
  <si>
    <t>305,0</t>
  </si>
  <si>
    <t>300,0</t>
  </si>
  <si>
    <t>110,40</t>
  </si>
  <si>
    <t>Открытая (17.10.1978)/43</t>
  </si>
  <si>
    <t>225,0</t>
  </si>
  <si>
    <t>210,0</t>
  </si>
  <si>
    <t>190,0</t>
  </si>
  <si>
    <t xml:space="preserve">Бор/Нижегородская область </t>
  </si>
  <si>
    <t>121,80</t>
  </si>
  <si>
    <t>Юноши 15-19 (31.07.2003)/19</t>
  </si>
  <si>
    <t>250,0</t>
  </si>
  <si>
    <t>104,20</t>
  </si>
  <si>
    <t>232,5</t>
  </si>
  <si>
    <t>220,0</t>
  </si>
  <si>
    <t>108,20</t>
  </si>
  <si>
    <t>Открытая (14.02.1985)/37</t>
  </si>
  <si>
    <t>Зоткин Михаил</t>
  </si>
  <si>
    <t>235,0</t>
  </si>
  <si>
    <t>230,0</t>
  </si>
  <si>
    <t>215,0</t>
  </si>
  <si>
    <t>108,40</t>
  </si>
  <si>
    <t>Открытая (15.02.1989)/33</t>
  </si>
  <si>
    <t>Новицкий Александр</t>
  </si>
  <si>
    <t>160,0</t>
  </si>
  <si>
    <t>103,60</t>
  </si>
  <si>
    <t>Спицын Данила</t>
  </si>
  <si>
    <t>252,5</t>
  </si>
  <si>
    <t>237,5</t>
  </si>
  <si>
    <t>98,40</t>
  </si>
  <si>
    <t>Дмитриев Анатолий</t>
  </si>
  <si>
    <t>212,5</t>
  </si>
  <si>
    <t>180,0</t>
  </si>
  <si>
    <t>Киселев Алексей</t>
  </si>
  <si>
    <t>185,0</t>
  </si>
  <si>
    <t>170,0</t>
  </si>
  <si>
    <t>95,30</t>
  </si>
  <si>
    <t>Открытая (05.10.1989)/32</t>
  </si>
  <si>
    <t>Белый Георгий</t>
  </si>
  <si>
    <t>200,0</t>
  </si>
  <si>
    <t>90,40</t>
  </si>
  <si>
    <t>Открытая (26.10.1994)/27</t>
  </si>
  <si>
    <t>Маюров Андрей</t>
  </si>
  <si>
    <t>330,0</t>
  </si>
  <si>
    <t>310,0</t>
  </si>
  <si>
    <t xml:space="preserve">Вязники/Владимирская область </t>
  </si>
  <si>
    <t>96,90</t>
  </si>
  <si>
    <t>Открытая (12.07.1990)/32</t>
  </si>
  <si>
    <t>150,0</t>
  </si>
  <si>
    <t>145,0</t>
  </si>
  <si>
    <t>130,0</t>
  </si>
  <si>
    <t>84,80</t>
  </si>
  <si>
    <t>Орлов Дмитрий</t>
  </si>
  <si>
    <t>207,5</t>
  </si>
  <si>
    <t>192,5</t>
  </si>
  <si>
    <t>245,0</t>
  </si>
  <si>
    <t>240,0</t>
  </si>
  <si>
    <t>89,90</t>
  </si>
  <si>
    <t>89,10</t>
  </si>
  <si>
    <t>Зубарев Игорь</t>
  </si>
  <si>
    <t>202,5</t>
  </si>
  <si>
    <t>89,80</t>
  </si>
  <si>
    <t>Открытая (19.03.1990)/32</t>
  </si>
  <si>
    <t>Кусакин Дмитрий</t>
  </si>
  <si>
    <t>Открытая (23.08.1988)/34</t>
  </si>
  <si>
    <t>Киселев Евгений</t>
  </si>
  <si>
    <t>Открытая (07.02.1974)/48</t>
  </si>
  <si>
    <t>125,0</t>
  </si>
  <si>
    <t>120,0</t>
  </si>
  <si>
    <t>110,0</t>
  </si>
  <si>
    <t>Юноши 15-19 (26.08.2005)/17</t>
  </si>
  <si>
    <t xml:space="preserve">Дзержинск/Нижегородская область </t>
  </si>
  <si>
    <t>76,10</t>
  </si>
  <si>
    <t>76,90</t>
  </si>
  <si>
    <t>Открытая (29.05.1991)/31</t>
  </si>
  <si>
    <t>Быков Илья</t>
  </si>
  <si>
    <t>135,0</t>
  </si>
  <si>
    <t>Открытая (01.04.1996)/26</t>
  </si>
  <si>
    <t>Сомов Денис</t>
  </si>
  <si>
    <t>155,0</t>
  </si>
  <si>
    <t>140,0</t>
  </si>
  <si>
    <t>80,50</t>
  </si>
  <si>
    <t>Открытая (08.02.2000)/22</t>
  </si>
  <si>
    <t>Захаров Максим</t>
  </si>
  <si>
    <t>Открытая (23.10.1994)/27</t>
  </si>
  <si>
    <t>Арбузов Олег</t>
  </si>
  <si>
    <t>195,0</t>
  </si>
  <si>
    <t>182,5</t>
  </si>
  <si>
    <t>79,10</t>
  </si>
  <si>
    <t>Открытая (07.11.2002)/19</t>
  </si>
  <si>
    <t>Открытая (30.06.1990)/32</t>
  </si>
  <si>
    <t>Рожнов Евгений</t>
  </si>
  <si>
    <t>Открытая (21.07.1992)/30</t>
  </si>
  <si>
    <t>Кеслер Антон</t>
  </si>
  <si>
    <t>82,30</t>
  </si>
  <si>
    <t>77,30</t>
  </si>
  <si>
    <t>Юноши 15-19 (26.12.2006)/15</t>
  </si>
  <si>
    <t>Глушенков Максим</t>
  </si>
  <si>
    <t>175,0</t>
  </si>
  <si>
    <t>79,00</t>
  </si>
  <si>
    <t>Юноши 15-19 (11.07.2003)/19</t>
  </si>
  <si>
    <t>Юноши 15-19 (07.11.2002)/19</t>
  </si>
  <si>
    <t>100,0</t>
  </si>
  <si>
    <t>162,5</t>
  </si>
  <si>
    <t>157,5</t>
  </si>
  <si>
    <t>152,5</t>
  </si>
  <si>
    <t>71,60</t>
  </si>
  <si>
    <t>Наливин Константин</t>
  </si>
  <si>
    <t>142,5</t>
  </si>
  <si>
    <t>Лимаренко Артём</t>
  </si>
  <si>
    <t>Открытая (20.06.1982)/40</t>
  </si>
  <si>
    <t>74,70</t>
  </si>
  <si>
    <t>Открытая (05.11.1997)/24</t>
  </si>
  <si>
    <t>Кузнецов Дмитрий</t>
  </si>
  <si>
    <t>165,0</t>
  </si>
  <si>
    <t>72,70</t>
  </si>
  <si>
    <t>Открытая (17.08.1988)/34</t>
  </si>
  <si>
    <t>Черепанов Максим</t>
  </si>
  <si>
    <t>Открытая (17.08.1996)/26</t>
  </si>
  <si>
    <t>Пирогов Иван</t>
  </si>
  <si>
    <t>107,5</t>
  </si>
  <si>
    <t>90,0</t>
  </si>
  <si>
    <t>72,40</t>
  </si>
  <si>
    <t>Юноши 15-19 (08.04.2006)/16</t>
  </si>
  <si>
    <t>Корепанов Даниил</t>
  </si>
  <si>
    <t>102,5</t>
  </si>
  <si>
    <t>95,0</t>
  </si>
  <si>
    <t>Юноши 15-19 (15.05.2005)/17</t>
  </si>
  <si>
    <t>Юноши 15-19 (13.06.2005)/17</t>
  </si>
  <si>
    <t>Юноши 15-19 (05.07.2004)/18</t>
  </si>
  <si>
    <t>72,10</t>
  </si>
  <si>
    <t>Юноши 15-19 (06.08.2006)/16</t>
  </si>
  <si>
    <t>Пегов Демьян</t>
  </si>
  <si>
    <t>67,40</t>
  </si>
  <si>
    <t>Открытая (08.04.1994)/28</t>
  </si>
  <si>
    <t>Крупин Андрей</t>
  </si>
  <si>
    <t>85,0</t>
  </si>
  <si>
    <t>Юноши 15-19 (11.09.2009)/13</t>
  </si>
  <si>
    <t>Юноши 15-19 (25.07.2006)/16</t>
  </si>
  <si>
    <t>66,30</t>
  </si>
  <si>
    <t>Юноши 15-19 (14.08.2008)/14</t>
  </si>
  <si>
    <t>Ражев Алексей</t>
  </si>
  <si>
    <t>Юноши 15-19 (01.06.2003)/19</t>
  </si>
  <si>
    <t>59,70</t>
  </si>
  <si>
    <t>Открытая (05.01.1996)/26</t>
  </si>
  <si>
    <t>Лашманов Дмитрий</t>
  </si>
  <si>
    <t>105,0</t>
  </si>
  <si>
    <t>59,30</t>
  </si>
  <si>
    <t>Юноши 15-19 (06.11.2007)/14</t>
  </si>
  <si>
    <t>Малков Максим</t>
  </si>
  <si>
    <t>147,5</t>
  </si>
  <si>
    <t>132,5</t>
  </si>
  <si>
    <t>54,40</t>
  </si>
  <si>
    <t>Открытая (10.02.1984)/38</t>
  </si>
  <si>
    <t>Вакин Артём</t>
  </si>
  <si>
    <t>Юноши 15-19 (21.06.2007)/15</t>
  </si>
  <si>
    <t>Юноши 15-19 (06.07.2006)/16</t>
  </si>
  <si>
    <t>115,0</t>
  </si>
  <si>
    <t>100,40</t>
  </si>
  <si>
    <t>Открытая (19.12.1997)/24</t>
  </si>
  <si>
    <t>Быстрова Александра</t>
  </si>
  <si>
    <t>75,70</t>
  </si>
  <si>
    <t>Открытая (03.06.2003)/19</t>
  </si>
  <si>
    <t>Девушки 15-19 (03.06.2003)/19</t>
  </si>
  <si>
    <t>63,00</t>
  </si>
  <si>
    <t>Открытая (28.04.1998)/24</t>
  </si>
  <si>
    <t>Хрулева Евгения</t>
  </si>
  <si>
    <t>66,40</t>
  </si>
  <si>
    <t>Открытая (01.02.1983)/39</t>
  </si>
  <si>
    <t>Тюлькина Татьяна</t>
  </si>
  <si>
    <t>57,30</t>
  </si>
  <si>
    <t>92,5</t>
  </si>
  <si>
    <t>82,5</t>
  </si>
  <si>
    <t>59,00</t>
  </si>
  <si>
    <t>Открытая (14.10.1985)/36</t>
  </si>
  <si>
    <t>Третьякова Светлана</t>
  </si>
  <si>
    <t>53,20</t>
  </si>
  <si>
    <t>Открытая (13.02.1990)/32</t>
  </si>
  <si>
    <t>Кириченко Анастасия</t>
  </si>
  <si>
    <t>127,5</t>
  </si>
  <si>
    <t>122,5</t>
  </si>
  <si>
    <t>52,40</t>
  </si>
  <si>
    <t>Открытая (06.12.1992)/29</t>
  </si>
  <si>
    <t>52,20</t>
  </si>
  <si>
    <t>Девушки 15-19 (24.04.2007)/15</t>
  </si>
  <si>
    <t>Цурилова Ксения</t>
  </si>
  <si>
    <t>43,80</t>
  </si>
  <si>
    <t>Баландина Анна</t>
  </si>
  <si>
    <t>50,80</t>
  </si>
  <si>
    <t>Открытая (01.04.1994)/28</t>
  </si>
  <si>
    <t>Никитина Марина</t>
  </si>
  <si>
    <t>97,5</t>
  </si>
  <si>
    <t>Открытая (07.12.1989)/32</t>
  </si>
  <si>
    <t>Фриман Кристина</t>
  </si>
  <si>
    <t>50,00</t>
  </si>
  <si>
    <t>Девушки 15-19 (22.04.2007)/15</t>
  </si>
  <si>
    <t>117,5</t>
  </si>
  <si>
    <t>48,00</t>
  </si>
  <si>
    <t>Открытая (12.02.1999)/23</t>
  </si>
  <si>
    <t>45,70</t>
  </si>
  <si>
    <t>Девушки 15-19 (10.08.2010)/12</t>
  </si>
  <si>
    <t>Усманова Виктория</t>
  </si>
  <si>
    <t>46,30</t>
  </si>
  <si>
    <t>Девушки 15-19 (27.07.2011)/11</t>
  </si>
  <si>
    <t>Становая тяга</t>
  </si>
  <si>
    <t>Сычев В.</t>
  </si>
  <si>
    <t>Панфилов А.</t>
  </si>
  <si>
    <t>Бугров Е.</t>
  </si>
  <si>
    <t>Салахетдинов Э.</t>
  </si>
  <si>
    <t>Поляков А.</t>
  </si>
  <si>
    <t>Воронин А.</t>
  </si>
  <si>
    <t>Нежиков И.</t>
  </si>
  <si>
    <t>Кузин Н.</t>
  </si>
  <si>
    <t>Козырев О.</t>
  </si>
  <si>
    <t>Гаврилов С.</t>
  </si>
  <si>
    <t>Нижний Новгород/Нижегородская область</t>
  </si>
  <si>
    <t>Дзержинск/Нижегородская область</t>
  </si>
  <si>
    <t>Главный судья соревнований:</t>
  </si>
  <si>
    <t>Матвеев Максим/ РК, Нижний Новгород</t>
  </si>
  <si>
    <t>Главный секретарь соревнований:</t>
  </si>
  <si>
    <t>Шумкова Анастасия/ РК, Нижний Новгород</t>
  </si>
  <si>
    <t>Судьи:</t>
  </si>
  <si>
    <t>Волжский Алексей/ РК, Нижний Новгород</t>
  </si>
  <si>
    <t>Большаков Сергей/ РК, Нижний Новгород</t>
  </si>
  <si>
    <t>Аршинов И.</t>
  </si>
  <si>
    <t>Тимин С.</t>
  </si>
  <si>
    <t>Волжский А.</t>
  </si>
  <si>
    <t>Шалаев Е.</t>
  </si>
  <si>
    <t>Лукьянов С.</t>
  </si>
  <si>
    <t>Самостоятельно</t>
  </si>
  <si>
    <t xml:space="preserve">Поляков А. </t>
  </si>
  <si>
    <t>Шейн А.</t>
  </si>
  <si>
    <t xml:space="preserve">Панфилов А. </t>
  </si>
  <si>
    <t>Федцов А.</t>
  </si>
  <si>
    <t>Абрамов А.</t>
  </si>
  <si>
    <t xml:space="preserve">Волжский А. </t>
  </si>
  <si>
    <t>Кузнецов Д.</t>
  </si>
  <si>
    <t>Малыгин А.</t>
  </si>
  <si>
    <t>Лукъянов С.</t>
  </si>
  <si>
    <t>Пушкин И.</t>
  </si>
  <si>
    <t>Ляпин Е.</t>
  </si>
  <si>
    <t>Панкратов М.</t>
  </si>
  <si>
    <t>Открытый турнир «Осенний вызов»
IPL Становая тяга без экипировки
Нижний Новгород/Нижегородская область, 17 сентября 2022 года</t>
  </si>
  <si>
    <t>Открытый турнир «Осенний вызов»
СПР Строгий подъем штанги на бицепс
Нижний Новгород/Нижегородская область, 17 сентября 2022 года</t>
  </si>
  <si>
    <t>Юниорки 20-23 (12.02.1999)/23</t>
  </si>
  <si>
    <t>Мастера 40-44 (22.06.1980)/42</t>
  </si>
  <si>
    <t>Юниорки 20-23 (29.04.2002)/20</t>
  </si>
  <si>
    <t>Мастера 40-44 (22.10.1980)/41</t>
  </si>
  <si>
    <t>Мастера 40-44 (30.04.1982)/40</t>
  </si>
  <si>
    <t>Мастера 55-59 (16.02.1964)/58</t>
  </si>
  <si>
    <t>Юниоры 20-23 (20.04.2000)/22</t>
  </si>
  <si>
    <t>Юниоры 20-23 (19.08.2002)/20</t>
  </si>
  <si>
    <t>Мастера 40-44 (20.06.1982)/40</t>
  </si>
  <si>
    <t>Мастера 45-49 (14.01.1977)/45</t>
  </si>
  <si>
    <t>Мастера 45-49 (15.05.1977)/45</t>
  </si>
  <si>
    <t>Юниоры 20-23 (06.09.2000)/22</t>
  </si>
  <si>
    <t>Юниоры 20-23 (08.02.2000)/22</t>
  </si>
  <si>
    <t>Мастера 70-74 (05.03.1950)/72</t>
  </si>
  <si>
    <t>Мастера 40-44 (21.01.1980)/42</t>
  </si>
  <si>
    <t>Мастера 45-49 (07.02.1974)/48</t>
  </si>
  <si>
    <t>Мастера 45-49 (11.10.1973)/48</t>
  </si>
  <si>
    <t>Мастера 50-54 (27.09.1969)/52</t>
  </si>
  <si>
    <t>Юниоры 20-23 (22.04.2002)/20</t>
  </si>
  <si>
    <t>Мастера 40-44 (28.08.1979)/43</t>
  </si>
  <si>
    <t>Мастера 40-44 (08.10.1979)/42</t>
  </si>
  <si>
    <t>Мастера 45-49 (24.06.1976)/46</t>
  </si>
  <si>
    <t>Юниоры 20-23 (09.07.2001)/21</t>
  </si>
  <si>
    <t>Мастера 45-49 (15.09.1976)/46</t>
  </si>
  <si>
    <t>Девушки 13-19 (01.11.2005)/16</t>
  </si>
  <si>
    <t>Юниорки 20-23 (25.11.1998)/23</t>
  </si>
  <si>
    <t>Мастера 40-49 (30.04.1982)/40</t>
  </si>
  <si>
    <t>Мастера 40-49 (10.03.1977)/45</t>
  </si>
  <si>
    <t>Мастера 50-59 (16.02.1964)/58</t>
  </si>
  <si>
    <t>Юноши 13-19 (06.07.2006)/16</t>
  </si>
  <si>
    <t>Юноши 13-19 (02.07.2007)/15</t>
  </si>
  <si>
    <t>Юноши 13-19 (14.03.2006)/16</t>
  </si>
  <si>
    <t>Юноши 13-19 (21.06.2007)/15</t>
  </si>
  <si>
    <t>Юноши 13-19 (01.06.2003)/19</t>
  </si>
  <si>
    <t>Юноши 13-19 (26.07.2004)/18</t>
  </si>
  <si>
    <t>Юноши 13-19 (19.08.2007)/15</t>
  </si>
  <si>
    <t>Юноши 13-19 (25.07.2006)/16</t>
  </si>
  <si>
    <t>Юноши 13-19 (11.09.2009)/13</t>
  </si>
  <si>
    <t>Юниоры 20-23 (11.05.2000)/22</t>
  </si>
  <si>
    <t>Мастера 40-49 (11.05.1980)/42</t>
  </si>
  <si>
    <t>Юноши 13-19 (05.07.2004)/18</t>
  </si>
  <si>
    <t>Юноши 13-19 (15.05.2005)/17</t>
  </si>
  <si>
    <t>Юноши 13-19 (13.06.2005)/17</t>
  </si>
  <si>
    <t>Юноши 13-19 (18.05.2006)/16</t>
  </si>
  <si>
    <t>Юниоры 20-23 (08.05.2000)/22</t>
  </si>
  <si>
    <t>Юниоры 20-23 (06.12.1998)/23</t>
  </si>
  <si>
    <t>Юниоры 20-23 (24.02.2001)/21</t>
  </si>
  <si>
    <t>Мастера 40-49 (15.05.1977)/45</t>
  </si>
  <si>
    <t>Юниоры 20-23 (17.01.1999)/23</t>
  </si>
  <si>
    <t>Мастера 40-49 (10.10.1973)/48</t>
  </si>
  <si>
    <t>Мастера 40-49 (02.12.1976)/45</t>
  </si>
  <si>
    <t>Мастера 40-49 (27.07.1977)/45</t>
  </si>
  <si>
    <t>Мастера 50-59 (03.10.1969)/52</t>
  </si>
  <si>
    <t>Мастера 50-59 (17.04.1968)/54</t>
  </si>
  <si>
    <t>Юноши 13-19 (26.08.2005)/17</t>
  </si>
  <si>
    <t>Мастера 40-49 (11.10.1973)/48</t>
  </si>
  <si>
    <t>Мастера 40-49 (28.03.1982)/40</t>
  </si>
  <si>
    <t>Мастера 50-59 (22.11.1968)/53</t>
  </si>
  <si>
    <t>Мастера 40-49 (28.08.1979)/43</t>
  </si>
  <si>
    <t>Мастера 50-59 (25.07.1964)/58</t>
  </si>
  <si>
    <t>Мастера 40-49 (31.05.1975)/47</t>
  </si>
  <si>
    <t>Мастера 40-49 (11.11.1972)/49</t>
  </si>
  <si>
    <t>Мастера 40-49 (04.01.1979)/43</t>
  </si>
  <si>
    <t xml:space="preserve">Казань/Республика Татарстан </t>
  </si>
  <si>
    <t xml:space="preserve">Саранск/Республика Мордовия </t>
  </si>
  <si>
    <t>Весовая категория</t>
  </si>
  <si>
    <t>Судейская коллегия Открытого турнира «Осенний вызов»</t>
  </si>
  <si>
    <t>Дворковой Алексей/ РК, Нижний Новгород</t>
  </si>
  <si>
    <t>№</t>
  </si>
  <si>
    <t>Жим</t>
  </si>
  <si>
    <t xml:space="preserve">
Дата рождения/Возраст</t>
  </si>
  <si>
    <t>Возрастная группа</t>
  </si>
  <si>
    <t>T</t>
  </si>
  <si>
    <t>J</t>
  </si>
  <si>
    <t>O</t>
  </si>
  <si>
    <t>M1</t>
  </si>
  <si>
    <t>M4</t>
  </si>
  <si>
    <t>M2</t>
  </si>
  <si>
    <t>M7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</si>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</sst>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/>
    <xf numFmtId="49" fontId="10" fillId="0" borderId="0" xfId="0" applyNumberFormat="1" applyFont="1" applyAlignment="1">
      <alignment horizontal="left" vertical="center"/>
    </xf>
    <xf numFmtId="0" fontId="10" fillId="0" borderId="0" xfId="0" applyFont="1"/>
    <xf numFmtId="0" fontId="4" fillId="0" borderId="0" xfId="0" applyFont="1"/>
    <xf numFmtId="49" fontId="2" fillId="0" borderId="12" xfId="0" applyNumberFormat="1" applyFont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6A4A-1F6F-4B0F-B03D-C4B7DEEEF781}">
  <sheetPr>
    <pageSetUpPr fitToPage="1"/>
  </sheetPr>
  <dimension ref="A1:M151"/>
  <sheetViews>
    <sheetView topLeftCell="A98" workbookViewId="0">
      <selection activeCell="E135" sqref="E135"/>
    </sheetView>
  </sheetViews>
  <sheetFormatPr baseColWidth="10" defaultColWidth="9.1640625" defaultRowHeight="13"/>
  <cols>
    <col min="1" max="1" width="7.1640625" style="40" bestFit="1" customWidth="1"/>
    <col min="2" max="2" width="20.5" style="40" bestFit="1" customWidth="1"/>
    <col min="3" max="3" width="28.83203125" style="40" bestFit="1" customWidth="1"/>
    <col min="4" max="4" width="20.83203125" style="40" bestFit="1" customWidth="1"/>
    <col min="5" max="5" width="10.1640625" style="43" bestFit="1" customWidth="1"/>
    <col min="6" max="6" width="38.5" style="40" bestFit="1" customWidth="1"/>
    <col min="7" max="10" width="5.5" style="42" customWidth="1"/>
    <col min="11" max="11" width="10.5" style="45" bestFit="1" customWidth="1"/>
    <col min="12" max="12" width="8.5" style="41" bestFit="1" customWidth="1"/>
    <col min="13" max="13" width="29.1640625" style="40" bestFit="1" customWidth="1"/>
    <col min="14" max="16384" width="9.1640625" style="39"/>
  </cols>
  <sheetData>
    <row r="1" spans="1:13" s="74" customFormat="1" ht="29" customHeight="1">
      <c r="A1" s="96" t="s">
        <v>544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74" customFormat="1" ht="62" customHeight="1" thickBot="1">
      <c r="A2" s="100"/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72" customFormat="1" ht="12.75" customHeight="1">
      <c r="A3" s="105" t="s">
        <v>614</v>
      </c>
      <c r="B3" s="111" t="s">
        <v>0</v>
      </c>
      <c r="C3" s="107" t="s">
        <v>616</v>
      </c>
      <c r="D3" s="107" t="s">
        <v>5</v>
      </c>
      <c r="E3" s="113" t="s">
        <v>617</v>
      </c>
      <c r="F3" s="104" t="s">
        <v>4</v>
      </c>
      <c r="G3" s="104" t="s">
        <v>506</v>
      </c>
      <c r="H3" s="104"/>
      <c r="I3" s="104"/>
      <c r="J3" s="104"/>
      <c r="K3" s="115" t="s">
        <v>255</v>
      </c>
      <c r="L3" s="113" t="s">
        <v>2</v>
      </c>
      <c r="M3" s="109" t="s">
        <v>1</v>
      </c>
    </row>
    <row r="4" spans="1:13" s="72" customFormat="1" ht="21" customHeight="1" thickBot="1">
      <c r="A4" s="106"/>
      <c r="B4" s="112"/>
      <c r="C4" s="108"/>
      <c r="D4" s="108"/>
      <c r="E4" s="114"/>
      <c r="F4" s="108"/>
      <c r="G4" s="73">
        <v>1</v>
      </c>
      <c r="H4" s="73">
        <v>2</v>
      </c>
      <c r="I4" s="73">
        <v>3</v>
      </c>
      <c r="J4" s="73" t="s">
        <v>3</v>
      </c>
      <c r="K4" s="116"/>
      <c r="L4" s="114"/>
      <c r="M4" s="110"/>
    </row>
    <row r="5" spans="1:13" ht="16">
      <c r="A5" s="94" t="s">
        <v>6</v>
      </c>
      <c r="B5" s="94"/>
      <c r="C5" s="95"/>
      <c r="D5" s="95"/>
      <c r="E5" s="95"/>
      <c r="F5" s="95"/>
      <c r="G5" s="95"/>
      <c r="H5" s="95"/>
      <c r="I5" s="95"/>
      <c r="J5" s="95"/>
    </row>
    <row r="6" spans="1:13">
      <c r="A6" s="68" t="s">
        <v>256</v>
      </c>
      <c r="B6" s="66" t="s">
        <v>282</v>
      </c>
      <c r="C6" s="66" t="s">
        <v>505</v>
      </c>
      <c r="D6" s="66" t="s">
        <v>504</v>
      </c>
      <c r="E6" s="69" t="s">
        <v>618</v>
      </c>
      <c r="F6" s="66" t="s">
        <v>517</v>
      </c>
      <c r="G6" s="28" t="s">
        <v>93</v>
      </c>
      <c r="H6" s="28" t="s">
        <v>131</v>
      </c>
      <c r="I6" s="28" t="s">
        <v>154</v>
      </c>
      <c r="J6" s="68"/>
      <c r="K6" s="82" t="str">
        <f>"72,5"</f>
        <v>72,5</v>
      </c>
      <c r="L6" s="67" t="str">
        <f>"98,5565"</f>
        <v>98,5565</v>
      </c>
      <c r="M6" s="66" t="s">
        <v>526</v>
      </c>
    </row>
    <row r="7" spans="1:13">
      <c r="A7" s="63" t="s">
        <v>257</v>
      </c>
      <c r="B7" s="61" t="s">
        <v>503</v>
      </c>
      <c r="C7" s="61" t="s">
        <v>502</v>
      </c>
      <c r="D7" s="61" t="s">
        <v>501</v>
      </c>
      <c r="E7" s="65" t="s">
        <v>618</v>
      </c>
      <c r="F7" s="61" t="s">
        <v>517</v>
      </c>
      <c r="G7" s="64" t="s">
        <v>17</v>
      </c>
      <c r="H7" s="30" t="s">
        <v>17</v>
      </c>
      <c r="I7" s="30" t="s">
        <v>38</v>
      </c>
      <c r="J7" s="63"/>
      <c r="K7" s="83" t="str">
        <f>"35,0"</f>
        <v>35,0</v>
      </c>
      <c r="L7" s="62" t="str">
        <f>"48,0200"</f>
        <v>48,0200</v>
      </c>
      <c r="M7" s="61"/>
    </row>
    <row r="8" spans="1:13">
      <c r="A8" s="63" t="s">
        <v>256</v>
      </c>
      <c r="B8" s="61" t="s">
        <v>279</v>
      </c>
      <c r="C8" s="61" t="s">
        <v>546</v>
      </c>
      <c r="D8" s="61" t="s">
        <v>499</v>
      </c>
      <c r="E8" s="65" t="s">
        <v>619</v>
      </c>
      <c r="F8" s="61" t="s">
        <v>517</v>
      </c>
      <c r="G8" s="30" t="s">
        <v>498</v>
      </c>
      <c r="H8" s="64" t="s">
        <v>482</v>
      </c>
      <c r="I8" s="30" t="s">
        <v>482</v>
      </c>
      <c r="J8" s="63"/>
      <c r="K8" s="83" t="str">
        <f>"122,5"</f>
        <v>122,5</v>
      </c>
      <c r="L8" s="62" t="str">
        <f>"162,2390"</f>
        <v>162,2390</v>
      </c>
      <c r="M8" s="61"/>
    </row>
    <row r="9" spans="1:13">
      <c r="A9" s="59" t="s">
        <v>256</v>
      </c>
      <c r="B9" s="57" t="s">
        <v>279</v>
      </c>
      <c r="C9" s="57" t="s">
        <v>500</v>
      </c>
      <c r="D9" s="57" t="s">
        <v>499</v>
      </c>
      <c r="E9" s="60" t="s">
        <v>620</v>
      </c>
      <c r="F9" s="57" t="s">
        <v>517</v>
      </c>
      <c r="G9" s="33" t="s">
        <v>498</v>
      </c>
      <c r="H9" s="71" t="s">
        <v>482</v>
      </c>
      <c r="I9" s="33" t="s">
        <v>482</v>
      </c>
      <c r="J9" s="59"/>
      <c r="K9" s="84" t="str">
        <f>"122,5"</f>
        <v>122,5</v>
      </c>
      <c r="L9" s="58" t="str">
        <f>"162,2390"</f>
        <v>162,2390</v>
      </c>
      <c r="M9" s="57"/>
    </row>
    <row r="11" spans="1:13" ht="16">
      <c r="A11" s="92" t="s">
        <v>20</v>
      </c>
      <c r="B11" s="92"/>
      <c r="C11" s="93"/>
      <c r="D11" s="93"/>
      <c r="E11" s="93"/>
      <c r="F11" s="93"/>
      <c r="G11" s="93"/>
      <c r="H11" s="93"/>
      <c r="I11" s="93"/>
      <c r="J11" s="93"/>
    </row>
    <row r="12" spans="1:13">
      <c r="A12" s="68" t="s">
        <v>256</v>
      </c>
      <c r="B12" s="66" t="s">
        <v>283</v>
      </c>
      <c r="C12" s="66" t="s">
        <v>497</v>
      </c>
      <c r="D12" s="66" t="s">
        <v>496</v>
      </c>
      <c r="E12" s="69" t="s">
        <v>618</v>
      </c>
      <c r="F12" s="66" t="s">
        <v>518</v>
      </c>
      <c r="G12" s="28" t="s">
        <v>423</v>
      </c>
      <c r="H12" s="28" t="s">
        <v>428</v>
      </c>
      <c r="I12" s="70" t="s">
        <v>404</v>
      </c>
      <c r="J12" s="68"/>
      <c r="K12" s="82" t="str">
        <f>"95,0"</f>
        <v>95,0</v>
      </c>
      <c r="L12" s="67" t="str">
        <f>"122,0370"</f>
        <v>122,0370</v>
      </c>
      <c r="M12" s="66" t="s">
        <v>510</v>
      </c>
    </row>
    <row r="13" spans="1:13">
      <c r="A13" s="63" t="s">
        <v>256</v>
      </c>
      <c r="B13" s="61" t="s">
        <v>495</v>
      </c>
      <c r="C13" s="61" t="s">
        <v>494</v>
      </c>
      <c r="D13" s="61" t="s">
        <v>23</v>
      </c>
      <c r="E13" s="65" t="s">
        <v>620</v>
      </c>
      <c r="F13" s="61" t="s">
        <v>517</v>
      </c>
      <c r="G13" s="30" t="s">
        <v>473</v>
      </c>
      <c r="H13" s="30" t="s">
        <v>493</v>
      </c>
      <c r="I13" s="30" t="s">
        <v>427</v>
      </c>
      <c r="J13" s="63"/>
      <c r="K13" s="83" t="str">
        <f>"102,5"</f>
        <v>102,5</v>
      </c>
      <c r="L13" s="62" t="str">
        <f>"129,7035"</f>
        <v>129,7035</v>
      </c>
      <c r="M13" s="61" t="s">
        <v>527</v>
      </c>
    </row>
    <row r="14" spans="1:13">
      <c r="A14" s="59" t="s">
        <v>257</v>
      </c>
      <c r="B14" s="57" t="s">
        <v>492</v>
      </c>
      <c r="C14" s="57" t="s">
        <v>491</v>
      </c>
      <c r="D14" s="57" t="s">
        <v>490</v>
      </c>
      <c r="E14" s="60" t="s">
        <v>620</v>
      </c>
      <c r="F14" s="57" t="s">
        <v>517</v>
      </c>
      <c r="G14" s="33" t="s">
        <v>94</v>
      </c>
      <c r="H14" s="33" t="s">
        <v>154</v>
      </c>
      <c r="I14" s="33" t="s">
        <v>193</v>
      </c>
      <c r="J14" s="59"/>
      <c r="K14" s="84" t="str">
        <f>"80,0"</f>
        <v>80,0</v>
      </c>
      <c r="L14" s="58" t="str">
        <f>"101,5360"</f>
        <v>101,5360</v>
      </c>
      <c r="M14" s="57"/>
    </row>
    <row r="16" spans="1:13" ht="16">
      <c r="A16" s="92" t="s">
        <v>20</v>
      </c>
      <c r="B16" s="92"/>
      <c r="C16" s="93"/>
      <c r="D16" s="93"/>
      <c r="E16" s="93"/>
      <c r="F16" s="93"/>
      <c r="G16" s="93"/>
      <c r="H16" s="93"/>
      <c r="I16" s="93"/>
      <c r="J16" s="93"/>
    </row>
    <row r="17" spans="1:13">
      <c r="A17" s="54" t="s">
        <v>256</v>
      </c>
      <c r="B17" s="52" t="s">
        <v>489</v>
      </c>
      <c r="C17" s="52" t="s">
        <v>547</v>
      </c>
      <c r="D17" s="52" t="s">
        <v>488</v>
      </c>
      <c r="E17" s="56" t="s">
        <v>621</v>
      </c>
      <c r="F17" s="52" t="s">
        <v>517</v>
      </c>
      <c r="G17" s="38" t="s">
        <v>131</v>
      </c>
      <c r="H17" s="38" t="s">
        <v>155</v>
      </c>
      <c r="I17" s="38" t="s">
        <v>193</v>
      </c>
      <c r="J17" s="55" t="s">
        <v>438</v>
      </c>
      <c r="K17" s="85" t="str">
        <f>"80,0"</f>
        <v>80,0</v>
      </c>
      <c r="L17" s="53" t="str">
        <f>"96,6220"</f>
        <v>96,6220</v>
      </c>
      <c r="M17" s="52" t="s">
        <v>528</v>
      </c>
    </row>
    <row r="19" spans="1:13" ht="16">
      <c r="A19" s="92" t="s">
        <v>27</v>
      </c>
      <c r="B19" s="92"/>
      <c r="C19" s="93"/>
      <c r="D19" s="93"/>
      <c r="E19" s="93"/>
      <c r="F19" s="93"/>
      <c r="G19" s="93"/>
      <c r="H19" s="93"/>
      <c r="I19" s="93"/>
      <c r="J19" s="93"/>
    </row>
    <row r="20" spans="1:13">
      <c r="A20" s="68" t="s">
        <v>256</v>
      </c>
      <c r="B20" s="66" t="s">
        <v>487</v>
      </c>
      <c r="C20" s="66" t="s">
        <v>486</v>
      </c>
      <c r="D20" s="66" t="s">
        <v>485</v>
      </c>
      <c r="E20" s="69" t="s">
        <v>618</v>
      </c>
      <c r="F20" s="66" t="s">
        <v>517</v>
      </c>
      <c r="G20" s="28" t="s">
        <v>131</v>
      </c>
      <c r="H20" s="28" t="s">
        <v>155</v>
      </c>
      <c r="I20" s="70" t="s">
        <v>156</v>
      </c>
      <c r="J20" s="68"/>
      <c r="K20" s="82" t="str">
        <f>"75,0"</f>
        <v>75,0</v>
      </c>
      <c r="L20" s="67" t="str">
        <f>"93,2175"</f>
        <v>93,2175</v>
      </c>
      <c r="M20" s="66" t="s">
        <v>526</v>
      </c>
    </row>
    <row r="21" spans="1:13">
      <c r="A21" s="63" t="s">
        <v>256</v>
      </c>
      <c r="B21" s="61" t="s">
        <v>278</v>
      </c>
      <c r="C21" s="61" t="s">
        <v>484</v>
      </c>
      <c r="D21" s="61" t="s">
        <v>483</v>
      </c>
      <c r="E21" s="65" t="s">
        <v>620</v>
      </c>
      <c r="F21" s="61" t="s">
        <v>518</v>
      </c>
      <c r="G21" s="30" t="s">
        <v>459</v>
      </c>
      <c r="H21" s="30" t="s">
        <v>482</v>
      </c>
      <c r="I21" s="30" t="s">
        <v>481</v>
      </c>
      <c r="J21" s="63"/>
      <c r="K21" s="83" t="str">
        <f>"127,5"</f>
        <v>127,5</v>
      </c>
      <c r="L21" s="62" t="str">
        <f>"158,0108"</f>
        <v>158,0108</v>
      </c>
      <c r="M21" s="61" t="s">
        <v>512</v>
      </c>
    </row>
    <row r="22" spans="1:13">
      <c r="A22" s="59" t="s">
        <v>257</v>
      </c>
      <c r="B22" s="57" t="s">
        <v>480</v>
      </c>
      <c r="C22" s="57" t="s">
        <v>479</v>
      </c>
      <c r="D22" s="57" t="s">
        <v>478</v>
      </c>
      <c r="E22" s="60" t="s">
        <v>620</v>
      </c>
      <c r="F22" s="57" t="s">
        <v>517</v>
      </c>
      <c r="G22" s="33" t="s">
        <v>131</v>
      </c>
      <c r="H22" s="33" t="s">
        <v>193</v>
      </c>
      <c r="I22" s="33" t="s">
        <v>438</v>
      </c>
      <c r="J22" s="59"/>
      <c r="K22" s="84" t="str">
        <f>"85,0"</f>
        <v>85,0</v>
      </c>
      <c r="L22" s="58" t="str">
        <f>"104,1080"</f>
        <v>104,1080</v>
      </c>
      <c r="M22" s="57" t="s">
        <v>529</v>
      </c>
    </row>
    <row r="24" spans="1:13" ht="16">
      <c r="A24" s="92" t="s">
        <v>30</v>
      </c>
      <c r="B24" s="92"/>
      <c r="C24" s="93"/>
      <c r="D24" s="93"/>
      <c r="E24" s="93"/>
      <c r="F24" s="93"/>
      <c r="G24" s="93"/>
      <c r="H24" s="93"/>
      <c r="I24" s="93"/>
      <c r="J24" s="93"/>
    </row>
    <row r="25" spans="1:13">
      <c r="A25" s="68" t="s">
        <v>256</v>
      </c>
      <c r="B25" s="66" t="s">
        <v>280</v>
      </c>
      <c r="C25" s="66" t="s">
        <v>548</v>
      </c>
      <c r="D25" s="66" t="s">
        <v>449</v>
      </c>
      <c r="E25" s="69" t="s">
        <v>619</v>
      </c>
      <c r="F25" s="66" t="s">
        <v>189</v>
      </c>
      <c r="G25" s="28" t="s">
        <v>438</v>
      </c>
      <c r="H25" s="28" t="s">
        <v>423</v>
      </c>
      <c r="I25" s="28" t="s">
        <v>473</v>
      </c>
      <c r="J25" s="68"/>
      <c r="K25" s="82" t="str">
        <f>"92,5"</f>
        <v>92,5</v>
      </c>
      <c r="L25" s="67" t="str">
        <f>"104,0718"</f>
        <v>104,0718</v>
      </c>
      <c r="M25" s="66" t="s">
        <v>531</v>
      </c>
    </row>
    <row r="26" spans="1:13">
      <c r="A26" s="63" t="s">
        <v>256</v>
      </c>
      <c r="B26" s="61" t="s">
        <v>31</v>
      </c>
      <c r="C26" s="61" t="s">
        <v>32</v>
      </c>
      <c r="D26" s="61" t="s">
        <v>33</v>
      </c>
      <c r="E26" s="65" t="s">
        <v>620</v>
      </c>
      <c r="F26" s="61" t="s">
        <v>517</v>
      </c>
      <c r="G26" s="30" t="s">
        <v>448</v>
      </c>
      <c r="H26" s="30" t="s">
        <v>459</v>
      </c>
      <c r="I26" s="63"/>
      <c r="J26" s="63"/>
      <c r="K26" s="83" t="str">
        <f>"115,0"</f>
        <v>115,0</v>
      </c>
      <c r="L26" s="62" t="str">
        <f>"129,7315"</f>
        <v>129,7315</v>
      </c>
      <c r="M26" s="61" t="s">
        <v>516</v>
      </c>
    </row>
    <row r="27" spans="1:13">
      <c r="A27" s="63" t="s">
        <v>257</v>
      </c>
      <c r="B27" s="61" t="s">
        <v>477</v>
      </c>
      <c r="C27" s="61" t="s">
        <v>476</v>
      </c>
      <c r="D27" s="61" t="s">
        <v>475</v>
      </c>
      <c r="E27" s="65" t="s">
        <v>620</v>
      </c>
      <c r="F27" s="61" t="s">
        <v>517</v>
      </c>
      <c r="G27" s="30" t="s">
        <v>155</v>
      </c>
      <c r="H27" s="30" t="s">
        <v>474</v>
      </c>
      <c r="I27" s="30" t="s">
        <v>473</v>
      </c>
      <c r="J27" s="63"/>
      <c r="K27" s="83" t="str">
        <f>"92,5"</f>
        <v>92,5</v>
      </c>
      <c r="L27" s="62" t="str">
        <f>"104,4788"</f>
        <v>104,4788</v>
      </c>
      <c r="M27" s="61" t="s">
        <v>526</v>
      </c>
    </row>
    <row r="28" spans="1:13">
      <c r="A28" s="59" t="s">
        <v>256</v>
      </c>
      <c r="B28" s="57" t="s">
        <v>277</v>
      </c>
      <c r="C28" s="57" t="s">
        <v>549</v>
      </c>
      <c r="D28" s="57" t="s">
        <v>472</v>
      </c>
      <c r="E28" s="60" t="s">
        <v>621</v>
      </c>
      <c r="F28" s="57" t="s">
        <v>47</v>
      </c>
      <c r="G28" s="33" t="s">
        <v>423</v>
      </c>
      <c r="H28" s="33" t="s">
        <v>448</v>
      </c>
      <c r="I28" s="33" t="s">
        <v>459</v>
      </c>
      <c r="J28" s="59"/>
      <c r="K28" s="84" t="str">
        <f>"115,0"</f>
        <v>115,0</v>
      </c>
      <c r="L28" s="58" t="str">
        <f>"133,5585"</f>
        <v>133,5585</v>
      </c>
      <c r="M28" s="57" t="s">
        <v>509</v>
      </c>
    </row>
    <row r="30" spans="1:13" ht="16">
      <c r="A30" s="92" t="s">
        <v>34</v>
      </c>
      <c r="B30" s="92"/>
      <c r="C30" s="93"/>
      <c r="D30" s="93"/>
      <c r="E30" s="93"/>
      <c r="F30" s="93"/>
      <c r="G30" s="93"/>
      <c r="H30" s="93"/>
      <c r="I30" s="93"/>
      <c r="J30" s="93"/>
    </row>
    <row r="31" spans="1:13">
      <c r="A31" s="68" t="s">
        <v>256</v>
      </c>
      <c r="B31" s="66" t="s">
        <v>35</v>
      </c>
      <c r="C31" s="66" t="s">
        <v>36</v>
      </c>
      <c r="D31" s="66" t="s">
        <v>37</v>
      </c>
      <c r="E31" s="69" t="s">
        <v>620</v>
      </c>
      <c r="F31" s="66" t="s">
        <v>9</v>
      </c>
      <c r="G31" s="28" t="s">
        <v>448</v>
      </c>
      <c r="H31" s="28" t="s">
        <v>459</v>
      </c>
      <c r="I31" s="28" t="s">
        <v>370</v>
      </c>
      <c r="J31" s="68"/>
      <c r="K31" s="82" t="str">
        <f>"120,0"</f>
        <v>120,0</v>
      </c>
      <c r="L31" s="67" t="str">
        <f>"131,5920"</f>
        <v>131,5920</v>
      </c>
      <c r="M31" s="66" t="s">
        <v>508</v>
      </c>
    </row>
    <row r="32" spans="1:13">
      <c r="A32" s="63" t="s">
        <v>257</v>
      </c>
      <c r="B32" s="61" t="s">
        <v>471</v>
      </c>
      <c r="C32" s="61" t="s">
        <v>470</v>
      </c>
      <c r="D32" s="61" t="s">
        <v>469</v>
      </c>
      <c r="E32" s="65" t="s">
        <v>620</v>
      </c>
      <c r="F32" s="61" t="s">
        <v>517</v>
      </c>
      <c r="G32" s="30" t="s">
        <v>404</v>
      </c>
      <c r="H32" s="30" t="s">
        <v>371</v>
      </c>
      <c r="I32" s="30" t="s">
        <v>370</v>
      </c>
      <c r="J32" s="63"/>
      <c r="K32" s="83" t="str">
        <f>"120,0"</f>
        <v>120,0</v>
      </c>
      <c r="L32" s="62" t="str">
        <f>"123,9360"</f>
        <v>123,9360</v>
      </c>
      <c r="M32" s="61" t="s">
        <v>526</v>
      </c>
    </row>
    <row r="33" spans="1:13">
      <c r="A33" s="63" t="s">
        <v>259</v>
      </c>
      <c r="B33" s="61" t="s">
        <v>468</v>
      </c>
      <c r="C33" s="61" t="s">
        <v>467</v>
      </c>
      <c r="D33" s="61" t="s">
        <v>466</v>
      </c>
      <c r="E33" s="65" t="s">
        <v>620</v>
      </c>
      <c r="F33" s="61" t="s">
        <v>517</v>
      </c>
      <c r="G33" s="30" t="s">
        <v>193</v>
      </c>
      <c r="H33" s="30" t="s">
        <v>423</v>
      </c>
      <c r="I33" s="30" t="s">
        <v>404</v>
      </c>
      <c r="J33" s="63"/>
      <c r="K33" s="83" t="str">
        <f>"100,0"</f>
        <v>100,0</v>
      </c>
      <c r="L33" s="62" t="str">
        <f>"107,4000"</f>
        <v>107,4000</v>
      </c>
      <c r="M33" s="61" t="s">
        <v>530</v>
      </c>
    </row>
    <row r="34" spans="1:13">
      <c r="A34" s="59" t="s">
        <v>256</v>
      </c>
      <c r="B34" s="57" t="s">
        <v>35</v>
      </c>
      <c r="C34" s="57" t="s">
        <v>550</v>
      </c>
      <c r="D34" s="57" t="s">
        <v>37</v>
      </c>
      <c r="E34" s="60" t="s">
        <v>621</v>
      </c>
      <c r="F34" s="57" t="s">
        <v>9</v>
      </c>
      <c r="G34" s="33" t="s">
        <v>448</v>
      </c>
      <c r="H34" s="33" t="s">
        <v>459</v>
      </c>
      <c r="I34" s="33" t="s">
        <v>370</v>
      </c>
      <c r="J34" s="59"/>
      <c r="K34" s="84" t="str">
        <f>"120,0"</f>
        <v>120,0</v>
      </c>
      <c r="L34" s="58" t="str">
        <f>"131,5920"</f>
        <v>131,5920</v>
      </c>
      <c r="M34" s="57" t="s">
        <v>508</v>
      </c>
    </row>
    <row r="36" spans="1:13" ht="16">
      <c r="A36" s="92" t="s">
        <v>48</v>
      </c>
      <c r="B36" s="92"/>
      <c r="C36" s="93"/>
      <c r="D36" s="93"/>
      <c r="E36" s="93"/>
      <c r="F36" s="93"/>
      <c r="G36" s="93"/>
      <c r="H36" s="93"/>
      <c r="I36" s="93"/>
      <c r="J36" s="93"/>
    </row>
    <row r="37" spans="1:13">
      <c r="A37" s="54" t="s">
        <v>256</v>
      </c>
      <c r="B37" s="52" t="s">
        <v>49</v>
      </c>
      <c r="C37" s="52" t="s">
        <v>50</v>
      </c>
      <c r="D37" s="52" t="s">
        <v>51</v>
      </c>
      <c r="E37" s="56" t="s">
        <v>620</v>
      </c>
      <c r="F37" s="52" t="s">
        <v>47</v>
      </c>
      <c r="G37" s="38" t="s">
        <v>459</v>
      </c>
      <c r="H37" s="38" t="s">
        <v>369</v>
      </c>
      <c r="I37" s="38" t="s">
        <v>382</v>
      </c>
      <c r="J37" s="54"/>
      <c r="K37" s="85" t="str">
        <f>"140,0"</f>
        <v>140,0</v>
      </c>
      <c r="L37" s="53" t="str">
        <f>"137,0320"</f>
        <v>137,0320</v>
      </c>
      <c r="M37" s="52" t="s">
        <v>509</v>
      </c>
    </row>
    <row r="39" spans="1:13" ht="16">
      <c r="A39" s="92" t="s">
        <v>148</v>
      </c>
      <c r="B39" s="92"/>
      <c r="C39" s="93"/>
      <c r="D39" s="93"/>
      <c r="E39" s="93"/>
      <c r="F39" s="93"/>
      <c r="G39" s="93"/>
      <c r="H39" s="93"/>
      <c r="I39" s="93"/>
      <c r="J39" s="93"/>
    </row>
    <row r="40" spans="1:13">
      <c r="A40" s="68" t="s">
        <v>256</v>
      </c>
      <c r="B40" s="66" t="s">
        <v>281</v>
      </c>
      <c r="C40" s="66" t="s">
        <v>465</v>
      </c>
      <c r="D40" s="66" t="s">
        <v>463</v>
      </c>
      <c r="E40" s="69" t="s">
        <v>618</v>
      </c>
      <c r="F40" s="66" t="s">
        <v>517</v>
      </c>
      <c r="G40" s="28" t="s">
        <v>438</v>
      </c>
      <c r="H40" s="28" t="s">
        <v>428</v>
      </c>
      <c r="I40" s="28" t="s">
        <v>404</v>
      </c>
      <c r="J40" s="68"/>
      <c r="K40" s="82" t="str">
        <f>"100,0"</f>
        <v>100,0</v>
      </c>
      <c r="L40" s="67" t="str">
        <f>"94,5200"</f>
        <v>94,5200</v>
      </c>
      <c r="M40" s="66" t="s">
        <v>529</v>
      </c>
    </row>
    <row r="41" spans="1:13">
      <c r="A41" s="59" t="s">
        <v>256</v>
      </c>
      <c r="B41" s="57" t="s">
        <v>281</v>
      </c>
      <c r="C41" s="57" t="s">
        <v>464</v>
      </c>
      <c r="D41" s="57" t="s">
        <v>463</v>
      </c>
      <c r="E41" s="60" t="s">
        <v>620</v>
      </c>
      <c r="F41" s="57" t="s">
        <v>517</v>
      </c>
      <c r="G41" s="33" t="s">
        <v>438</v>
      </c>
      <c r="H41" s="33" t="s">
        <v>428</v>
      </c>
      <c r="I41" s="33" t="s">
        <v>404</v>
      </c>
      <c r="J41" s="59"/>
      <c r="K41" s="84" t="str">
        <f>"100,0"</f>
        <v>100,0</v>
      </c>
      <c r="L41" s="58" t="str">
        <f>"94,5200"</f>
        <v>94,5200</v>
      </c>
      <c r="M41" s="57" t="s">
        <v>529</v>
      </c>
    </row>
    <row r="43" spans="1:13" ht="16">
      <c r="A43" s="92" t="s">
        <v>54</v>
      </c>
      <c r="B43" s="92"/>
      <c r="C43" s="93"/>
      <c r="D43" s="93"/>
      <c r="E43" s="93"/>
      <c r="F43" s="93"/>
      <c r="G43" s="93"/>
      <c r="H43" s="93"/>
      <c r="I43" s="93"/>
      <c r="J43" s="93"/>
    </row>
    <row r="44" spans="1:13">
      <c r="A44" s="68" t="s">
        <v>256</v>
      </c>
      <c r="B44" s="66" t="s">
        <v>462</v>
      </c>
      <c r="C44" s="66" t="s">
        <v>461</v>
      </c>
      <c r="D44" s="66" t="s">
        <v>460</v>
      </c>
      <c r="E44" s="69" t="s">
        <v>620</v>
      </c>
      <c r="F44" s="66" t="s">
        <v>518</v>
      </c>
      <c r="G44" s="70" t="s">
        <v>422</v>
      </c>
      <c r="H44" s="28" t="s">
        <v>459</v>
      </c>
      <c r="I44" s="70" t="s">
        <v>369</v>
      </c>
      <c r="J44" s="68"/>
      <c r="K44" s="82" t="str">
        <f>"115,0"</f>
        <v>115,0</v>
      </c>
      <c r="L44" s="67" t="str">
        <f>"95,6340"</f>
        <v>95,6340</v>
      </c>
      <c r="M44" s="66" t="s">
        <v>512</v>
      </c>
    </row>
    <row r="45" spans="1:13">
      <c r="A45" s="59" t="s">
        <v>256</v>
      </c>
      <c r="B45" s="57" t="s">
        <v>55</v>
      </c>
      <c r="C45" s="57" t="s">
        <v>551</v>
      </c>
      <c r="D45" s="57" t="s">
        <v>56</v>
      </c>
      <c r="E45" s="60" t="s">
        <v>622</v>
      </c>
      <c r="F45" s="57" t="s">
        <v>517</v>
      </c>
      <c r="G45" s="33" t="s">
        <v>193</v>
      </c>
      <c r="H45" s="33" t="s">
        <v>423</v>
      </c>
      <c r="I45" s="33" t="s">
        <v>428</v>
      </c>
      <c r="J45" s="59"/>
      <c r="K45" s="84" t="str">
        <f>"95,0"</f>
        <v>95,0</v>
      </c>
      <c r="L45" s="58" t="str">
        <f>"106,8269"</f>
        <v>106,8269</v>
      </c>
      <c r="M45" s="57" t="s">
        <v>515</v>
      </c>
    </row>
    <row r="47" spans="1:13" ht="16">
      <c r="A47" s="92" t="s">
        <v>20</v>
      </c>
      <c r="B47" s="92"/>
      <c r="C47" s="93"/>
      <c r="D47" s="93"/>
      <c r="E47" s="93"/>
      <c r="F47" s="93"/>
      <c r="G47" s="93"/>
      <c r="H47" s="93"/>
      <c r="I47" s="93"/>
      <c r="J47" s="93"/>
    </row>
    <row r="48" spans="1:13">
      <c r="A48" s="54" t="s">
        <v>256</v>
      </c>
      <c r="B48" s="52" t="s">
        <v>58</v>
      </c>
      <c r="C48" s="52" t="s">
        <v>458</v>
      </c>
      <c r="D48" s="52" t="s">
        <v>59</v>
      </c>
      <c r="E48" s="56" t="s">
        <v>618</v>
      </c>
      <c r="F48" s="52" t="s">
        <v>518</v>
      </c>
      <c r="G48" s="38" t="s">
        <v>404</v>
      </c>
      <c r="H48" s="38" t="s">
        <v>427</v>
      </c>
      <c r="I48" s="38" t="s">
        <v>371</v>
      </c>
      <c r="J48" s="54"/>
      <c r="K48" s="85" t="str">
        <f>"110,0"</f>
        <v>110,0</v>
      </c>
      <c r="L48" s="53" t="str">
        <f>"111,8260"</f>
        <v>111,8260</v>
      </c>
      <c r="M48" s="52"/>
    </row>
    <row r="50" spans="1:13" ht="16">
      <c r="A50" s="92" t="s">
        <v>27</v>
      </c>
      <c r="B50" s="92"/>
      <c r="C50" s="93"/>
      <c r="D50" s="93"/>
      <c r="E50" s="93"/>
      <c r="F50" s="93"/>
      <c r="G50" s="93"/>
      <c r="H50" s="93"/>
      <c r="I50" s="93"/>
      <c r="J50" s="93"/>
    </row>
    <row r="51" spans="1:13">
      <c r="A51" s="68" t="s">
        <v>256</v>
      </c>
      <c r="B51" s="66" t="s">
        <v>64</v>
      </c>
      <c r="C51" s="66" t="s">
        <v>457</v>
      </c>
      <c r="D51" s="66" t="s">
        <v>65</v>
      </c>
      <c r="E51" s="69" t="s">
        <v>618</v>
      </c>
      <c r="F51" s="66" t="s">
        <v>66</v>
      </c>
      <c r="G51" s="28" t="s">
        <v>370</v>
      </c>
      <c r="H51" s="28" t="s">
        <v>352</v>
      </c>
      <c r="I51" s="28" t="s">
        <v>378</v>
      </c>
      <c r="J51" s="68"/>
      <c r="K51" s="82" t="str">
        <f>"135,0"</f>
        <v>135,0</v>
      </c>
      <c r="L51" s="67" t="str">
        <f>"124,2000"</f>
        <v>124,2000</v>
      </c>
      <c r="M51" s="66" t="s">
        <v>514</v>
      </c>
    </row>
    <row r="52" spans="1:13">
      <c r="A52" s="63" t="s">
        <v>256</v>
      </c>
      <c r="B52" s="61" t="s">
        <v>71</v>
      </c>
      <c r="C52" s="61" t="s">
        <v>552</v>
      </c>
      <c r="D52" s="61" t="s">
        <v>72</v>
      </c>
      <c r="E52" s="65" t="s">
        <v>619</v>
      </c>
      <c r="F52" s="61" t="s">
        <v>66</v>
      </c>
      <c r="G52" s="30" t="s">
        <v>350</v>
      </c>
      <c r="H52" s="30" t="s">
        <v>326</v>
      </c>
      <c r="I52" s="30" t="s">
        <v>416</v>
      </c>
      <c r="J52" s="63"/>
      <c r="K52" s="83" t="str">
        <f>"165,0"</f>
        <v>165,0</v>
      </c>
      <c r="L52" s="62" t="str">
        <f>"150,4635"</f>
        <v>150,4635</v>
      </c>
      <c r="M52" s="61" t="s">
        <v>514</v>
      </c>
    </row>
    <row r="53" spans="1:13">
      <c r="A53" s="63" t="s">
        <v>257</v>
      </c>
      <c r="B53" s="61" t="s">
        <v>67</v>
      </c>
      <c r="C53" s="61" t="s">
        <v>553</v>
      </c>
      <c r="D53" s="61" t="s">
        <v>68</v>
      </c>
      <c r="E53" s="65" t="s">
        <v>619</v>
      </c>
      <c r="F53" s="61" t="s">
        <v>518</v>
      </c>
      <c r="G53" s="30" t="s">
        <v>378</v>
      </c>
      <c r="H53" s="30" t="s">
        <v>410</v>
      </c>
      <c r="I53" s="30" t="s">
        <v>452</v>
      </c>
      <c r="J53" s="63"/>
      <c r="K53" s="83" t="str">
        <f>"147,5"</f>
        <v>147,5</v>
      </c>
      <c r="L53" s="62" t="str">
        <f>"137,1750"</f>
        <v>137,1750</v>
      </c>
      <c r="M53" s="61" t="s">
        <v>511</v>
      </c>
    </row>
    <row r="54" spans="1:13">
      <c r="A54" s="59" t="s">
        <v>256</v>
      </c>
      <c r="B54" s="57" t="s">
        <v>456</v>
      </c>
      <c r="C54" s="57" t="s">
        <v>455</v>
      </c>
      <c r="D54" s="57" t="s">
        <v>454</v>
      </c>
      <c r="E54" s="60" t="s">
        <v>620</v>
      </c>
      <c r="F54" s="57" t="s">
        <v>518</v>
      </c>
      <c r="G54" s="33" t="s">
        <v>453</v>
      </c>
      <c r="H54" s="33" t="s">
        <v>382</v>
      </c>
      <c r="I54" s="33" t="s">
        <v>452</v>
      </c>
      <c r="J54" s="59"/>
      <c r="K54" s="84" t="str">
        <f>"147,5"</f>
        <v>147,5</v>
      </c>
      <c r="L54" s="58" t="str">
        <f>"138,1928"</f>
        <v>138,1928</v>
      </c>
      <c r="M54" s="57" t="s">
        <v>512</v>
      </c>
    </row>
    <row r="56" spans="1:13" ht="16">
      <c r="A56" s="92" t="s">
        <v>30</v>
      </c>
      <c r="B56" s="92"/>
      <c r="C56" s="93"/>
      <c r="D56" s="93"/>
      <c r="E56" s="93"/>
      <c r="F56" s="93"/>
      <c r="G56" s="93"/>
      <c r="H56" s="93"/>
      <c r="I56" s="93"/>
      <c r="J56" s="93"/>
    </row>
    <row r="57" spans="1:13">
      <c r="A57" s="68" t="s">
        <v>256</v>
      </c>
      <c r="B57" s="66" t="s">
        <v>451</v>
      </c>
      <c r="C57" s="66" t="s">
        <v>450</v>
      </c>
      <c r="D57" s="66" t="s">
        <v>449</v>
      </c>
      <c r="E57" s="69" t="s">
        <v>618</v>
      </c>
      <c r="F57" s="66" t="s">
        <v>47</v>
      </c>
      <c r="G57" s="28" t="s">
        <v>193</v>
      </c>
      <c r="H57" s="28" t="s">
        <v>428</v>
      </c>
      <c r="I57" s="28" t="s">
        <v>448</v>
      </c>
      <c r="J57" s="68"/>
      <c r="K57" s="82" t="str">
        <f>"105,0"</f>
        <v>105,0</v>
      </c>
      <c r="L57" s="67" t="str">
        <f>"90,5205"</f>
        <v>90,5205</v>
      </c>
      <c r="M57" s="66" t="s">
        <v>509</v>
      </c>
    </row>
    <row r="58" spans="1:13">
      <c r="A58" s="63" t="s">
        <v>256</v>
      </c>
      <c r="B58" s="61" t="s">
        <v>74</v>
      </c>
      <c r="C58" s="61" t="s">
        <v>75</v>
      </c>
      <c r="D58" s="61" t="s">
        <v>76</v>
      </c>
      <c r="E58" s="65" t="s">
        <v>620</v>
      </c>
      <c r="F58" s="61" t="s">
        <v>518</v>
      </c>
      <c r="G58" s="30" t="s">
        <v>351</v>
      </c>
      <c r="H58" s="30" t="s">
        <v>350</v>
      </c>
      <c r="I58" s="30" t="s">
        <v>381</v>
      </c>
      <c r="J58" s="63"/>
      <c r="K58" s="83" t="str">
        <f>"155,0"</f>
        <v>155,0</v>
      </c>
      <c r="L58" s="62" t="str">
        <f>"137,5470"</f>
        <v>137,5470</v>
      </c>
      <c r="M58" s="61" t="s">
        <v>532</v>
      </c>
    </row>
    <row r="59" spans="1:13">
      <c r="A59" s="59" t="s">
        <v>257</v>
      </c>
      <c r="B59" s="57" t="s">
        <v>447</v>
      </c>
      <c r="C59" s="57" t="s">
        <v>446</v>
      </c>
      <c r="D59" s="57" t="s">
        <v>445</v>
      </c>
      <c r="E59" s="60" t="s">
        <v>620</v>
      </c>
      <c r="F59" s="57" t="s">
        <v>517</v>
      </c>
      <c r="G59" s="33" t="s">
        <v>352</v>
      </c>
      <c r="H59" s="33" t="s">
        <v>351</v>
      </c>
      <c r="I59" s="33" t="s">
        <v>381</v>
      </c>
      <c r="J59" s="59"/>
      <c r="K59" s="84" t="str">
        <f>"155,0"</f>
        <v>155,0</v>
      </c>
      <c r="L59" s="58" t="str">
        <f>"132,8040"</f>
        <v>132,8040</v>
      </c>
      <c r="M59" s="57"/>
    </row>
    <row r="61" spans="1:13" ht="16">
      <c r="A61" s="92" t="s">
        <v>34</v>
      </c>
      <c r="B61" s="92"/>
      <c r="C61" s="93"/>
      <c r="D61" s="93"/>
      <c r="E61" s="93"/>
      <c r="F61" s="93"/>
      <c r="G61" s="93"/>
      <c r="H61" s="93"/>
      <c r="I61" s="93"/>
      <c r="J61" s="93"/>
    </row>
    <row r="62" spans="1:13">
      <c r="A62" s="68" t="s">
        <v>256</v>
      </c>
      <c r="B62" s="66" t="s">
        <v>77</v>
      </c>
      <c r="C62" s="66" t="s">
        <v>444</v>
      </c>
      <c r="D62" s="66" t="s">
        <v>78</v>
      </c>
      <c r="E62" s="69" t="s">
        <v>618</v>
      </c>
      <c r="F62" s="66" t="s">
        <v>79</v>
      </c>
      <c r="G62" s="28" t="s">
        <v>351</v>
      </c>
      <c r="H62" s="28" t="s">
        <v>350</v>
      </c>
      <c r="I62" s="28" t="s">
        <v>407</v>
      </c>
      <c r="J62" s="68"/>
      <c r="K62" s="82" t="str">
        <f>"152,5"</f>
        <v>152,5</v>
      </c>
      <c r="L62" s="67" t="str">
        <f>"124,1960"</f>
        <v>124,1960</v>
      </c>
      <c r="M62" s="66"/>
    </row>
    <row r="63" spans="1:13">
      <c r="A63" s="63" t="s">
        <v>257</v>
      </c>
      <c r="B63" s="61" t="s">
        <v>443</v>
      </c>
      <c r="C63" s="61" t="s">
        <v>442</v>
      </c>
      <c r="D63" s="61" t="s">
        <v>441</v>
      </c>
      <c r="E63" s="65" t="s">
        <v>618</v>
      </c>
      <c r="F63" s="61" t="s">
        <v>47</v>
      </c>
      <c r="G63" s="30" t="s">
        <v>371</v>
      </c>
      <c r="H63" s="30" t="s">
        <v>352</v>
      </c>
      <c r="I63" s="64" t="s">
        <v>351</v>
      </c>
      <c r="J63" s="63"/>
      <c r="K63" s="83" t="str">
        <f>"130,0"</f>
        <v>130,0</v>
      </c>
      <c r="L63" s="62" t="str">
        <f>"101,6990"</f>
        <v>101,6990</v>
      </c>
      <c r="M63" s="61" t="s">
        <v>509</v>
      </c>
    </row>
    <row r="64" spans="1:13">
      <c r="A64" s="63" t="s">
        <v>259</v>
      </c>
      <c r="B64" s="61" t="s">
        <v>85</v>
      </c>
      <c r="C64" s="61" t="s">
        <v>440</v>
      </c>
      <c r="D64" s="61" t="s">
        <v>86</v>
      </c>
      <c r="E64" s="65" t="s">
        <v>618</v>
      </c>
      <c r="F64" s="61" t="s">
        <v>9</v>
      </c>
      <c r="G64" s="30" t="s">
        <v>80</v>
      </c>
      <c r="H64" s="30" t="s">
        <v>94</v>
      </c>
      <c r="I64" s="30" t="s">
        <v>155</v>
      </c>
      <c r="J64" s="63"/>
      <c r="K64" s="83" t="str">
        <f>"75,0"</f>
        <v>75,0</v>
      </c>
      <c r="L64" s="62" t="str">
        <f>"59,4900"</f>
        <v>59,4900</v>
      </c>
      <c r="M64" s="61" t="s">
        <v>508</v>
      </c>
    </row>
    <row r="65" spans="1:13">
      <c r="A65" s="63" t="s">
        <v>260</v>
      </c>
      <c r="B65" s="61" t="s">
        <v>87</v>
      </c>
      <c r="C65" s="61" t="s">
        <v>439</v>
      </c>
      <c r="D65" s="61" t="s">
        <v>88</v>
      </c>
      <c r="E65" s="65" t="s">
        <v>618</v>
      </c>
      <c r="F65" s="61" t="s">
        <v>517</v>
      </c>
      <c r="G65" s="30" t="s">
        <v>131</v>
      </c>
      <c r="H65" s="64" t="s">
        <v>193</v>
      </c>
      <c r="I65" s="64" t="s">
        <v>438</v>
      </c>
      <c r="J65" s="63"/>
      <c r="K65" s="83" t="str">
        <f>"70,0"</f>
        <v>70,0</v>
      </c>
      <c r="L65" s="62" t="str">
        <f>"56,5460"</f>
        <v>56,5460</v>
      </c>
      <c r="M65" s="61"/>
    </row>
    <row r="66" spans="1:13">
      <c r="A66" s="59" t="s">
        <v>256</v>
      </c>
      <c r="B66" s="57" t="s">
        <v>437</v>
      </c>
      <c r="C66" s="57" t="s">
        <v>436</v>
      </c>
      <c r="D66" s="57" t="s">
        <v>435</v>
      </c>
      <c r="E66" s="60" t="s">
        <v>620</v>
      </c>
      <c r="F66" s="57" t="s">
        <v>518</v>
      </c>
      <c r="G66" s="33" t="s">
        <v>369</v>
      </c>
      <c r="H66" s="33" t="s">
        <v>352</v>
      </c>
      <c r="I66" s="33" t="s">
        <v>378</v>
      </c>
      <c r="J66" s="59"/>
      <c r="K66" s="84" t="str">
        <f>"135,0"</f>
        <v>135,0</v>
      </c>
      <c r="L66" s="58" t="str">
        <f>"104,2065"</f>
        <v>104,2065</v>
      </c>
      <c r="M66" s="57" t="s">
        <v>533</v>
      </c>
    </row>
    <row r="68" spans="1:13" ht="16">
      <c r="A68" s="92" t="s">
        <v>48</v>
      </c>
      <c r="B68" s="92"/>
      <c r="C68" s="93"/>
      <c r="D68" s="93"/>
      <c r="E68" s="93"/>
      <c r="F68" s="93"/>
      <c r="G68" s="93"/>
      <c r="H68" s="93"/>
      <c r="I68" s="93"/>
      <c r="J68" s="93"/>
    </row>
    <row r="69" spans="1:13">
      <c r="A69" s="68" t="s">
        <v>256</v>
      </c>
      <c r="B69" s="66" t="s">
        <v>434</v>
      </c>
      <c r="C69" s="66" t="s">
        <v>433</v>
      </c>
      <c r="D69" s="66" t="s">
        <v>432</v>
      </c>
      <c r="E69" s="69" t="s">
        <v>618</v>
      </c>
      <c r="F69" s="66" t="s">
        <v>66</v>
      </c>
      <c r="G69" s="70" t="s">
        <v>350</v>
      </c>
      <c r="H69" s="28" t="s">
        <v>326</v>
      </c>
      <c r="I69" s="28" t="s">
        <v>337</v>
      </c>
      <c r="J69" s="68"/>
      <c r="K69" s="82" t="str">
        <f>"170,0"</f>
        <v>170,0</v>
      </c>
      <c r="L69" s="67" t="str">
        <f>"124,6100"</f>
        <v>124,6100</v>
      </c>
      <c r="M69" s="66" t="s">
        <v>514</v>
      </c>
    </row>
    <row r="70" spans="1:13">
      <c r="A70" s="63" t="s">
        <v>257</v>
      </c>
      <c r="B70" s="61" t="s">
        <v>102</v>
      </c>
      <c r="C70" s="61" t="s">
        <v>431</v>
      </c>
      <c r="D70" s="61" t="s">
        <v>103</v>
      </c>
      <c r="E70" s="65" t="s">
        <v>618</v>
      </c>
      <c r="F70" s="61" t="s">
        <v>79</v>
      </c>
      <c r="G70" s="30" t="s">
        <v>370</v>
      </c>
      <c r="H70" s="30" t="s">
        <v>350</v>
      </c>
      <c r="I70" s="64" t="s">
        <v>337</v>
      </c>
      <c r="J70" s="63"/>
      <c r="K70" s="83" t="str">
        <f>"150,0"</f>
        <v>150,0</v>
      </c>
      <c r="L70" s="62" t="str">
        <f>"114,4500"</f>
        <v>114,4500</v>
      </c>
      <c r="M70" s="61"/>
    </row>
    <row r="71" spans="1:13">
      <c r="A71" s="63" t="s">
        <v>259</v>
      </c>
      <c r="B71" s="61" t="s">
        <v>107</v>
      </c>
      <c r="C71" s="61" t="s">
        <v>430</v>
      </c>
      <c r="D71" s="61" t="s">
        <v>108</v>
      </c>
      <c r="E71" s="65" t="s">
        <v>618</v>
      </c>
      <c r="F71" s="61" t="s">
        <v>517</v>
      </c>
      <c r="G71" s="30" t="s">
        <v>370</v>
      </c>
      <c r="H71" s="30" t="s">
        <v>378</v>
      </c>
      <c r="I71" s="30" t="s">
        <v>382</v>
      </c>
      <c r="J71" s="63"/>
      <c r="K71" s="83" t="str">
        <f>"140,0"</f>
        <v>140,0</v>
      </c>
      <c r="L71" s="62" t="str">
        <f>"100,9960"</f>
        <v>100,9960</v>
      </c>
      <c r="M71" s="61"/>
    </row>
    <row r="72" spans="1:13">
      <c r="A72" s="63" t="s">
        <v>260</v>
      </c>
      <c r="B72" s="61" t="s">
        <v>105</v>
      </c>
      <c r="C72" s="61" t="s">
        <v>429</v>
      </c>
      <c r="D72" s="61" t="s">
        <v>106</v>
      </c>
      <c r="E72" s="65" t="s">
        <v>618</v>
      </c>
      <c r="F72" s="61" t="s">
        <v>9</v>
      </c>
      <c r="G72" s="30" t="s">
        <v>428</v>
      </c>
      <c r="H72" s="30" t="s">
        <v>427</v>
      </c>
      <c r="I72" s="30" t="s">
        <v>422</v>
      </c>
      <c r="J72" s="63"/>
      <c r="K72" s="83" t="str">
        <f>"107,5"</f>
        <v>107,5</v>
      </c>
      <c r="L72" s="62" t="str">
        <f>"81,1840"</f>
        <v>81,1840</v>
      </c>
      <c r="M72" s="61" t="s">
        <v>534</v>
      </c>
    </row>
    <row r="73" spans="1:13">
      <c r="A73" s="63" t="s">
        <v>261</v>
      </c>
      <c r="B73" s="61" t="s">
        <v>426</v>
      </c>
      <c r="C73" s="61" t="s">
        <v>425</v>
      </c>
      <c r="D73" s="61" t="s">
        <v>424</v>
      </c>
      <c r="E73" s="65" t="s">
        <v>618</v>
      </c>
      <c r="F73" s="61" t="s">
        <v>47</v>
      </c>
      <c r="G73" s="30" t="s">
        <v>423</v>
      </c>
      <c r="H73" s="30" t="s">
        <v>404</v>
      </c>
      <c r="I73" s="30" t="s">
        <v>422</v>
      </c>
      <c r="J73" s="63"/>
      <c r="K73" s="83" t="str">
        <f>"107,5"</f>
        <v>107,5</v>
      </c>
      <c r="L73" s="62" t="str">
        <f>"78,5503"</f>
        <v>78,5503</v>
      </c>
      <c r="M73" s="61" t="s">
        <v>509</v>
      </c>
    </row>
    <row r="74" spans="1:13">
      <c r="A74" s="63" t="s">
        <v>256</v>
      </c>
      <c r="B74" s="61" t="s">
        <v>118</v>
      </c>
      <c r="C74" s="61" t="s">
        <v>119</v>
      </c>
      <c r="D74" s="61" t="s">
        <v>120</v>
      </c>
      <c r="E74" s="65" t="s">
        <v>620</v>
      </c>
      <c r="F74" s="61" t="s">
        <v>609</v>
      </c>
      <c r="G74" s="30" t="s">
        <v>322</v>
      </c>
      <c r="H74" s="30" t="s">
        <v>315</v>
      </c>
      <c r="I74" s="30" t="s">
        <v>357</v>
      </c>
      <c r="J74" s="63"/>
      <c r="K74" s="83" t="str">
        <f>"245,0"</f>
        <v>245,0</v>
      </c>
      <c r="L74" s="62" t="str">
        <f>"174,5870"</f>
        <v>174,5870</v>
      </c>
      <c r="M74" s="61"/>
    </row>
    <row r="75" spans="1:13">
      <c r="A75" s="63" t="s">
        <v>257</v>
      </c>
      <c r="B75" s="61" t="s">
        <v>421</v>
      </c>
      <c r="C75" s="61" t="s">
        <v>420</v>
      </c>
      <c r="D75" s="61" t="s">
        <v>138</v>
      </c>
      <c r="E75" s="65" t="s">
        <v>620</v>
      </c>
      <c r="F75" s="61" t="s">
        <v>189</v>
      </c>
      <c r="G75" s="30" t="s">
        <v>334</v>
      </c>
      <c r="H75" s="30" t="s">
        <v>341</v>
      </c>
      <c r="I75" s="64" t="s">
        <v>292</v>
      </c>
      <c r="J75" s="63"/>
      <c r="K75" s="83" t="str">
        <f>"200,0"</f>
        <v>200,0</v>
      </c>
      <c r="L75" s="62" t="str">
        <f>"146,7400"</f>
        <v>146,7400</v>
      </c>
      <c r="M75" s="61" t="s">
        <v>528</v>
      </c>
    </row>
    <row r="76" spans="1:13">
      <c r="A76" s="63" t="s">
        <v>259</v>
      </c>
      <c r="B76" s="61" t="s">
        <v>419</v>
      </c>
      <c r="C76" s="61" t="s">
        <v>418</v>
      </c>
      <c r="D76" s="61" t="s">
        <v>417</v>
      </c>
      <c r="E76" s="65" t="s">
        <v>620</v>
      </c>
      <c r="F76" s="61" t="s">
        <v>135</v>
      </c>
      <c r="G76" s="30" t="s">
        <v>337</v>
      </c>
      <c r="H76" s="30" t="s">
        <v>400</v>
      </c>
      <c r="I76" s="30" t="s">
        <v>389</v>
      </c>
      <c r="J76" s="63"/>
      <c r="K76" s="83" t="str">
        <f>"182,5"</f>
        <v>182,5</v>
      </c>
      <c r="L76" s="62" t="str">
        <f>"132,9513"</f>
        <v>132,9513</v>
      </c>
      <c r="M76" s="61" t="s">
        <v>535</v>
      </c>
    </row>
    <row r="77" spans="1:13">
      <c r="A77" s="63" t="s">
        <v>260</v>
      </c>
      <c r="B77" s="61" t="s">
        <v>132</v>
      </c>
      <c r="C77" s="61" t="s">
        <v>133</v>
      </c>
      <c r="D77" s="61" t="s">
        <v>134</v>
      </c>
      <c r="E77" s="65" t="s">
        <v>620</v>
      </c>
      <c r="F77" s="61" t="s">
        <v>135</v>
      </c>
      <c r="G77" s="30" t="s">
        <v>416</v>
      </c>
      <c r="H77" s="30" t="s">
        <v>334</v>
      </c>
      <c r="I77" s="64" t="s">
        <v>336</v>
      </c>
      <c r="J77" s="63"/>
      <c r="K77" s="83" t="str">
        <f>"180,0"</f>
        <v>180,0</v>
      </c>
      <c r="L77" s="62" t="str">
        <f>"132,7500"</f>
        <v>132,7500</v>
      </c>
      <c r="M77" s="61" t="s">
        <v>515</v>
      </c>
    </row>
    <row r="78" spans="1:13">
      <c r="A78" s="63" t="s">
        <v>261</v>
      </c>
      <c r="B78" s="61" t="s">
        <v>415</v>
      </c>
      <c r="C78" s="61" t="s">
        <v>414</v>
      </c>
      <c r="D78" s="61" t="s">
        <v>413</v>
      </c>
      <c r="E78" s="65" t="s">
        <v>620</v>
      </c>
      <c r="F78" s="61" t="s">
        <v>517</v>
      </c>
      <c r="G78" s="30" t="s">
        <v>326</v>
      </c>
      <c r="H78" s="64" t="s">
        <v>294</v>
      </c>
      <c r="I78" s="30" t="s">
        <v>400</v>
      </c>
      <c r="J78" s="63"/>
      <c r="K78" s="83" t="str">
        <f>"175,0"</f>
        <v>175,0</v>
      </c>
      <c r="L78" s="62" t="str">
        <f>"125,0550"</f>
        <v>125,0550</v>
      </c>
      <c r="M78" s="61" t="s">
        <v>536</v>
      </c>
    </row>
    <row r="79" spans="1:13">
      <c r="A79" s="63" t="s">
        <v>262</v>
      </c>
      <c r="B79" s="61" t="s">
        <v>411</v>
      </c>
      <c r="C79" s="61" t="s">
        <v>412</v>
      </c>
      <c r="D79" s="61" t="s">
        <v>108</v>
      </c>
      <c r="E79" s="65" t="s">
        <v>620</v>
      </c>
      <c r="F79" s="61" t="s">
        <v>517</v>
      </c>
      <c r="G79" s="30" t="s">
        <v>369</v>
      </c>
      <c r="H79" s="30" t="s">
        <v>378</v>
      </c>
      <c r="I79" s="30" t="s">
        <v>410</v>
      </c>
      <c r="J79" s="63"/>
      <c r="K79" s="83" t="str">
        <f>"142,5"</f>
        <v>142,5</v>
      </c>
      <c r="L79" s="62" t="str">
        <f>"102,7995"</f>
        <v>102,7995</v>
      </c>
      <c r="M79" s="61" t="s">
        <v>529</v>
      </c>
    </row>
    <row r="80" spans="1:13">
      <c r="A80" s="63" t="s">
        <v>256</v>
      </c>
      <c r="B80" s="61" t="s">
        <v>411</v>
      </c>
      <c r="C80" s="61" t="s">
        <v>554</v>
      </c>
      <c r="D80" s="61" t="s">
        <v>108</v>
      </c>
      <c r="E80" s="65" t="s">
        <v>621</v>
      </c>
      <c r="F80" s="61" t="s">
        <v>517</v>
      </c>
      <c r="G80" s="30" t="s">
        <v>369</v>
      </c>
      <c r="H80" s="30" t="s">
        <v>378</v>
      </c>
      <c r="I80" s="30" t="s">
        <v>410</v>
      </c>
      <c r="J80" s="63"/>
      <c r="K80" s="83" t="str">
        <f>"142,5"</f>
        <v>142,5</v>
      </c>
      <c r="L80" s="62" t="str">
        <f>"102,7995"</f>
        <v>102,7995</v>
      </c>
      <c r="M80" s="61" t="s">
        <v>529</v>
      </c>
    </row>
    <row r="81" spans="1:13">
      <c r="A81" s="63" t="s">
        <v>256</v>
      </c>
      <c r="B81" s="61" t="s">
        <v>409</v>
      </c>
      <c r="C81" s="61" t="s">
        <v>555</v>
      </c>
      <c r="D81" s="61" t="s">
        <v>408</v>
      </c>
      <c r="E81" s="65" t="s">
        <v>623</v>
      </c>
      <c r="F81" s="61" t="s">
        <v>517</v>
      </c>
      <c r="G81" s="30" t="s">
        <v>407</v>
      </c>
      <c r="H81" s="30" t="s">
        <v>406</v>
      </c>
      <c r="I81" s="64" t="s">
        <v>405</v>
      </c>
      <c r="J81" s="63"/>
      <c r="K81" s="83" t="str">
        <f>"157,5"</f>
        <v>157,5</v>
      </c>
      <c r="L81" s="62" t="str">
        <f>"122,9921"</f>
        <v>122,9921</v>
      </c>
      <c r="M81" s="61" t="s">
        <v>537</v>
      </c>
    </row>
    <row r="82" spans="1:13">
      <c r="A82" s="59" t="s">
        <v>257</v>
      </c>
      <c r="B82" s="57" t="s">
        <v>147</v>
      </c>
      <c r="C82" s="57" t="s">
        <v>556</v>
      </c>
      <c r="D82" s="57" t="s">
        <v>112</v>
      </c>
      <c r="E82" s="60" t="s">
        <v>623</v>
      </c>
      <c r="F82" s="57" t="s">
        <v>517</v>
      </c>
      <c r="G82" s="33" t="s">
        <v>404</v>
      </c>
      <c r="H82" s="33" t="s">
        <v>370</v>
      </c>
      <c r="I82" s="33" t="s">
        <v>352</v>
      </c>
      <c r="J82" s="59"/>
      <c r="K82" s="84" t="str">
        <f>"130,0"</f>
        <v>130,0</v>
      </c>
      <c r="L82" s="58" t="str">
        <f>"99,8912"</f>
        <v>99,8912</v>
      </c>
      <c r="M82" s="57"/>
    </row>
    <row r="84" spans="1:13" ht="16">
      <c r="A84" s="92" t="s">
        <v>148</v>
      </c>
      <c r="B84" s="92"/>
      <c r="C84" s="93"/>
      <c r="D84" s="93"/>
      <c r="E84" s="93"/>
      <c r="F84" s="93"/>
      <c r="G84" s="93"/>
      <c r="H84" s="93"/>
      <c r="I84" s="93"/>
      <c r="J84" s="93"/>
    </row>
    <row r="85" spans="1:13">
      <c r="A85" s="68" t="s">
        <v>256</v>
      </c>
      <c r="B85" s="66" t="s">
        <v>276</v>
      </c>
      <c r="C85" s="66" t="s">
        <v>403</v>
      </c>
      <c r="D85" s="66" t="s">
        <v>390</v>
      </c>
      <c r="E85" s="69" t="s">
        <v>618</v>
      </c>
      <c r="F85" s="66" t="s">
        <v>517</v>
      </c>
      <c r="G85" s="28" t="s">
        <v>309</v>
      </c>
      <c r="H85" s="28" t="s">
        <v>341</v>
      </c>
      <c r="I85" s="70" t="s">
        <v>292</v>
      </c>
      <c r="J85" s="68"/>
      <c r="K85" s="82" t="str">
        <f>"200,0"</f>
        <v>200,0</v>
      </c>
      <c r="L85" s="67" t="str">
        <f>"137,5200"</f>
        <v>137,5200</v>
      </c>
      <c r="M85" s="66"/>
    </row>
    <row r="86" spans="1:13">
      <c r="A86" s="63" t="s">
        <v>257</v>
      </c>
      <c r="B86" s="61" t="s">
        <v>275</v>
      </c>
      <c r="C86" s="61" t="s">
        <v>402</v>
      </c>
      <c r="D86" s="61" t="s">
        <v>401</v>
      </c>
      <c r="E86" s="65" t="s">
        <v>618</v>
      </c>
      <c r="F86" s="61" t="s">
        <v>63</v>
      </c>
      <c r="G86" s="30" t="s">
        <v>400</v>
      </c>
      <c r="H86" s="64" t="s">
        <v>309</v>
      </c>
      <c r="I86" s="30" t="s">
        <v>309</v>
      </c>
      <c r="J86" s="63"/>
      <c r="K86" s="83" t="str">
        <f>"190,0"</f>
        <v>190,0</v>
      </c>
      <c r="L86" s="62" t="str">
        <f>"130,7580"</f>
        <v>130,7580</v>
      </c>
      <c r="M86" s="61"/>
    </row>
    <row r="87" spans="1:13">
      <c r="A87" s="63" t="s">
        <v>259</v>
      </c>
      <c r="B87" s="61" t="s">
        <v>399</v>
      </c>
      <c r="C87" s="61" t="s">
        <v>398</v>
      </c>
      <c r="D87" s="61" t="s">
        <v>397</v>
      </c>
      <c r="E87" s="65" t="s">
        <v>618</v>
      </c>
      <c r="F87" s="61" t="s">
        <v>518</v>
      </c>
      <c r="G87" s="30" t="s">
        <v>371</v>
      </c>
      <c r="H87" s="64" t="s">
        <v>370</v>
      </c>
      <c r="I87" s="64" t="s">
        <v>370</v>
      </c>
      <c r="J87" s="63"/>
      <c r="K87" s="83" t="str">
        <f>"110,0"</f>
        <v>110,0</v>
      </c>
      <c r="L87" s="62" t="str">
        <f>"76,7910"</f>
        <v>76,7910</v>
      </c>
      <c r="M87" s="61"/>
    </row>
    <row r="88" spans="1:13">
      <c r="A88" s="63" t="s">
        <v>256</v>
      </c>
      <c r="B88" s="61" t="s">
        <v>273</v>
      </c>
      <c r="C88" s="61" t="s">
        <v>557</v>
      </c>
      <c r="D88" s="61" t="s">
        <v>396</v>
      </c>
      <c r="E88" s="65" t="s">
        <v>619</v>
      </c>
      <c r="F88" s="61" t="s">
        <v>517</v>
      </c>
      <c r="G88" s="30" t="s">
        <v>334</v>
      </c>
      <c r="H88" s="30" t="s">
        <v>388</v>
      </c>
      <c r="I88" s="64" t="s">
        <v>308</v>
      </c>
      <c r="J88" s="63"/>
      <c r="K88" s="83" t="str">
        <f>"195,0"</f>
        <v>195,0</v>
      </c>
      <c r="L88" s="62" t="str">
        <f>"130,8255"</f>
        <v>130,8255</v>
      </c>
      <c r="M88" s="61" t="s">
        <v>538</v>
      </c>
    </row>
    <row r="89" spans="1:13">
      <c r="A89" s="63" t="s">
        <v>257</v>
      </c>
      <c r="B89" s="61" t="s">
        <v>385</v>
      </c>
      <c r="C89" s="61" t="s">
        <v>558</v>
      </c>
      <c r="D89" s="61" t="s">
        <v>383</v>
      </c>
      <c r="E89" s="65" t="s">
        <v>619</v>
      </c>
      <c r="F89" s="61" t="s">
        <v>517</v>
      </c>
      <c r="G89" s="64" t="s">
        <v>382</v>
      </c>
      <c r="H89" s="30" t="s">
        <v>382</v>
      </c>
      <c r="I89" s="30" t="s">
        <v>381</v>
      </c>
      <c r="J89" s="63"/>
      <c r="K89" s="83" t="str">
        <f>"155,0"</f>
        <v>155,0</v>
      </c>
      <c r="L89" s="62" t="str">
        <f>"105,4000"</f>
        <v>105,4000</v>
      </c>
      <c r="M89" s="61" t="s">
        <v>539</v>
      </c>
    </row>
    <row r="90" spans="1:13">
      <c r="A90" s="63" t="s">
        <v>256</v>
      </c>
      <c r="B90" s="61" t="s">
        <v>395</v>
      </c>
      <c r="C90" s="61" t="s">
        <v>394</v>
      </c>
      <c r="D90" s="61" t="s">
        <v>180</v>
      </c>
      <c r="E90" s="65" t="s">
        <v>620</v>
      </c>
      <c r="F90" s="61" t="s">
        <v>16</v>
      </c>
      <c r="G90" s="30" t="s">
        <v>308</v>
      </c>
      <c r="H90" s="30" t="s">
        <v>307</v>
      </c>
      <c r="I90" s="30" t="s">
        <v>315</v>
      </c>
      <c r="J90" s="63"/>
      <c r="K90" s="83" t="str">
        <f>"232,5"</f>
        <v>232,5</v>
      </c>
      <c r="L90" s="62" t="str">
        <f>"156,9142"</f>
        <v>156,9142</v>
      </c>
      <c r="M90" s="61"/>
    </row>
    <row r="91" spans="1:13">
      <c r="A91" s="63" t="s">
        <v>257</v>
      </c>
      <c r="B91" s="61" t="s">
        <v>393</v>
      </c>
      <c r="C91" s="61" t="s">
        <v>392</v>
      </c>
      <c r="D91" s="61" t="s">
        <v>180</v>
      </c>
      <c r="E91" s="65" t="s">
        <v>620</v>
      </c>
      <c r="F91" s="61" t="s">
        <v>287</v>
      </c>
      <c r="G91" s="30" t="s">
        <v>341</v>
      </c>
      <c r="H91" s="30" t="s">
        <v>333</v>
      </c>
      <c r="I91" s="30" t="s">
        <v>316</v>
      </c>
      <c r="J91" s="63"/>
      <c r="K91" s="83" t="str">
        <f>"220,0"</f>
        <v>220,0</v>
      </c>
      <c r="L91" s="62" t="str">
        <f>"148,4780"</f>
        <v>148,4780</v>
      </c>
      <c r="M91" s="61"/>
    </row>
    <row r="92" spans="1:13">
      <c r="A92" s="63" t="s">
        <v>259</v>
      </c>
      <c r="B92" s="61" t="s">
        <v>163</v>
      </c>
      <c r="C92" s="61" t="s">
        <v>164</v>
      </c>
      <c r="D92" s="61" t="s">
        <v>165</v>
      </c>
      <c r="E92" s="65" t="s">
        <v>620</v>
      </c>
      <c r="F92" s="61" t="s">
        <v>517</v>
      </c>
      <c r="G92" s="30" t="s">
        <v>341</v>
      </c>
      <c r="H92" s="30" t="s">
        <v>308</v>
      </c>
      <c r="I92" s="64" t="s">
        <v>316</v>
      </c>
      <c r="J92" s="63"/>
      <c r="K92" s="83" t="str">
        <f>"210,0"</f>
        <v>210,0</v>
      </c>
      <c r="L92" s="62" t="str">
        <f>"142,6950"</f>
        <v>142,6950</v>
      </c>
      <c r="M92" s="61" t="s">
        <v>511</v>
      </c>
    </row>
    <row r="93" spans="1:13">
      <c r="A93" s="63" t="s">
        <v>260</v>
      </c>
      <c r="B93" s="61" t="s">
        <v>276</v>
      </c>
      <c r="C93" s="61" t="s">
        <v>391</v>
      </c>
      <c r="D93" s="61" t="s">
        <v>390</v>
      </c>
      <c r="E93" s="65" t="s">
        <v>620</v>
      </c>
      <c r="F93" s="61" t="s">
        <v>517</v>
      </c>
      <c r="G93" s="30" t="s">
        <v>309</v>
      </c>
      <c r="H93" s="30" t="s">
        <v>341</v>
      </c>
      <c r="I93" s="64" t="s">
        <v>292</v>
      </c>
      <c r="J93" s="63"/>
      <c r="K93" s="83" t="str">
        <f>"200,0"</f>
        <v>200,0</v>
      </c>
      <c r="L93" s="62" t="str">
        <f>"137,5200"</f>
        <v>137,5200</v>
      </c>
      <c r="M93" s="61"/>
    </row>
    <row r="94" spans="1:13">
      <c r="A94" s="63" t="s">
        <v>261</v>
      </c>
      <c r="B94" s="61" t="s">
        <v>166</v>
      </c>
      <c r="C94" s="61" t="s">
        <v>167</v>
      </c>
      <c r="D94" s="61" t="s">
        <v>168</v>
      </c>
      <c r="E94" s="65" t="s">
        <v>620</v>
      </c>
      <c r="F94" s="61" t="s">
        <v>518</v>
      </c>
      <c r="G94" s="30" t="s">
        <v>337</v>
      </c>
      <c r="H94" s="30" t="s">
        <v>389</v>
      </c>
      <c r="I94" s="64" t="s">
        <v>388</v>
      </c>
      <c r="J94" s="63"/>
      <c r="K94" s="83" t="str">
        <f>"182,5"</f>
        <v>182,5</v>
      </c>
      <c r="L94" s="62" t="str">
        <f>"123,6255"</f>
        <v>123,6255</v>
      </c>
      <c r="M94" s="61" t="s">
        <v>512</v>
      </c>
    </row>
    <row r="95" spans="1:13">
      <c r="A95" s="63" t="s">
        <v>262</v>
      </c>
      <c r="B95" s="61" t="s">
        <v>387</v>
      </c>
      <c r="C95" s="61" t="s">
        <v>386</v>
      </c>
      <c r="D95" s="61" t="s">
        <v>159</v>
      </c>
      <c r="E95" s="65" t="s">
        <v>620</v>
      </c>
      <c r="F95" s="61" t="s">
        <v>517</v>
      </c>
      <c r="G95" s="30" t="s">
        <v>351</v>
      </c>
      <c r="H95" s="30" t="s">
        <v>381</v>
      </c>
      <c r="I95" s="30" t="s">
        <v>326</v>
      </c>
      <c r="J95" s="63"/>
      <c r="K95" s="83" t="str">
        <f>"160,0"</f>
        <v>160,0</v>
      </c>
      <c r="L95" s="62" t="str">
        <f>"108,3040"</f>
        <v>108,3040</v>
      </c>
      <c r="M95" s="61" t="s">
        <v>540</v>
      </c>
    </row>
    <row r="96" spans="1:13">
      <c r="A96" s="63" t="s">
        <v>263</v>
      </c>
      <c r="B96" s="61" t="s">
        <v>385</v>
      </c>
      <c r="C96" s="61" t="s">
        <v>384</v>
      </c>
      <c r="D96" s="61" t="s">
        <v>383</v>
      </c>
      <c r="E96" s="65" t="s">
        <v>620</v>
      </c>
      <c r="F96" s="61" t="s">
        <v>517</v>
      </c>
      <c r="G96" s="64" t="s">
        <v>382</v>
      </c>
      <c r="H96" s="30" t="s">
        <v>382</v>
      </c>
      <c r="I96" s="30" t="s">
        <v>381</v>
      </c>
      <c r="J96" s="63"/>
      <c r="K96" s="83" t="str">
        <f>"155,0"</f>
        <v>155,0</v>
      </c>
      <c r="L96" s="62" t="str">
        <f>"105,4000"</f>
        <v>105,4000</v>
      </c>
      <c r="M96" s="61" t="s">
        <v>539</v>
      </c>
    </row>
    <row r="97" spans="1:13">
      <c r="A97" s="63" t="s">
        <v>264</v>
      </c>
      <c r="B97" s="61" t="s">
        <v>380</v>
      </c>
      <c r="C97" s="61" t="s">
        <v>379</v>
      </c>
      <c r="D97" s="61" t="s">
        <v>153</v>
      </c>
      <c r="E97" s="65" t="s">
        <v>620</v>
      </c>
      <c r="F97" s="61" t="s">
        <v>517</v>
      </c>
      <c r="G97" s="64" t="s">
        <v>370</v>
      </c>
      <c r="H97" s="30" t="s">
        <v>352</v>
      </c>
      <c r="I97" s="64" t="s">
        <v>378</v>
      </c>
      <c r="J97" s="63"/>
      <c r="K97" s="83" t="str">
        <f>"130,0"</f>
        <v>130,0</v>
      </c>
      <c r="L97" s="62" t="str">
        <f>"87,4120"</f>
        <v>87,4120</v>
      </c>
      <c r="M97" s="61" t="s">
        <v>541</v>
      </c>
    </row>
    <row r="98" spans="1:13">
      <c r="A98" s="63" t="s">
        <v>258</v>
      </c>
      <c r="B98" s="61" t="s">
        <v>377</v>
      </c>
      <c r="C98" s="61" t="s">
        <v>376</v>
      </c>
      <c r="D98" s="61" t="s">
        <v>375</v>
      </c>
      <c r="E98" s="65" t="s">
        <v>620</v>
      </c>
      <c r="F98" s="61" t="s">
        <v>517</v>
      </c>
      <c r="G98" s="64" t="s">
        <v>350</v>
      </c>
      <c r="H98" s="63"/>
      <c r="I98" s="63"/>
      <c r="J98" s="63"/>
      <c r="K98" s="83">
        <v>0</v>
      </c>
      <c r="L98" s="62" t="str">
        <f>"0,0000"</f>
        <v>0,0000</v>
      </c>
      <c r="M98" s="61"/>
    </row>
    <row r="99" spans="1:13">
      <c r="A99" s="59" t="s">
        <v>256</v>
      </c>
      <c r="B99" s="57" t="s">
        <v>268</v>
      </c>
      <c r="C99" s="57" t="s">
        <v>559</v>
      </c>
      <c r="D99" s="57" t="s">
        <v>374</v>
      </c>
      <c r="E99" s="60" t="s">
        <v>624</v>
      </c>
      <c r="F99" s="57" t="s">
        <v>518</v>
      </c>
      <c r="G99" s="33" t="s">
        <v>334</v>
      </c>
      <c r="H99" s="33" t="s">
        <v>341</v>
      </c>
      <c r="I99" s="33" t="s">
        <v>292</v>
      </c>
      <c r="J99" s="59"/>
      <c r="K99" s="84" t="str">
        <f>"205,0"</f>
        <v>205,0</v>
      </c>
      <c r="L99" s="58" t="str">
        <f>"257,4370"</f>
        <v>257,4370</v>
      </c>
      <c r="M99" s="57"/>
    </row>
    <row r="101" spans="1:13" ht="16">
      <c r="A101" s="92" t="s">
        <v>183</v>
      </c>
      <c r="B101" s="92"/>
      <c r="C101" s="93"/>
      <c r="D101" s="93"/>
      <c r="E101" s="93"/>
      <c r="F101" s="93"/>
      <c r="G101" s="93"/>
      <c r="H101" s="93"/>
      <c r="I101" s="93"/>
      <c r="J101" s="93"/>
    </row>
    <row r="102" spans="1:13">
      <c r="A102" s="68" t="s">
        <v>256</v>
      </c>
      <c r="B102" s="66" t="s">
        <v>184</v>
      </c>
      <c r="C102" s="66" t="s">
        <v>372</v>
      </c>
      <c r="D102" s="66" t="s">
        <v>185</v>
      </c>
      <c r="E102" s="69" t="s">
        <v>618</v>
      </c>
      <c r="F102" s="66" t="s">
        <v>9</v>
      </c>
      <c r="G102" s="28" t="s">
        <v>371</v>
      </c>
      <c r="H102" s="28" t="s">
        <v>370</v>
      </c>
      <c r="I102" s="70" t="s">
        <v>369</v>
      </c>
      <c r="J102" s="68"/>
      <c r="K102" s="82" t="str">
        <f>"120,0"</f>
        <v>120,0</v>
      </c>
      <c r="L102" s="67" t="str">
        <f>"78,3840"</f>
        <v>78,3840</v>
      </c>
      <c r="M102" s="66" t="s">
        <v>508</v>
      </c>
    </row>
    <row r="103" spans="1:13">
      <c r="A103" s="63" t="s">
        <v>256</v>
      </c>
      <c r="B103" s="61" t="s">
        <v>266</v>
      </c>
      <c r="C103" s="61" t="s">
        <v>368</v>
      </c>
      <c r="D103" s="61" t="s">
        <v>359</v>
      </c>
      <c r="E103" s="65" t="s">
        <v>620</v>
      </c>
      <c r="F103" s="61" t="s">
        <v>517</v>
      </c>
      <c r="G103" s="30" t="s">
        <v>321</v>
      </c>
      <c r="H103" s="30" t="s">
        <v>358</v>
      </c>
      <c r="I103" s="64" t="s">
        <v>357</v>
      </c>
      <c r="J103" s="63"/>
      <c r="K103" s="83" t="str">
        <f>"240,0"</f>
        <v>240,0</v>
      </c>
      <c r="L103" s="62" t="str">
        <f>"153,3120"</f>
        <v>153,3120</v>
      </c>
      <c r="M103" s="61"/>
    </row>
    <row r="104" spans="1:13">
      <c r="A104" s="63" t="s">
        <v>257</v>
      </c>
      <c r="B104" s="61" t="s">
        <v>367</v>
      </c>
      <c r="C104" s="61" t="s">
        <v>366</v>
      </c>
      <c r="D104" s="61" t="s">
        <v>198</v>
      </c>
      <c r="E104" s="65" t="s">
        <v>620</v>
      </c>
      <c r="F104" s="61" t="s">
        <v>517</v>
      </c>
      <c r="G104" s="30" t="s">
        <v>333</v>
      </c>
      <c r="H104" s="30" t="s">
        <v>315</v>
      </c>
      <c r="I104" s="64" t="s">
        <v>358</v>
      </c>
      <c r="J104" s="63"/>
      <c r="K104" s="83" t="str">
        <f>"232,5"</f>
        <v>232,5</v>
      </c>
      <c r="L104" s="62" t="str">
        <f>"149,2882"</f>
        <v>149,2882</v>
      </c>
      <c r="M104" s="61" t="s">
        <v>542</v>
      </c>
    </row>
    <row r="105" spans="1:13">
      <c r="A105" s="63" t="s">
        <v>259</v>
      </c>
      <c r="B105" s="61" t="s">
        <v>365</v>
      </c>
      <c r="C105" s="61" t="s">
        <v>364</v>
      </c>
      <c r="D105" s="61" t="s">
        <v>363</v>
      </c>
      <c r="E105" s="65" t="s">
        <v>620</v>
      </c>
      <c r="F105" s="61" t="s">
        <v>517</v>
      </c>
      <c r="G105" s="30" t="s">
        <v>362</v>
      </c>
      <c r="H105" s="30" t="s">
        <v>333</v>
      </c>
      <c r="I105" s="30" t="s">
        <v>316</v>
      </c>
      <c r="J105" s="63"/>
      <c r="K105" s="83" t="str">
        <f>"220,0"</f>
        <v>220,0</v>
      </c>
      <c r="L105" s="62" t="str">
        <f>"140,6020"</f>
        <v>140,6020</v>
      </c>
      <c r="M105" s="61"/>
    </row>
    <row r="106" spans="1:13">
      <c r="A106" s="63" t="s">
        <v>260</v>
      </c>
      <c r="B106" s="61" t="s">
        <v>194</v>
      </c>
      <c r="C106" s="61" t="s">
        <v>195</v>
      </c>
      <c r="D106" s="61" t="s">
        <v>196</v>
      </c>
      <c r="E106" s="65" t="s">
        <v>620</v>
      </c>
      <c r="F106" s="61" t="s">
        <v>63</v>
      </c>
      <c r="G106" s="30" t="s">
        <v>336</v>
      </c>
      <c r="H106" s="30" t="s">
        <v>362</v>
      </c>
      <c r="I106" s="64" t="s">
        <v>308</v>
      </c>
      <c r="J106" s="63"/>
      <c r="K106" s="83" t="str">
        <f>"202,5"</f>
        <v>202,5</v>
      </c>
      <c r="L106" s="62" t="str">
        <f>"129,8025"</f>
        <v>129,8025</v>
      </c>
      <c r="M106" s="61"/>
    </row>
    <row r="107" spans="1:13">
      <c r="A107" s="63" t="s">
        <v>256</v>
      </c>
      <c r="B107" s="61" t="s">
        <v>361</v>
      </c>
      <c r="C107" s="61" t="s">
        <v>560</v>
      </c>
      <c r="D107" s="61" t="s">
        <v>360</v>
      </c>
      <c r="E107" s="65" t="s">
        <v>621</v>
      </c>
      <c r="F107" s="61" t="s">
        <v>517</v>
      </c>
      <c r="G107" s="30" t="s">
        <v>326</v>
      </c>
      <c r="H107" s="30" t="s">
        <v>337</v>
      </c>
      <c r="I107" s="30" t="s">
        <v>334</v>
      </c>
      <c r="J107" s="63"/>
      <c r="K107" s="83" t="str">
        <f>"180,0"</f>
        <v>180,0</v>
      </c>
      <c r="L107" s="62" t="str">
        <f>"117,1231"</f>
        <v>117,1231</v>
      </c>
      <c r="M107" s="61" t="s">
        <v>526</v>
      </c>
    </row>
    <row r="108" spans="1:13">
      <c r="A108" s="63" t="s">
        <v>256</v>
      </c>
      <c r="B108" s="61" t="s">
        <v>266</v>
      </c>
      <c r="C108" s="61" t="s">
        <v>561</v>
      </c>
      <c r="D108" s="61" t="s">
        <v>359</v>
      </c>
      <c r="E108" s="65" t="s">
        <v>623</v>
      </c>
      <c r="F108" s="61" t="s">
        <v>517</v>
      </c>
      <c r="G108" s="30" t="s">
        <v>321</v>
      </c>
      <c r="H108" s="30" t="s">
        <v>358</v>
      </c>
      <c r="I108" s="64" t="s">
        <v>357</v>
      </c>
      <c r="J108" s="63"/>
      <c r="K108" s="83" t="str">
        <f>"240,0"</f>
        <v>240,0</v>
      </c>
      <c r="L108" s="62" t="str">
        <f>"170,7896"</f>
        <v>170,7896</v>
      </c>
      <c r="M108" s="61"/>
    </row>
    <row r="109" spans="1:13">
      <c r="A109" s="63" t="s">
        <v>257</v>
      </c>
      <c r="B109" s="61" t="s">
        <v>197</v>
      </c>
      <c r="C109" s="61" t="s">
        <v>562</v>
      </c>
      <c r="D109" s="61" t="s">
        <v>198</v>
      </c>
      <c r="E109" s="65" t="s">
        <v>623</v>
      </c>
      <c r="F109" s="61" t="s">
        <v>517</v>
      </c>
      <c r="G109" s="30" t="s">
        <v>356</v>
      </c>
      <c r="H109" s="30" t="s">
        <v>341</v>
      </c>
      <c r="I109" s="30" t="s">
        <v>355</v>
      </c>
      <c r="J109" s="63"/>
      <c r="K109" s="83" t="str">
        <f>"207,5"</f>
        <v>207,5</v>
      </c>
      <c r="L109" s="62" t="str">
        <f>"148,4246"</f>
        <v>148,4246</v>
      </c>
      <c r="M109" s="61"/>
    </row>
    <row r="110" spans="1:13">
      <c r="A110" s="59" t="s">
        <v>256</v>
      </c>
      <c r="B110" s="57" t="s">
        <v>354</v>
      </c>
      <c r="C110" s="57" t="s">
        <v>563</v>
      </c>
      <c r="D110" s="57" t="s">
        <v>353</v>
      </c>
      <c r="E110" s="60" t="s">
        <v>625</v>
      </c>
      <c r="F110" s="57" t="s">
        <v>517</v>
      </c>
      <c r="G110" s="33" t="s">
        <v>352</v>
      </c>
      <c r="H110" s="33" t="s">
        <v>351</v>
      </c>
      <c r="I110" s="33" t="s">
        <v>350</v>
      </c>
      <c r="J110" s="59"/>
      <c r="K110" s="84" t="str">
        <f>"150,0"</f>
        <v>150,0</v>
      </c>
      <c r="L110" s="58" t="str">
        <f>"117,3706"</f>
        <v>117,3706</v>
      </c>
      <c r="M110" s="57" t="s">
        <v>515</v>
      </c>
    </row>
    <row r="112" spans="1:13" ht="16">
      <c r="A112" s="92" t="s">
        <v>205</v>
      </c>
      <c r="B112" s="92"/>
      <c r="C112" s="93"/>
      <c r="D112" s="93"/>
      <c r="E112" s="93"/>
      <c r="F112" s="93"/>
      <c r="G112" s="93"/>
      <c r="H112" s="93"/>
      <c r="I112" s="93"/>
      <c r="J112" s="93"/>
    </row>
    <row r="113" spans="1:13">
      <c r="A113" s="68" t="s">
        <v>258</v>
      </c>
      <c r="B113" s="66" t="s">
        <v>206</v>
      </c>
      <c r="C113" s="66" t="s">
        <v>564</v>
      </c>
      <c r="D113" s="66" t="s">
        <v>207</v>
      </c>
      <c r="E113" s="69" t="s">
        <v>619</v>
      </c>
      <c r="F113" s="66" t="s">
        <v>518</v>
      </c>
      <c r="G113" s="70" t="s">
        <v>341</v>
      </c>
      <c r="H113" s="70" t="s">
        <v>308</v>
      </c>
      <c r="I113" s="70" t="s">
        <v>308</v>
      </c>
      <c r="J113" s="68"/>
      <c r="K113" s="82">
        <v>0</v>
      </c>
      <c r="L113" s="67" t="str">
        <f>"0,0000"</f>
        <v>0,0000</v>
      </c>
      <c r="M113" s="66"/>
    </row>
    <row r="114" spans="1:13">
      <c r="A114" s="63" t="s">
        <v>256</v>
      </c>
      <c r="B114" s="61" t="s">
        <v>272</v>
      </c>
      <c r="C114" s="61" t="s">
        <v>349</v>
      </c>
      <c r="D114" s="61" t="s">
        <v>348</v>
      </c>
      <c r="E114" s="65" t="s">
        <v>620</v>
      </c>
      <c r="F114" s="61" t="s">
        <v>347</v>
      </c>
      <c r="G114" s="30" t="s">
        <v>284</v>
      </c>
      <c r="H114" s="30" t="s">
        <v>346</v>
      </c>
      <c r="I114" s="64" t="s">
        <v>345</v>
      </c>
      <c r="J114" s="63"/>
      <c r="K114" s="83" t="str">
        <f>"310,0"</f>
        <v>310,0</v>
      </c>
      <c r="L114" s="62" t="str">
        <f>"191,1460"</f>
        <v>191,1460</v>
      </c>
      <c r="M114" s="61"/>
    </row>
    <row r="115" spans="1:13">
      <c r="A115" s="63" t="s">
        <v>257</v>
      </c>
      <c r="B115" s="61" t="s">
        <v>344</v>
      </c>
      <c r="C115" s="61" t="s">
        <v>343</v>
      </c>
      <c r="D115" s="61" t="s">
        <v>342</v>
      </c>
      <c r="E115" s="65" t="s">
        <v>620</v>
      </c>
      <c r="F115" s="61" t="s">
        <v>287</v>
      </c>
      <c r="G115" s="30" t="s">
        <v>337</v>
      </c>
      <c r="H115" s="30" t="s">
        <v>336</v>
      </c>
      <c r="I115" s="64" t="s">
        <v>341</v>
      </c>
      <c r="J115" s="63"/>
      <c r="K115" s="83" t="str">
        <f>"185,0"</f>
        <v>185,0</v>
      </c>
      <c r="L115" s="62" t="str">
        <f>"117,8450"</f>
        <v>117,8450</v>
      </c>
      <c r="M115" s="61"/>
    </row>
    <row r="116" spans="1:13">
      <c r="A116" s="63" t="s">
        <v>259</v>
      </c>
      <c r="B116" s="61" t="s">
        <v>340</v>
      </c>
      <c r="C116" s="61" t="s">
        <v>339</v>
      </c>
      <c r="D116" s="61" t="s">
        <v>338</v>
      </c>
      <c r="E116" s="65" t="s">
        <v>620</v>
      </c>
      <c r="F116" s="61" t="s">
        <v>517</v>
      </c>
      <c r="G116" s="30" t="s">
        <v>337</v>
      </c>
      <c r="H116" s="30" t="s">
        <v>334</v>
      </c>
      <c r="I116" s="30" t="s">
        <v>336</v>
      </c>
      <c r="J116" s="63"/>
      <c r="K116" s="83" t="str">
        <f>"185,0"</f>
        <v>185,0</v>
      </c>
      <c r="L116" s="62" t="str">
        <f>"114,9035"</f>
        <v>114,9035</v>
      </c>
      <c r="M116" s="61" t="s">
        <v>529</v>
      </c>
    </row>
    <row r="117" spans="1:13">
      <c r="A117" s="63" t="s">
        <v>256</v>
      </c>
      <c r="B117" s="61" t="s">
        <v>227</v>
      </c>
      <c r="C117" s="61" t="s">
        <v>565</v>
      </c>
      <c r="D117" s="61" t="s">
        <v>228</v>
      </c>
      <c r="E117" s="65" t="s">
        <v>621</v>
      </c>
      <c r="F117" s="61" t="s">
        <v>517</v>
      </c>
      <c r="G117" s="64" t="s">
        <v>316</v>
      </c>
      <c r="H117" s="64" t="s">
        <v>316</v>
      </c>
      <c r="I117" s="30" t="s">
        <v>316</v>
      </c>
      <c r="J117" s="63"/>
      <c r="K117" s="83" t="str">
        <f>"220,0"</f>
        <v>220,0</v>
      </c>
      <c r="L117" s="62" t="str">
        <f>"139,5860"</f>
        <v>139,5860</v>
      </c>
      <c r="M117" s="61"/>
    </row>
    <row r="118" spans="1:13">
      <c r="A118" s="63" t="s">
        <v>257</v>
      </c>
      <c r="B118" s="61" t="s">
        <v>335</v>
      </c>
      <c r="C118" s="61" t="s">
        <v>566</v>
      </c>
      <c r="D118" s="61" t="s">
        <v>213</v>
      </c>
      <c r="E118" s="65" t="s">
        <v>621</v>
      </c>
      <c r="F118" s="61" t="s">
        <v>63</v>
      </c>
      <c r="G118" s="64" t="s">
        <v>334</v>
      </c>
      <c r="H118" s="30" t="s">
        <v>309</v>
      </c>
      <c r="I118" s="64" t="s">
        <v>333</v>
      </c>
      <c r="J118" s="63"/>
      <c r="K118" s="83" t="str">
        <f>"190,0"</f>
        <v>190,0</v>
      </c>
      <c r="L118" s="62" t="str">
        <f>"118,6400"</f>
        <v>118,6400</v>
      </c>
      <c r="M118" s="61"/>
    </row>
    <row r="119" spans="1:13">
      <c r="A119" s="59" t="s">
        <v>256</v>
      </c>
      <c r="B119" s="57" t="s">
        <v>332</v>
      </c>
      <c r="C119" s="57" t="s">
        <v>567</v>
      </c>
      <c r="D119" s="57" t="s">
        <v>331</v>
      </c>
      <c r="E119" s="60" t="s">
        <v>623</v>
      </c>
      <c r="F119" s="57" t="s">
        <v>517</v>
      </c>
      <c r="G119" s="33" t="s">
        <v>316</v>
      </c>
      <c r="H119" s="33" t="s">
        <v>330</v>
      </c>
      <c r="I119" s="33" t="s">
        <v>329</v>
      </c>
      <c r="J119" s="59"/>
      <c r="K119" s="84" t="str">
        <f>"252,5"</f>
        <v>252,5</v>
      </c>
      <c r="L119" s="58" t="str">
        <f>"166,7467"</f>
        <v>166,7467</v>
      </c>
      <c r="M119" s="57"/>
    </row>
    <row r="121" spans="1:13" ht="16">
      <c r="A121" s="92" t="s">
        <v>229</v>
      </c>
      <c r="B121" s="92"/>
      <c r="C121" s="93"/>
      <c r="D121" s="93"/>
      <c r="E121" s="93"/>
      <c r="F121" s="93"/>
      <c r="G121" s="93"/>
      <c r="H121" s="93"/>
      <c r="I121" s="93"/>
      <c r="J121" s="93"/>
    </row>
    <row r="122" spans="1:13">
      <c r="A122" s="68" t="s">
        <v>256</v>
      </c>
      <c r="B122" s="66" t="s">
        <v>328</v>
      </c>
      <c r="C122" s="66" t="s">
        <v>568</v>
      </c>
      <c r="D122" s="66" t="s">
        <v>327</v>
      </c>
      <c r="E122" s="69" t="s">
        <v>619</v>
      </c>
      <c r="F122" s="66" t="s">
        <v>47</v>
      </c>
      <c r="G122" s="28" t="s">
        <v>326</v>
      </c>
      <c r="H122" s="68"/>
      <c r="I122" s="68"/>
      <c r="J122" s="68"/>
      <c r="K122" s="82" t="str">
        <f>"160,0"</f>
        <v>160,0</v>
      </c>
      <c r="L122" s="67" t="str">
        <f>"96,0640"</f>
        <v>96,0640</v>
      </c>
      <c r="M122" s="66" t="s">
        <v>509</v>
      </c>
    </row>
    <row r="123" spans="1:13">
      <c r="A123" s="63" t="s">
        <v>256</v>
      </c>
      <c r="B123" s="61" t="s">
        <v>325</v>
      </c>
      <c r="C123" s="61" t="s">
        <v>324</v>
      </c>
      <c r="D123" s="61" t="s">
        <v>323</v>
      </c>
      <c r="E123" s="65" t="s">
        <v>620</v>
      </c>
      <c r="F123" s="61" t="s">
        <v>517</v>
      </c>
      <c r="G123" s="30" t="s">
        <v>322</v>
      </c>
      <c r="H123" s="30" t="s">
        <v>321</v>
      </c>
      <c r="I123" s="30" t="s">
        <v>320</v>
      </c>
      <c r="J123" s="63"/>
      <c r="K123" s="83" t="str">
        <f>"235,0"</f>
        <v>235,0</v>
      </c>
      <c r="L123" s="62" t="str">
        <f>"138,9320"</f>
        <v>138,9320</v>
      </c>
      <c r="M123" s="61" t="s">
        <v>526</v>
      </c>
    </row>
    <row r="124" spans="1:13">
      <c r="A124" s="63" t="s">
        <v>257</v>
      </c>
      <c r="B124" s="61" t="s">
        <v>319</v>
      </c>
      <c r="C124" s="61" t="s">
        <v>318</v>
      </c>
      <c r="D124" s="61" t="s">
        <v>317</v>
      </c>
      <c r="E124" s="65" t="s">
        <v>620</v>
      </c>
      <c r="F124" s="61" t="s">
        <v>610</v>
      </c>
      <c r="G124" s="64" t="s">
        <v>316</v>
      </c>
      <c r="H124" s="30" t="s">
        <v>307</v>
      </c>
      <c r="I124" s="30" t="s">
        <v>315</v>
      </c>
      <c r="J124" s="63"/>
      <c r="K124" s="83" t="str">
        <f>"232,5"</f>
        <v>232,5</v>
      </c>
      <c r="L124" s="62" t="str">
        <f>"137,5470"</f>
        <v>137,5470</v>
      </c>
      <c r="M124" s="61"/>
    </row>
    <row r="125" spans="1:13">
      <c r="A125" s="59" t="s">
        <v>256</v>
      </c>
      <c r="B125" s="57" t="s">
        <v>267</v>
      </c>
      <c r="C125" s="57" t="s">
        <v>569</v>
      </c>
      <c r="D125" s="57" t="s">
        <v>314</v>
      </c>
      <c r="E125" s="60" t="s">
        <v>623</v>
      </c>
      <c r="F125" s="57" t="s">
        <v>517</v>
      </c>
      <c r="G125" s="33" t="s">
        <v>313</v>
      </c>
      <c r="H125" s="33" t="s">
        <v>286</v>
      </c>
      <c r="I125" s="33" t="s">
        <v>285</v>
      </c>
      <c r="J125" s="59"/>
      <c r="K125" s="84" t="str">
        <f>"275,0"</f>
        <v>275,0</v>
      </c>
      <c r="L125" s="58" t="str">
        <f>"177,6328"</f>
        <v>177,6328</v>
      </c>
      <c r="M125" s="57"/>
    </row>
    <row r="127" spans="1:13" ht="16">
      <c r="A127" s="92" t="s">
        <v>235</v>
      </c>
      <c r="B127" s="92"/>
      <c r="C127" s="93"/>
      <c r="D127" s="93"/>
      <c r="E127" s="93"/>
      <c r="F127" s="93"/>
      <c r="G127" s="93"/>
      <c r="H127" s="93"/>
      <c r="I127" s="93"/>
      <c r="J127" s="93"/>
    </row>
    <row r="128" spans="1:13">
      <c r="A128" s="68" t="s">
        <v>256</v>
      </c>
      <c r="B128" s="66" t="s">
        <v>274</v>
      </c>
      <c r="C128" s="66" t="s">
        <v>312</v>
      </c>
      <c r="D128" s="66" t="s">
        <v>311</v>
      </c>
      <c r="E128" s="69" t="s">
        <v>618</v>
      </c>
      <c r="F128" s="66" t="s">
        <v>310</v>
      </c>
      <c r="G128" s="28" t="s">
        <v>309</v>
      </c>
      <c r="H128" s="28" t="s">
        <v>308</v>
      </c>
      <c r="I128" s="28" t="s">
        <v>307</v>
      </c>
      <c r="J128" s="68"/>
      <c r="K128" s="82" t="str">
        <f>"225,0"</f>
        <v>225,0</v>
      </c>
      <c r="L128" s="67" t="str">
        <f>"128,9250"</f>
        <v>128,9250</v>
      </c>
      <c r="M128" s="66"/>
    </row>
    <row r="129" spans="1:13">
      <c r="A129" s="63" t="s">
        <v>256</v>
      </c>
      <c r="B129" s="61" t="s">
        <v>271</v>
      </c>
      <c r="C129" s="61" t="s">
        <v>306</v>
      </c>
      <c r="D129" s="61" t="s">
        <v>305</v>
      </c>
      <c r="E129" s="65" t="s">
        <v>620</v>
      </c>
      <c r="F129" s="61" t="s">
        <v>517</v>
      </c>
      <c r="G129" s="30" t="s">
        <v>299</v>
      </c>
      <c r="H129" s="30" t="s">
        <v>304</v>
      </c>
      <c r="I129" s="64" t="s">
        <v>303</v>
      </c>
      <c r="J129" s="63"/>
      <c r="K129" s="83" t="str">
        <f>"300,0"</f>
        <v>300,0</v>
      </c>
      <c r="L129" s="62" t="str">
        <f>"176,3400"</f>
        <v>176,3400</v>
      </c>
      <c r="M129" s="61"/>
    </row>
    <row r="130" spans="1:13">
      <c r="A130" s="63" t="s">
        <v>257</v>
      </c>
      <c r="B130" s="61" t="s">
        <v>302</v>
      </c>
      <c r="C130" s="61" t="s">
        <v>301</v>
      </c>
      <c r="D130" s="61" t="s">
        <v>300</v>
      </c>
      <c r="E130" s="65" t="s">
        <v>620</v>
      </c>
      <c r="F130" s="61" t="s">
        <v>518</v>
      </c>
      <c r="G130" s="30" t="s">
        <v>285</v>
      </c>
      <c r="H130" s="64" t="s">
        <v>299</v>
      </c>
      <c r="I130" s="64" t="s">
        <v>298</v>
      </c>
      <c r="J130" s="63"/>
      <c r="K130" s="83" t="str">
        <f>"275,0"</f>
        <v>275,0</v>
      </c>
      <c r="L130" s="62" t="str">
        <f>"160,2425"</f>
        <v>160,2425</v>
      </c>
      <c r="M130" s="61" t="s">
        <v>543</v>
      </c>
    </row>
    <row r="131" spans="1:13">
      <c r="A131" s="59" t="s">
        <v>259</v>
      </c>
      <c r="B131" s="57" t="s">
        <v>297</v>
      </c>
      <c r="C131" s="57" t="s">
        <v>296</v>
      </c>
      <c r="D131" s="57" t="s">
        <v>295</v>
      </c>
      <c r="E131" s="60" t="s">
        <v>620</v>
      </c>
      <c r="F131" s="57" t="s">
        <v>287</v>
      </c>
      <c r="G131" s="33" t="s">
        <v>294</v>
      </c>
      <c r="H131" s="33" t="s">
        <v>293</v>
      </c>
      <c r="I131" s="33" t="s">
        <v>292</v>
      </c>
      <c r="J131" s="59"/>
      <c r="K131" s="84" t="str">
        <f>"205,0"</f>
        <v>205,0</v>
      </c>
      <c r="L131" s="58" t="str">
        <f>"117,8955"</f>
        <v>117,8955</v>
      </c>
      <c r="M131" s="57"/>
    </row>
    <row r="133" spans="1:13" ht="16">
      <c r="A133" s="92" t="s">
        <v>291</v>
      </c>
      <c r="B133" s="92"/>
      <c r="C133" s="93"/>
      <c r="D133" s="93"/>
      <c r="E133" s="93"/>
      <c r="F133" s="93"/>
      <c r="G133" s="93"/>
      <c r="H133" s="93"/>
      <c r="I133" s="93"/>
      <c r="J133" s="93"/>
    </row>
    <row r="134" spans="1:13">
      <c r="A134" s="54" t="s">
        <v>256</v>
      </c>
      <c r="B134" s="52" t="s">
        <v>290</v>
      </c>
      <c r="C134" s="52" t="s">
        <v>289</v>
      </c>
      <c r="D134" s="52" t="s">
        <v>288</v>
      </c>
      <c r="E134" s="56" t="s">
        <v>620</v>
      </c>
      <c r="F134" s="52" t="s">
        <v>287</v>
      </c>
      <c r="G134" s="38" t="s">
        <v>286</v>
      </c>
      <c r="H134" s="38" t="s">
        <v>285</v>
      </c>
      <c r="I134" s="55" t="s">
        <v>284</v>
      </c>
      <c r="J134" s="54"/>
      <c r="K134" s="85" t="str">
        <f>"275,0"</f>
        <v>275,0</v>
      </c>
      <c r="L134" s="53" t="str">
        <f>"152,4050"</f>
        <v>152,4050</v>
      </c>
      <c r="M134" s="52"/>
    </row>
    <row r="136" spans="1:13">
      <c r="G136" s="40"/>
      <c r="M136" s="41"/>
    </row>
    <row r="137" spans="1:13">
      <c r="G137" s="40"/>
      <c r="M137" s="41"/>
    </row>
    <row r="138" spans="1:13" ht="18">
      <c r="B138" s="51" t="s">
        <v>241</v>
      </c>
      <c r="C138" s="51"/>
      <c r="E138" s="40"/>
      <c r="G138" s="40"/>
      <c r="M138" s="41"/>
    </row>
    <row r="139" spans="1:13" ht="16">
      <c r="B139" s="50" t="s">
        <v>242</v>
      </c>
      <c r="C139" s="50"/>
      <c r="E139" s="40"/>
      <c r="G139" s="40"/>
      <c r="M139" s="41"/>
    </row>
    <row r="140" spans="1:13" ht="14">
      <c r="B140" s="49"/>
      <c r="C140" s="48" t="s">
        <v>248</v>
      </c>
      <c r="E140" s="40"/>
      <c r="M140" s="39"/>
    </row>
    <row r="141" spans="1:13" ht="14">
      <c r="B141" s="46" t="s">
        <v>243</v>
      </c>
      <c r="C141" s="46" t="s">
        <v>244</v>
      </c>
      <c r="D141" s="46" t="s">
        <v>611</v>
      </c>
      <c r="E141" s="47" t="s">
        <v>245</v>
      </c>
      <c r="F141" s="46" t="s">
        <v>269</v>
      </c>
      <c r="M141" s="39"/>
    </row>
    <row r="142" spans="1:13">
      <c r="B142" s="40" t="s">
        <v>279</v>
      </c>
      <c r="C142" s="40" t="s">
        <v>248</v>
      </c>
      <c r="D142" s="42" t="s">
        <v>246</v>
      </c>
      <c r="E142" s="45">
        <v>122.5</v>
      </c>
      <c r="F142" s="44">
        <v>162.23899364471399</v>
      </c>
      <c r="M142" s="39"/>
    </row>
    <row r="143" spans="1:13">
      <c r="B143" s="40" t="s">
        <v>278</v>
      </c>
      <c r="C143" s="40" t="s">
        <v>248</v>
      </c>
      <c r="D143" s="42" t="s">
        <v>247</v>
      </c>
      <c r="E143" s="45">
        <v>127.5</v>
      </c>
      <c r="F143" s="44">
        <v>158.01075160503399</v>
      </c>
      <c r="M143" s="39"/>
    </row>
    <row r="144" spans="1:13">
      <c r="B144" s="40" t="s">
        <v>49</v>
      </c>
      <c r="C144" s="40" t="s">
        <v>248</v>
      </c>
      <c r="D144" s="42" t="s">
        <v>249</v>
      </c>
      <c r="E144" s="45">
        <v>140</v>
      </c>
      <c r="F144" s="44">
        <v>137.03199982643099</v>
      </c>
      <c r="M144" s="39"/>
    </row>
    <row r="145" spans="2:13">
      <c r="M145" s="39"/>
    </row>
    <row r="146" spans="2:13" ht="16">
      <c r="B146" s="50" t="s">
        <v>251</v>
      </c>
      <c r="C146" s="50"/>
      <c r="M146" s="39"/>
    </row>
    <row r="147" spans="2:13" ht="14">
      <c r="B147" s="49"/>
      <c r="C147" s="48" t="s">
        <v>248</v>
      </c>
      <c r="M147" s="39"/>
    </row>
    <row r="148" spans="2:13" ht="14">
      <c r="B148" s="46" t="s">
        <v>243</v>
      </c>
      <c r="C148" s="46" t="s">
        <v>244</v>
      </c>
      <c r="D148" s="46" t="s">
        <v>611</v>
      </c>
      <c r="E148" s="47" t="s">
        <v>245</v>
      </c>
      <c r="F148" s="46" t="s">
        <v>269</v>
      </c>
      <c r="M148" s="39"/>
    </row>
    <row r="149" spans="2:13">
      <c r="B149" s="40" t="s">
        <v>272</v>
      </c>
      <c r="C149" s="40" t="s">
        <v>248</v>
      </c>
      <c r="D149" s="42" t="s">
        <v>254</v>
      </c>
      <c r="E149" s="45">
        <v>310</v>
      </c>
      <c r="F149" s="44">
        <v>191.14599287509901</v>
      </c>
      <c r="M149" s="39"/>
    </row>
    <row r="150" spans="2:13">
      <c r="B150" s="40" t="s">
        <v>271</v>
      </c>
      <c r="C150" s="40" t="s">
        <v>248</v>
      </c>
      <c r="D150" s="42" t="s">
        <v>270</v>
      </c>
      <c r="E150" s="45">
        <v>300</v>
      </c>
      <c r="F150" s="44">
        <v>176.340007781982</v>
      </c>
      <c r="M150" s="39"/>
    </row>
    <row r="151" spans="2:13">
      <c r="B151" s="40" t="s">
        <v>118</v>
      </c>
      <c r="C151" s="40" t="s">
        <v>248</v>
      </c>
      <c r="D151" s="42" t="s">
        <v>249</v>
      </c>
      <c r="E151" s="45">
        <v>245</v>
      </c>
      <c r="F151" s="44">
        <v>174.586998224258</v>
      </c>
      <c r="G151" s="40"/>
      <c r="M151" s="41"/>
    </row>
  </sheetData>
  <mergeCells count="31">
    <mergeCell ref="A1:M2"/>
    <mergeCell ref="G3:J3"/>
    <mergeCell ref="A3:A4"/>
    <mergeCell ref="C3:C4"/>
    <mergeCell ref="D3:D4"/>
    <mergeCell ref="M3:M4"/>
    <mergeCell ref="F3:F4"/>
    <mergeCell ref="B3:B4"/>
    <mergeCell ref="E3:E4"/>
    <mergeCell ref="K3:K4"/>
    <mergeCell ref="L3:L4"/>
    <mergeCell ref="A30:J30"/>
    <mergeCell ref="A36:J36"/>
    <mergeCell ref="A39:J39"/>
    <mergeCell ref="A43:J43"/>
    <mergeCell ref="A47:J47"/>
    <mergeCell ref="A5:J5"/>
    <mergeCell ref="A11:J11"/>
    <mergeCell ref="A16:J16"/>
    <mergeCell ref="A19:J19"/>
    <mergeCell ref="A24:J24"/>
    <mergeCell ref="A101:J101"/>
    <mergeCell ref="A112:J112"/>
    <mergeCell ref="A121:J121"/>
    <mergeCell ref="A127:J127"/>
    <mergeCell ref="A133:J133"/>
    <mergeCell ref="A50:J50"/>
    <mergeCell ref="A56:J56"/>
    <mergeCell ref="A61:J61"/>
    <mergeCell ref="A68:J68"/>
    <mergeCell ref="A84:J8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M136"/>
  <sheetViews>
    <sheetView tabSelected="1" workbookViewId="0">
      <selection activeCell="E120" sqref="E120"/>
    </sheetView>
  </sheetViews>
  <sheetFormatPr baseColWidth="10" defaultColWidth="9.1640625" defaultRowHeight="13"/>
  <cols>
    <col min="1" max="1" width="7.1640625" style="5" bestFit="1" customWidth="1"/>
    <col min="2" max="2" width="23" style="5" bestFit="1" customWidth="1"/>
    <col min="3" max="3" width="29" style="5" bestFit="1" customWidth="1"/>
    <col min="4" max="4" width="20.83203125" style="5" bestFit="1" customWidth="1"/>
    <col min="5" max="5" width="10.33203125" style="19" customWidth="1"/>
    <col min="6" max="6" width="38.5" style="5" bestFit="1" customWidth="1"/>
    <col min="7" max="9" width="5.5" style="25" customWidth="1"/>
    <col min="10" max="10" width="4.5" style="25" customWidth="1"/>
    <col min="11" max="11" width="10.5" style="26" bestFit="1" customWidth="1"/>
    <col min="12" max="12" width="7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117" t="s">
        <v>545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s="2" customFormat="1" ht="62" customHeight="1" thickBot="1">
      <c r="A2" s="121"/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spans="1:13" s="1" customFormat="1" ht="12.75" customHeight="1">
      <c r="A3" s="126" t="s">
        <v>614</v>
      </c>
      <c r="B3" s="137" t="s">
        <v>0</v>
      </c>
      <c r="C3" s="128" t="s">
        <v>616</v>
      </c>
      <c r="D3" s="128" t="s">
        <v>5</v>
      </c>
      <c r="E3" s="133" t="s">
        <v>617</v>
      </c>
      <c r="F3" s="125" t="s">
        <v>4</v>
      </c>
      <c r="G3" s="125" t="s">
        <v>615</v>
      </c>
      <c r="H3" s="125"/>
      <c r="I3" s="125"/>
      <c r="J3" s="125"/>
      <c r="K3" s="135" t="s">
        <v>255</v>
      </c>
      <c r="L3" s="133" t="s">
        <v>2</v>
      </c>
      <c r="M3" s="130" t="s">
        <v>1</v>
      </c>
    </row>
    <row r="4" spans="1:13" s="1" customFormat="1" ht="21" customHeight="1" thickBot="1">
      <c r="A4" s="127"/>
      <c r="B4" s="112"/>
      <c r="C4" s="129"/>
      <c r="D4" s="129"/>
      <c r="E4" s="134"/>
      <c r="F4" s="129"/>
      <c r="G4" s="4">
        <v>1</v>
      </c>
      <c r="H4" s="4">
        <v>2</v>
      </c>
      <c r="I4" s="4">
        <v>3</v>
      </c>
      <c r="J4" s="4" t="s">
        <v>3</v>
      </c>
      <c r="K4" s="136"/>
      <c r="L4" s="134"/>
      <c r="M4" s="131"/>
    </row>
    <row r="5" spans="1:13" ht="16">
      <c r="A5" s="138" t="s">
        <v>6</v>
      </c>
      <c r="B5" s="138"/>
      <c r="C5" s="95"/>
      <c r="D5" s="95"/>
      <c r="E5" s="95"/>
      <c r="F5" s="95"/>
      <c r="G5" s="95"/>
      <c r="H5" s="95"/>
      <c r="I5" s="95"/>
      <c r="J5" s="95"/>
    </row>
    <row r="6" spans="1:13">
      <c r="A6" s="27" t="s">
        <v>256</v>
      </c>
      <c r="B6" s="7" t="s">
        <v>7</v>
      </c>
      <c r="C6" s="7" t="s">
        <v>570</v>
      </c>
      <c r="D6" s="7" t="s">
        <v>8</v>
      </c>
      <c r="E6" s="8" t="s">
        <v>618</v>
      </c>
      <c r="F6" s="7" t="s">
        <v>9</v>
      </c>
      <c r="G6" s="28" t="s">
        <v>10</v>
      </c>
      <c r="H6" s="28" t="s">
        <v>11</v>
      </c>
      <c r="I6" s="28" t="s">
        <v>12</v>
      </c>
      <c r="J6" s="27"/>
      <c r="K6" s="86" t="str">
        <f>"20,0"</f>
        <v>20,0</v>
      </c>
      <c r="L6" s="9" t="str">
        <f>"23,8440"</f>
        <v>23,8440</v>
      </c>
      <c r="M6" s="7" t="s">
        <v>508</v>
      </c>
    </row>
    <row r="7" spans="1:13">
      <c r="A7" s="29" t="s">
        <v>256</v>
      </c>
      <c r="B7" s="10" t="s">
        <v>13</v>
      </c>
      <c r="C7" s="10" t="s">
        <v>14</v>
      </c>
      <c r="D7" s="10" t="s">
        <v>15</v>
      </c>
      <c r="E7" s="11" t="s">
        <v>620</v>
      </c>
      <c r="F7" s="10" t="s">
        <v>16</v>
      </c>
      <c r="G7" s="30" t="s">
        <v>17</v>
      </c>
      <c r="H7" s="31" t="s">
        <v>18</v>
      </c>
      <c r="I7" s="31" t="s">
        <v>18</v>
      </c>
      <c r="J7" s="29"/>
      <c r="K7" s="87" t="str">
        <f>"30,0"</f>
        <v>30,0</v>
      </c>
      <c r="L7" s="12" t="str">
        <f>"35,5380"</f>
        <v>35,5380</v>
      </c>
      <c r="M7" s="10"/>
    </row>
    <row r="8" spans="1:13">
      <c r="A8" s="32" t="s">
        <v>257</v>
      </c>
      <c r="B8" s="13" t="s">
        <v>7</v>
      </c>
      <c r="C8" s="13" t="s">
        <v>19</v>
      </c>
      <c r="D8" s="13" t="s">
        <v>8</v>
      </c>
      <c r="E8" s="14" t="s">
        <v>620</v>
      </c>
      <c r="F8" s="13" t="s">
        <v>9</v>
      </c>
      <c r="G8" s="33" t="s">
        <v>10</v>
      </c>
      <c r="H8" s="33" t="s">
        <v>11</v>
      </c>
      <c r="I8" s="33" t="s">
        <v>12</v>
      </c>
      <c r="J8" s="32"/>
      <c r="K8" s="88" t="str">
        <f>"20,0"</f>
        <v>20,0</v>
      </c>
      <c r="L8" s="15" t="str">
        <f>"23,8440"</f>
        <v>23,8440</v>
      </c>
      <c r="M8" s="13" t="s">
        <v>508</v>
      </c>
    </row>
    <row r="10" spans="1:13" ht="16">
      <c r="A10" s="132" t="s">
        <v>20</v>
      </c>
      <c r="B10" s="132"/>
      <c r="C10" s="93"/>
      <c r="D10" s="93"/>
      <c r="E10" s="93"/>
      <c r="F10" s="93"/>
      <c r="G10" s="93"/>
      <c r="H10" s="93"/>
      <c r="I10" s="93"/>
      <c r="J10" s="93"/>
    </row>
    <row r="11" spans="1:13">
      <c r="A11" s="36" t="s">
        <v>256</v>
      </c>
      <c r="B11" s="16" t="s">
        <v>21</v>
      </c>
      <c r="C11" s="16" t="s">
        <v>22</v>
      </c>
      <c r="D11" s="16" t="s">
        <v>23</v>
      </c>
      <c r="E11" s="17" t="s">
        <v>620</v>
      </c>
      <c r="F11" s="16" t="s">
        <v>24</v>
      </c>
      <c r="G11" s="38" t="s">
        <v>12</v>
      </c>
      <c r="H11" s="38" t="s">
        <v>25</v>
      </c>
      <c r="I11" s="37" t="s">
        <v>26</v>
      </c>
      <c r="J11" s="36"/>
      <c r="K11" s="89" t="str">
        <f>"22,5"</f>
        <v>22,5</v>
      </c>
      <c r="L11" s="18" t="str">
        <f>"25,3057"</f>
        <v>25,3057</v>
      </c>
      <c r="M11" s="16"/>
    </row>
    <row r="13" spans="1:13" ht="16">
      <c r="A13" s="132" t="s">
        <v>27</v>
      </c>
      <c r="B13" s="132"/>
      <c r="C13" s="93"/>
      <c r="D13" s="93"/>
      <c r="E13" s="93"/>
      <c r="F13" s="93"/>
      <c r="G13" s="93"/>
      <c r="H13" s="93"/>
      <c r="I13" s="93"/>
      <c r="J13" s="93"/>
    </row>
    <row r="14" spans="1:13">
      <c r="A14" s="36" t="s">
        <v>256</v>
      </c>
      <c r="B14" s="16" t="s">
        <v>28</v>
      </c>
      <c r="C14" s="16" t="s">
        <v>571</v>
      </c>
      <c r="D14" s="16" t="s">
        <v>29</v>
      </c>
      <c r="E14" s="17" t="s">
        <v>619</v>
      </c>
      <c r="F14" s="16" t="s">
        <v>517</v>
      </c>
      <c r="G14" s="37" t="s">
        <v>26</v>
      </c>
      <c r="H14" s="38" t="s">
        <v>17</v>
      </c>
      <c r="I14" s="38" t="s">
        <v>18</v>
      </c>
      <c r="J14" s="36"/>
      <c r="K14" s="89" t="str">
        <f>"32,5"</f>
        <v>32,5</v>
      </c>
      <c r="L14" s="18" t="str">
        <f>"34,2712"</f>
        <v>34,2712</v>
      </c>
      <c r="M14" s="16"/>
    </row>
    <row r="16" spans="1:13" ht="16">
      <c r="A16" s="132" t="s">
        <v>30</v>
      </c>
      <c r="B16" s="132"/>
      <c r="C16" s="93"/>
      <c r="D16" s="93"/>
      <c r="E16" s="93"/>
      <c r="F16" s="93"/>
      <c r="G16" s="93"/>
      <c r="H16" s="93"/>
      <c r="I16" s="93"/>
      <c r="J16" s="93"/>
    </row>
    <row r="17" spans="1:13">
      <c r="A17" s="36" t="s">
        <v>256</v>
      </c>
      <c r="B17" s="16" t="s">
        <v>31</v>
      </c>
      <c r="C17" s="16" t="s">
        <v>32</v>
      </c>
      <c r="D17" s="16" t="s">
        <v>33</v>
      </c>
      <c r="E17" s="17" t="s">
        <v>620</v>
      </c>
      <c r="F17" s="16" t="s">
        <v>517</v>
      </c>
      <c r="G17" s="38" t="s">
        <v>12</v>
      </c>
      <c r="H17" s="38" t="s">
        <v>26</v>
      </c>
      <c r="I17" s="37" t="s">
        <v>18</v>
      </c>
      <c r="J17" s="36"/>
      <c r="K17" s="89" t="str">
        <f>"25,0"</f>
        <v>25,0</v>
      </c>
      <c r="L17" s="18" t="str">
        <f>"24,9925"</f>
        <v>24,9925</v>
      </c>
      <c r="M17" s="16" t="s">
        <v>516</v>
      </c>
    </row>
    <row r="19" spans="1:13" ht="16">
      <c r="A19" s="132" t="s">
        <v>34</v>
      </c>
      <c r="B19" s="132"/>
      <c r="C19" s="93"/>
      <c r="D19" s="93"/>
      <c r="E19" s="93"/>
      <c r="F19" s="93"/>
      <c r="G19" s="93"/>
      <c r="H19" s="93"/>
      <c r="I19" s="93"/>
      <c r="J19" s="93"/>
    </row>
    <row r="20" spans="1:13">
      <c r="A20" s="27" t="s">
        <v>256</v>
      </c>
      <c r="B20" s="7" t="s">
        <v>35</v>
      </c>
      <c r="C20" s="7" t="s">
        <v>36</v>
      </c>
      <c r="D20" s="7" t="s">
        <v>37</v>
      </c>
      <c r="E20" s="8" t="s">
        <v>620</v>
      </c>
      <c r="F20" s="7" t="s">
        <v>9</v>
      </c>
      <c r="G20" s="28" t="s">
        <v>17</v>
      </c>
      <c r="H20" s="28" t="s">
        <v>38</v>
      </c>
      <c r="I20" s="34" t="s">
        <v>39</v>
      </c>
      <c r="J20" s="27"/>
      <c r="K20" s="86" t="str">
        <f>"35,0"</f>
        <v>35,0</v>
      </c>
      <c r="L20" s="9" t="str">
        <f>"33,9780"</f>
        <v>33,9780</v>
      </c>
      <c r="M20" s="7" t="s">
        <v>508</v>
      </c>
    </row>
    <row r="21" spans="1:13">
      <c r="A21" s="29" t="s">
        <v>257</v>
      </c>
      <c r="B21" s="10" t="s">
        <v>40</v>
      </c>
      <c r="C21" s="10" t="s">
        <v>41</v>
      </c>
      <c r="D21" s="10" t="s">
        <v>42</v>
      </c>
      <c r="E21" s="11" t="s">
        <v>620</v>
      </c>
      <c r="F21" s="10" t="s">
        <v>16</v>
      </c>
      <c r="G21" s="30" t="s">
        <v>18</v>
      </c>
      <c r="H21" s="30" t="s">
        <v>38</v>
      </c>
      <c r="I21" s="31" t="s">
        <v>43</v>
      </c>
      <c r="J21" s="29"/>
      <c r="K21" s="87" t="str">
        <f>"35,0"</f>
        <v>35,0</v>
      </c>
      <c r="L21" s="12" t="str">
        <f>"33,0365"</f>
        <v>33,0365</v>
      </c>
      <c r="M21" s="10"/>
    </row>
    <row r="22" spans="1:13">
      <c r="A22" s="29" t="s">
        <v>259</v>
      </c>
      <c r="B22" s="10" t="s">
        <v>44</v>
      </c>
      <c r="C22" s="10" t="s">
        <v>45</v>
      </c>
      <c r="D22" s="10" t="s">
        <v>46</v>
      </c>
      <c r="E22" s="11" t="s">
        <v>620</v>
      </c>
      <c r="F22" s="10" t="s">
        <v>47</v>
      </c>
      <c r="G22" s="30" t="s">
        <v>17</v>
      </c>
      <c r="H22" s="30" t="s">
        <v>18</v>
      </c>
      <c r="I22" s="31" t="s">
        <v>38</v>
      </c>
      <c r="J22" s="29"/>
      <c r="K22" s="87" t="str">
        <f>"32,5"</f>
        <v>32,5</v>
      </c>
      <c r="L22" s="12" t="str">
        <f>"30,7141"</f>
        <v>30,7141</v>
      </c>
      <c r="M22" s="10" t="s">
        <v>509</v>
      </c>
    </row>
    <row r="23" spans="1:13">
      <c r="A23" s="29" t="s">
        <v>256</v>
      </c>
      <c r="B23" s="10" t="s">
        <v>35</v>
      </c>
      <c r="C23" s="10" t="s">
        <v>572</v>
      </c>
      <c r="D23" s="10" t="s">
        <v>37</v>
      </c>
      <c r="E23" s="11" t="s">
        <v>621</v>
      </c>
      <c r="F23" s="10" t="s">
        <v>9</v>
      </c>
      <c r="G23" s="30" t="s">
        <v>17</v>
      </c>
      <c r="H23" s="30" t="s">
        <v>38</v>
      </c>
      <c r="I23" s="31" t="s">
        <v>39</v>
      </c>
      <c r="J23" s="29"/>
      <c r="K23" s="87" t="str">
        <f>"35,0"</f>
        <v>35,0</v>
      </c>
      <c r="L23" s="12" t="str">
        <f>"33,9780"</f>
        <v>33,9780</v>
      </c>
      <c r="M23" s="10" t="s">
        <v>508</v>
      </c>
    </row>
    <row r="24" spans="1:13">
      <c r="A24" s="32" t="s">
        <v>257</v>
      </c>
      <c r="B24" s="13" t="s">
        <v>44</v>
      </c>
      <c r="C24" s="13" t="s">
        <v>573</v>
      </c>
      <c r="D24" s="13" t="s">
        <v>46</v>
      </c>
      <c r="E24" s="14" t="s">
        <v>621</v>
      </c>
      <c r="F24" s="13" t="s">
        <v>47</v>
      </c>
      <c r="G24" s="33" t="s">
        <v>17</v>
      </c>
      <c r="H24" s="33" t="s">
        <v>18</v>
      </c>
      <c r="I24" s="35" t="s">
        <v>38</v>
      </c>
      <c r="J24" s="32"/>
      <c r="K24" s="88" t="str">
        <f>"32,5"</f>
        <v>32,5</v>
      </c>
      <c r="L24" s="15" t="str">
        <f>"32,4034"</f>
        <v>32,4034</v>
      </c>
      <c r="M24" s="13" t="s">
        <v>509</v>
      </c>
    </row>
    <row r="26" spans="1:13" ht="16">
      <c r="A26" s="132" t="s">
        <v>48</v>
      </c>
      <c r="B26" s="132"/>
      <c r="C26" s="93"/>
      <c r="D26" s="93"/>
      <c r="E26" s="93"/>
      <c r="F26" s="93"/>
      <c r="G26" s="93"/>
      <c r="H26" s="93"/>
      <c r="I26" s="93"/>
      <c r="J26" s="93"/>
    </row>
    <row r="27" spans="1:13">
      <c r="A27" s="36" t="s">
        <v>256</v>
      </c>
      <c r="B27" s="16" t="s">
        <v>49</v>
      </c>
      <c r="C27" s="16" t="s">
        <v>50</v>
      </c>
      <c r="D27" s="16" t="s">
        <v>51</v>
      </c>
      <c r="E27" s="17" t="s">
        <v>620</v>
      </c>
      <c r="F27" s="16" t="s">
        <v>47</v>
      </c>
      <c r="G27" s="38" t="s">
        <v>39</v>
      </c>
      <c r="H27" s="38" t="s">
        <v>52</v>
      </c>
      <c r="I27" s="38" t="s">
        <v>53</v>
      </c>
      <c r="J27" s="36"/>
      <c r="K27" s="89" t="str">
        <f>"45,0"</f>
        <v>45,0</v>
      </c>
      <c r="L27" s="18" t="str">
        <f>"38,7922"</f>
        <v>38,7922</v>
      </c>
      <c r="M27" s="16" t="s">
        <v>509</v>
      </c>
    </row>
    <row r="29" spans="1:13" ht="16">
      <c r="A29" s="132" t="s">
        <v>54</v>
      </c>
      <c r="B29" s="132"/>
      <c r="C29" s="93"/>
      <c r="D29" s="93"/>
      <c r="E29" s="93"/>
      <c r="F29" s="93"/>
      <c r="G29" s="93"/>
      <c r="H29" s="93"/>
      <c r="I29" s="93"/>
      <c r="J29" s="93"/>
    </row>
    <row r="30" spans="1:13">
      <c r="A30" s="36" t="s">
        <v>256</v>
      </c>
      <c r="B30" s="16" t="s">
        <v>55</v>
      </c>
      <c r="C30" s="16" t="s">
        <v>574</v>
      </c>
      <c r="D30" s="16" t="s">
        <v>56</v>
      </c>
      <c r="E30" s="17" t="s">
        <v>623</v>
      </c>
      <c r="F30" s="16" t="s">
        <v>517</v>
      </c>
      <c r="G30" s="38" t="s">
        <v>25</v>
      </c>
      <c r="H30" s="38" t="s">
        <v>26</v>
      </c>
      <c r="I30" s="37" t="s">
        <v>57</v>
      </c>
      <c r="J30" s="36"/>
      <c r="K30" s="89" t="str">
        <f>"25,0"</f>
        <v>25,0</v>
      </c>
      <c r="L30" s="18" t="str">
        <f>"23,7092"</f>
        <v>23,7092</v>
      </c>
      <c r="M30" s="16" t="s">
        <v>515</v>
      </c>
    </row>
    <row r="32" spans="1:13" ht="16">
      <c r="A32" s="132" t="s">
        <v>20</v>
      </c>
      <c r="B32" s="132"/>
      <c r="C32" s="93"/>
      <c r="D32" s="93"/>
      <c r="E32" s="93"/>
      <c r="F32" s="93"/>
      <c r="G32" s="93"/>
      <c r="H32" s="93"/>
      <c r="I32" s="93"/>
      <c r="J32" s="93"/>
    </row>
    <row r="33" spans="1:13">
      <c r="A33" s="27" t="s">
        <v>256</v>
      </c>
      <c r="B33" s="7" t="s">
        <v>58</v>
      </c>
      <c r="C33" s="7" t="s">
        <v>575</v>
      </c>
      <c r="D33" s="7" t="s">
        <v>59</v>
      </c>
      <c r="E33" s="8" t="s">
        <v>618</v>
      </c>
      <c r="F33" s="7" t="s">
        <v>518</v>
      </c>
      <c r="G33" s="28" t="s">
        <v>17</v>
      </c>
      <c r="H33" s="28" t="s">
        <v>38</v>
      </c>
      <c r="I33" s="28" t="s">
        <v>39</v>
      </c>
      <c r="J33" s="27"/>
      <c r="K33" s="86" t="str">
        <f>"40,0"</f>
        <v>40,0</v>
      </c>
      <c r="L33" s="9" t="str">
        <f>"40,1220"</f>
        <v>40,1220</v>
      </c>
      <c r="M33" s="7"/>
    </row>
    <row r="34" spans="1:13">
      <c r="A34" s="29" t="s">
        <v>257</v>
      </c>
      <c r="B34" s="10" t="s">
        <v>60</v>
      </c>
      <c r="C34" s="10" t="s">
        <v>576</v>
      </c>
      <c r="D34" s="10" t="s">
        <v>59</v>
      </c>
      <c r="E34" s="11" t="s">
        <v>618</v>
      </c>
      <c r="F34" s="10" t="s">
        <v>373</v>
      </c>
      <c r="G34" s="31" t="s">
        <v>18</v>
      </c>
      <c r="H34" s="30" t="s">
        <v>18</v>
      </c>
      <c r="I34" s="31" t="s">
        <v>38</v>
      </c>
      <c r="J34" s="29"/>
      <c r="K34" s="87" t="str">
        <f>"32,5"</f>
        <v>32,5</v>
      </c>
      <c r="L34" s="12" t="str">
        <f>"32,5991"</f>
        <v>32,5991</v>
      </c>
      <c r="M34" s="10" t="s">
        <v>511</v>
      </c>
    </row>
    <row r="35" spans="1:13">
      <c r="A35" s="32" t="s">
        <v>258</v>
      </c>
      <c r="B35" s="13" t="s">
        <v>61</v>
      </c>
      <c r="C35" s="13" t="s">
        <v>577</v>
      </c>
      <c r="D35" s="13" t="s">
        <v>62</v>
      </c>
      <c r="E35" s="14" t="s">
        <v>618</v>
      </c>
      <c r="F35" s="13" t="s">
        <v>63</v>
      </c>
      <c r="G35" s="35" t="s">
        <v>38</v>
      </c>
      <c r="H35" s="35" t="s">
        <v>43</v>
      </c>
      <c r="I35" s="35" t="s">
        <v>43</v>
      </c>
      <c r="J35" s="32"/>
      <c r="K35" s="88">
        <v>0</v>
      </c>
      <c r="L35" s="15" t="str">
        <f>"0,0000"</f>
        <v>0,0000</v>
      </c>
      <c r="M35" s="13" t="s">
        <v>513</v>
      </c>
    </row>
    <row r="37" spans="1:13" ht="16">
      <c r="A37" s="132" t="s">
        <v>27</v>
      </c>
      <c r="B37" s="132"/>
      <c r="C37" s="93"/>
      <c r="D37" s="93"/>
      <c r="E37" s="93"/>
      <c r="F37" s="93"/>
      <c r="G37" s="93"/>
      <c r="H37" s="93"/>
      <c r="I37" s="93"/>
      <c r="J37" s="93"/>
    </row>
    <row r="38" spans="1:13">
      <c r="A38" s="27" t="s">
        <v>256</v>
      </c>
      <c r="B38" s="7" t="s">
        <v>64</v>
      </c>
      <c r="C38" s="7" t="s">
        <v>578</v>
      </c>
      <c r="D38" s="7" t="s">
        <v>65</v>
      </c>
      <c r="E38" s="8" t="s">
        <v>618</v>
      </c>
      <c r="F38" s="7" t="s">
        <v>66</v>
      </c>
      <c r="G38" s="28" t="s">
        <v>17</v>
      </c>
      <c r="H38" s="28" t="s">
        <v>38</v>
      </c>
      <c r="I38" s="34" t="s">
        <v>43</v>
      </c>
      <c r="J38" s="27"/>
      <c r="K38" s="86" t="str">
        <f>"35,0"</f>
        <v>35,0</v>
      </c>
      <c r="L38" s="9" t="str">
        <f>"31,5927"</f>
        <v>31,5927</v>
      </c>
      <c r="M38" s="7" t="s">
        <v>514</v>
      </c>
    </row>
    <row r="39" spans="1:13">
      <c r="A39" s="29" t="s">
        <v>256</v>
      </c>
      <c r="B39" s="10" t="s">
        <v>67</v>
      </c>
      <c r="C39" s="10" t="s">
        <v>553</v>
      </c>
      <c r="D39" s="10" t="s">
        <v>68</v>
      </c>
      <c r="E39" s="11" t="s">
        <v>619</v>
      </c>
      <c r="F39" s="10" t="s">
        <v>373</v>
      </c>
      <c r="G39" s="30" t="s">
        <v>53</v>
      </c>
      <c r="H39" s="30" t="s">
        <v>69</v>
      </c>
      <c r="I39" s="31" t="s">
        <v>70</v>
      </c>
      <c r="J39" s="29"/>
      <c r="K39" s="87" t="str">
        <f>"50,0"</f>
        <v>50,0</v>
      </c>
      <c r="L39" s="12" t="str">
        <f>"45,6525"</f>
        <v>45,6525</v>
      </c>
      <c r="M39" s="10" t="s">
        <v>511</v>
      </c>
    </row>
    <row r="40" spans="1:13">
      <c r="A40" s="32" t="s">
        <v>257</v>
      </c>
      <c r="B40" s="13" t="s">
        <v>71</v>
      </c>
      <c r="C40" s="13" t="s">
        <v>552</v>
      </c>
      <c r="D40" s="13" t="s">
        <v>72</v>
      </c>
      <c r="E40" s="14" t="s">
        <v>619</v>
      </c>
      <c r="F40" s="13" t="s">
        <v>66</v>
      </c>
      <c r="G40" s="33" t="s">
        <v>52</v>
      </c>
      <c r="H40" s="33" t="s">
        <v>73</v>
      </c>
      <c r="I40" s="35" t="s">
        <v>69</v>
      </c>
      <c r="J40" s="32"/>
      <c r="K40" s="88" t="str">
        <f>"47,5"</f>
        <v>47,5</v>
      </c>
      <c r="L40" s="15" t="str">
        <f>"42,4745"</f>
        <v>42,4745</v>
      </c>
      <c r="M40" s="13" t="s">
        <v>514</v>
      </c>
    </row>
    <row r="42" spans="1:13" ht="16">
      <c r="A42" s="132" t="s">
        <v>30</v>
      </c>
      <c r="B42" s="132"/>
      <c r="C42" s="93"/>
      <c r="D42" s="93"/>
      <c r="E42" s="93"/>
      <c r="F42" s="93"/>
      <c r="G42" s="93"/>
      <c r="H42" s="93"/>
      <c r="I42" s="93"/>
      <c r="J42" s="93"/>
    </row>
    <row r="43" spans="1:13">
      <c r="A43" s="36" t="s">
        <v>256</v>
      </c>
      <c r="B43" s="16" t="s">
        <v>74</v>
      </c>
      <c r="C43" s="16" t="s">
        <v>75</v>
      </c>
      <c r="D43" s="16" t="s">
        <v>76</v>
      </c>
      <c r="E43" s="17" t="s">
        <v>620</v>
      </c>
      <c r="F43" s="16" t="s">
        <v>373</v>
      </c>
      <c r="G43" s="38" t="s">
        <v>39</v>
      </c>
      <c r="H43" s="38" t="s">
        <v>53</v>
      </c>
      <c r="I43" s="38" t="s">
        <v>73</v>
      </c>
      <c r="J43" s="36"/>
      <c r="K43" s="89" t="str">
        <f>"47,5"</f>
        <v>47,5</v>
      </c>
      <c r="L43" s="18" t="str">
        <f>"41,2633"</f>
        <v>41,2633</v>
      </c>
      <c r="M43" s="16" t="s">
        <v>511</v>
      </c>
    </row>
    <row r="45" spans="1:13" ht="16">
      <c r="A45" s="132" t="s">
        <v>34</v>
      </c>
      <c r="B45" s="132"/>
      <c r="C45" s="93"/>
      <c r="D45" s="93"/>
      <c r="E45" s="93"/>
      <c r="F45" s="93"/>
      <c r="G45" s="93"/>
      <c r="H45" s="93"/>
      <c r="I45" s="93"/>
      <c r="J45" s="93"/>
    </row>
    <row r="46" spans="1:13">
      <c r="A46" s="27" t="s">
        <v>256</v>
      </c>
      <c r="B46" s="7" t="s">
        <v>77</v>
      </c>
      <c r="C46" s="7" t="s">
        <v>579</v>
      </c>
      <c r="D46" s="7" t="s">
        <v>78</v>
      </c>
      <c r="E46" s="8" t="s">
        <v>618</v>
      </c>
      <c r="F46" s="7" t="s">
        <v>79</v>
      </c>
      <c r="G46" s="28" t="s">
        <v>69</v>
      </c>
      <c r="H46" s="28" t="s">
        <v>70</v>
      </c>
      <c r="I46" s="34" t="s">
        <v>80</v>
      </c>
      <c r="J46" s="27"/>
      <c r="K46" s="86" t="str">
        <f>"52,5"</f>
        <v>52,5</v>
      </c>
      <c r="L46" s="9" t="str">
        <f>"41,6351"</f>
        <v>41,6351</v>
      </c>
      <c r="M46" s="7"/>
    </row>
    <row r="47" spans="1:13">
      <c r="A47" s="29" t="s">
        <v>257</v>
      </c>
      <c r="B47" s="10" t="s">
        <v>81</v>
      </c>
      <c r="C47" s="10" t="s">
        <v>580</v>
      </c>
      <c r="D47" s="10" t="s">
        <v>82</v>
      </c>
      <c r="E47" s="11" t="s">
        <v>618</v>
      </c>
      <c r="F47" s="10" t="s">
        <v>517</v>
      </c>
      <c r="G47" s="30" t="s">
        <v>52</v>
      </c>
      <c r="H47" s="30" t="s">
        <v>53</v>
      </c>
      <c r="I47" s="30" t="s">
        <v>69</v>
      </c>
      <c r="J47" s="29"/>
      <c r="K47" s="87" t="str">
        <f>"50,0"</f>
        <v>50,0</v>
      </c>
      <c r="L47" s="12" t="str">
        <f>"38,0475"</f>
        <v>38,0475</v>
      </c>
      <c r="M47" s="10"/>
    </row>
    <row r="48" spans="1:13">
      <c r="A48" s="29" t="s">
        <v>259</v>
      </c>
      <c r="B48" s="10" t="s">
        <v>83</v>
      </c>
      <c r="C48" s="10" t="s">
        <v>581</v>
      </c>
      <c r="D48" s="10" t="s">
        <v>84</v>
      </c>
      <c r="E48" s="11" t="s">
        <v>618</v>
      </c>
      <c r="F48" s="10" t="s">
        <v>518</v>
      </c>
      <c r="G48" s="30" t="s">
        <v>43</v>
      </c>
      <c r="H48" s="30" t="s">
        <v>52</v>
      </c>
      <c r="I48" s="30" t="s">
        <v>53</v>
      </c>
      <c r="J48" s="29"/>
      <c r="K48" s="87" t="str">
        <f>"45,0"</f>
        <v>45,0</v>
      </c>
      <c r="L48" s="12" t="str">
        <f>"34,4272"</f>
        <v>34,4272</v>
      </c>
      <c r="M48" s="10" t="s">
        <v>511</v>
      </c>
    </row>
    <row r="49" spans="1:13">
      <c r="A49" s="29" t="s">
        <v>260</v>
      </c>
      <c r="B49" s="10" t="s">
        <v>85</v>
      </c>
      <c r="C49" s="10" t="s">
        <v>582</v>
      </c>
      <c r="D49" s="10" t="s">
        <v>86</v>
      </c>
      <c r="E49" s="11" t="s">
        <v>618</v>
      </c>
      <c r="F49" s="10" t="s">
        <v>9</v>
      </c>
      <c r="G49" s="30" t="s">
        <v>26</v>
      </c>
      <c r="H49" s="30" t="s">
        <v>17</v>
      </c>
      <c r="I49" s="31" t="s">
        <v>18</v>
      </c>
      <c r="J49" s="29"/>
      <c r="K49" s="87" t="str">
        <f>"30,0"</f>
        <v>30,0</v>
      </c>
      <c r="L49" s="12" t="str">
        <f>"23,1360"</f>
        <v>23,1360</v>
      </c>
      <c r="M49" s="10" t="s">
        <v>508</v>
      </c>
    </row>
    <row r="50" spans="1:13">
      <c r="A50" s="29" t="s">
        <v>261</v>
      </c>
      <c r="B50" s="10" t="s">
        <v>87</v>
      </c>
      <c r="C50" s="10" t="s">
        <v>583</v>
      </c>
      <c r="D50" s="10" t="s">
        <v>88</v>
      </c>
      <c r="E50" s="11" t="s">
        <v>618</v>
      </c>
      <c r="F50" s="10" t="s">
        <v>517</v>
      </c>
      <c r="G50" s="30" t="s">
        <v>12</v>
      </c>
      <c r="H50" s="31" t="s">
        <v>26</v>
      </c>
      <c r="I50" s="31" t="s">
        <v>26</v>
      </c>
      <c r="J50" s="29"/>
      <c r="K50" s="87" t="str">
        <f>"20,0"</f>
        <v>20,0</v>
      </c>
      <c r="L50" s="12" t="str">
        <f>"15,7250"</f>
        <v>15,7250</v>
      </c>
      <c r="M50" s="10"/>
    </row>
    <row r="51" spans="1:13">
      <c r="A51" s="29" t="s">
        <v>256</v>
      </c>
      <c r="B51" s="10" t="s">
        <v>89</v>
      </c>
      <c r="C51" s="10" t="s">
        <v>584</v>
      </c>
      <c r="D51" s="10" t="s">
        <v>82</v>
      </c>
      <c r="E51" s="11" t="s">
        <v>619</v>
      </c>
      <c r="F51" s="10" t="s">
        <v>517</v>
      </c>
      <c r="G51" s="30" t="s">
        <v>52</v>
      </c>
      <c r="H51" s="30" t="s">
        <v>53</v>
      </c>
      <c r="I51" s="30" t="s">
        <v>69</v>
      </c>
      <c r="J51" s="29"/>
      <c r="K51" s="87" t="str">
        <f>"50,0"</f>
        <v>50,0</v>
      </c>
      <c r="L51" s="12" t="str">
        <f>"38,0475"</f>
        <v>38,0475</v>
      </c>
      <c r="M51" s="10"/>
    </row>
    <row r="52" spans="1:13">
      <c r="A52" s="29" t="s">
        <v>256</v>
      </c>
      <c r="B52" s="10" t="s">
        <v>90</v>
      </c>
      <c r="C52" s="10" t="s">
        <v>91</v>
      </c>
      <c r="D52" s="10" t="s">
        <v>92</v>
      </c>
      <c r="E52" s="11" t="s">
        <v>620</v>
      </c>
      <c r="F52" s="10" t="s">
        <v>63</v>
      </c>
      <c r="G52" s="30" t="s">
        <v>93</v>
      </c>
      <c r="H52" s="31" t="s">
        <v>94</v>
      </c>
      <c r="I52" s="31" t="s">
        <v>94</v>
      </c>
      <c r="J52" s="29"/>
      <c r="K52" s="87" t="str">
        <f>"60,0"</f>
        <v>60,0</v>
      </c>
      <c r="L52" s="12" t="str">
        <f>"46,0230"</f>
        <v>46,0230</v>
      </c>
      <c r="M52" s="10"/>
    </row>
    <row r="53" spans="1:13">
      <c r="A53" s="29" t="s">
        <v>257</v>
      </c>
      <c r="B53" s="10" t="s">
        <v>95</v>
      </c>
      <c r="C53" s="10" t="s">
        <v>96</v>
      </c>
      <c r="D53" s="10" t="s">
        <v>97</v>
      </c>
      <c r="E53" s="11" t="s">
        <v>620</v>
      </c>
      <c r="F53" s="10" t="s">
        <v>517</v>
      </c>
      <c r="G53" s="30" t="s">
        <v>53</v>
      </c>
      <c r="H53" s="31" t="s">
        <v>69</v>
      </c>
      <c r="I53" s="30" t="s">
        <v>69</v>
      </c>
      <c r="J53" s="29"/>
      <c r="K53" s="87" t="str">
        <f>"50,0"</f>
        <v>50,0</v>
      </c>
      <c r="L53" s="12" t="str">
        <f>"38,1000"</f>
        <v>38,1000</v>
      </c>
      <c r="M53" s="10"/>
    </row>
    <row r="54" spans="1:13">
      <c r="A54" s="29" t="s">
        <v>259</v>
      </c>
      <c r="B54" s="10" t="s">
        <v>98</v>
      </c>
      <c r="C54" s="10" t="s">
        <v>99</v>
      </c>
      <c r="D54" s="10" t="s">
        <v>100</v>
      </c>
      <c r="E54" s="11" t="s">
        <v>620</v>
      </c>
      <c r="F54" s="10" t="s">
        <v>518</v>
      </c>
      <c r="G54" s="30" t="s">
        <v>69</v>
      </c>
      <c r="H54" s="31" t="s">
        <v>80</v>
      </c>
      <c r="I54" s="31" t="s">
        <v>93</v>
      </c>
      <c r="J54" s="29"/>
      <c r="K54" s="87" t="str">
        <f>"50,0"</f>
        <v>50,0</v>
      </c>
      <c r="L54" s="12" t="str">
        <f>"37,4200"</f>
        <v>37,4200</v>
      </c>
      <c r="M54" s="10"/>
    </row>
    <row r="55" spans="1:13">
      <c r="A55" s="32" t="s">
        <v>256</v>
      </c>
      <c r="B55" s="13" t="s">
        <v>101</v>
      </c>
      <c r="C55" s="13" t="s">
        <v>585</v>
      </c>
      <c r="D55" s="13" t="s">
        <v>84</v>
      </c>
      <c r="E55" s="14" t="s">
        <v>621</v>
      </c>
      <c r="F55" s="13" t="s">
        <v>517</v>
      </c>
      <c r="G55" s="35" t="s">
        <v>53</v>
      </c>
      <c r="H55" s="35" t="s">
        <v>69</v>
      </c>
      <c r="I55" s="33" t="s">
        <v>80</v>
      </c>
      <c r="J55" s="32"/>
      <c r="K55" s="88" t="str">
        <f>"55,0"</f>
        <v>55,0</v>
      </c>
      <c r="L55" s="15" t="str">
        <f>"42,9193"</f>
        <v>42,9193</v>
      </c>
      <c r="M55" s="13"/>
    </row>
    <row r="57" spans="1:13" ht="16">
      <c r="A57" s="132" t="s">
        <v>48</v>
      </c>
      <c r="B57" s="132"/>
      <c r="C57" s="93"/>
      <c r="D57" s="93"/>
      <c r="E57" s="93"/>
      <c r="F57" s="93"/>
      <c r="G57" s="93"/>
      <c r="H57" s="93"/>
      <c r="I57" s="93"/>
      <c r="J57" s="93"/>
    </row>
    <row r="58" spans="1:13">
      <c r="A58" s="27" t="s">
        <v>256</v>
      </c>
      <c r="B58" s="7" t="s">
        <v>102</v>
      </c>
      <c r="C58" s="7" t="s">
        <v>586</v>
      </c>
      <c r="D58" s="7" t="s">
        <v>103</v>
      </c>
      <c r="E58" s="8" t="s">
        <v>618</v>
      </c>
      <c r="F58" s="7" t="s">
        <v>79</v>
      </c>
      <c r="G58" s="28" t="s">
        <v>69</v>
      </c>
      <c r="H58" s="28" t="s">
        <v>80</v>
      </c>
      <c r="I58" s="34" t="s">
        <v>104</v>
      </c>
      <c r="J58" s="27"/>
      <c r="K58" s="86" t="str">
        <f>"55,0"</f>
        <v>55,0</v>
      </c>
      <c r="L58" s="9" t="str">
        <f>"40,7110"</f>
        <v>40,7110</v>
      </c>
      <c r="M58" s="7"/>
    </row>
    <row r="59" spans="1:13">
      <c r="A59" s="29" t="s">
        <v>257</v>
      </c>
      <c r="B59" s="10" t="s">
        <v>105</v>
      </c>
      <c r="C59" s="10" t="s">
        <v>587</v>
      </c>
      <c r="D59" s="10" t="s">
        <v>106</v>
      </c>
      <c r="E59" s="11" t="s">
        <v>618</v>
      </c>
      <c r="F59" s="10" t="s">
        <v>9</v>
      </c>
      <c r="G59" s="30" t="s">
        <v>38</v>
      </c>
      <c r="H59" s="30" t="s">
        <v>39</v>
      </c>
      <c r="I59" s="30" t="s">
        <v>52</v>
      </c>
      <c r="J59" s="29"/>
      <c r="K59" s="87" t="str">
        <f>"42,5"</f>
        <v>42,5</v>
      </c>
      <c r="L59" s="12" t="str">
        <f>"31,1185"</f>
        <v>31,1185</v>
      </c>
      <c r="M59" s="10" t="s">
        <v>508</v>
      </c>
    </row>
    <row r="60" spans="1:13">
      <c r="A60" s="29" t="s">
        <v>259</v>
      </c>
      <c r="B60" s="10" t="s">
        <v>107</v>
      </c>
      <c r="C60" s="10" t="s">
        <v>588</v>
      </c>
      <c r="D60" s="10" t="s">
        <v>108</v>
      </c>
      <c r="E60" s="11" t="s">
        <v>618</v>
      </c>
      <c r="F60" s="10" t="s">
        <v>517</v>
      </c>
      <c r="G60" s="30" t="s">
        <v>17</v>
      </c>
      <c r="H60" s="30" t="s">
        <v>39</v>
      </c>
      <c r="I60" s="31" t="s">
        <v>73</v>
      </c>
      <c r="J60" s="29"/>
      <c r="K60" s="87" t="str">
        <f>"40,0"</f>
        <v>40,0</v>
      </c>
      <c r="L60" s="12" t="str">
        <f>"27,9020"</f>
        <v>27,9020</v>
      </c>
      <c r="M60" s="10"/>
    </row>
    <row r="61" spans="1:13">
      <c r="A61" s="29" t="s">
        <v>260</v>
      </c>
      <c r="B61" s="10" t="s">
        <v>109</v>
      </c>
      <c r="C61" s="10" t="s">
        <v>589</v>
      </c>
      <c r="D61" s="10" t="s">
        <v>110</v>
      </c>
      <c r="E61" s="11" t="s">
        <v>618</v>
      </c>
      <c r="F61" s="10" t="s">
        <v>63</v>
      </c>
      <c r="G61" s="31" t="s">
        <v>38</v>
      </c>
      <c r="H61" s="30" t="s">
        <v>38</v>
      </c>
      <c r="I61" s="31" t="s">
        <v>39</v>
      </c>
      <c r="J61" s="29"/>
      <c r="K61" s="87" t="str">
        <f>"35,0"</f>
        <v>35,0</v>
      </c>
      <c r="L61" s="12" t="str">
        <f>"24,3898"</f>
        <v>24,3898</v>
      </c>
      <c r="M61" s="10" t="s">
        <v>513</v>
      </c>
    </row>
    <row r="62" spans="1:13">
      <c r="A62" s="29" t="s">
        <v>256</v>
      </c>
      <c r="B62" s="10" t="s">
        <v>111</v>
      </c>
      <c r="C62" s="10" t="s">
        <v>590</v>
      </c>
      <c r="D62" s="10" t="s">
        <v>112</v>
      </c>
      <c r="E62" s="11" t="s">
        <v>619</v>
      </c>
      <c r="F62" s="10" t="s">
        <v>517</v>
      </c>
      <c r="G62" s="31" t="s">
        <v>80</v>
      </c>
      <c r="H62" s="30" t="s">
        <v>104</v>
      </c>
      <c r="I62" s="30" t="s">
        <v>93</v>
      </c>
      <c r="J62" s="29"/>
      <c r="K62" s="87" t="str">
        <f>"60,0"</f>
        <v>60,0</v>
      </c>
      <c r="L62" s="12" t="str">
        <f>"42,0690"</f>
        <v>42,0690</v>
      </c>
      <c r="M62" s="10"/>
    </row>
    <row r="63" spans="1:13">
      <c r="A63" s="29" t="s">
        <v>257</v>
      </c>
      <c r="B63" s="10" t="s">
        <v>113</v>
      </c>
      <c r="C63" s="10" t="s">
        <v>591</v>
      </c>
      <c r="D63" s="10" t="s">
        <v>114</v>
      </c>
      <c r="E63" s="11" t="s">
        <v>619</v>
      </c>
      <c r="F63" s="10" t="s">
        <v>517</v>
      </c>
      <c r="G63" s="30" t="s">
        <v>80</v>
      </c>
      <c r="H63" s="30" t="s">
        <v>93</v>
      </c>
      <c r="I63" s="31" t="s">
        <v>115</v>
      </c>
      <c r="J63" s="29"/>
      <c r="K63" s="87" t="str">
        <f>"60,0"</f>
        <v>60,0</v>
      </c>
      <c r="L63" s="12" t="str">
        <f>"41,9850"</f>
        <v>41,9850</v>
      </c>
      <c r="M63" s="10"/>
    </row>
    <row r="64" spans="1:13">
      <c r="A64" s="29" t="s">
        <v>259</v>
      </c>
      <c r="B64" s="10" t="s">
        <v>116</v>
      </c>
      <c r="C64" s="10" t="s">
        <v>592</v>
      </c>
      <c r="D64" s="10" t="s">
        <v>117</v>
      </c>
      <c r="E64" s="11" t="s">
        <v>619</v>
      </c>
      <c r="F64" s="10" t="s">
        <v>518</v>
      </c>
      <c r="G64" s="30" t="s">
        <v>73</v>
      </c>
      <c r="H64" s="30" t="s">
        <v>80</v>
      </c>
      <c r="I64" s="30" t="s">
        <v>104</v>
      </c>
      <c r="J64" s="29"/>
      <c r="K64" s="87" t="str">
        <f>"57,5"</f>
        <v>57,5</v>
      </c>
      <c r="L64" s="12" t="str">
        <f>"39,9884"</f>
        <v>39,9884</v>
      </c>
      <c r="M64" s="10"/>
    </row>
    <row r="65" spans="1:13">
      <c r="A65" s="29" t="s">
        <v>256</v>
      </c>
      <c r="B65" s="10" t="s">
        <v>118</v>
      </c>
      <c r="C65" s="10" t="s">
        <v>119</v>
      </c>
      <c r="D65" s="10" t="s">
        <v>120</v>
      </c>
      <c r="E65" s="11" t="s">
        <v>620</v>
      </c>
      <c r="F65" s="10" t="s">
        <v>609</v>
      </c>
      <c r="G65" s="30" t="s">
        <v>80</v>
      </c>
      <c r="H65" s="30" t="s">
        <v>115</v>
      </c>
      <c r="I65" s="30" t="s">
        <v>121</v>
      </c>
      <c r="J65" s="29"/>
      <c r="K65" s="87" t="str">
        <f>"67,5"</f>
        <v>67,5</v>
      </c>
      <c r="L65" s="12" t="str">
        <f>"46,4771"</f>
        <v>46,4771</v>
      </c>
      <c r="M65" s="10"/>
    </row>
    <row r="66" spans="1:13">
      <c r="A66" s="29" t="s">
        <v>257</v>
      </c>
      <c r="B66" s="10" t="s">
        <v>122</v>
      </c>
      <c r="C66" s="10" t="s">
        <v>123</v>
      </c>
      <c r="D66" s="10" t="s">
        <v>124</v>
      </c>
      <c r="E66" s="11" t="s">
        <v>620</v>
      </c>
      <c r="F66" s="10" t="s">
        <v>9</v>
      </c>
      <c r="G66" s="30" t="s">
        <v>69</v>
      </c>
      <c r="H66" s="30" t="s">
        <v>80</v>
      </c>
      <c r="I66" s="30" t="s">
        <v>115</v>
      </c>
      <c r="J66" s="29"/>
      <c r="K66" s="87" t="str">
        <f>"62,5"</f>
        <v>62,5</v>
      </c>
      <c r="L66" s="12" t="str">
        <f>"43,3750"</f>
        <v>43,3750</v>
      </c>
      <c r="M66" s="10"/>
    </row>
    <row r="67" spans="1:13">
      <c r="A67" s="29" t="s">
        <v>259</v>
      </c>
      <c r="B67" s="10" t="s">
        <v>125</v>
      </c>
      <c r="C67" s="10" t="s">
        <v>126</v>
      </c>
      <c r="D67" s="10" t="s">
        <v>127</v>
      </c>
      <c r="E67" s="11" t="s">
        <v>620</v>
      </c>
      <c r="F67" s="10" t="s">
        <v>517</v>
      </c>
      <c r="G67" s="30" t="s">
        <v>93</v>
      </c>
      <c r="H67" s="31" t="s">
        <v>94</v>
      </c>
      <c r="I67" s="31" t="s">
        <v>94</v>
      </c>
      <c r="J67" s="29"/>
      <c r="K67" s="87" t="str">
        <f>"60,0"</f>
        <v>60,0</v>
      </c>
      <c r="L67" s="12" t="str">
        <f>"43,7280"</f>
        <v>43,7280</v>
      </c>
      <c r="M67" s="10"/>
    </row>
    <row r="68" spans="1:13">
      <c r="A68" s="29" t="s">
        <v>260</v>
      </c>
      <c r="B68" s="10" t="s">
        <v>128</v>
      </c>
      <c r="C68" s="10" t="s">
        <v>129</v>
      </c>
      <c r="D68" s="10" t="s">
        <v>130</v>
      </c>
      <c r="E68" s="11" t="s">
        <v>620</v>
      </c>
      <c r="F68" s="10" t="s">
        <v>66</v>
      </c>
      <c r="G68" s="31" t="s">
        <v>69</v>
      </c>
      <c r="H68" s="30" t="s">
        <v>93</v>
      </c>
      <c r="I68" s="31" t="s">
        <v>131</v>
      </c>
      <c r="J68" s="29"/>
      <c r="K68" s="87" t="str">
        <f>"60,0"</f>
        <v>60,0</v>
      </c>
      <c r="L68" s="12" t="str">
        <f>"41,7690"</f>
        <v>41,7690</v>
      </c>
      <c r="M68" s="10" t="s">
        <v>514</v>
      </c>
    </row>
    <row r="69" spans="1:13">
      <c r="A69" s="29" t="s">
        <v>261</v>
      </c>
      <c r="B69" s="10" t="s">
        <v>132</v>
      </c>
      <c r="C69" s="10" t="s">
        <v>133</v>
      </c>
      <c r="D69" s="10" t="s">
        <v>134</v>
      </c>
      <c r="E69" s="11" t="s">
        <v>620</v>
      </c>
      <c r="F69" s="10" t="s">
        <v>135</v>
      </c>
      <c r="G69" s="30" t="s">
        <v>69</v>
      </c>
      <c r="H69" s="30" t="s">
        <v>80</v>
      </c>
      <c r="I69" s="31" t="s">
        <v>104</v>
      </c>
      <c r="J69" s="29"/>
      <c r="K69" s="87" t="str">
        <f>"55,0"</f>
        <v>55,0</v>
      </c>
      <c r="L69" s="12" t="str">
        <f>"39,2727"</f>
        <v>39,2727</v>
      </c>
      <c r="M69" s="10" t="s">
        <v>515</v>
      </c>
    </row>
    <row r="70" spans="1:13">
      <c r="A70" s="29" t="s">
        <v>262</v>
      </c>
      <c r="B70" s="10" t="s">
        <v>136</v>
      </c>
      <c r="C70" s="10" t="s">
        <v>137</v>
      </c>
      <c r="D70" s="10" t="s">
        <v>138</v>
      </c>
      <c r="E70" s="11" t="s">
        <v>620</v>
      </c>
      <c r="F70" s="10" t="s">
        <v>517</v>
      </c>
      <c r="G70" s="30" t="s">
        <v>38</v>
      </c>
      <c r="H70" s="30" t="s">
        <v>73</v>
      </c>
      <c r="I70" s="30" t="s">
        <v>80</v>
      </c>
      <c r="J70" s="29"/>
      <c r="K70" s="87" t="str">
        <f>"55,0"</f>
        <v>55,0</v>
      </c>
      <c r="L70" s="12" t="str">
        <f>"39,0610"</f>
        <v>39,0610</v>
      </c>
      <c r="M70" s="10"/>
    </row>
    <row r="71" spans="1:13">
      <c r="A71" s="29" t="s">
        <v>263</v>
      </c>
      <c r="B71" s="10" t="s">
        <v>139</v>
      </c>
      <c r="C71" s="10" t="s">
        <v>140</v>
      </c>
      <c r="D71" s="10" t="s">
        <v>141</v>
      </c>
      <c r="E71" s="11" t="s">
        <v>620</v>
      </c>
      <c r="F71" s="10" t="s">
        <v>517</v>
      </c>
      <c r="G71" s="30" t="s">
        <v>69</v>
      </c>
      <c r="H71" s="31" t="s">
        <v>70</v>
      </c>
      <c r="I71" s="31" t="s">
        <v>70</v>
      </c>
      <c r="J71" s="29"/>
      <c r="K71" s="87" t="str">
        <f>"50,0"</f>
        <v>50,0</v>
      </c>
      <c r="L71" s="12" t="str">
        <f>"35,9425"</f>
        <v>35,9425</v>
      </c>
      <c r="M71" s="10"/>
    </row>
    <row r="72" spans="1:13">
      <c r="A72" s="29" t="s">
        <v>264</v>
      </c>
      <c r="B72" s="10" t="s">
        <v>142</v>
      </c>
      <c r="C72" s="10" t="s">
        <v>143</v>
      </c>
      <c r="D72" s="10" t="s">
        <v>144</v>
      </c>
      <c r="E72" s="11" t="s">
        <v>620</v>
      </c>
      <c r="F72" s="10" t="s">
        <v>66</v>
      </c>
      <c r="G72" s="30" t="s">
        <v>39</v>
      </c>
      <c r="H72" s="30" t="s">
        <v>73</v>
      </c>
      <c r="I72" s="30" t="s">
        <v>69</v>
      </c>
      <c r="J72" s="29"/>
      <c r="K72" s="87" t="str">
        <f>"50,0"</f>
        <v>50,0</v>
      </c>
      <c r="L72" s="12" t="str">
        <f>"35,2825"</f>
        <v>35,2825</v>
      </c>
      <c r="M72" s="10" t="s">
        <v>514</v>
      </c>
    </row>
    <row r="73" spans="1:13">
      <c r="A73" s="29" t="s">
        <v>265</v>
      </c>
      <c r="B73" s="10" t="s">
        <v>145</v>
      </c>
      <c r="C73" s="10" t="s">
        <v>146</v>
      </c>
      <c r="D73" s="10" t="s">
        <v>114</v>
      </c>
      <c r="E73" s="11" t="s">
        <v>620</v>
      </c>
      <c r="F73" s="10" t="s">
        <v>66</v>
      </c>
      <c r="G73" s="31" t="s">
        <v>39</v>
      </c>
      <c r="H73" s="30" t="s">
        <v>73</v>
      </c>
      <c r="I73" s="30" t="s">
        <v>69</v>
      </c>
      <c r="J73" s="29"/>
      <c r="K73" s="87" t="str">
        <f>"50,0"</f>
        <v>50,0</v>
      </c>
      <c r="L73" s="12" t="str">
        <f>"34,9875"</f>
        <v>34,9875</v>
      </c>
      <c r="M73" s="10" t="s">
        <v>514</v>
      </c>
    </row>
    <row r="74" spans="1:13">
      <c r="A74" s="32" t="s">
        <v>256</v>
      </c>
      <c r="B74" s="13" t="s">
        <v>147</v>
      </c>
      <c r="C74" s="13" t="s">
        <v>593</v>
      </c>
      <c r="D74" s="13" t="s">
        <v>112</v>
      </c>
      <c r="E74" s="14" t="s">
        <v>621</v>
      </c>
      <c r="F74" s="13" t="s">
        <v>517</v>
      </c>
      <c r="G74" s="33" t="s">
        <v>39</v>
      </c>
      <c r="H74" s="33" t="s">
        <v>69</v>
      </c>
      <c r="I74" s="35" t="s">
        <v>104</v>
      </c>
      <c r="J74" s="32"/>
      <c r="K74" s="88" t="str">
        <f>"50,0"</f>
        <v>50,0</v>
      </c>
      <c r="L74" s="15" t="str">
        <f>"36,9857"</f>
        <v>36,9857</v>
      </c>
      <c r="M74" s="13"/>
    </row>
    <row r="76" spans="1:13" ht="16">
      <c r="A76" s="132" t="s">
        <v>148</v>
      </c>
      <c r="B76" s="132"/>
      <c r="C76" s="93"/>
      <c r="D76" s="93"/>
      <c r="E76" s="93"/>
      <c r="F76" s="93"/>
      <c r="G76" s="93"/>
      <c r="H76" s="93"/>
      <c r="I76" s="93"/>
      <c r="J76" s="93"/>
    </row>
    <row r="77" spans="1:13">
      <c r="A77" s="27" t="s">
        <v>256</v>
      </c>
      <c r="B77" s="7" t="s">
        <v>149</v>
      </c>
      <c r="C77" s="7" t="s">
        <v>594</v>
      </c>
      <c r="D77" s="7" t="s">
        <v>150</v>
      </c>
      <c r="E77" s="8" t="s">
        <v>619</v>
      </c>
      <c r="F77" s="7" t="s">
        <v>517</v>
      </c>
      <c r="G77" s="28" t="s">
        <v>80</v>
      </c>
      <c r="H77" s="28" t="s">
        <v>93</v>
      </c>
      <c r="I77" s="28" t="s">
        <v>115</v>
      </c>
      <c r="J77" s="27"/>
      <c r="K77" s="86" t="str">
        <f>"62,5"</f>
        <v>62,5</v>
      </c>
      <c r="L77" s="9" t="str">
        <f>"41,5375"</f>
        <v>41,5375</v>
      </c>
      <c r="M77" s="7"/>
    </row>
    <row r="78" spans="1:13">
      <c r="A78" s="29" t="s">
        <v>256</v>
      </c>
      <c r="B78" s="10" t="s">
        <v>151</v>
      </c>
      <c r="C78" s="10" t="s">
        <v>152</v>
      </c>
      <c r="D78" s="10" t="s">
        <v>153</v>
      </c>
      <c r="E78" s="11" t="s">
        <v>620</v>
      </c>
      <c r="F78" s="10" t="s">
        <v>16</v>
      </c>
      <c r="G78" s="30" t="s">
        <v>154</v>
      </c>
      <c r="H78" s="30" t="s">
        <v>155</v>
      </c>
      <c r="I78" s="30" t="s">
        <v>156</v>
      </c>
      <c r="J78" s="29"/>
      <c r="K78" s="87" t="str">
        <f>"77,5"</f>
        <v>77,5</v>
      </c>
      <c r="L78" s="12" t="str">
        <f>"50,1541"</f>
        <v>50,1541</v>
      </c>
      <c r="M78" s="10"/>
    </row>
    <row r="79" spans="1:13">
      <c r="A79" s="29" t="s">
        <v>257</v>
      </c>
      <c r="B79" s="10" t="s">
        <v>157</v>
      </c>
      <c r="C79" s="10" t="s">
        <v>158</v>
      </c>
      <c r="D79" s="10" t="s">
        <v>159</v>
      </c>
      <c r="E79" s="11" t="s">
        <v>620</v>
      </c>
      <c r="F79" s="10" t="s">
        <v>517</v>
      </c>
      <c r="G79" s="30" t="s">
        <v>93</v>
      </c>
      <c r="H79" s="30" t="s">
        <v>94</v>
      </c>
      <c r="I79" s="30" t="s">
        <v>121</v>
      </c>
      <c r="J79" s="29"/>
      <c r="K79" s="87" t="str">
        <f>"67,5"</f>
        <v>67,5</v>
      </c>
      <c r="L79" s="12" t="str">
        <f>"43,9999"</f>
        <v>43,9999</v>
      </c>
      <c r="M79" s="10"/>
    </row>
    <row r="80" spans="1:13">
      <c r="A80" s="29" t="s">
        <v>259</v>
      </c>
      <c r="B80" s="10" t="s">
        <v>160</v>
      </c>
      <c r="C80" s="10" t="s">
        <v>161</v>
      </c>
      <c r="D80" s="10" t="s">
        <v>162</v>
      </c>
      <c r="E80" s="11" t="s">
        <v>620</v>
      </c>
      <c r="F80" s="10" t="s">
        <v>24</v>
      </c>
      <c r="G80" s="31" t="s">
        <v>104</v>
      </c>
      <c r="H80" s="30" t="s">
        <v>93</v>
      </c>
      <c r="I80" s="30" t="s">
        <v>115</v>
      </c>
      <c r="J80" s="29"/>
      <c r="K80" s="87" t="str">
        <f>"62,5"</f>
        <v>62,5</v>
      </c>
      <c r="L80" s="12" t="str">
        <f>"41,3250"</f>
        <v>41,3250</v>
      </c>
      <c r="M80" s="10"/>
    </row>
    <row r="81" spans="1:13">
      <c r="A81" s="29" t="s">
        <v>260</v>
      </c>
      <c r="B81" s="10" t="s">
        <v>163</v>
      </c>
      <c r="C81" s="10" t="s">
        <v>164</v>
      </c>
      <c r="D81" s="10" t="s">
        <v>165</v>
      </c>
      <c r="E81" s="11" t="s">
        <v>620</v>
      </c>
      <c r="F81" s="10" t="s">
        <v>517</v>
      </c>
      <c r="G81" s="30" t="s">
        <v>80</v>
      </c>
      <c r="H81" s="30" t="s">
        <v>93</v>
      </c>
      <c r="I81" s="30" t="s">
        <v>115</v>
      </c>
      <c r="J81" s="29"/>
      <c r="K81" s="87" t="str">
        <f>"62,5"</f>
        <v>62,5</v>
      </c>
      <c r="L81" s="12" t="str">
        <f>"40,9063"</f>
        <v>40,9063</v>
      </c>
      <c r="M81" s="10" t="s">
        <v>511</v>
      </c>
    </row>
    <row r="82" spans="1:13">
      <c r="A82" s="29" t="s">
        <v>261</v>
      </c>
      <c r="B82" s="10" t="s">
        <v>166</v>
      </c>
      <c r="C82" s="10" t="s">
        <v>167</v>
      </c>
      <c r="D82" s="10" t="s">
        <v>168</v>
      </c>
      <c r="E82" s="11" t="s">
        <v>620</v>
      </c>
      <c r="F82" s="10" t="s">
        <v>518</v>
      </c>
      <c r="G82" s="30" t="s">
        <v>69</v>
      </c>
      <c r="H82" s="31" t="s">
        <v>93</v>
      </c>
      <c r="I82" s="30" t="s">
        <v>93</v>
      </c>
      <c r="J82" s="29"/>
      <c r="K82" s="87" t="str">
        <f>"60,0"</f>
        <v>60,0</v>
      </c>
      <c r="L82" s="12" t="str">
        <f>"39,1410"</f>
        <v>39,1410</v>
      </c>
      <c r="M82" s="10" t="s">
        <v>512</v>
      </c>
    </row>
    <row r="83" spans="1:13">
      <c r="A83" s="29" t="s">
        <v>262</v>
      </c>
      <c r="B83" s="10" t="s">
        <v>169</v>
      </c>
      <c r="C83" s="10" t="s">
        <v>170</v>
      </c>
      <c r="D83" s="10" t="s">
        <v>171</v>
      </c>
      <c r="E83" s="11" t="s">
        <v>620</v>
      </c>
      <c r="F83" s="10" t="s">
        <v>518</v>
      </c>
      <c r="G83" s="30" t="s">
        <v>70</v>
      </c>
      <c r="H83" s="30" t="s">
        <v>104</v>
      </c>
      <c r="I83" s="30" t="s">
        <v>93</v>
      </c>
      <c r="J83" s="29"/>
      <c r="K83" s="87" t="str">
        <f>"60,0"</f>
        <v>60,0</v>
      </c>
      <c r="L83" s="12" t="str">
        <f>"39,0480"</f>
        <v>39,0480</v>
      </c>
      <c r="M83" s="10" t="s">
        <v>510</v>
      </c>
    </row>
    <row r="84" spans="1:13">
      <c r="A84" s="29" t="s">
        <v>263</v>
      </c>
      <c r="B84" s="10" t="s">
        <v>172</v>
      </c>
      <c r="C84" s="10" t="s">
        <v>173</v>
      </c>
      <c r="D84" s="10" t="s">
        <v>174</v>
      </c>
      <c r="E84" s="11" t="s">
        <v>620</v>
      </c>
      <c r="F84" s="10" t="s">
        <v>517</v>
      </c>
      <c r="G84" s="30" t="s">
        <v>17</v>
      </c>
      <c r="H84" s="30" t="s">
        <v>39</v>
      </c>
      <c r="I84" s="31" t="s">
        <v>53</v>
      </c>
      <c r="J84" s="29"/>
      <c r="K84" s="87" t="str">
        <f>"40,0"</f>
        <v>40,0</v>
      </c>
      <c r="L84" s="12" t="str">
        <f>"25,9280"</f>
        <v>25,9280</v>
      </c>
      <c r="M84" s="10"/>
    </row>
    <row r="85" spans="1:13">
      <c r="A85" s="29" t="s">
        <v>256</v>
      </c>
      <c r="B85" s="10" t="s">
        <v>157</v>
      </c>
      <c r="C85" s="10" t="s">
        <v>595</v>
      </c>
      <c r="D85" s="10" t="s">
        <v>159</v>
      </c>
      <c r="E85" s="11" t="s">
        <v>621</v>
      </c>
      <c r="F85" s="10" t="s">
        <v>517</v>
      </c>
      <c r="G85" s="30" t="s">
        <v>93</v>
      </c>
      <c r="H85" s="30" t="s">
        <v>94</v>
      </c>
      <c r="I85" s="30" t="s">
        <v>121</v>
      </c>
      <c r="J85" s="29"/>
      <c r="K85" s="87" t="str">
        <f>"67,5"</f>
        <v>67,5</v>
      </c>
      <c r="L85" s="12" t="str">
        <f>"48,2679"</f>
        <v>48,2679</v>
      </c>
      <c r="M85" s="10"/>
    </row>
    <row r="86" spans="1:13">
      <c r="A86" s="29" t="s">
        <v>257</v>
      </c>
      <c r="B86" s="10" t="s">
        <v>175</v>
      </c>
      <c r="C86" s="10" t="s">
        <v>596</v>
      </c>
      <c r="D86" s="10" t="s">
        <v>176</v>
      </c>
      <c r="E86" s="11" t="s">
        <v>621</v>
      </c>
      <c r="F86" s="10" t="s">
        <v>518</v>
      </c>
      <c r="G86" s="30" t="s">
        <v>70</v>
      </c>
      <c r="H86" s="30" t="s">
        <v>104</v>
      </c>
      <c r="I86" s="30" t="s">
        <v>93</v>
      </c>
      <c r="J86" s="29"/>
      <c r="K86" s="87" t="str">
        <f>"60,0"</f>
        <v>60,0</v>
      </c>
      <c r="L86" s="12" t="str">
        <f>"41,2273"</f>
        <v>41,2273</v>
      </c>
      <c r="M86" s="10"/>
    </row>
    <row r="87" spans="1:13">
      <c r="A87" s="29" t="s">
        <v>259</v>
      </c>
      <c r="B87" s="10" t="s">
        <v>177</v>
      </c>
      <c r="C87" s="10" t="s">
        <v>597</v>
      </c>
      <c r="D87" s="10" t="s">
        <v>178</v>
      </c>
      <c r="E87" s="11" t="s">
        <v>621</v>
      </c>
      <c r="F87" s="10" t="s">
        <v>517</v>
      </c>
      <c r="G87" s="31" t="s">
        <v>69</v>
      </c>
      <c r="H87" s="31" t="s">
        <v>69</v>
      </c>
      <c r="I87" s="30" t="s">
        <v>69</v>
      </c>
      <c r="J87" s="29"/>
      <c r="K87" s="87" t="str">
        <f>"50,0"</f>
        <v>50,0</v>
      </c>
      <c r="L87" s="12" t="str">
        <f>"34,4985"</f>
        <v>34,4985</v>
      </c>
      <c r="M87" s="10"/>
    </row>
    <row r="88" spans="1:13">
      <c r="A88" s="29" t="s">
        <v>256</v>
      </c>
      <c r="B88" s="10" t="s">
        <v>179</v>
      </c>
      <c r="C88" s="10" t="s">
        <v>598</v>
      </c>
      <c r="D88" s="10" t="s">
        <v>180</v>
      </c>
      <c r="E88" s="11" t="s">
        <v>623</v>
      </c>
      <c r="F88" s="10" t="s">
        <v>47</v>
      </c>
      <c r="G88" s="30" t="s">
        <v>73</v>
      </c>
      <c r="H88" s="30" t="s">
        <v>70</v>
      </c>
      <c r="I88" s="31" t="s">
        <v>104</v>
      </c>
      <c r="J88" s="29"/>
      <c r="K88" s="87" t="str">
        <f>"52,5"</f>
        <v>52,5</v>
      </c>
      <c r="L88" s="12" t="str">
        <f>"39,7403"</f>
        <v>39,7403</v>
      </c>
      <c r="M88" s="10" t="s">
        <v>509</v>
      </c>
    </row>
    <row r="89" spans="1:13">
      <c r="A89" s="32" t="s">
        <v>257</v>
      </c>
      <c r="B89" s="13" t="s">
        <v>181</v>
      </c>
      <c r="C89" s="13" t="s">
        <v>599</v>
      </c>
      <c r="D89" s="13" t="s">
        <v>182</v>
      </c>
      <c r="E89" s="14" t="s">
        <v>623</v>
      </c>
      <c r="F89" s="13" t="s">
        <v>517</v>
      </c>
      <c r="G89" s="33" t="s">
        <v>39</v>
      </c>
      <c r="H89" s="35" t="s">
        <v>53</v>
      </c>
      <c r="I89" s="35" t="s">
        <v>53</v>
      </c>
      <c r="J89" s="32"/>
      <c r="K89" s="88" t="str">
        <f>"40,0"</f>
        <v>40,0</v>
      </c>
      <c r="L89" s="15" t="str">
        <f>"31,8699"</f>
        <v>31,8699</v>
      </c>
      <c r="M89" s="13"/>
    </row>
    <row r="91" spans="1:13" ht="16">
      <c r="A91" s="132" t="s">
        <v>183</v>
      </c>
      <c r="B91" s="132"/>
      <c r="C91" s="93"/>
      <c r="D91" s="93"/>
      <c r="E91" s="93"/>
      <c r="F91" s="93"/>
      <c r="G91" s="93"/>
      <c r="H91" s="93"/>
      <c r="I91" s="93"/>
      <c r="J91" s="93"/>
    </row>
    <row r="92" spans="1:13">
      <c r="A92" s="27" t="s">
        <v>256</v>
      </c>
      <c r="B92" s="7" t="s">
        <v>184</v>
      </c>
      <c r="C92" s="7" t="s">
        <v>600</v>
      </c>
      <c r="D92" s="7" t="s">
        <v>185</v>
      </c>
      <c r="E92" s="8" t="s">
        <v>618</v>
      </c>
      <c r="F92" s="7" t="s">
        <v>9</v>
      </c>
      <c r="G92" s="28" t="s">
        <v>39</v>
      </c>
      <c r="H92" s="28" t="s">
        <v>53</v>
      </c>
      <c r="I92" s="28" t="s">
        <v>69</v>
      </c>
      <c r="J92" s="27"/>
      <c r="K92" s="86" t="str">
        <f>"50,0"</f>
        <v>50,0</v>
      </c>
      <c r="L92" s="9" t="str">
        <f>"31,3625"</f>
        <v>31,3625</v>
      </c>
      <c r="M92" s="7" t="s">
        <v>508</v>
      </c>
    </row>
    <row r="93" spans="1:13">
      <c r="A93" s="29" t="s">
        <v>256</v>
      </c>
      <c r="B93" s="10" t="s">
        <v>186</v>
      </c>
      <c r="C93" s="10" t="s">
        <v>187</v>
      </c>
      <c r="D93" s="10" t="s">
        <v>188</v>
      </c>
      <c r="E93" s="11" t="s">
        <v>620</v>
      </c>
      <c r="F93" s="10" t="s">
        <v>189</v>
      </c>
      <c r="G93" s="30" t="s">
        <v>94</v>
      </c>
      <c r="H93" s="30" t="s">
        <v>131</v>
      </c>
      <c r="I93" s="30" t="s">
        <v>155</v>
      </c>
      <c r="J93" s="29"/>
      <c r="K93" s="87" t="str">
        <f>"75,0"</f>
        <v>75,0</v>
      </c>
      <c r="L93" s="12" t="str">
        <f>"46,0612"</f>
        <v>46,0612</v>
      </c>
      <c r="M93" s="10" t="s">
        <v>507</v>
      </c>
    </row>
    <row r="94" spans="1:13">
      <c r="A94" s="29" t="s">
        <v>257</v>
      </c>
      <c r="B94" s="10" t="s">
        <v>190</v>
      </c>
      <c r="C94" s="10" t="s">
        <v>191</v>
      </c>
      <c r="D94" s="10" t="s">
        <v>192</v>
      </c>
      <c r="E94" s="11" t="s">
        <v>620</v>
      </c>
      <c r="F94" s="10" t="s">
        <v>517</v>
      </c>
      <c r="G94" s="30" t="s">
        <v>131</v>
      </c>
      <c r="H94" s="31" t="s">
        <v>193</v>
      </c>
      <c r="I94" s="31" t="s">
        <v>193</v>
      </c>
      <c r="J94" s="29"/>
      <c r="K94" s="87" t="str">
        <f>"70,0"</f>
        <v>70,0</v>
      </c>
      <c r="L94" s="12" t="str">
        <f>"43,9390"</f>
        <v>43,9390</v>
      </c>
      <c r="M94" s="10"/>
    </row>
    <row r="95" spans="1:13">
      <c r="A95" s="29" t="s">
        <v>259</v>
      </c>
      <c r="B95" s="10" t="s">
        <v>194</v>
      </c>
      <c r="C95" s="10" t="s">
        <v>195</v>
      </c>
      <c r="D95" s="10" t="s">
        <v>196</v>
      </c>
      <c r="E95" s="11" t="s">
        <v>620</v>
      </c>
      <c r="F95" s="10" t="s">
        <v>63</v>
      </c>
      <c r="G95" s="30" t="s">
        <v>93</v>
      </c>
      <c r="H95" s="30" t="s">
        <v>115</v>
      </c>
      <c r="I95" s="31" t="s">
        <v>94</v>
      </c>
      <c r="J95" s="29"/>
      <c r="K95" s="87" t="str">
        <f>"62,5"</f>
        <v>62,5</v>
      </c>
      <c r="L95" s="12" t="str">
        <f>"38,4094"</f>
        <v>38,4094</v>
      </c>
      <c r="M95" s="10"/>
    </row>
    <row r="96" spans="1:13">
      <c r="A96" s="29" t="s">
        <v>256</v>
      </c>
      <c r="B96" s="10" t="s">
        <v>197</v>
      </c>
      <c r="C96" s="10" t="s">
        <v>601</v>
      </c>
      <c r="D96" s="10" t="s">
        <v>198</v>
      </c>
      <c r="E96" s="11" t="s">
        <v>621</v>
      </c>
      <c r="F96" s="10" t="s">
        <v>189</v>
      </c>
      <c r="G96" s="30" t="s">
        <v>53</v>
      </c>
      <c r="H96" s="30" t="s">
        <v>80</v>
      </c>
      <c r="I96" s="30" t="s">
        <v>104</v>
      </c>
      <c r="J96" s="29"/>
      <c r="K96" s="87" t="str">
        <f>"57,5"</f>
        <v>57,5</v>
      </c>
      <c r="L96" s="12" t="str">
        <f>"38,8368"</f>
        <v>38,8368</v>
      </c>
      <c r="M96" s="10"/>
    </row>
    <row r="97" spans="1:13">
      <c r="A97" s="29" t="s">
        <v>257</v>
      </c>
      <c r="B97" s="10" t="s">
        <v>199</v>
      </c>
      <c r="C97" s="10" t="s">
        <v>602</v>
      </c>
      <c r="D97" s="10" t="s">
        <v>200</v>
      </c>
      <c r="E97" s="11" t="s">
        <v>621</v>
      </c>
      <c r="F97" s="10" t="s">
        <v>517</v>
      </c>
      <c r="G97" s="30" t="s">
        <v>39</v>
      </c>
      <c r="H97" s="30" t="s">
        <v>53</v>
      </c>
      <c r="I97" s="31" t="s">
        <v>69</v>
      </c>
      <c r="J97" s="29"/>
      <c r="K97" s="87" t="str">
        <f>"45,0"</f>
        <v>45,0</v>
      </c>
      <c r="L97" s="12" t="str">
        <f>"27,5333"</f>
        <v>27,5333</v>
      </c>
      <c r="M97" s="10"/>
    </row>
    <row r="98" spans="1:13">
      <c r="A98" s="29" t="s">
        <v>256</v>
      </c>
      <c r="B98" s="10" t="s">
        <v>201</v>
      </c>
      <c r="C98" s="10" t="s">
        <v>603</v>
      </c>
      <c r="D98" s="10" t="s">
        <v>188</v>
      </c>
      <c r="E98" s="11" t="s">
        <v>623</v>
      </c>
      <c r="F98" s="10" t="s">
        <v>517</v>
      </c>
      <c r="G98" s="30" t="s">
        <v>93</v>
      </c>
      <c r="H98" s="30" t="s">
        <v>94</v>
      </c>
      <c r="I98" s="30" t="s">
        <v>121</v>
      </c>
      <c r="J98" s="29"/>
      <c r="K98" s="87" t="str">
        <f>"67,5"</f>
        <v>67,5</v>
      </c>
      <c r="L98" s="12" t="str">
        <f>"49,0829"</f>
        <v>49,0829</v>
      </c>
      <c r="M98" s="10"/>
    </row>
    <row r="99" spans="1:13">
      <c r="A99" s="32" t="s">
        <v>256</v>
      </c>
      <c r="B99" s="13" t="s">
        <v>202</v>
      </c>
      <c r="C99" s="13" t="s">
        <v>203</v>
      </c>
      <c r="D99" s="13" t="s">
        <v>204</v>
      </c>
      <c r="E99" s="14" t="s">
        <v>625</v>
      </c>
      <c r="F99" s="13" t="s">
        <v>518</v>
      </c>
      <c r="G99" s="33" t="s">
        <v>69</v>
      </c>
      <c r="H99" s="35" t="s">
        <v>93</v>
      </c>
      <c r="I99" s="35" t="s">
        <v>94</v>
      </c>
      <c r="J99" s="32"/>
      <c r="K99" s="88" t="str">
        <f>"50,0"</f>
        <v>50,0</v>
      </c>
      <c r="L99" s="15" t="str">
        <f>"42,7477"</f>
        <v>42,7477</v>
      </c>
      <c r="M99" s="13"/>
    </row>
    <row r="101" spans="1:13" ht="16">
      <c r="A101" s="132" t="s">
        <v>205</v>
      </c>
      <c r="B101" s="132"/>
      <c r="C101" s="93"/>
      <c r="D101" s="93"/>
      <c r="E101" s="93"/>
      <c r="F101" s="93"/>
      <c r="G101" s="93"/>
      <c r="H101" s="93"/>
      <c r="I101" s="93"/>
      <c r="J101" s="93"/>
    </row>
    <row r="102" spans="1:13">
      <c r="A102" s="27" t="s">
        <v>256</v>
      </c>
      <c r="B102" s="7" t="s">
        <v>206</v>
      </c>
      <c r="C102" s="7" t="s">
        <v>564</v>
      </c>
      <c r="D102" s="7" t="s">
        <v>207</v>
      </c>
      <c r="E102" s="8" t="s">
        <v>619</v>
      </c>
      <c r="F102" s="7" t="s">
        <v>518</v>
      </c>
      <c r="G102" s="28" t="s">
        <v>69</v>
      </c>
      <c r="H102" s="28" t="s">
        <v>93</v>
      </c>
      <c r="I102" s="28" t="s">
        <v>94</v>
      </c>
      <c r="J102" s="27"/>
      <c r="K102" s="86" t="str">
        <f>"65,0"</f>
        <v>65,0</v>
      </c>
      <c r="L102" s="9" t="str">
        <f>"38,4573"</f>
        <v>38,4573</v>
      </c>
      <c r="M102" s="7"/>
    </row>
    <row r="103" spans="1:13">
      <c r="A103" s="29" t="s">
        <v>256</v>
      </c>
      <c r="B103" s="10" t="s">
        <v>208</v>
      </c>
      <c r="C103" s="10" t="s">
        <v>209</v>
      </c>
      <c r="D103" s="10" t="s">
        <v>210</v>
      </c>
      <c r="E103" s="11" t="s">
        <v>620</v>
      </c>
      <c r="F103" s="10" t="s">
        <v>517</v>
      </c>
      <c r="G103" s="30" t="s">
        <v>93</v>
      </c>
      <c r="H103" s="30" t="s">
        <v>94</v>
      </c>
      <c r="I103" s="30" t="s">
        <v>131</v>
      </c>
      <c r="J103" s="29"/>
      <c r="K103" s="87" t="str">
        <f>"70,0"</f>
        <v>70,0</v>
      </c>
      <c r="L103" s="12" t="str">
        <f>"41,2370"</f>
        <v>41,2370</v>
      </c>
      <c r="M103" s="10"/>
    </row>
    <row r="104" spans="1:13">
      <c r="A104" s="29" t="s">
        <v>257</v>
      </c>
      <c r="B104" s="10" t="s">
        <v>211</v>
      </c>
      <c r="C104" s="10" t="s">
        <v>212</v>
      </c>
      <c r="D104" s="10" t="s">
        <v>213</v>
      </c>
      <c r="E104" s="11" t="s">
        <v>620</v>
      </c>
      <c r="F104" s="10" t="s">
        <v>517</v>
      </c>
      <c r="G104" s="30" t="s">
        <v>80</v>
      </c>
      <c r="H104" s="30" t="s">
        <v>115</v>
      </c>
      <c r="I104" s="30" t="s">
        <v>131</v>
      </c>
      <c r="J104" s="29"/>
      <c r="K104" s="87" t="str">
        <f>"70,0"</f>
        <v>70,0</v>
      </c>
      <c r="L104" s="12" t="str">
        <f>"41,1985"</f>
        <v>41,1985</v>
      </c>
      <c r="M104" s="10"/>
    </row>
    <row r="105" spans="1:13">
      <c r="A105" s="29" t="s">
        <v>259</v>
      </c>
      <c r="B105" s="10" t="s">
        <v>214</v>
      </c>
      <c r="C105" s="10" t="s">
        <v>215</v>
      </c>
      <c r="D105" s="10" t="s">
        <v>216</v>
      </c>
      <c r="E105" s="11" t="s">
        <v>620</v>
      </c>
      <c r="F105" s="10" t="s">
        <v>9</v>
      </c>
      <c r="G105" s="30" t="s">
        <v>93</v>
      </c>
      <c r="H105" s="30" t="s">
        <v>94</v>
      </c>
      <c r="I105" s="30" t="s">
        <v>121</v>
      </c>
      <c r="J105" s="29"/>
      <c r="K105" s="87" t="str">
        <f>"67,5"</f>
        <v>67,5</v>
      </c>
      <c r="L105" s="12" t="str">
        <f>"40,8881"</f>
        <v>40,8881</v>
      </c>
      <c r="M105" s="10" t="s">
        <v>508</v>
      </c>
    </row>
    <row r="106" spans="1:13">
      <c r="A106" s="29" t="s">
        <v>260</v>
      </c>
      <c r="B106" s="10" t="s">
        <v>217</v>
      </c>
      <c r="C106" s="10" t="s">
        <v>218</v>
      </c>
      <c r="D106" s="10" t="s">
        <v>219</v>
      </c>
      <c r="E106" s="11" t="s">
        <v>620</v>
      </c>
      <c r="F106" s="10" t="s">
        <v>220</v>
      </c>
      <c r="G106" s="30" t="s">
        <v>80</v>
      </c>
      <c r="H106" s="30" t="s">
        <v>93</v>
      </c>
      <c r="I106" s="30" t="s">
        <v>94</v>
      </c>
      <c r="J106" s="29"/>
      <c r="K106" s="87" t="str">
        <f>"65,0"</f>
        <v>65,0</v>
      </c>
      <c r="L106" s="12" t="str">
        <f>"38,5743"</f>
        <v>38,5743</v>
      </c>
      <c r="M106" s="10"/>
    </row>
    <row r="107" spans="1:13">
      <c r="A107" s="29" t="s">
        <v>261</v>
      </c>
      <c r="B107" s="10" t="s">
        <v>221</v>
      </c>
      <c r="C107" s="10" t="s">
        <v>222</v>
      </c>
      <c r="D107" s="10" t="s">
        <v>223</v>
      </c>
      <c r="E107" s="11" t="s">
        <v>620</v>
      </c>
      <c r="F107" s="10" t="s">
        <v>517</v>
      </c>
      <c r="G107" s="30" t="s">
        <v>80</v>
      </c>
      <c r="H107" s="30" t="s">
        <v>93</v>
      </c>
      <c r="I107" s="30" t="s">
        <v>94</v>
      </c>
      <c r="J107" s="29"/>
      <c r="K107" s="87" t="str">
        <f>"65,0"</f>
        <v>65,0</v>
      </c>
      <c r="L107" s="12" t="str">
        <f>"37,9470"</f>
        <v>37,9470</v>
      </c>
      <c r="M107" s="10" t="s">
        <v>507</v>
      </c>
    </row>
    <row r="108" spans="1:13">
      <c r="A108" s="29" t="s">
        <v>262</v>
      </c>
      <c r="B108" s="10" t="s">
        <v>224</v>
      </c>
      <c r="C108" s="10" t="s">
        <v>225</v>
      </c>
      <c r="D108" s="10" t="s">
        <v>226</v>
      </c>
      <c r="E108" s="11" t="s">
        <v>620</v>
      </c>
      <c r="F108" s="10" t="s">
        <v>517</v>
      </c>
      <c r="G108" s="30" t="s">
        <v>70</v>
      </c>
      <c r="H108" s="30" t="s">
        <v>93</v>
      </c>
      <c r="I108" s="30" t="s">
        <v>94</v>
      </c>
      <c r="J108" s="29"/>
      <c r="K108" s="87" t="str">
        <f>"65,0"</f>
        <v>65,0</v>
      </c>
      <c r="L108" s="12" t="str">
        <f>"37,8008"</f>
        <v>37,8008</v>
      </c>
      <c r="M108" s="10"/>
    </row>
    <row r="109" spans="1:13">
      <c r="A109" s="29" t="s">
        <v>256</v>
      </c>
      <c r="B109" s="10" t="s">
        <v>227</v>
      </c>
      <c r="C109" s="10" t="s">
        <v>604</v>
      </c>
      <c r="D109" s="10" t="s">
        <v>228</v>
      </c>
      <c r="E109" s="11" t="s">
        <v>621</v>
      </c>
      <c r="F109" s="10" t="s">
        <v>517</v>
      </c>
      <c r="G109" s="30" t="s">
        <v>39</v>
      </c>
      <c r="H109" s="30" t="s">
        <v>69</v>
      </c>
      <c r="I109" s="30" t="s">
        <v>104</v>
      </c>
      <c r="J109" s="29"/>
      <c r="K109" s="87" t="str">
        <f>"57,5"</f>
        <v>57,5</v>
      </c>
      <c r="L109" s="12" t="str">
        <f>"34,9737"</f>
        <v>34,9737</v>
      </c>
      <c r="M109" s="10"/>
    </row>
    <row r="110" spans="1:13">
      <c r="A110" s="32" t="s">
        <v>256</v>
      </c>
      <c r="B110" s="13" t="s">
        <v>224</v>
      </c>
      <c r="C110" s="13" t="s">
        <v>605</v>
      </c>
      <c r="D110" s="13" t="s">
        <v>226</v>
      </c>
      <c r="E110" s="14" t="s">
        <v>623</v>
      </c>
      <c r="F110" s="13" t="s">
        <v>517</v>
      </c>
      <c r="G110" s="33" t="s">
        <v>70</v>
      </c>
      <c r="H110" s="33" t="s">
        <v>93</v>
      </c>
      <c r="I110" s="33" t="s">
        <v>94</v>
      </c>
      <c r="J110" s="32"/>
      <c r="K110" s="88" t="str">
        <f>"65,0"</f>
        <v>65,0</v>
      </c>
      <c r="L110" s="15" t="str">
        <f>"48,8008"</f>
        <v>48,8008</v>
      </c>
      <c r="M110" s="13"/>
    </row>
    <row r="112" spans="1:13" ht="16">
      <c r="A112" s="132" t="s">
        <v>229</v>
      </c>
      <c r="B112" s="132"/>
      <c r="C112" s="93"/>
      <c r="D112" s="93"/>
      <c r="E112" s="93"/>
      <c r="F112" s="93"/>
      <c r="G112" s="93"/>
      <c r="H112" s="93"/>
      <c r="I112" s="93"/>
      <c r="J112" s="93"/>
    </row>
    <row r="113" spans="1:13">
      <c r="A113" s="27" t="s">
        <v>256</v>
      </c>
      <c r="B113" s="7" t="s">
        <v>230</v>
      </c>
      <c r="C113" s="7" t="s">
        <v>231</v>
      </c>
      <c r="D113" s="7" t="s">
        <v>232</v>
      </c>
      <c r="E113" s="8" t="s">
        <v>620</v>
      </c>
      <c r="F113" s="7" t="s">
        <v>517</v>
      </c>
      <c r="G113" s="28" t="s">
        <v>80</v>
      </c>
      <c r="H113" s="28" t="s">
        <v>121</v>
      </c>
      <c r="I113" s="34" t="s">
        <v>131</v>
      </c>
      <c r="J113" s="27"/>
      <c r="K113" s="86" t="str">
        <f>"67,5"</f>
        <v>67,5</v>
      </c>
      <c r="L113" s="9" t="str">
        <f>"38,3366"</f>
        <v>38,3366</v>
      </c>
      <c r="M113" s="7" t="s">
        <v>507</v>
      </c>
    </row>
    <row r="114" spans="1:13">
      <c r="A114" s="32" t="s">
        <v>256</v>
      </c>
      <c r="B114" s="13" t="s">
        <v>233</v>
      </c>
      <c r="C114" s="13" t="s">
        <v>606</v>
      </c>
      <c r="D114" s="13" t="s">
        <v>234</v>
      </c>
      <c r="E114" s="14" t="s">
        <v>621</v>
      </c>
      <c r="F114" s="13" t="s">
        <v>517</v>
      </c>
      <c r="G114" s="33" t="s">
        <v>80</v>
      </c>
      <c r="H114" s="33" t="s">
        <v>93</v>
      </c>
      <c r="I114" s="33" t="s">
        <v>121</v>
      </c>
      <c r="J114" s="32"/>
      <c r="K114" s="88" t="str">
        <f>"67,5"</f>
        <v>67,5</v>
      </c>
      <c r="L114" s="15" t="str">
        <f>"41,2648"</f>
        <v>41,2648</v>
      </c>
      <c r="M114" s="13"/>
    </row>
    <row r="116" spans="1:13" ht="16">
      <c r="A116" s="132" t="s">
        <v>235</v>
      </c>
      <c r="B116" s="132"/>
      <c r="C116" s="93"/>
      <c r="D116" s="93"/>
      <c r="E116" s="93"/>
      <c r="F116" s="93"/>
      <c r="G116" s="93"/>
      <c r="H116" s="93"/>
      <c r="I116" s="93"/>
      <c r="J116" s="93"/>
    </row>
    <row r="117" spans="1:13">
      <c r="A117" s="27" t="s">
        <v>256</v>
      </c>
      <c r="B117" s="7" t="s">
        <v>236</v>
      </c>
      <c r="C117" s="7" t="s">
        <v>237</v>
      </c>
      <c r="D117" s="7" t="s">
        <v>238</v>
      </c>
      <c r="E117" s="8" t="s">
        <v>620</v>
      </c>
      <c r="F117" s="7" t="s">
        <v>517</v>
      </c>
      <c r="G117" s="28" t="s">
        <v>80</v>
      </c>
      <c r="H117" s="28" t="s">
        <v>115</v>
      </c>
      <c r="I117" s="28" t="s">
        <v>131</v>
      </c>
      <c r="J117" s="27"/>
      <c r="K117" s="86" t="str">
        <f>"70,0"</f>
        <v>70,0</v>
      </c>
      <c r="L117" s="9" t="str">
        <f>"38,9725"</f>
        <v>38,9725</v>
      </c>
      <c r="M117" s="7"/>
    </row>
    <row r="118" spans="1:13">
      <c r="A118" s="29" t="s">
        <v>256</v>
      </c>
      <c r="B118" s="10" t="s">
        <v>236</v>
      </c>
      <c r="C118" s="10" t="s">
        <v>607</v>
      </c>
      <c r="D118" s="10" t="s">
        <v>238</v>
      </c>
      <c r="E118" s="11" t="s">
        <v>621</v>
      </c>
      <c r="F118" s="10" t="s">
        <v>517</v>
      </c>
      <c r="G118" s="30" t="s">
        <v>80</v>
      </c>
      <c r="H118" s="30" t="s">
        <v>115</v>
      </c>
      <c r="I118" s="30" t="s">
        <v>131</v>
      </c>
      <c r="J118" s="29"/>
      <c r="K118" s="87" t="str">
        <f>"70,0"</f>
        <v>70,0</v>
      </c>
      <c r="L118" s="12" t="str">
        <f>"43,3764"</f>
        <v>43,3764</v>
      </c>
      <c r="M118" s="10"/>
    </row>
    <row r="119" spans="1:13">
      <c r="A119" s="32" t="s">
        <v>257</v>
      </c>
      <c r="B119" s="13" t="s">
        <v>239</v>
      </c>
      <c r="C119" s="13" t="s">
        <v>608</v>
      </c>
      <c r="D119" s="13" t="s">
        <v>240</v>
      </c>
      <c r="E119" s="14" t="s">
        <v>621</v>
      </c>
      <c r="F119" s="13" t="s">
        <v>517</v>
      </c>
      <c r="G119" s="33" t="s">
        <v>93</v>
      </c>
      <c r="H119" s="33" t="s">
        <v>121</v>
      </c>
      <c r="I119" s="33" t="s">
        <v>131</v>
      </c>
      <c r="J119" s="32"/>
      <c r="K119" s="88" t="str">
        <f>"70,0"</f>
        <v>70,0</v>
      </c>
      <c r="L119" s="15" t="str">
        <f>"39,4048"</f>
        <v>39,4048</v>
      </c>
      <c r="M119" s="13"/>
    </row>
    <row r="121" spans="1:13">
      <c r="G121" s="5"/>
      <c r="M121" s="6"/>
    </row>
    <row r="122" spans="1:13">
      <c r="G122" s="5"/>
      <c r="M122" s="6"/>
    </row>
    <row r="123" spans="1:13" ht="18">
      <c r="B123" s="20" t="s">
        <v>241</v>
      </c>
      <c r="C123" s="20"/>
      <c r="E123" s="5"/>
      <c r="G123" s="5"/>
      <c r="M123" s="6"/>
    </row>
    <row r="124" spans="1:13" ht="16">
      <c r="B124" s="21" t="s">
        <v>242</v>
      </c>
      <c r="C124" s="21"/>
      <c r="E124" s="5"/>
      <c r="G124" s="5"/>
      <c r="M124" s="6"/>
    </row>
    <row r="125" spans="1:13" ht="14">
      <c r="B125" s="22"/>
      <c r="C125" s="23" t="s">
        <v>248</v>
      </c>
      <c r="E125" s="5"/>
      <c r="J125" s="6"/>
      <c r="L125" s="3"/>
      <c r="M125" s="3"/>
    </row>
    <row r="126" spans="1:13" ht="14">
      <c r="B126" s="24" t="s">
        <v>243</v>
      </c>
      <c r="C126" s="24" t="s">
        <v>244</v>
      </c>
      <c r="D126" s="24" t="s">
        <v>611</v>
      </c>
      <c r="E126" s="80" t="s">
        <v>245</v>
      </c>
      <c r="F126" s="79" t="s">
        <v>269</v>
      </c>
      <c r="J126" s="6"/>
      <c r="L126" s="3"/>
      <c r="M126" s="3"/>
    </row>
    <row r="127" spans="1:13">
      <c r="B127" s="5" t="s">
        <v>49</v>
      </c>
      <c r="C127" s="5" t="s">
        <v>248</v>
      </c>
      <c r="D127" s="25" t="s">
        <v>249</v>
      </c>
      <c r="E127" s="26">
        <v>45</v>
      </c>
      <c r="F127" s="6" t="str">
        <f>"38,7922"</f>
        <v>38,7922</v>
      </c>
      <c r="J127" s="6"/>
      <c r="L127" s="3"/>
      <c r="M127" s="3"/>
    </row>
    <row r="128" spans="1:13">
      <c r="B128" s="5" t="s">
        <v>13</v>
      </c>
      <c r="C128" s="5" t="s">
        <v>248</v>
      </c>
      <c r="D128" s="25" t="s">
        <v>246</v>
      </c>
      <c r="E128" s="26">
        <v>30</v>
      </c>
      <c r="F128" s="6" t="str">
        <f>"35,5380"</f>
        <v>35,5380</v>
      </c>
      <c r="J128" s="6"/>
      <c r="L128" s="3"/>
      <c r="M128" s="3"/>
    </row>
    <row r="129" spans="2:13">
      <c r="B129" s="5" t="s">
        <v>35</v>
      </c>
      <c r="C129" s="5" t="s">
        <v>248</v>
      </c>
      <c r="D129" s="25" t="s">
        <v>250</v>
      </c>
      <c r="E129" s="26">
        <v>35</v>
      </c>
      <c r="F129" s="6" t="str">
        <f>"33,9780"</f>
        <v>33,9780</v>
      </c>
      <c r="J129" s="6"/>
      <c r="L129" s="3"/>
      <c r="M129" s="3"/>
    </row>
    <row r="130" spans="2:13">
      <c r="F130" s="81"/>
      <c r="J130" s="6"/>
      <c r="L130" s="3"/>
      <c r="M130" s="3"/>
    </row>
    <row r="131" spans="2:13" ht="16">
      <c r="B131" s="21" t="s">
        <v>251</v>
      </c>
      <c r="C131" s="21"/>
      <c r="F131" s="81"/>
      <c r="J131" s="6"/>
      <c r="L131" s="3"/>
      <c r="M131" s="3"/>
    </row>
    <row r="132" spans="2:13" ht="14">
      <c r="B132" s="22"/>
      <c r="C132" s="23" t="s">
        <v>248</v>
      </c>
      <c r="F132" s="81"/>
      <c r="J132" s="6"/>
      <c r="L132" s="3"/>
      <c r="M132" s="3"/>
    </row>
    <row r="133" spans="2:13" ht="14">
      <c r="B133" s="24" t="s">
        <v>243</v>
      </c>
      <c r="C133" s="24" t="s">
        <v>244</v>
      </c>
      <c r="D133" s="24" t="s">
        <v>611</v>
      </c>
      <c r="E133" s="80" t="s">
        <v>245</v>
      </c>
      <c r="F133" s="79" t="s">
        <v>269</v>
      </c>
      <c r="J133" s="6"/>
      <c r="L133" s="3"/>
      <c r="M133" s="3"/>
    </row>
    <row r="134" spans="2:13">
      <c r="B134" s="5" t="s">
        <v>151</v>
      </c>
      <c r="C134" s="5" t="s">
        <v>248</v>
      </c>
      <c r="D134" s="25" t="s">
        <v>252</v>
      </c>
      <c r="E134" s="26">
        <v>77.5</v>
      </c>
      <c r="F134" s="6" t="str">
        <f>"50,1541"</f>
        <v>50,1541</v>
      </c>
      <c r="J134" s="6"/>
      <c r="L134" s="3"/>
      <c r="M134" s="3"/>
    </row>
    <row r="135" spans="2:13">
      <c r="B135" s="5" t="s">
        <v>118</v>
      </c>
      <c r="C135" s="5" t="s">
        <v>248</v>
      </c>
      <c r="D135" s="25" t="s">
        <v>249</v>
      </c>
      <c r="E135" s="26">
        <v>67.5</v>
      </c>
      <c r="F135" s="6" t="str">
        <f>"46,4771"</f>
        <v>46,4771</v>
      </c>
      <c r="J135" s="6"/>
      <c r="L135" s="3"/>
      <c r="M135" s="3"/>
    </row>
    <row r="136" spans="2:13">
      <c r="B136" s="5" t="s">
        <v>186</v>
      </c>
      <c r="C136" s="5" t="s">
        <v>248</v>
      </c>
      <c r="D136" s="25" t="s">
        <v>253</v>
      </c>
      <c r="E136" s="26">
        <v>75</v>
      </c>
      <c r="F136" s="6" t="str">
        <f>"46,0612"</f>
        <v>46,0612</v>
      </c>
      <c r="G136" s="5"/>
      <c r="M136" s="6"/>
    </row>
  </sheetData>
  <mergeCells count="28">
    <mergeCell ref="A112:J112"/>
    <mergeCell ref="A116:J116"/>
    <mergeCell ref="B3:B4"/>
    <mergeCell ref="A45:J45"/>
    <mergeCell ref="A57:J57"/>
    <mergeCell ref="A76:J76"/>
    <mergeCell ref="A91:J91"/>
    <mergeCell ref="A101:J101"/>
    <mergeCell ref="A26:J26"/>
    <mergeCell ref="A29:J29"/>
    <mergeCell ref="A32:J32"/>
    <mergeCell ref="A37:J37"/>
    <mergeCell ref="A42:J42"/>
    <mergeCell ref="A5:J5"/>
    <mergeCell ref="A10:J10"/>
    <mergeCell ref="A13:J13"/>
    <mergeCell ref="A16:J16"/>
    <mergeCell ref="A19:J19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F6FC-0C7C-4F1E-947F-F066DB7A023D}">
  <dimension ref="A1:F9"/>
  <sheetViews>
    <sheetView workbookViewId="0">
      <selection sqref="A1:B2"/>
    </sheetView>
  </sheetViews>
  <sheetFormatPr baseColWidth="10" defaultColWidth="8.83203125" defaultRowHeight="13"/>
  <cols>
    <col min="1" max="1" width="29.83203125" customWidth="1"/>
    <col min="2" max="2" width="35.83203125" customWidth="1"/>
  </cols>
  <sheetData>
    <row r="1" spans="1:6" ht="39" customHeight="1">
      <c r="A1" s="139" t="s">
        <v>612</v>
      </c>
      <c r="B1" s="139"/>
    </row>
    <row r="2" spans="1:6" ht="44" customHeight="1">
      <c r="A2" s="139"/>
      <c r="B2" s="139"/>
      <c r="C2" s="91"/>
      <c r="D2" s="91"/>
      <c r="E2" s="91"/>
      <c r="F2" s="91"/>
    </row>
    <row r="3" spans="1:6" ht="13" customHeight="1">
      <c r="A3" s="90"/>
      <c r="B3" s="91"/>
      <c r="C3" s="91"/>
      <c r="D3" s="91"/>
      <c r="E3" s="91"/>
      <c r="F3" s="91"/>
    </row>
    <row r="4" spans="1:6">
      <c r="A4" s="76" t="s">
        <v>519</v>
      </c>
      <c r="B4" s="77" t="s">
        <v>520</v>
      </c>
      <c r="C4" s="75"/>
      <c r="D4" s="75"/>
      <c r="E4" s="75"/>
      <c r="F4" s="75"/>
    </row>
    <row r="5" spans="1:6">
      <c r="A5" s="76" t="s">
        <v>521</v>
      </c>
      <c r="B5" s="77" t="s">
        <v>522</v>
      </c>
      <c r="C5" s="75"/>
      <c r="D5" s="75"/>
      <c r="E5" s="75"/>
      <c r="F5" s="75"/>
    </row>
    <row r="6" spans="1:6">
      <c r="A6" s="76" t="s">
        <v>523</v>
      </c>
      <c r="B6" s="78" t="s">
        <v>520</v>
      </c>
      <c r="C6" s="75"/>
      <c r="D6" s="75"/>
      <c r="E6" s="75"/>
      <c r="F6" s="75"/>
    </row>
    <row r="7" spans="1:6">
      <c r="A7" s="76"/>
      <c r="B7" s="78" t="s">
        <v>613</v>
      </c>
      <c r="C7" s="75"/>
      <c r="D7" s="75"/>
      <c r="E7" s="75"/>
      <c r="F7" s="75"/>
    </row>
    <row r="8" spans="1:6" s="75" customFormat="1">
      <c r="A8" s="76"/>
      <c r="B8" s="78" t="s">
        <v>524</v>
      </c>
    </row>
    <row r="9" spans="1:6">
      <c r="B9" s="78" t="s">
        <v>525</v>
      </c>
      <c r="C9" s="75"/>
      <c r="D9" s="75"/>
      <c r="E9" s="75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Тяга без экипировки</vt:lpstr>
      <vt:lpstr>СПР Подъем на бицепс</vt:lpstr>
      <vt:lpstr>Судейская коллегия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2022-09-21T18:46:15Z</dcterms:modified>
</cp:coreProperties>
</file>