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Сентябрь/"/>
    </mc:Choice>
  </mc:AlternateContent>
  <xr:revisionPtr revIDLastSave="0" documentId="13_ncr:1_{9F197CFC-B04A-394E-B42F-15451096FA7D}" xr6:coauthVersionLast="45" xr6:coauthVersionMax="45" xr10:uidLastSave="{00000000-0000-0000-0000-000000000000}"/>
  <bookViews>
    <workbookView xWindow="480" yWindow="460" windowWidth="28320" windowHeight="15960" firstSheet="6" activeTab="11" xr2:uid="{00000000-000D-0000-FFFF-FFFF00000000}"/>
  </bookViews>
  <sheets>
    <sheet name="WRPF Двоеборье без экип ДК" sheetId="17" r:id="rId1"/>
    <sheet name="WRPF Двоеборье без экип" sheetId="16" r:id="rId2"/>
    <sheet name="WRPF Жим лежа без экип ДК" sheetId="8" r:id="rId3"/>
    <sheet name="WRPF Жим лежа без экип" sheetId="7" r:id="rId4"/>
    <sheet name="WEPF Жим многослой" sheetId="13" r:id="rId5"/>
    <sheet name="WEPF Жим софт однопетельная ДК" sheetId="9" r:id="rId6"/>
    <sheet name="WEPF Жим софт однопетельная" sheetId="5" r:id="rId7"/>
    <sheet name="WRPF Военный жим ДК" sheetId="10" r:id="rId8"/>
    <sheet name="WRPF Тяга без экипировки ДК" sheetId="15" r:id="rId9"/>
    <sheet name="WRPF Тяга без экипировки" sheetId="14" r:id="rId10"/>
    <sheet name="WRPF Подъем на бицепс ДК" sheetId="19" r:id="rId11"/>
    <sheet name="WRPF Подъем на бицепс" sheetId="18" r:id="rId12"/>
  </sheets>
  <definedNames>
    <definedName name="_FilterDatabase" localSheetId="6" hidden="1">'WEPF Жим софт однопетельная'!$A$1:$K$3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9" l="1"/>
  <c r="K15" i="19"/>
  <c r="L12" i="19"/>
  <c r="K12" i="19"/>
  <c r="L9" i="19"/>
  <c r="K9" i="19"/>
  <c r="L6" i="19"/>
  <c r="K6" i="19"/>
  <c r="L9" i="18"/>
  <c r="K9" i="18"/>
  <c r="L6" i="18"/>
  <c r="K6" i="18"/>
  <c r="P6" i="17"/>
  <c r="E6" i="17"/>
  <c r="P6" i="16"/>
  <c r="O6" i="16"/>
  <c r="E6" i="16"/>
  <c r="L12" i="15"/>
  <c r="K12" i="15"/>
  <c r="L9" i="15"/>
  <c r="K9" i="15"/>
  <c r="L6" i="15"/>
  <c r="K6" i="15"/>
  <c r="L9" i="14"/>
  <c r="K9" i="14"/>
  <c r="L6" i="14"/>
  <c r="K6" i="14"/>
  <c r="L6" i="13"/>
  <c r="K6" i="13"/>
  <c r="L6" i="10"/>
  <c r="K6" i="10"/>
  <c r="L7" i="9"/>
  <c r="K7" i="9"/>
  <c r="E7" i="9"/>
  <c r="L6" i="9"/>
  <c r="K6" i="9"/>
  <c r="L22" i="8"/>
  <c r="K22" i="8"/>
  <c r="L21" i="8"/>
  <c r="K21" i="8"/>
  <c r="L20" i="8"/>
  <c r="K20" i="8"/>
  <c r="L17" i="8"/>
  <c r="K17" i="8"/>
  <c r="L14" i="8"/>
  <c r="K14" i="8"/>
  <c r="L13" i="8"/>
  <c r="K13" i="8"/>
  <c r="L10" i="8"/>
  <c r="K10" i="8"/>
  <c r="L9" i="8"/>
  <c r="K9" i="8"/>
  <c r="L6" i="8"/>
  <c r="K6" i="8"/>
  <c r="L16" i="7"/>
  <c r="K16" i="7"/>
  <c r="L15" i="7"/>
  <c r="K15" i="7"/>
  <c r="L12" i="7"/>
  <c r="K12" i="7"/>
  <c r="L9" i="7"/>
  <c r="K9" i="7"/>
  <c r="L6" i="7"/>
  <c r="K6" i="7"/>
  <c r="L6" i="5"/>
  <c r="K6" i="5"/>
</calcChain>
</file>

<file path=xl/sharedStrings.xml><?xml version="1.0" encoding="utf-8"?>
<sst xmlns="http://schemas.openxmlformats.org/spreadsheetml/2006/main" count="511" uniqueCount="202">
  <si>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</si>
  <si>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</si>
  <si>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</si>
  <si>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</si>
  <si>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</si>
  <si>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</si>
  <si>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</si>
  <si>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Жим лёжа</t>
  </si>
  <si>
    <t>ВЕСОВАЯ КАТЕГОРИЯ   110</t>
  </si>
  <si>
    <t>Кузнецов Евгений</t>
  </si>
  <si>
    <t>Мастера 40-49 (22.09.1978)/44</t>
  </si>
  <si>
    <t>109,60</t>
  </si>
  <si>
    <t xml:space="preserve">Липецк/Липецкая область </t>
  </si>
  <si>
    <t>225,0</t>
  </si>
  <si>
    <t>235,0</t>
  </si>
  <si>
    <t>245,0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</si>
  <si>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</si>
  <si>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</si>
  <si>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</si>
  <si>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</si>
  <si>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Результат </t>
  </si>
  <si>
    <t>Результат</t>
  </si>
  <si>
    <t>1</t>
  </si>
  <si>
    <t>Wilks</t>
  </si>
  <si>
    <t>ВЕСОВАЯ КАТЕГОРИЯ   52</t>
  </si>
  <si>
    <t>Шаталов Никита</t>
  </si>
  <si>
    <t>Юноши 14-16 (08.01.2007)/15</t>
  </si>
  <si>
    <t>51,40</t>
  </si>
  <si>
    <t>40,0</t>
  </si>
  <si>
    <t>45,0</t>
  </si>
  <si>
    <t>ВЕСОВАЯ КАТЕГОРИЯ   82.5</t>
  </si>
  <si>
    <t>Гончаров Роман</t>
  </si>
  <si>
    <t>Юноши 14-16 (23.03.2006)/16</t>
  </si>
  <si>
    <t>82,00</t>
  </si>
  <si>
    <t>95,0</t>
  </si>
  <si>
    <t>100,0</t>
  </si>
  <si>
    <t>105,0</t>
  </si>
  <si>
    <t>ВЕСОВАЯ КАТЕГОРИЯ   90</t>
  </si>
  <si>
    <t>Милованов Николай</t>
  </si>
  <si>
    <t>Открытая (31.03.1982)/40</t>
  </si>
  <si>
    <t>89,40</t>
  </si>
  <si>
    <t>175,0</t>
  </si>
  <si>
    <t>180,0</t>
  </si>
  <si>
    <t>182,5</t>
  </si>
  <si>
    <t>ВЕСОВАЯ КАТЕГОРИЯ   100</t>
  </si>
  <si>
    <t>Пыткин Максим</t>
  </si>
  <si>
    <t>Открытая (30.03.1992)/30</t>
  </si>
  <si>
    <t>95,80</t>
  </si>
  <si>
    <t>220,0</t>
  </si>
  <si>
    <t>230,0</t>
  </si>
  <si>
    <t>Ламекин Владислав</t>
  </si>
  <si>
    <t>Открытая (16.11.1995)/26</t>
  </si>
  <si>
    <t>96,90</t>
  </si>
  <si>
    <t xml:space="preserve">Донской/Тульская область </t>
  </si>
  <si>
    <t>170,0</t>
  </si>
  <si>
    <t>185,0</t>
  </si>
  <si>
    <t xml:space="preserve">Wilks </t>
  </si>
  <si>
    <t xml:space="preserve">Открытая </t>
  </si>
  <si>
    <t>100</t>
  </si>
  <si>
    <t>2</t>
  </si>
  <si>
    <t>ВЕСОВАЯ КАТЕГОРИЯ   67.5</t>
  </si>
  <si>
    <t>Гринько Эллина</t>
  </si>
  <si>
    <t>Открытая (10.02.1994)/28</t>
  </si>
  <si>
    <t>67,20</t>
  </si>
  <si>
    <t>67,5</t>
  </si>
  <si>
    <t>72,5</t>
  </si>
  <si>
    <t>ВЕСОВАЯ КАТЕГОРИЯ   75</t>
  </si>
  <si>
    <t>Курьянов Виктор</t>
  </si>
  <si>
    <t>Открытая (01.12.1979)/42</t>
  </si>
  <si>
    <t>74,80</t>
  </si>
  <si>
    <t>135,0</t>
  </si>
  <si>
    <t>140,0</t>
  </si>
  <si>
    <t>145,0</t>
  </si>
  <si>
    <t xml:space="preserve">Пыткин М. </t>
  </si>
  <si>
    <t>Хонькин Петр</t>
  </si>
  <si>
    <t>Открытая (06.07.1990)/32</t>
  </si>
  <si>
    <t>74,90</t>
  </si>
  <si>
    <t>Бельянинов Анатолий</t>
  </si>
  <si>
    <t>Открытая (24.09.1985)/37</t>
  </si>
  <si>
    <t>81,70</t>
  </si>
  <si>
    <t xml:space="preserve">Мичуринск/Тамбовская область </t>
  </si>
  <si>
    <t>Резвых Анатолий</t>
  </si>
  <si>
    <t>Мастера 50-59 (25.09.1971)/50</t>
  </si>
  <si>
    <t>75,70</t>
  </si>
  <si>
    <t xml:space="preserve">Борисоглебск/Воронежская область </t>
  </si>
  <si>
    <t>120,0</t>
  </si>
  <si>
    <t>125,0</t>
  </si>
  <si>
    <t>Рубцов Александр</t>
  </si>
  <si>
    <t>Мастера 50-59 (04.03.1969)/53</t>
  </si>
  <si>
    <t>89,50</t>
  </si>
  <si>
    <t xml:space="preserve">Елец/Липецкая область </t>
  </si>
  <si>
    <t>152,5</t>
  </si>
  <si>
    <t>155,0</t>
  </si>
  <si>
    <t>Петров Александр</t>
  </si>
  <si>
    <t>Открытая (19.09.1995)/27</t>
  </si>
  <si>
    <t>95,00</t>
  </si>
  <si>
    <t>195,0</t>
  </si>
  <si>
    <t>200,0</t>
  </si>
  <si>
    <t>205,0</t>
  </si>
  <si>
    <t>Золотокрылин Леонид</t>
  </si>
  <si>
    <t>Открытая (23.07.1989)/33</t>
  </si>
  <si>
    <t>96,00</t>
  </si>
  <si>
    <t>177,5</t>
  </si>
  <si>
    <t>Жарков Максим</t>
  </si>
  <si>
    <t>Открытая (27.04.1984)/38</t>
  </si>
  <si>
    <t>97,10</t>
  </si>
  <si>
    <t>160,0</t>
  </si>
  <si>
    <t>162,5</t>
  </si>
  <si>
    <t>165,0</t>
  </si>
  <si>
    <t>75</t>
  </si>
  <si>
    <t>3</t>
  </si>
  <si>
    <t>Курбатов Никита</t>
  </si>
  <si>
    <t>Юноши 17-19 (06.05.2004)/18</t>
  </si>
  <si>
    <t>74,70</t>
  </si>
  <si>
    <t>147,5</t>
  </si>
  <si>
    <t>ВЕСОВАЯ КАТЕГОРИЯ   125</t>
  </si>
  <si>
    <t>Рысцов Александр</t>
  </si>
  <si>
    <t>Открытая (02.12.1979)/42</t>
  </si>
  <si>
    <t>113,10</t>
  </si>
  <si>
    <t xml:space="preserve">Тамбов/Тамбовская область </t>
  </si>
  <si>
    <t>292,5</t>
  </si>
  <si>
    <t>300,0</t>
  </si>
  <si>
    <t>Становая тяга</t>
  </si>
  <si>
    <t>Селезнев Тимур</t>
  </si>
  <si>
    <t>Открытая (12.02.1986)/36</t>
  </si>
  <si>
    <t>89,60</t>
  </si>
  <si>
    <t>260,0</t>
  </si>
  <si>
    <t xml:space="preserve">Белкин Ю. </t>
  </si>
  <si>
    <t>Соловьев Денис</t>
  </si>
  <si>
    <t>Открытая (11.11.1992)/29</t>
  </si>
  <si>
    <t>99,80</t>
  </si>
  <si>
    <t>250,0</t>
  </si>
  <si>
    <t>265,0</t>
  </si>
  <si>
    <t>Романенко Нина</t>
  </si>
  <si>
    <t>Открытая (25.03.1983)/39</t>
  </si>
  <si>
    <t>65,50</t>
  </si>
  <si>
    <t xml:space="preserve">Воронеж/Воронежская область </t>
  </si>
  <si>
    <t>150,0</t>
  </si>
  <si>
    <t xml:space="preserve">Андреев Т. </t>
  </si>
  <si>
    <t>Григорьев Кирилл</t>
  </si>
  <si>
    <t>Открытая (25.08.1999)/23</t>
  </si>
  <si>
    <t>67,40</t>
  </si>
  <si>
    <t>Седых Даниил</t>
  </si>
  <si>
    <t>Юноши 14-16 (06.05.2006)/16</t>
  </si>
  <si>
    <t>75,80</t>
  </si>
  <si>
    <t xml:space="preserve">Чаплыгин/Липецкая область </t>
  </si>
  <si>
    <t>80,0</t>
  </si>
  <si>
    <t>130,0</t>
  </si>
  <si>
    <t>Грачев Николай</t>
  </si>
  <si>
    <t>Мастера 60-69 (16.04.1956)/66</t>
  </si>
  <si>
    <t>52,00</t>
  </si>
  <si>
    <t>65,0</t>
  </si>
  <si>
    <t>70,0</t>
  </si>
  <si>
    <t>115,0</t>
  </si>
  <si>
    <t>132,5</t>
  </si>
  <si>
    <t>-</t>
  </si>
  <si>
    <t>Евменчикова Елена</t>
  </si>
  <si>
    <t>72,90</t>
  </si>
  <si>
    <t>35,0</t>
  </si>
  <si>
    <t>37,5</t>
  </si>
  <si>
    <t>Заломин Сергей</t>
  </si>
  <si>
    <t>Открытая (15.09.1992)/30</t>
  </si>
  <si>
    <t>68,60</t>
  </si>
  <si>
    <t xml:space="preserve">Рязань/Рязанская область </t>
  </si>
  <si>
    <t>52,5</t>
  </si>
  <si>
    <t>55,0</t>
  </si>
  <si>
    <t>57,5</t>
  </si>
  <si>
    <t>60,0</t>
  </si>
  <si>
    <t>Воронин Руслан</t>
  </si>
  <si>
    <t>98,60</t>
  </si>
  <si>
    <t>75,0</t>
  </si>
  <si>
    <t>Медведев Илья</t>
  </si>
  <si>
    <t>Открытая (22.09.1998)/24</t>
  </si>
  <si>
    <t>105,70</t>
  </si>
  <si>
    <t xml:space="preserve">Шешин М. </t>
  </si>
  <si>
    <t>Открытый мастерский турнир «Титаны Черноземья»
WRPF Строгий подъем штанги на бицепс ДК
Липецк/Липецкая область, 24 сентября 2022 года</t>
  </si>
  <si>
    <t>Открытый мастерский турнир «Титаны Черноземья»
WRPF Строгий подъем штанги на бицепс
Липецк/Липецкая область, 24 сентября 2022 года</t>
  </si>
  <si>
    <t>Открытый мастерский турнир «Титаны Черноземья»
WRPF Силовое двоеборье без экипировки ДК
Липецк/Липецкая область, 24 сентября 2022 года</t>
  </si>
  <si>
    <t>Открытый мастерский турнир «Титаны Черноземья»
WRPF Силовое двоеборье без экипировки
Липецк/Липецкая область, 24 сентября 2022 года</t>
  </si>
  <si>
    <t>Открытый мастерский турнир «Титаны Черноземья»
WRPF Становая тяга без экипировки ДК
Липецк/Липецкая область, 24 сентября 2022 года</t>
  </si>
  <si>
    <t>Открытый мастерский турнир «Титаны Черноземья»
WRPF Становая тяга без экипировки
Липецк/Липецкая область, 24 сентября 2022 года</t>
  </si>
  <si>
    <t>Открытый мастерский турнир «Титаны Черноземья»
WEPF Жим лежа в многослойной экипировке
Липецк/Липецкая область, 24 сентября 2022 года</t>
  </si>
  <si>
    <t>Открытый мастерский турнир «Титаны Черноземья»
WRPF Военный жим лежа с ДК
Липецк/Липецкая область, 24 сентября 2022 года</t>
  </si>
  <si>
    <t>Открытый мастерский турнир «Титаны Черноземья»
WEPF Жим лежа в однопетельной софт экипировке ДК
Липецк/Липецкая область, 24 сентября 2022 года</t>
  </si>
  <si>
    <t>Открытый мастерский турнир «Титаны Черноземья»
WRPF Жим лежа без экипировки ДК
Липецк/Липецкая область, 24 сентября 2022 года</t>
  </si>
  <si>
    <t>Открытый мастерский турнир «Титаны Черноземья»
WRPF Жим лежа без экипировки
Липецк/Липецкая область, 24 сентября 2022 года</t>
  </si>
  <si>
    <t>Открытый мастерский турнир «Титаны Черноземья»
WEPF Жим лежа в однопетельной софт экипировке
Липецк/Липецкая область, 24 сентября 2022 года</t>
  </si>
  <si>
    <t>Весовая категория</t>
  </si>
  <si>
    <t>Мастера 40-49 (21.05.1974)/48</t>
  </si>
  <si>
    <t>Мастера 40-49 (21.06.1978)/44</t>
  </si>
  <si>
    <t>Минск/Республика Беларусь</t>
  </si>
  <si>
    <t>Жим</t>
  </si>
  <si>
    <t>№</t>
  </si>
  <si>
    <t xml:space="preserve"> </t>
  </si>
  <si>
    <t xml:space="preserve">
Дата рождения/Возраст</t>
  </si>
  <si>
    <t>Возрастная группа</t>
  </si>
  <si>
    <t>T1</t>
  </si>
  <si>
    <t>M3</t>
  </si>
  <si>
    <t>O</t>
  </si>
  <si>
    <t>M2</t>
  </si>
  <si>
    <t>T2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</si>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</sst>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7.5" style="5" customWidth="1"/>
    <col min="3" max="3" width="26.5" style="5" bestFit="1" customWidth="1"/>
    <col min="4" max="4" width="14.83203125" style="5" bestFit="1" customWidth="1"/>
    <col min="5" max="5" width="11.1640625" style="10" customWidth="1"/>
    <col min="6" max="6" width="26.33203125" style="5" bestFit="1" customWidth="1"/>
    <col min="7" max="14" width="5.5" style="19" customWidth="1"/>
    <col min="15" max="15" width="7.6640625" style="20" bestFit="1" customWidth="1"/>
    <col min="16" max="16" width="6.5" style="6" bestFit="1" customWidth="1"/>
    <col min="17" max="17" width="16.1640625" style="5" bestFit="1" customWidth="1"/>
    <col min="18" max="16384" width="9.1640625" style="3"/>
  </cols>
  <sheetData>
    <row r="1" spans="1:17" s="2" customFormat="1" ht="29" customHeight="1">
      <c r="A1" s="42" t="s">
        <v>177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23</v>
      </c>
      <c r="F3" s="56" t="s">
        <v>5</v>
      </c>
      <c r="G3" s="56" t="s">
        <v>7</v>
      </c>
      <c r="H3" s="56"/>
      <c r="I3" s="56"/>
      <c r="J3" s="56"/>
      <c r="K3" s="56" t="s">
        <v>122</v>
      </c>
      <c r="L3" s="56"/>
      <c r="M3" s="56"/>
      <c r="N3" s="56"/>
      <c r="O3" s="57" t="s">
        <v>1</v>
      </c>
      <c r="P3" s="54" t="s">
        <v>3</v>
      </c>
      <c r="Q3" s="59" t="s">
        <v>195</v>
      </c>
    </row>
    <row r="4" spans="1:17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5"/>
      <c r="Q4" s="60"/>
    </row>
    <row r="5" spans="1:17" ht="16">
      <c r="A5" s="61" t="s">
        <v>30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7">
      <c r="A6" s="21" t="s">
        <v>155</v>
      </c>
      <c r="B6" s="7" t="s">
        <v>142</v>
      </c>
      <c r="C6" s="7" t="s">
        <v>143</v>
      </c>
      <c r="D6" s="7" t="s">
        <v>144</v>
      </c>
      <c r="E6" s="8" t="str">
        <f>"0,7074"</f>
        <v>0,7074</v>
      </c>
      <c r="F6" s="7" t="s">
        <v>145</v>
      </c>
      <c r="G6" s="23" t="s">
        <v>146</v>
      </c>
      <c r="H6" s="23" t="s">
        <v>146</v>
      </c>
      <c r="I6" s="23" t="s">
        <v>146</v>
      </c>
      <c r="J6" s="21"/>
      <c r="K6" s="23"/>
      <c r="L6" s="21"/>
      <c r="M6" s="23"/>
      <c r="N6" s="21"/>
      <c r="O6" s="41">
        <v>0</v>
      </c>
      <c r="P6" s="9" t="str">
        <f>"0,0000"</f>
        <v>0,0000</v>
      </c>
      <c r="Q6" s="7" t="s">
        <v>196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5.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6.33203125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2" t="s">
        <v>180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67" t="s">
        <v>195</v>
      </c>
      <c r="F3" s="63" t="s">
        <v>5</v>
      </c>
      <c r="G3" s="56" t="s">
        <v>122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68"/>
      <c r="F4" s="69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37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21" t="s">
        <v>22</v>
      </c>
      <c r="B6" s="7" t="s">
        <v>123</v>
      </c>
      <c r="C6" s="7" t="s">
        <v>124</v>
      </c>
      <c r="D6" s="7" t="s">
        <v>125</v>
      </c>
      <c r="E6" s="8" t="s">
        <v>198</v>
      </c>
      <c r="F6" s="7" t="s">
        <v>119</v>
      </c>
      <c r="G6" s="22" t="s">
        <v>49</v>
      </c>
      <c r="H6" s="22" t="s">
        <v>15</v>
      </c>
      <c r="I6" s="22" t="s">
        <v>126</v>
      </c>
      <c r="J6" s="21"/>
      <c r="K6" s="9" t="str">
        <f>"260,0"</f>
        <v>260,0</v>
      </c>
      <c r="L6" s="9" t="str">
        <f>"166,3480"</f>
        <v>166,3480</v>
      </c>
      <c r="M6" s="7" t="s">
        <v>127</v>
      </c>
    </row>
    <row r="8" spans="1:13" ht="16">
      <c r="A8" s="65" t="s">
        <v>44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1" t="s">
        <v>22</v>
      </c>
      <c r="B9" s="7" t="s">
        <v>128</v>
      </c>
      <c r="C9" s="7" t="s">
        <v>129</v>
      </c>
      <c r="D9" s="7" t="s">
        <v>130</v>
      </c>
      <c r="E9" s="8" t="s">
        <v>198</v>
      </c>
      <c r="F9" s="7" t="s">
        <v>12</v>
      </c>
      <c r="G9" s="22" t="s">
        <v>131</v>
      </c>
      <c r="H9" s="22" t="s">
        <v>126</v>
      </c>
      <c r="I9" s="22" t="s">
        <v>132</v>
      </c>
      <c r="J9" s="21"/>
      <c r="K9" s="9" t="str">
        <f>"265,0"</f>
        <v>265,0</v>
      </c>
      <c r="L9" s="9" t="str">
        <f>"161,4115"</f>
        <v>161,4115</v>
      </c>
      <c r="M9" s="7" t="s">
        <v>193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17.33203125" style="5" bestFit="1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33.1640625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10.5" style="6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2" t="s">
        <v>175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195</v>
      </c>
      <c r="F3" s="56" t="s">
        <v>5</v>
      </c>
      <c r="G3" s="56" t="s">
        <v>191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30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21" t="s">
        <v>22</v>
      </c>
      <c r="B6" s="7" t="s">
        <v>81</v>
      </c>
      <c r="C6" s="7" t="s">
        <v>82</v>
      </c>
      <c r="D6" s="7" t="s">
        <v>83</v>
      </c>
      <c r="E6" s="8" t="s">
        <v>199</v>
      </c>
      <c r="F6" s="7" t="s">
        <v>84</v>
      </c>
      <c r="G6" s="22" t="s">
        <v>164</v>
      </c>
      <c r="H6" s="22" t="s">
        <v>165</v>
      </c>
      <c r="I6" s="23" t="s">
        <v>166</v>
      </c>
      <c r="J6" s="21"/>
      <c r="K6" s="9" t="str">
        <f>"55,0"</f>
        <v>55,0</v>
      </c>
      <c r="L6" s="9" t="str">
        <f>"42,5013"</f>
        <v>42,5013</v>
      </c>
      <c r="M6" s="7" t="s">
        <v>193</v>
      </c>
    </row>
    <row r="8" spans="1:13" ht="16">
      <c r="A8" s="65" t="s">
        <v>37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1" t="s">
        <v>22</v>
      </c>
      <c r="B9" s="7" t="s">
        <v>87</v>
      </c>
      <c r="C9" s="7" t="s">
        <v>88</v>
      </c>
      <c r="D9" s="7" t="s">
        <v>89</v>
      </c>
      <c r="E9" s="8" t="s">
        <v>199</v>
      </c>
      <c r="F9" s="7" t="s">
        <v>90</v>
      </c>
      <c r="G9" s="22" t="s">
        <v>165</v>
      </c>
      <c r="H9" s="22" t="s">
        <v>167</v>
      </c>
      <c r="I9" s="23" t="s">
        <v>151</v>
      </c>
      <c r="J9" s="21"/>
      <c r="K9" s="9" t="str">
        <f>"60,0"</f>
        <v>60,0</v>
      </c>
      <c r="L9" s="9" t="str">
        <f>"43,6008"</f>
        <v>43,6008</v>
      </c>
      <c r="M9" s="7" t="s">
        <v>193</v>
      </c>
    </row>
    <row r="11" spans="1:13" ht="16">
      <c r="A11" s="65" t="s">
        <v>44</v>
      </c>
      <c r="B11" s="65"/>
      <c r="C11" s="66"/>
      <c r="D11" s="66"/>
      <c r="E11" s="66"/>
      <c r="F11" s="66"/>
      <c r="G11" s="66"/>
      <c r="H11" s="66"/>
      <c r="I11" s="66"/>
      <c r="J11" s="66"/>
    </row>
    <row r="12" spans="1:13">
      <c r="A12" s="21" t="s">
        <v>22</v>
      </c>
      <c r="B12" s="7" t="s">
        <v>168</v>
      </c>
      <c r="C12" s="7" t="s">
        <v>188</v>
      </c>
      <c r="D12" s="7" t="s">
        <v>169</v>
      </c>
      <c r="E12" s="8" t="s">
        <v>201</v>
      </c>
      <c r="F12" s="7" t="s">
        <v>12</v>
      </c>
      <c r="G12" s="22" t="s">
        <v>167</v>
      </c>
      <c r="H12" s="23" t="s">
        <v>64</v>
      </c>
      <c r="I12" s="23" t="s">
        <v>170</v>
      </c>
      <c r="J12" s="21"/>
      <c r="K12" s="9" t="str">
        <f>"60,0"</f>
        <v>60,0</v>
      </c>
      <c r="L12" s="9" t="str">
        <f>"38,4915"</f>
        <v>38,4915</v>
      </c>
      <c r="M12" s="7" t="s">
        <v>193</v>
      </c>
    </row>
    <row r="14" spans="1:13" ht="16">
      <c r="A14" s="65" t="s">
        <v>8</v>
      </c>
      <c r="B14" s="65"/>
      <c r="C14" s="66"/>
      <c r="D14" s="66"/>
      <c r="E14" s="66"/>
      <c r="F14" s="66"/>
      <c r="G14" s="66"/>
      <c r="H14" s="66"/>
      <c r="I14" s="66"/>
      <c r="J14" s="66"/>
    </row>
    <row r="15" spans="1:13">
      <c r="A15" s="21" t="s">
        <v>22</v>
      </c>
      <c r="B15" s="7" t="s">
        <v>171</v>
      </c>
      <c r="C15" s="7" t="s">
        <v>172</v>
      </c>
      <c r="D15" s="7" t="s">
        <v>173</v>
      </c>
      <c r="E15" s="8" t="s">
        <v>198</v>
      </c>
      <c r="F15" s="7" t="s">
        <v>145</v>
      </c>
      <c r="G15" s="23" t="s">
        <v>166</v>
      </c>
      <c r="H15" s="22" t="s">
        <v>166</v>
      </c>
      <c r="I15" s="22" t="s">
        <v>151</v>
      </c>
      <c r="J15" s="21"/>
      <c r="K15" s="9" t="str">
        <f>"65,0"</f>
        <v>65,0</v>
      </c>
      <c r="L15" s="9" t="str">
        <f>"37,0110"</f>
        <v>37,0110</v>
      </c>
      <c r="M15" s="7" t="s">
        <v>174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"/>
  <sheetViews>
    <sheetView tabSelected="1"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8.33203125" style="5" bestFit="1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25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10.83203125" style="6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2" t="s">
        <v>176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195</v>
      </c>
      <c r="F3" s="56" t="s">
        <v>5</v>
      </c>
      <c r="G3" s="56" t="s">
        <v>191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66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21" t="s">
        <v>22</v>
      </c>
      <c r="B6" s="7" t="s">
        <v>156</v>
      </c>
      <c r="C6" s="7" t="s">
        <v>189</v>
      </c>
      <c r="D6" s="7" t="s">
        <v>157</v>
      </c>
      <c r="E6" s="8" t="s">
        <v>201</v>
      </c>
      <c r="F6" s="7" t="s">
        <v>190</v>
      </c>
      <c r="G6" s="22" t="s">
        <v>158</v>
      </c>
      <c r="H6" s="22" t="s">
        <v>159</v>
      </c>
      <c r="I6" s="23" t="s">
        <v>28</v>
      </c>
      <c r="J6" s="21"/>
      <c r="K6" s="9" t="str">
        <f>"37,5"</f>
        <v>37,5</v>
      </c>
      <c r="L6" s="9" t="str">
        <f>"33,3357"</f>
        <v>33,3357</v>
      </c>
      <c r="M6" s="7" t="s">
        <v>193</v>
      </c>
    </row>
    <row r="8" spans="1:13" ht="16">
      <c r="A8" s="65" t="s">
        <v>66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1" t="s">
        <v>22</v>
      </c>
      <c r="B9" s="7" t="s">
        <v>160</v>
      </c>
      <c r="C9" s="7" t="s">
        <v>161</v>
      </c>
      <c r="D9" s="7" t="s">
        <v>162</v>
      </c>
      <c r="E9" s="8" t="s">
        <v>198</v>
      </c>
      <c r="F9" s="7" t="s">
        <v>163</v>
      </c>
      <c r="G9" s="22" t="s">
        <v>164</v>
      </c>
      <c r="H9" s="22" t="s">
        <v>165</v>
      </c>
      <c r="I9" s="22" t="s">
        <v>166</v>
      </c>
      <c r="J9" s="21"/>
      <c r="K9" s="9" t="str">
        <f>"57,5"</f>
        <v>57,5</v>
      </c>
      <c r="L9" s="9" t="str">
        <f>"42,4551"</f>
        <v>42,4551</v>
      </c>
      <c r="M9" s="7" t="s">
        <v>193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"/>
  <sheetViews>
    <sheetView workbookViewId="0">
      <selection activeCell="Q7" sqref="Q7"/>
    </sheetView>
  </sheetViews>
  <sheetFormatPr baseColWidth="10" defaultColWidth="9.1640625" defaultRowHeight="13"/>
  <cols>
    <col min="1" max="1" width="7.1640625" style="5" bestFit="1" customWidth="1"/>
    <col min="2" max="2" width="17.33203125" style="5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4" style="5" bestFit="1" customWidth="1"/>
    <col min="7" max="9" width="5.5" style="19" customWidth="1"/>
    <col min="10" max="10" width="4.5" style="19" customWidth="1"/>
    <col min="11" max="14" width="5.5" style="19" customWidth="1"/>
    <col min="15" max="15" width="7.6640625" style="6" bestFit="1" customWidth="1"/>
    <col min="16" max="16" width="8.5" style="6" bestFit="1" customWidth="1"/>
    <col min="17" max="17" width="16.1640625" style="5" bestFit="1" customWidth="1"/>
    <col min="18" max="16384" width="9.1640625" style="3"/>
  </cols>
  <sheetData>
    <row r="1" spans="1:17" s="2" customFormat="1" ht="29" customHeight="1">
      <c r="A1" s="42" t="s">
        <v>178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23</v>
      </c>
      <c r="F3" s="56" t="s">
        <v>5</v>
      </c>
      <c r="G3" s="56" t="s">
        <v>7</v>
      </c>
      <c r="H3" s="56"/>
      <c r="I3" s="56"/>
      <c r="J3" s="56"/>
      <c r="K3" s="56" t="s">
        <v>122</v>
      </c>
      <c r="L3" s="56"/>
      <c r="M3" s="56"/>
      <c r="N3" s="56"/>
      <c r="O3" s="54" t="s">
        <v>1</v>
      </c>
      <c r="P3" s="54" t="s">
        <v>3</v>
      </c>
      <c r="Q3" s="59" t="s">
        <v>195</v>
      </c>
    </row>
    <row r="4" spans="1:17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5"/>
      <c r="P4" s="55"/>
      <c r="Q4" s="60"/>
    </row>
    <row r="5" spans="1:17" ht="16">
      <c r="A5" s="61" t="s">
        <v>24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7">
      <c r="A6" s="21" t="s">
        <v>22</v>
      </c>
      <c r="B6" s="7" t="s">
        <v>148</v>
      </c>
      <c r="C6" s="7" t="s">
        <v>149</v>
      </c>
      <c r="D6" s="7" t="s">
        <v>150</v>
      </c>
      <c r="E6" s="8" t="str">
        <f>"0,9813"</f>
        <v>0,9813</v>
      </c>
      <c r="F6" s="7" t="s">
        <v>12</v>
      </c>
      <c r="G6" s="22" t="s">
        <v>151</v>
      </c>
      <c r="H6" s="22" t="s">
        <v>64</v>
      </c>
      <c r="I6" s="22" t="s">
        <v>152</v>
      </c>
      <c r="J6" s="21"/>
      <c r="K6" s="22" t="s">
        <v>153</v>
      </c>
      <c r="L6" s="22" t="s">
        <v>86</v>
      </c>
      <c r="M6" s="22" t="s">
        <v>147</v>
      </c>
      <c r="N6" s="22" t="s">
        <v>154</v>
      </c>
      <c r="O6" s="9" t="str">
        <f>"200,0"</f>
        <v>200,0</v>
      </c>
      <c r="P6" s="9" t="str">
        <f>"307,1469"</f>
        <v>307,1469</v>
      </c>
      <c r="Q6" s="7" t="s">
        <v>197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2"/>
  <sheetViews>
    <sheetView workbookViewId="0">
      <selection activeCell="E23" sqref="E23"/>
    </sheetView>
  </sheetViews>
  <sheetFormatPr baseColWidth="10" defaultColWidth="9.1640625" defaultRowHeight="13"/>
  <cols>
    <col min="1" max="1" width="7.1640625" style="5" bestFit="1" customWidth="1"/>
    <col min="2" max="2" width="20.3320312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33.1640625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42" t="s">
        <v>184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195</v>
      </c>
      <c r="F3" s="56" t="s">
        <v>5</v>
      </c>
      <c r="G3" s="56" t="s">
        <v>7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60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21" t="s">
        <v>22</v>
      </c>
      <c r="B6" s="7" t="s">
        <v>61</v>
      </c>
      <c r="C6" s="7" t="s">
        <v>62</v>
      </c>
      <c r="D6" s="7" t="s">
        <v>63</v>
      </c>
      <c r="E6" s="8" t="s">
        <v>198</v>
      </c>
      <c r="F6" s="7" t="s">
        <v>12</v>
      </c>
      <c r="G6" s="22" t="s">
        <v>64</v>
      </c>
      <c r="H6" s="23" t="s">
        <v>65</v>
      </c>
      <c r="I6" s="22" t="s">
        <v>65</v>
      </c>
      <c r="J6" s="21"/>
      <c r="K6" s="9" t="str">
        <f>"72,5"</f>
        <v>72,5</v>
      </c>
      <c r="L6" s="9" t="str">
        <f>"74,2328"</f>
        <v>74,2328</v>
      </c>
      <c r="M6" s="7" t="s">
        <v>193</v>
      </c>
    </row>
    <row r="8" spans="1:13" ht="16">
      <c r="A8" s="65" t="s">
        <v>66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30" t="s">
        <v>22</v>
      </c>
      <c r="B9" s="24" t="s">
        <v>67</v>
      </c>
      <c r="C9" s="24" t="s">
        <v>68</v>
      </c>
      <c r="D9" s="24" t="s">
        <v>69</v>
      </c>
      <c r="E9" s="25" t="s">
        <v>198</v>
      </c>
      <c r="F9" s="24" t="s">
        <v>12</v>
      </c>
      <c r="G9" s="31" t="s">
        <v>70</v>
      </c>
      <c r="H9" s="31" t="s">
        <v>71</v>
      </c>
      <c r="I9" s="31" t="s">
        <v>72</v>
      </c>
      <c r="J9" s="30"/>
      <c r="K9" s="26" t="str">
        <f>"145,0"</f>
        <v>145,0</v>
      </c>
      <c r="L9" s="26" t="str">
        <f>"103,5155"</f>
        <v>103,5155</v>
      </c>
      <c r="M9" s="24" t="s">
        <v>73</v>
      </c>
    </row>
    <row r="10" spans="1:13">
      <c r="A10" s="32" t="s">
        <v>59</v>
      </c>
      <c r="B10" s="27" t="s">
        <v>74</v>
      </c>
      <c r="C10" s="27" t="s">
        <v>75</v>
      </c>
      <c r="D10" s="27" t="s">
        <v>76</v>
      </c>
      <c r="E10" s="28" t="s">
        <v>198</v>
      </c>
      <c r="F10" s="27" t="s">
        <v>12</v>
      </c>
      <c r="G10" s="33" t="s">
        <v>70</v>
      </c>
      <c r="H10" s="34" t="s">
        <v>71</v>
      </c>
      <c r="I10" s="32"/>
      <c r="J10" s="32"/>
      <c r="K10" s="29" t="str">
        <f>"135,0"</f>
        <v>135,0</v>
      </c>
      <c r="L10" s="29" t="str">
        <f>"96,2820"</f>
        <v>96,2820</v>
      </c>
      <c r="M10" s="27" t="s">
        <v>193</v>
      </c>
    </row>
    <row r="12" spans="1:13" ht="16">
      <c r="A12" s="65" t="s">
        <v>30</v>
      </c>
      <c r="B12" s="65"/>
      <c r="C12" s="66"/>
      <c r="D12" s="66"/>
      <c r="E12" s="66"/>
      <c r="F12" s="66"/>
      <c r="G12" s="66"/>
      <c r="H12" s="66"/>
      <c r="I12" s="66"/>
      <c r="J12" s="66"/>
    </row>
    <row r="13" spans="1:13">
      <c r="A13" s="30" t="s">
        <v>22</v>
      </c>
      <c r="B13" s="24" t="s">
        <v>77</v>
      </c>
      <c r="C13" s="24" t="s">
        <v>78</v>
      </c>
      <c r="D13" s="24" t="s">
        <v>79</v>
      </c>
      <c r="E13" s="25" t="s">
        <v>198</v>
      </c>
      <c r="F13" s="24" t="s">
        <v>80</v>
      </c>
      <c r="G13" s="31" t="s">
        <v>71</v>
      </c>
      <c r="H13" s="38" t="s">
        <v>72</v>
      </c>
      <c r="I13" s="38" t="s">
        <v>72</v>
      </c>
      <c r="J13" s="30"/>
      <c r="K13" s="26" t="str">
        <f>"140,0"</f>
        <v>140,0</v>
      </c>
      <c r="L13" s="26" t="str">
        <f>"94,3460"</f>
        <v>94,3460</v>
      </c>
      <c r="M13" s="24" t="s">
        <v>193</v>
      </c>
    </row>
    <row r="14" spans="1:13">
      <c r="A14" s="32" t="s">
        <v>22</v>
      </c>
      <c r="B14" s="27" t="s">
        <v>81</v>
      </c>
      <c r="C14" s="27" t="s">
        <v>82</v>
      </c>
      <c r="D14" s="27" t="s">
        <v>83</v>
      </c>
      <c r="E14" s="28" t="s">
        <v>199</v>
      </c>
      <c r="F14" s="27" t="s">
        <v>84</v>
      </c>
      <c r="G14" s="33" t="s">
        <v>85</v>
      </c>
      <c r="H14" s="34" t="s">
        <v>86</v>
      </c>
      <c r="I14" s="33" t="s">
        <v>86</v>
      </c>
      <c r="J14" s="32"/>
      <c r="K14" s="29" t="str">
        <f>"125,0"</f>
        <v>125,0</v>
      </c>
      <c r="L14" s="29" t="str">
        <f>"101,7750"</f>
        <v>101,7750</v>
      </c>
      <c r="M14" s="27" t="s">
        <v>193</v>
      </c>
    </row>
    <row r="16" spans="1:13" ht="16">
      <c r="A16" s="65" t="s">
        <v>37</v>
      </c>
      <c r="B16" s="65"/>
      <c r="C16" s="66"/>
      <c r="D16" s="66"/>
      <c r="E16" s="66"/>
      <c r="F16" s="66"/>
      <c r="G16" s="66"/>
      <c r="H16" s="66"/>
      <c r="I16" s="66"/>
      <c r="J16" s="66"/>
    </row>
    <row r="17" spans="1:13">
      <c r="A17" s="21" t="s">
        <v>22</v>
      </c>
      <c r="B17" s="7" t="s">
        <v>87</v>
      </c>
      <c r="C17" s="7" t="s">
        <v>88</v>
      </c>
      <c r="D17" s="7" t="s">
        <v>89</v>
      </c>
      <c r="E17" s="8" t="s">
        <v>199</v>
      </c>
      <c r="F17" s="7" t="s">
        <v>90</v>
      </c>
      <c r="G17" s="22" t="s">
        <v>72</v>
      </c>
      <c r="H17" s="22" t="s">
        <v>91</v>
      </c>
      <c r="I17" s="22" t="s">
        <v>92</v>
      </c>
      <c r="J17" s="21"/>
      <c r="K17" s="9" t="str">
        <f>"155,0"</f>
        <v>155,0</v>
      </c>
      <c r="L17" s="9" t="str">
        <f>"119,7718"</f>
        <v>119,7718</v>
      </c>
      <c r="M17" s="7" t="s">
        <v>193</v>
      </c>
    </row>
    <row r="19" spans="1:13" ht="16">
      <c r="A19" s="65" t="s">
        <v>44</v>
      </c>
      <c r="B19" s="65"/>
      <c r="C19" s="66"/>
      <c r="D19" s="66"/>
      <c r="E19" s="66"/>
      <c r="F19" s="66"/>
      <c r="G19" s="66"/>
      <c r="H19" s="66"/>
      <c r="I19" s="66"/>
      <c r="J19" s="66"/>
    </row>
    <row r="20" spans="1:13">
      <c r="A20" s="30" t="s">
        <v>22</v>
      </c>
      <c r="B20" s="24" t="s">
        <v>93</v>
      </c>
      <c r="C20" s="24" t="s">
        <v>94</v>
      </c>
      <c r="D20" s="24" t="s">
        <v>95</v>
      </c>
      <c r="E20" s="25" t="s">
        <v>198</v>
      </c>
      <c r="F20" s="24" t="s">
        <v>12</v>
      </c>
      <c r="G20" s="31" t="s">
        <v>96</v>
      </c>
      <c r="H20" s="31" t="s">
        <v>97</v>
      </c>
      <c r="I20" s="38" t="s">
        <v>98</v>
      </c>
      <c r="J20" s="30"/>
      <c r="K20" s="26" t="str">
        <f>"200,0"</f>
        <v>200,0</v>
      </c>
      <c r="L20" s="26" t="str">
        <f>"124,4000"</f>
        <v>124,4000</v>
      </c>
      <c r="M20" s="24" t="s">
        <v>193</v>
      </c>
    </row>
    <row r="21" spans="1:13">
      <c r="A21" s="39" t="s">
        <v>59</v>
      </c>
      <c r="B21" s="35" t="s">
        <v>99</v>
      </c>
      <c r="C21" s="35" t="s">
        <v>100</v>
      </c>
      <c r="D21" s="35" t="s">
        <v>101</v>
      </c>
      <c r="E21" s="36" t="s">
        <v>198</v>
      </c>
      <c r="F21" s="35" t="s">
        <v>12</v>
      </c>
      <c r="G21" s="40" t="s">
        <v>54</v>
      </c>
      <c r="H21" s="40" t="s">
        <v>41</v>
      </c>
      <c r="I21" s="40" t="s">
        <v>102</v>
      </c>
      <c r="J21" s="39"/>
      <c r="K21" s="37" t="str">
        <f>"177,5"</f>
        <v>177,5</v>
      </c>
      <c r="L21" s="37" t="str">
        <f>"109,8902"</f>
        <v>109,8902</v>
      </c>
      <c r="M21" s="35" t="s">
        <v>193</v>
      </c>
    </row>
    <row r="22" spans="1:13">
      <c r="A22" s="32" t="s">
        <v>110</v>
      </c>
      <c r="B22" s="27" t="s">
        <v>103</v>
      </c>
      <c r="C22" s="27" t="s">
        <v>104</v>
      </c>
      <c r="D22" s="27" t="s">
        <v>105</v>
      </c>
      <c r="E22" s="28" t="s">
        <v>198</v>
      </c>
      <c r="F22" s="27" t="s">
        <v>12</v>
      </c>
      <c r="G22" s="33" t="s">
        <v>106</v>
      </c>
      <c r="H22" s="33" t="s">
        <v>107</v>
      </c>
      <c r="I22" s="33" t="s">
        <v>108</v>
      </c>
      <c r="J22" s="32"/>
      <c r="K22" s="29" t="str">
        <f>"165,0"</f>
        <v>165,0</v>
      </c>
      <c r="L22" s="29" t="str">
        <f>"101,6565"</f>
        <v>101,6565</v>
      </c>
      <c r="M22" s="27" t="s">
        <v>193</v>
      </c>
    </row>
    <row r="24" spans="1:13" ht="16">
      <c r="F24" s="11"/>
      <c r="G24" s="5"/>
      <c r="K24" s="19"/>
      <c r="M24" s="6"/>
    </row>
    <row r="25" spans="1:13">
      <c r="G25" s="5"/>
      <c r="K25" s="19"/>
      <c r="M25" s="6"/>
    </row>
    <row r="26" spans="1:13" ht="18">
      <c r="B26" s="12" t="s">
        <v>16</v>
      </c>
      <c r="C26" s="12"/>
      <c r="G26" s="3"/>
      <c r="K26" s="19"/>
      <c r="M26" s="6"/>
    </row>
    <row r="27" spans="1:13" ht="16">
      <c r="B27" s="13" t="s">
        <v>17</v>
      </c>
      <c r="C27" s="13"/>
      <c r="G27" s="3"/>
      <c r="K27" s="19"/>
      <c r="M27" s="6"/>
    </row>
    <row r="28" spans="1:13" ht="14">
      <c r="B28" s="14"/>
      <c r="C28" s="15" t="s">
        <v>57</v>
      </c>
      <c r="G28" s="3"/>
      <c r="K28" s="19"/>
      <c r="M28" s="6"/>
    </row>
    <row r="29" spans="1:13" ht="14">
      <c r="B29" s="16" t="s">
        <v>18</v>
      </c>
      <c r="C29" s="16" t="s">
        <v>19</v>
      </c>
      <c r="D29" s="16" t="s">
        <v>187</v>
      </c>
      <c r="E29" s="17" t="s">
        <v>20</v>
      </c>
      <c r="F29" s="16" t="s">
        <v>56</v>
      </c>
      <c r="G29" s="3"/>
      <c r="K29" s="19"/>
      <c r="M29" s="6"/>
    </row>
    <row r="30" spans="1:13">
      <c r="B30" s="5" t="s">
        <v>93</v>
      </c>
      <c r="C30" s="5" t="s">
        <v>57</v>
      </c>
      <c r="D30" s="19" t="s">
        <v>58</v>
      </c>
      <c r="E30" s="20">
        <v>200</v>
      </c>
      <c r="F30" s="18">
        <v>124.39999580383299</v>
      </c>
      <c r="G30" s="3"/>
      <c r="K30" s="19"/>
      <c r="M30" s="6"/>
    </row>
    <row r="31" spans="1:13">
      <c r="B31" s="5" t="s">
        <v>99</v>
      </c>
      <c r="C31" s="5" t="s">
        <v>57</v>
      </c>
      <c r="D31" s="19" t="s">
        <v>58</v>
      </c>
      <c r="E31" s="20">
        <v>177.5</v>
      </c>
      <c r="F31" s="18">
        <v>109.890245497227</v>
      </c>
      <c r="G31" s="3"/>
      <c r="K31" s="19"/>
      <c r="M31" s="6"/>
    </row>
    <row r="32" spans="1:13">
      <c r="B32" s="5" t="s">
        <v>67</v>
      </c>
      <c r="C32" s="5" t="s">
        <v>57</v>
      </c>
      <c r="D32" s="19" t="s">
        <v>109</v>
      </c>
      <c r="E32" s="20">
        <v>145</v>
      </c>
      <c r="F32" s="18">
        <v>103.515504300594</v>
      </c>
      <c r="G32" s="3"/>
      <c r="K32" s="19"/>
      <c r="M32" s="6"/>
    </row>
  </sheetData>
  <mergeCells count="16">
    <mergeCell ref="A8:J8"/>
    <mergeCell ref="A12:J12"/>
    <mergeCell ref="A16:J16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6"/>
  <sheetViews>
    <sheetView workbookViewId="0">
      <selection activeCell="F31" sqref="F31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6.5" style="5" bestFit="1" customWidth="1"/>
    <col min="4" max="4" width="20.83203125" style="5" bestFit="1" customWidth="1"/>
    <col min="5" max="5" width="10.1640625" style="10" bestFit="1" customWidth="1"/>
    <col min="6" max="6" width="25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2" t="s">
        <v>185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195</v>
      </c>
      <c r="F3" s="56" t="s">
        <v>5</v>
      </c>
      <c r="G3" s="56" t="s">
        <v>7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24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21" t="s">
        <v>22</v>
      </c>
      <c r="B6" s="7" t="s">
        <v>25</v>
      </c>
      <c r="C6" s="7" t="s">
        <v>26</v>
      </c>
      <c r="D6" s="7" t="s">
        <v>27</v>
      </c>
      <c r="E6" s="8" t="s">
        <v>196</v>
      </c>
      <c r="F6" s="7" t="s">
        <v>12</v>
      </c>
      <c r="G6" s="22" t="s">
        <v>28</v>
      </c>
      <c r="H6" s="23" t="s">
        <v>29</v>
      </c>
      <c r="I6" s="23" t="s">
        <v>29</v>
      </c>
      <c r="J6" s="21"/>
      <c r="K6" s="9" t="str">
        <f>"40,0"</f>
        <v>40,0</v>
      </c>
      <c r="L6" s="9" t="str">
        <f>"39,7320"</f>
        <v>39,7320</v>
      </c>
      <c r="M6" s="7" t="s">
        <v>193</v>
      </c>
    </row>
    <row r="8" spans="1:13" ht="16">
      <c r="A8" s="65" t="s">
        <v>30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1" t="s">
        <v>22</v>
      </c>
      <c r="B9" s="7" t="s">
        <v>31</v>
      </c>
      <c r="C9" s="7" t="s">
        <v>32</v>
      </c>
      <c r="D9" s="7" t="s">
        <v>33</v>
      </c>
      <c r="E9" s="8" t="s">
        <v>196</v>
      </c>
      <c r="F9" s="7" t="s">
        <v>12</v>
      </c>
      <c r="G9" s="22" t="s">
        <v>34</v>
      </c>
      <c r="H9" s="22" t="s">
        <v>35</v>
      </c>
      <c r="I9" s="23" t="s">
        <v>36</v>
      </c>
      <c r="J9" s="21"/>
      <c r="K9" s="9" t="str">
        <f>"100,0"</f>
        <v>100,0</v>
      </c>
      <c r="L9" s="9" t="str">
        <f>"67,2400"</f>
        <v>67,2400</v>
      </c>
      <c r="M9" s="7" t="s">
        <v>193</v>
      </c>
    </row>
    <row r="11" spans="1:13" ht="16">
      <c r="A11" s="65" t="s">
        <v>37</v>
      </c>
      <c r="B11" s="65"/>
      <c r="C11" s="66"/>
      <c r="D11" s="66"/>
      <c r="E11" s="66"/>
      <c r="F11" s="66"/>
      <c r="G11" s="66"/>
      <c r="H11" s="66"/>
      <c r="I11" s="66"/>
      <c r="J11" s="66"/>
    </row>
    <row r="12" spans="1:13">
      <c r="A12" s="21" t="s">
        <v>22</v>
      </c>
      <c r="B12" s="7" t="s">
        <v>38</v>
      </c>
      <c r="C12" s="7" t="s">
        <v>39</v>
      </c>
      <c r="D12" s="7" t="s">
        <v>40</v>
      </c>
      <c r="E12" s="8" t="s">
        <v>198</v>
      </c>
      <c r="F12" s="7" t="s">
        <v>12</v>
      </c>
      <c r="G12" s="22" t="s">
        <v>41</v>
      </c>
      <c r="H12" s="22" t="s">
        <v>42</v>
      </c>
      <c r="I12" s="22" t="s">
        <v>43</v>
      </c>
      <c r="J12" s="21"/>
      <c r="K12" s="9" t="str">
        <f>"182,5"</f>
        <v>182,5</v>
      </c>
      <c r="L12" s="9" t="str">
        <f>"116,9095"</f>
        <v>116,9095</v>
      </c>
      <c r="M12" s="7" t="s">
        <v>193</v>
      </c>
    </row>
    <row r="14" spans="1:13" ht="16">
      <c r="A14" s="65" t="s">
        <v>44</v>
      </c>
      <c r="B14" s="65"/>
      <c r="C14" s="66"/>
      <c r="D14" s="66"/>
      <c r="E14" s="66"/>
      <c r="F14" s="66"/>
      <c r="G14" s="66"/>
      <c r="H14" s="66"/>
      <c r="I14" s="66"/>
      <c r="J14" s="66"/>
    </row>
    <row r="15" spans="1:13">
      <c r="A15" s="30" t="s">
        <v>22</v>
      </c>
      <c r="B15" s="24" t="s">
        <v>45</v>
      </c>
      <c r="C15" s="24" t="s">
        <v>46</v>
      </c>
      <c r="D15" s="24" t="s">
        <v>47</v>
      </c>
      <c r="E15" s="25" t="s">
        <v>198</v>
      </c>
      <c r="F15" s="24" t="s">
        <v>12</v>
      </c>
      <c r="G15" s="31" t="s">
        <v>48</v>
      </c>
      <c r="H15" s="31" t="s">
        <v>49</v>
      </c>
      <c r="I15" s="31" t="s">
        <v>14</v>
      </c>
      <c r="J15" s="30"/>
      <c r="K15" s="26" t="str">
        <f>"235,0"</f>
        <v>235,0</v>
      </c>
      <c r="L15" s="26" t="str">
        <f>"145,6295"</f>
        <v>145,6295</v>
      </c>
      <c r="M15" s="24" t="s">
        <v>193</v>
      </c>
    </row>
    <row r="16" spans="1:13">
      <c r="A16" s="32" t="s">
        <v>59</v>
      </c>
      <c r="B16" s="27" t="s">
        <v>50</v>
      </c>
      <c r="C16" s="27" t="s">
        <v>51</v>
      </c>
      <c r="D16" s="27" t="s">
        <v>52</v>
      </c>
      <c r="E16" s="28" t="s">
        <v>198</v>
      </c>
      <c r="F16" s="27" t="s">
        <v>53</v>
      </c>
      <c r="G16" s="33" t="s">
        <v>54</v>
      </c>
      <c r="H16" s="34" t="s">
        <v>55</v>
      </c>
      <c r="I16" s="34" t="s">
        <v>55</v>
      </c>
      <c r="J16" s="32"/>
      <c r="K16" s="29" t="str">
        <f>"170,0"</f>
        <v>170,0</v>
      </c>
      <c r="L16" s="29" t="str">
        <f>"104,8220"</f>
        <v>104,8220</v>
      </c>
      <c r="M16" s="27" t="s">
        <v>193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7.66406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6.33203125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2" t="s">
        <v>181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195</v>
      </c>
      <c r="F3" s="56" t="s">
        <v>5</v>
      </c>
      <c r="G3" s="56" t="s">
        <v>7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115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21" t="s">
        <v>22</v>
      </c>
      <c r="B6" s="7" t="s">
        <v>116</v>
      </c>
      <c r="C6" s="7" t="s">
        <v>117</v>
      </c>
      <c r="D6" s="7" t="s">
        <v>118</v>
      </c>
      <c r="E6" s="8" t="s">
        <v>198</v>
      </c>
      <c r="F6" s="7" t="s">
        <v>119</v>
      </c>
      <c r="G6" s="22" t="s">
        <v>120</v>
      </c>
      <c r="H6" s="23" t="s">
        <v>121</v>
      </c>
      <c r="I6" s="22" t="s">
        <v>121</v>
      </c>
      <c r="J6" s="21"/>
      <c r="K6" s="9" t="str">
        <f>"300,0"</f>
        <v>300,0</v>
      </c>
      <c r="L6" s="9" t="str">
        <f>"175,1100"</f>
        <v>175,1100</v>
      </c>
      <c r="M6" s="7" t="s">
        <v>193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7"/>
  <sheetViews>
    <sheetView workbookViewId="0">
      <selection activeCell="I27" sqref="I27"/>
    </sheetView>
  </sheetViews>
  <sheetFormatPr baseColWidth="10" defaultColWidth="9.1640625" defaultRowHeight="13"/>
  <cols>
    <col min="1" max="1" width="7.1640625" style="5" bestFit="1" customWidth="1"/>
    <col min="2" max="2" width="21.5" style="5" customWidth="1"/>
    <col min="3" max="3" width="26.5" style="5" bestFit="1" customWidth="1"/>
    <col min="4" max="4" width="20.83203125" style="5" bestFit="1" customWidth="1"/>
    <col min="5" max="5" width="10.1640625" style="10" bestFit="1" customWidth="1"/>
    <col min="6" max="6" width="24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42" t="s">
        <v>183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195</v>
      </c>
      <c r="F3" s="56" t="s">
        <v>5</v>
      </c>
      <c r="G3" s="56" t="s">
        <v>7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66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30" t="s">
        <v>22</v>
      </c>
      <c r="B6" s="24" t="s">
        <v>111</v>
      </c>
      <c r="C6" s="24" t="s">
        <v>112</v>
      </c>
      <c r="D6" s="24" t="s">
        <v>113</v>
      </c>
      <c r="E6" s="25" t="s">
        <v>200</v>
      </c>
      <c r="F6" s="24" t="s">
        <v>12</v>
      </c>
      <c r="G6" s="31" t="s">
        <v>71</v>
      </c>
      <c r="H6" s="31" t="s">
        <v>72</v>
      </c>
      <c r="I6" s="38" t="s">
        <v>92</v>
      </c>
      <c r="J6" s="30"/>
      <c r="K6" s="26" t="str">
        <f>"145,0"</f>
        <v>145,0</v>
      </c>
      <c r="L6" s="26" t="str">
        <f>"100,1370"</f>
        <v>100,1370</v>
      </c>
      <c r="M6" s="24" t="s">
        <v>193</v>
      </c>
    </row>
    <row r="7" spans="1:13">
      <c r="A7" s="32" t="s">
        <v>22</v>
      </c>
      <c r="B7" s="27" t="s">
        <v>74</v>
      </c>
      <c r="C7" s="27" t="s">
        <v>75</v>
      </c>
      <c r="D7" s="27" t="s">
        <v>76</v>
      </c>
      <c r="E7" s="28" t="str">
        <f>"0,6892"</f>
        <v>0,6892</v>
      </c>
      <c r="F7" s="27" t="s">
        <v>12</v>
      </c>
      <c r="G7" s="33" t="s">
        <v>107</v>
      </c>
      <c r="H7" s="33" t="s">
        <v>54</v>
      </c>
      <c r="I7" s="34" t="s">
        <v>55</v>
      </c>
      <c r="J7" s="32"/>
      <c r="K7" s="29" t="str">
        <f>"170,0"</f>
        <v>170,0</v>
      </c>
      <c r="L7" s="29" t="str">
        <f>"117,1640"</f>
        <v>117,1640</v>
      </c>
      <c r="M7" s="27" t="s">
        <v>193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5">
    <pageSetUpPr fitToPage="1"/>
  </sheetPr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6.664062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4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2" t="s">
        <v>186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195</v>
      </c>
      <c r="F3" s="56" t="s">
        <v>5</v>
      </c>
      <c r="G3" s="56" t="s">
        <v>7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8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21" t="s">
        <v>22</v>
      </c>
      <c r="B6" s="7" t="s">
        <v>9</v>
      </c>
      <c r="C6" s="7" t="s">
        <v>10</v>
      </c>
      <c r="D6" s="7" t="s">
        <v>11</v>
      </c>
      <c r="E6" s="8" t="s">
        <v>201</v>
      </c>
      <c r="F6" s="7" t="s">
        <v>12</v>
      </c>
      <c r="G6" s="22" t="s">
        <v>13</v>
      </c>
      <c r="H6" s="22" t="s">
        <v>14</v>
      </c>
      <c r="I6" s="23" t="s">
        <v>15</v>
      </c>
      <c r="J6" s="21"/>
      <c r="K6" s="9" t="str">
        <f>"235,0"</f>
        <v>235,0</v>
      </c>
      <c r="L6" s="9" t="str">
        <f>"138,0186"</f>
        <v>138,0186</v>
      </c>
      <c r="M6" s="7" t="s">
        <v>193</v>
      </c>
    </row>
  </sheetData>
  <mergeCells count="12">
    <mergeCell ref="A5:J5"/>
    <mergeCell ref="B3:B4"/>
    <mergeCell ref="E3:E4"/>
    <mergeCell ref="K3:K4"/>
    <mergeCell ref="L3:L4"/>
    <mergeCell ref="A1:M2"/>
    <mergeCell ref="G3:J3"/>
    <mergeCell ref="A3:A4"/>
    <mergeCell ref="C3:C4"/>
    <mergeCell ref="D3:D4"/>
    <mergeCell ref="M3:M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7.3320312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2.5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2" t="s">
        <v>182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195</v>
      </c>
      <c r="F3" s="56" t="s">
        <v>5</v>
      </c>
      <c r="G3" s="56" t="s">
        <v>7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37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21" t="s">
        <v>22</v>
      </c>
      <c r="B6" s="7" t="s">
        <v>87</v>
      </c>
      <c r="C6" s="7" t="s">
        <v>88</v>
      </c>
      <c r="D6" s="7" t="s">
        <v>89</v>
      </c>
      <c r="E6" s="8" t="s">
        <v>199</v>
      </c>
      <c r="F6" s="7" t="s">
        <v>90</v>
      </c>
      <c r="G6" s="22" t="s">
        <v>71</v>
      </c>
      <c r="H6" s="22" t="s">
        <v>114</v>
      </c>
      <c r="I6" s="22" t="s">
        <v>91</v>
      </c>
      <c r="J6" s="21"/>
      <c r="K6" s="9" t="str">
        <f>"152,5"</f>
        <v>152,5</v>
      </c>
      <c r="L6" s="9" t="str">
        <f>"117,8400"</f>
        <v>117,8400</v>
      </c>
      <c r="M6" s="7" t="s">
        <v>193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16.6640625" style="5" bestFit="1" customWidth="1"/>
    <col min="3" max="3" width="26.5" style="5" bestFit="1" customWidth="1"/>
    <col min="4" max="4" width="20.83203125" style="5" bestFit="1" customWidth="1"/>
    <col min="5" max="5" width="10.1640625" style="10" bestFit="1" customWidth="1"/>
    <col min="6" max="6" width="28.83203125" style="5" bestFit="1" customWidth="1"/>
    <col min="7" max="9" width="5.5" style="19" customWidth="1"/>
    <col min="10" max="10" width="4.5" style="19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2" t="s">
        <v>179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192</v>
      </c>
      <c r="B3" s="63" t="s">
        <v>0</v>
      </c>
      <c r="C3" s="52" t="s">
        <v>194</v>
      </c>
      <c r="D3" s="52" t="s">
        <v>6</v>
      </c>
      <c r="E3" s="54" t="s">
        <v>195</v>
      </c>
      <c r="F3" s="56" t="s">
        <v>5</v>
      </c>
      <c r="G3" s="56" t="s">
        <v>122</v>
      </c>
      <c r="H3" s="56"/>
      <c r="I3" s="56"/>
      <c r="J3" s="56"/>
      <c r="K3" s="54" t="s">
        <v>21</v>
      </c>
      <c r="L3" s="54" t="s">
        <v>3</v>
      </c>
      <c r="M3" s="59" t="s">
        <v>2</v>
      </c>
    </row>
    <row r="4" spans="1:13" s="1" customFormat="1" ht="21" customHeight="1" thickBot="1">
      <c r="A4" s="51"/>
      <c r="B4" s="64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60"/>
    </row>
    <row r="5" spans="1:13" ht="16">
      <c r="A5" s="61" t="s">
        <v>60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21" t="s">
        <v>22</v>
      </c>
      <c r="B6" s="7" t="s">
        <v>133</v>
      </c>
      <c r="C6" s="7" t="s">
        <v>134</v>
      </c>
      <c r="D6" s="7" t="s">
        <v>135</v>
      </c>
      <c r="E6" s="8" t="s">
        <v>198</v>
      </c>
      <c r="F6" s="7" t="s">
        <v>136</v>
      </c>
      <c r="G6" s="22" t="s">
        <v>71</v>
      </c>
      <c r="H6" s="22" t="s">
        <v>137</v>
      </c>
      <c r="I6" s="22" t="s">
        <v>92</v>
      </c>
      <c r="J6" s="21"/>
      <c r="K6" s="9" t="str">
        <f>"155,0"</f>
        <v>155,0</v>
      </c>
      <c r="L6" s="9" t="str">
        <f>"161,6960"</f>
        <v>161,6960</v>
      </c>
      <c r="M6" s="7" t="s">
        <v>138</v>
      </c>
    </row>
    <row r="8" spans="1:13" ht="16">
      <c r="A8" s="65" t="s">
        <v>60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1" t="s">
        <v>22</v>
      </c>
      <c r="B9" s="7" t="s">
        <v>139</v>
      </c>
      <c r="C9" s="7" t="s">
        <v>140</v>
      </c>
      <c r="D9" s="7" t="s">
        <v>141</v>
      </c>
      <c r="E9" s="8" t="s">
        <v>198</v>
      </c>
      <c r="F9" s="7" t="s">
        <v>90</v>
      </c>
      <c r="G9" s="23" t="s">
        <v>106</v>
      </c>
      <c r="H9" s="22" t="s">
        <v>106</v>
      </c>
      <c r="I9" s="22" t="s">
        <v>54</v>
      </c>
      <c r="J9" s="21"/>
      <c r="K9" s="9" t="str">
        <f>"170,0"</f>
        <v>170,0</v>
      </c>
      <c r="L9" s="9" t="str">
        <f>"131,2230"</f>
        <v>131,2230</v>
      </c>
      <c r="M9" s="7" t="s">
        <v>193</v>
      </c>
    </row>
    <row r="11" spans="1:13" ht="16">
      <c r="A11" s="65" t="s">
        <v>30</v>
      </c>
      <c r="B11" s="65"/>
      <c r="C11" s="66"/>
      <c r="D11" s="66"/>
      <c r="E11" s="66"/>
      <c r="F11" s="66"/>
      <c r="G11" s="66"/>
      <c r="H11" s="66"/>
      <c r="I11" s="66"/>
      <c r="J11" s="66"/>
    </row>
    <row r="12" spans="1:13">
      <c r="A12" s="21" t="s">
        <v>22</v>
      </c>
      <c r="B12" s="7" t="s">
        <v>142</v>
      </c>
      <c r="C12" s="7" t="s">
        <v>143</v>
      </c>
      <c r="D12" s="7" t="s">
        <v>144</v>
      </c>
      <c r="E12" s="8" t="s">
        <v>196</v>
      </c>
      <c r="F12" s="7" t="s">
        <v>145</v>
      </c>
      <c r="G12" s="23" t="s">
        <v>85</v>
      </c>
      <c r="H12" s="22" t="s">
        <v>85</v>
      </c>
      <c r="I12" s="23" t="s">
        <v>147</v>
      </c>
      <c r="J12" s="21"/>
      <c r="K12" s="9" t="str">
        <f>"120,0"</f>
        <v>120,0</v>
      </c>
      <c r="L12" s="9" t="str">
        <f>"84,8880"</f>
        <v>84,8880</v>
      </c>
      <c r="M12" s="7" t="s">
        <v>193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многослой</vt:lpstr>
      <vt:lpstr>WEPF Жим софт однопетельная ДК</vt:lpstr>
      <vt:lpstr>WEPF Жим софт однопетельная</vt:lpstr>
      <vt:lpstr>WRPF Военный жим 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2022-09-26T11:36:02Z</dcterms:modified>
</cp:coreProperties>
</file>