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ekaterinaseveleva/Documents/СПР/Протоколы/2022/Сентябрь/"/>
    </mc:Choice>
  </mc:AlternateContent>
  <xr:revisionPtr revIDLastSave="0" documentId="13_ncr:1_{79CADA80-1391-C249-BE2E-19C9A033B598}" xr6:coauthVersionLast="45" xr6:coauthVersionMax="45" xr10:uidLastSave="{00000000-0000-0000-0000-000000000000}"/>
  <bookViews>
    <workbookView xWindow="480" yWindow="460" windowWidth="28120" windowHeight="15980" firstSheet="19" activeTab="19" xr2:uid="{00000000-000D-0000-FFFF-FFFF00000000}"/>
  </bookViews>
  <sheets>
    <sheet name="WRPF ПЛ без экипировки ДК" sheetId="9" r:id="rId1"/>
    <sheet name="WRPF ПЛ без экипировки" sheetId="8" r:id="rId2"/>
    <sheet name="WRPF ПЛ в бинтах ДК" sheetId="7" r:id="rId3"/>
    <sheet name="WRPF ПЛ в бинтах" sheetId="6" r:id="rId4"/>
    <sheet name="WRPF Двоеборье без экип ДК" sheetId="22" r:id="rId5"/>
    <sheet name="WRPF Двоеборье без экип" sheetId="21" r:id="rId6"/>
    <sheet name="WRPF Жим лежа без экип ДК" sheetId="13" r:id="rId7"/>
    <sheet name="WRPF Жим лежа без экип" sheetId="12" r:id="rId8"/>
    <sheet name="WEPF Жим однослой" sheetId="15" r:id="rId9"/>
    <sheet name="WEPF Жим софт однопетельная ДК" sheetId="14" r:id="rId10"/>
    <sheet name="WEPF Жим софт однопетельная" sheetId="10" r:id="rId11"/>
    <sheet name="WEPF Жим софт многопетельнаяДК" sheetId="18" r:id="rId12"/>
    <sheet name="WEPF Жим софт многопетельная" sheetId="17" r:id="rId13"/>
    <sheet name="WRPF Военный жим ДК" sheetId="16" r:id="rId14"/>
    <sheet name="WRPF Военный жим" sheetId="11" r:id="rId15"/>
    <sheet name="WRPF Жим СФО" sheetId="28" r:id="rId16"/>
    <sheet name="WRPF Тяга без экипировки ДК" sheetId="20" r:id="rId17"/>
    <sheet name="WRPF Тяга без экипировки" sheetId="19" r:id="rId18"/>
    <sheet name="WRPF Подъем на бицепс ДК" sheetId="24" r:id="rId19"/>
    <sheet name="WRPF Подъем на бицепс" sheetId="23" r:id="rId20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" i="28" l="1"/>
  <c r="K10" i="28"/>
  <c r="L19" i="28" l="1"/>
  <c r="K19" i="28"/>
  <c r="L16" i="28"/>
  <c r="K16" i="28"/>
  <c r="L13" i="28"/>
  <c r="K13" i="28"/>
  <c r="L7" i="28"/>
  <c r="K7" i="28"/>
  <c r="L6" i="28"/>
  <c r="K6" i="28"/>
  <c r="L32" i="24"/>
  <c r="K32" i="24"/>
  <c r="L29" i="24"/>
  <c r="K29" i="24"/>
  <c r="L28" i="24"/>
  <c r="K28" i="24"/>
  <c r="L27" i="24"/>
  <c r="K27" i="24"/>
  <c r="L26" i="24"/>
  <c r="K26" i="24"/>
  <c r="L25" i="24"/>
  <c r="K25" i="24"/>
  <c r="L22" i="24"/>
  <c r="K22" i="24"/>
  <c r="L21" i="24"/>
  <c r="K21" i="24"/>
  <c r="L20" i="24"/>
  <c r="K20" i="24"/>
  <c r="L19" i="24"/>
  <c r="K19" i="24"/>
  <c r="L16" i="24"/>
  <c r="K16" i="24"/>
  <c r="L15" i="24"/>
  <c r="K15" i="24"/>
  <c r="L12" i="24"/>
  <c r="K12" i="24"/>
  <c r="L9" i="24"/>
  <c r="K9" i="24"/>
  <c r="L6" i="24"/>
  <c r="K6" i="24"/>
  <c r="L12" i="23"/>
  <c r="K12" i="23"/>
  <c r="L9" i="23"/>
  <c r="K9" i="23"/>
  <c r="L6" i="23"/>
  <c r="K6" i="23"/>
  <c r="P21" i="22"/>
  <c r="O21" i="22"/>
  <c r="P18" i="22"/>
  <c r="O18" i="22"/>
  <c r="P17" i="22"/>
  <c r="O17" i="22"/>
  <c r="P14" i="22"/>
  <c r="O14" i="22"/>
  <c r="P11" i="22"/>
  <c r="O11" i="22"/>
  <c r="P10" i="22"/>
  <c r="O10" i="22"/>
  <c r="P7" i="22"/>
  <c r="O7" i="22"/>
  <c r="P6" i="22"/>
  <c r="O6" i="22"/>
  <c r="P6" i="21"/>
  <c r="O6" i="21"/>
  <c r="L30" i="20"/>
  <c r="K30" i="20"/>
  <c r="L27" i="20"/>
  <c r="K27" i="20"/>
  <c r="L24" i="20"/>
  <c r="K24" i="20"/>
  <c r="L21" i="20"/>
  <c r="K21" i="20"/>
  <c r="L18" i="20"/>
  <c r="K18" i="20"/>
  <c r="L17" i="20"/>
  <c r="K17" i="20"/>
  <c r="L14" i="20"/>
  <c r="K14" i="20"/>
  <c r="L13" i="20"/>
  <c r="K13" i="20"/>
  <c r="L10" i="20"/>
  <c r="K10" i="20"/>
  <c r="L7" i="20"/>
  <c r="K7" i="20"/>
  <c r="L6" i="20"/>
  <c r="K6" i="20"/>
  <c r="L16" i="19"/>
  <c r="K16" i="19"/>
  <c r="L13" i="19"/>
  <c r="K13" i="19"/>
  <c r="L12" i="19"/>
  <c r="K12" i="19"/>
  <c r="L9" i="19"/>
  <c r="K9" i="19"/>
  <c r="L6" i="19"/>
  <c r="K6" i="19"/>
  <c r="L7" i="18"/>
  <c r="K7" i="18"/>
  <c r="L6" i="18"/>
  <c r="K6" i="18"/>
  <c r="L6" i="17"/>
  <c r="K6" i="17"/>
  <c r="L17" i="16"/>
  <c r="K17" i="16"/>
  <c r="L14" i="16"/>
  <c r="K14" i="16"/>
  <c r="L13" i="16"/>
  <c r="K13" i="16"/>
  <c r="L10" i="16"/>
  <c r="K10" i="16"/>
  <c r="L7" i="16"/>
  <c r="K7" i="16"/>
  <c r="L6" i="16"/>
  <c r="K6" i="16"/>
  <c r="L6" i="15"/>
  <c r="K6" i="15"/>
  <c r="L24" i="14"/>
  <c r="K24" i="14"/>
  <c r="L21" i="14"/>
  <c r="K21" i="14"/>
  <c r="L18" i="14"/>
  <c r="K18" i="14"/>
  <c r="L15" i="14"/>
  <c r="K15" i="14"/>
  <c r="L14" i="14"/>
  <c r="K14" i="14"/>
  <c r="L13" i="14"/>
  <c r="K13" i="14"/>
  <c r="L10" i="14"/>
  <c r="K10" i="14"/>
  <c r="L7" i="14"/>
  <c r="K7" i="14"/>
  <c r="L6" i="14"/>
  <c r="K6" i="14"/>
  <c r="L38" i="13"/>
  <c r="K38" i="13"/>
  <c r="L37" i="13"/>
  <c r="K37" i="13"/>
  <c r="L36" i="13"/>
  <c r="K36" i="13"/>
  <c r="L33" i="13"/>
  <c r="K33" i="13"/>
  <c r="L32" i="13"/>
  <c r="K32" i="13"/>
  <c r="L31" i="13"/>
  <c r="K31" i="13"/>
  <c r="L28" i="13"/>
  <c r="K28" i="13"/>
  <c r="L25" i="13"/>
  <c r="K25" i="13"/>
  <c r="L24" i="13"/>
  <c r="K24" i="13"/>
  <c r="L21" i="13"/>
  <c r="K21" i="13"/>
  <c r="L20" i="13"/>
  <c r="K20" i="13"/>
  <c r="L19" i="13"/>
  <c r="K19" i="13"/>
  <c r="L18" i="13"/>
  <c r="K18" i="13"/>
  <c r="L15" i="13"/>
  <c r="K15" i="13"/>
  <c r="L14" i="13"/>
  <c r="K14" i="13"/>
  <c r="L13" i="13"/>
  <c r="K13" i="13"/>
  <c r="L12" i="13"/>
  <c r="K12" i="13"/>
  <c r="L9" i="13"/>
  <c r="K9" i="13"/>
  <c r="L6" i="13"/>
  <c r="K6" i="13"/>
  <c r="L29" i="12"/>
  <c r="K29" i="12"/>
  <c r="L28" i="12"/>
  <c r="K28" i="12"/>
  <c r="L27" i="12"/>
  <c r="K27" i="12"/>
  <c r="L24" i="12"/>
  <c r="K24" i="12"/>
  <c r="L23" i="12"/>
  <c r="K23" i="12"/>
  <c r="L22" i="12"/>
  <c r="K22" i="12"/>
  <c r="L21" i="12"/>
  <c r="K21" i="12"/>
  <c r="L18" i="12"/>
  <c r="K18" i="12"/>
  <c r="L17" i="12"/>
  <c r="K17" i="12"/>
  <c r="L16" i="12"/>
  <c r="K16" i="12"/>
  <c r="L13" i="12"/>
  <c r="K13" i="12"/>
  <c r="L10" i="12"/>
  <c r="K10" i="12"/>
  <c r="L9" i="12"/>
  <c r="K9" i="12"/>
  <c r="L6" i="12"/>
  <c r="K6" i="12"/>
  <c r="L6" i="11"/>
  <c r="K6" i="11"/>
  <c r="L6" i="10"/>
  <c r="K6" i="10"/>
  <c r="T32" i="9"/>
  <c r="S32" i="9"/>
  <c r="T31" i="9"/>
  <c r="S31" i="9"/>
  <c r="T28" i="9"/>
  <c r="S28" i="9"/>
  <c r="T27" i="9"/>
  <c r="S27" i="9"/>
  <c r="T26" i="9"/>
  <c r="S26" i="9"/>
  <c r="T25" i="9"/>
  <c r="S25" i="9"/>
  <c r="T22" i="9"/>
  <c r="S22" i="9"/>
  <c r="T19" i="9"/>
  <c r="S19" i="9"/>
  <c r="T16" i="9"/>
  <c r="S16" i="9"/>
  <c r="T15" i="9"/>
  <c r="T12" i="9"/>
  <c r="S12" i="9"/>
  <c r="T11" i="9"/>
  <c r="S11" i="9"/>
  <c r="T10" i="9"/>
  <c r="S10" i="9"/>
  <c r="T7" i="9"/>
  <c r="S7" i="9"/>
  <c r="T6" i="9"/>
  <c r="S6" i="9"/>
  <c r="T20" i="8"/>
  <c r="S20" i="8"/>
  <c r="T19" i="8"/>
  <c r="S19" i="8"/>
  <c r="T16" i="8"/>
  <c r="S16" i="8"/>
  <c r="T15" i="8"/>
  <c r="S15" i="8"/>
  <c r="T12" i="8"/>
  <c r="S12" i="8"/>
  <c r="T9" i="8"/>
  <c r="S9" i="8"/>
  <c r="T6" i="8"/>
  <c r="S6" i="8"/>
  <c r="T6" i="7"/>
  <c r="S6" i="7"/>
  <c r="T10" i="6"/>
  <c r="S10" i="6"/>
  <c r="T9" i="6"/>
  <c r="S9" i="6"/>
  <c r="T6" i="6"/>
</calcChain>
</file>

<file path=xl/sharedStrings.xml><?xml version="1.0" encoding="utf-8"?>
<sst xmlns="http://schemas.openxmlformats.org/spreadsheetml/2006/main" count="1784" uniqueCount="517">
  <si>
    <t>ФИО</t>
  </si>
  <si>
    <t>Сумма</t>
  </si>
  <si>
    <t>Тренер</t>
  </si>
  <si>
    <t>Очки</t>
  </si>
  <si>
    <t>Рек</t>
  </si>
  <si>
    <t>Собственный 
вес</t>
  </si>
  <si>
    <t>Город/Страна</t>
  </si>
  <si>
    <t>50,0</t>
  </si>
  <si>
    <t>55,0</t>
  </si>
  <si>
    <t>79,40</t>
  </si>
  <si>
    <t>72,5</t>
  </si>
  <si>
    <t>77,5</t>
  </si>
  <si>
    <t>80,0</t>
  </si>
  <si>
    <t>ВЕСОВАЯ КАТЕГОРИЯ   100</t>
  </si>
  <si>
    <t>Мирзахметов Вадим</t>
  </si>
  <si>
    <t>Открытая (15.10.1980)/41</t>
  </si>
  <si>
    <t>99,40</t>
  </si>
  <si>
    <t>95,0</t>
  </si>
  <si>
    <t>105,0</t>
  </si>
  <si>
    <t>110,0</t>
  </si>
  <si>
    <t>100,00</t>
  </si>
  <si>
    <t>90,0</t>
  </si>
  <si>
    <t xml:space="preserve">Абсолютный зачёт </t>
  </si>
  <si>
    <t xml:space="preserve">Мужчины </t>
  </si>
  <si>
    <t xml:space="preserve">Открытая </t>
  </si>
  <si>
    <t xml:space="preserve">ФИО </t>
  </si>
  <si>
    <t xml:space="preserve">Возрастная группа </t>
  </si>
  <si>
    <t xml:space="preserve">Результат </t>
  </si>
  <si>
    <t xml:space="preserve">Wilks </t>
  </si>
  <si>
    <t>100</t>
  </si>
  <si>
    <t>Результат</t>
  </si>
  <si>
    <t>1</t>
  </si>
  <si>
    <t>2</t>
  </si>
  <si>
    <t>Приседание</t>
  </si>
  <si>
    <t>Жим лёжа</t>
  </si>
  <si>
    <t>Становая тяга</t>
  </si>
  <si>
    <t>ВЕСОВАЯ КАТЕГОРИЯ   82.5</t>
  </si>
  <si>
    <t>Захарова Екатерина</t>
  </si>
  <si>
    <t>Мастера 40-49 (01.08.1975)/47</t>
  </si>
  <si>
    <t>79,10</t>
  </si>
  <si>
    <t>120,0</t>
  </si>
  <si>
    <t>65,0</t>
  </si>
  <si>
    <t>ВЕСОВАЯ КАТЕГОРИЯ   110</t>
  </si>
  <si>
    <t>Ковалев Иван</t>
  </si>
  <si>
    <t>Открытая (02.05.1981)/41</t>
  </si>
  <si>
    <t>107,30</t>
  </si>
  <si>
    <t>240,0</t>
  </si>
  <si>
    <t>250,0</t>
  </si>
  <si>
    <t>140,0</t>
  </si>
  <si>
    <t>150,0</t>
  </si>
  <si>
    <t>157,5</t>
  </si>
  <si>
    <t>Гусев Андрей</t>
  </si>
  <si>
    <t>Мастера 40-49 (29.08.1977)/45</t>
  </si>
  <si>
    <t>105,30</t>
  </si>
  <si>
    <t>195,0</t>
  </si>
  <si>
    <t>207,5</t>
  </si>
  <si>
    <t>215,0</t>
  </si>
  <si>
    <t>30,0</t>
  </si>
  <si>
    <t>200,0</t>
  </si>
  <si>
    <t>220,0</t>
  </si>
  <si>
    <t>110</t>
  </si>
  <si>
    <t>-</t>
  </si>
  <si>
    <t>ВЕСОВАЯ КАТЕГОРИЯ   60</t>
  </si>
  <si>
    <t>Кузнецова Евгения</t>
  </si>
  <si>
    <t>Открытая (31.12.1989)/32</t>
  </si>
  <si>
    <t>59,10</t>
  </si>
  <si>
    <t>87,5</t>
  </si>
  <si>
    <t>37,5</t>
  </si>
  <si>
    <t>42,5</t>
  </si>
  <si>
    <t>47,5</t>
  </si>
  <si>
    <t>92,5</t>
  </si>
  <si>
    <t>97,5</t>
  </si>
  <si>
    <t xml:space="preserve">Женщины </t>
  </si>
  <si>
    <t>60</t>
  </si>
  <si>
    <t>Чиркова Елена</t>
  </si>
  <si>
    <t>Открытая (16.05.1989)/33</t>
  </si>
  <si>
    <t>80,90</t>
  </si>
  <si>
    <t>130,0</t>
  </si>
  <si>
    <t>135,0</t>
  </si>
  <si>
    <t>60,0</t>
  </si>
  <si>
    <t>160,0</t>
  </si>
  <si>
    <t>170,0</t>
  </si>
  <si>
    <t>175,0</t>
  </si>
  <si>
    <t>Сулимов Владислав</t>
  </si>
  <si>
    <t>Открытая (19.11.1978)/43</t>
  </si>
  <si>
    <t>81,90</t>
  </si>
  <si>
    <t>205,0</t>
  </si>
  <si>
    <t>145,0</t>
  </si>
  <si>
    <t>230,0</t>
  </si>
  <si>
    <t>260,0</t>
  </si>
  <si>
    <t>ВЕСОВАЯ КАТЕГОРИЯ   90</t>
  </si>
  <si>
    <t>Ковалев Максим</t>
  </si>
  <si>
    <t>Открытая (07.02.1995)/27</t>
  </si>
  <si>
    <t>90,00</t>
  </si>
  <si>
    <t>210,0</t>
  </si>
  <si>
    <t>165,0</t>
  </si>
  <si>
    <t>180,0</t>
  </si>
  <si>
    <t>255,0</t>
  </si>
  <si>
    <t>265,0</t>
  </si>
  <si>
    <t>275,0</t>
  </si>
  <si>
    <t>Олефир Александр</t>
  </si>
  <si>
    <t>Открытая (06.07.1981)/41</t>
  </si>
  <si>
    <t>97,40</t>
  </si>
  <si>
    <t>245,0</t>
  </si>
  <si>
    <t>185,0</t>
  </si>
  <si>
    <t>270,0</t>
  </si>
  <si>
    <t>280,0</t>
  </si>
  <si>
    <t>290,0</t>
  </si>
  <si>
    <t>Зайцев Владимир</t>
  </si>
  <si>
    <t>Мастера 70-79 (02.11.1949)/72</t>
  </si>
  <si>
    <t>99,90</t>
  </si>
  <si>
    <t>125,0</t>
  </si>
  <si>
    <t>155,0</t>
  </si>
  <si>
    <t>Потехин Виталий</t>
  </si>
  <si>
    <t>Открытая (03.11.1980)/41</t>
  </si>
  <si>
    <t>102,40</t>
  </si>
  <si>
    <t>235,0</t>
  </si>
  <si>
    <t>Мастера 40-49 (03.11.1980)/41</t>
  </si>
  <si>
    <t>90</t>
  </si>
  <si>
    <t>ВЕСОВАЯ КАТЕГОРИЯ   56</t>
  </si>
  <si>
    <t>Стрельникова Мария</t>
  </si>
  <si>
    <t>Девушки 17-19 (07.04.2005)/17</t>
  </si>
  <si>
    <t>55,10</t>
  </si>
  <si>
    <t>45,0</t>
  </si>
  <si>
    <t>100,0</t>
  </si>
  <si>
    <t>102,5</t>
  </si>
  <si>
    <t>Найденова Евгения</t>
  </si>
  <si>
    <t>Открытая (07.12.1985)/36</t>
  </si>
  <si>
    <t>55,50</t>
  </si>
  <si>
    <t>52,5</t>
  </si>
  <si>
    <t>107,5</t>
  </si>
  <si>
    <t>Зорина Ирина</t>
  </si>
  <si>
    <t>Открытая (11.05.1995)/27</t>
  </si>
  <si>
    <t>60,00</t>
  </si>
  <si>
    <t>115,0</t>
  </si>
  <si>
    <t>57,5</t>
  </si>
  <si>
    <t>62,5</t>
  </si>
  <si>
    <t>Бурочкина Мария</t>
  </si>
  <si>
    <t>Открытая (24.02.1990)/32</t>
  </si>
  <si>
    <t>59,40</t>
  </si>
  <si>
    <t>85,0</t>
  </si>
  <si>
    <t>Дорш Олеся</t>
  </si>
  <si>
    <t>Открытая (28.06.1986)/36</t>
  </si>
  <si>
    <t>75,0</t>
  </si>
  <si>
    <t>82,5</t>
  </si>
  <si>
    <t>122,5</t>
  </si>
  <si>
    <t>ВЕСОВАЯ КАТЕГОРИЯ   67.5</t>
  </si>
  <si>
    <t>Егупова Мария</t>
  </si>
  <si>
    <t>Девушки 14-16 (17.04.2007)/15</t>
  </si>
  <si>
    <t>67,10</t>
  </si>
  <si>
    <t>Терентьева Юлия</t>
  </si>
  <si>
    <t>Открытая (21.03.1985)/37</t>
  </si>
  <si>
    <t>67,20</t>
  </si>
  <si>
    <t>35,0</t>
  </si>
  <si>
    <t>70,0</t>
  </si>
  <si>
    <t>Коновалов Евгений</t>
  </si>
  <si>
    <t>Юниоры (08.04.1999)/23</t>
  </si>
  <si>
    <t>ВЕСОВАЯ КАТЕГОРИЯ   75</t>
  </si>
  <si>
    <t>Чичкин Сергей</t>
  </si>
  <si>
    <t>Открытая (15.07.1992)/30</t>
  </si>
  <si>
    <t>74,00</t>
  </si>
  <si>
    <t>225,0</t>
  </si>
  <si>
    <t>252,5</t>
  </si>
  <si>
    <t>Дементьев Илья</t>
  </si>
  <si>
    <t>Юноши 17-19 (02.08.2005)/17</t>
  </si>
  <si>
    <t>80,80</t>
  </si>
  <si>
    <t>147,5</t>
  </si>
  <si>
    <t>Кузеванов Владислав</t>
  </si>
  <si>
    <t>Юноши 17-19 (23.01.2004)/18</t>
  </si>
  <si>
    <t>79,50</t>
  </si>
  <si>
    <t>Мубаракшин Михаил</t>
  </si>
  <si>
    <t>Юниоры (08.10.2001)/20</t>
  </si>
  <si>
    <t>81,40</t>
  </si>
  <si>
    <t>127,5</t>
  </si>
  <si>
    <t>132,5</t>
  </si>
  <si>
    <t>Кузнецов Павел</t>
  </si>
  <si>
    <t>Открытая (11.01.1989)/33</t>
  </si>
  <si>
    <t>81,10</t>
  </si>
  <si>
    <t>190,0</t>
  </si>
  <si>
    <t>Кузеванов Дмитрий</t>
  </si>
  <si>
    <t>Юниоры (01.11.2001)/20</t>
  </si>
  <si>
    <t>93,20</t>
  </si>
  <si>
    <t>Тресков Виктор</t>
  </si>
  <si>
    <t>Открытая (06.01.1971)/51</t>
  </si>
  <si>
    <t>96,80</t>
  </si>
  <si>
    <t>ВЕСОВАЯ КАТЕГОРИЯ   125</t>
  </si>
  <si>
    <t>Крыцков Николай</t>
  </si>
  <si>
    <t>124,60</t>
  </si>
  <si>
    <t>75</t>
  </si>
  <si>
    <t>3</t>
  </si>
  <si>
    <t xml:space="preserve">Gloss </t>
  </si>
  <si>
    <t>Кравцов Глеб</t>
  </si>
  <si>
    <t>Открытая (06.02.1998)/24</t>
  </si>
  <si>
    <t>66,70</t>
  </si>
  <si>
    <t>112,5</t>
  </si>
  <si>
    <t>67.5</t>
  </si>
  <si>
    <t>ВЕСОВАЯ КАТЕГОРИЯ   52</t>
  </si>
  <si>
    <t>Конаныкин Степан</t>
  </si>
  <si>
    <t>Юноши 14-16 (20.11.2007)/14</t>
  </si>
  <si>
    <t>48,00</t>
  </si>
  <si>
    <t>142,5</t>
  </si>
  <si>
    <t>Губанов Александр</t>
  </si>
  <si>
    <t>Мастера 70-79 (06.02.1951)/71</t>
  </si>
  <si>
    <t>66,00</t>
  </si>
  <si>
    <t>Ксандинов Илья</t>
  </si>
  <si>
    <t>Юниоры (27.06.1999)/23</t>
  </si>
  <si>
    <t>69,30</t>
  </si>
  <si>
    <t>Севрюков Евгений</t>
  </si>
  <si>
    <t>Открытая (08.07.1991)/31</t>
  </si>
  <si>
    <t>83,80</t>
  </si>
  <si>
    <t>202,5</t>
  </si>
  <si>
    <t>Турланов Батырхан</t>
  </si>
  <si>
    <t>Открытая (14.08.1991)/31</t>
  </si>
  <si>
    <t>87,60</t>
  </si>
  <si>
    <t xml:space="preserve">KAZ/Уральск </t>
  </si>
  <si>
    <t>152,5</t>
  </si>
  <si>
    <t>Орехов Александр</t>
  </si>
  <si>
    <t>Открытая (22.07.1994)/28</t>
  </si>
  <si>
    <t>89,10</t>
  </si>
  <si>
    <t>Сухомберлиев Руслан</t>
  </si>
  <si>
    <t>Открытая (16.11.1991)/30</t>
  </si>
  <si>
    <t>97,90</t>
  </si>
  <si>
    <t xml:space="preserve">KAZ/Алматы </t>
  </si>
  <si>
    <t>Сафронов Николай</t>
  </si>
  <si>
    <t>Открытая (22.05.1992)/30</t>
  </si>
  <si>
    <t>98,30</t>
  </si>
  <si>
    <t>Пивоваров Александр</t>
  </si>
  <si>
    <t>Мастера 40-49 (22.03.1974)/48</t>
  </si>
  <si>
    <t>Васильев Валерий</t>
  </si>
  <si>
    <t>Мастера 70-79 (19.09.1947)/75</t>
  </si>
  <si>
    <t>99,30</t>
  </si>
  <si>
    <t>137,5</t>
  </si>
  <si>
    <t>Кулагин Андрей</t>
  </si>
  <si>
    <t>Открытая (19.09.1978)/44</t>
  </si>
  <si>
    <t>114,40</t>
  </si>
  <si>
    <t>Новиков Евгений</t>
  </si>
  <si>
    <t>Открытая (10.07.1992)/30</t>
  </si>
  <si>
    <t>119,60</t>
  </si>
  <si>
    <t>Мастера 40-49 (19.09.1978)/44</t>
  </si>
  <si>
    <t>125</t>
  </si>
  <si>
    <t>Головин Иван</t>
  </si>
  <si>
    <t>Юноши 17-19 (28.12.2003)/18</t>
  </si>
  <si>
    <t>67,50</t>
  </si>
  <si>
    <t>117,5</t>
  </si>
  <si>
    <t>Новиков Вадим</t>
  </si>
  <si>
    <t>Юноши 14-16 (26.03.2007)/15</t>
  </si>
  <si>
    <t>71,70</t>
  </si>
  <si>
    <t>Власов Александр</t>
  </si>
  <si>
    <t>Открытая (18.10.1998)/23</t>
  </si>
  <si>
    <t>72,00</t>
  </si>
  <si>
    <t>Гридасов Артём</t>
  </si>
  <si>
    <t>Открытая (16.11.1989)/32</t>
  </si>
  <si>
    <t>73,50</t>
  </si>
  <si>
    <t>Колесник Виталий</t>
  </si>
  <si>
    <t>Мастера 50-59 (27.07.1969)/53</t>
  </si>
  <si>
    <t>73,90</t>
  </si>
  <si>
    <t>Арзютов Илья</t>
  </si>
  <si>
    <t>Открытая (23.08.1985)/37</t>
  </si>
  <si>
    <t>82,00</t>
  </si>
  <si>
    <t>Плотников Владимир</t>
  </si>
  <si>
    <t>Мастера 40-49 (24.06.1981)/41</t>
  </si>
  <si>
    <t>Сылка Виталий</t>
  </si>
  <si>
    <t>Мастера 40-49 (03.02.1974)/48</t>
  </si>
  <si>
    <t>79,70</t>
  </si>
  <si>
    <t>Фахретдинов Ринат</t>
  </si>
  <si>
    <t>Мастера 40-49 (20.03.1980)/42</t>
  </si>
  <si>
    <t>Калашников Александр</t>
  </si>
  <si>
    <t>Мастера 40-49 (26.10.1980)/41</t>
  </si>
  <si>
    <t>86,60</t>
  </si>
  <si>
    <t>177,5</t>
  </si>
  <si>
    <t>182,5</t>
  </si>
  <si>
    <t>Ефремов Алексей</t>
  </si>
  <si>
    <t>Открытая (25.12.1983)/38</t>
  </si>
  <si>
    <t>109,40</t>
  </si>
  <si>
    <t>167,5</t>
  </si>
  <si>
    <t>187,5</t>
  </si>
  <si>
    <t>Усачев Илья</t>
  </si>
  <si>
    <t>Открытая (26.01.1986)/36</t>
  </si>
  <si>
    <t>107,90</t>
  </si>
  <si>
    <t>Побежимов Владимир</t>
  </si>
  <si>
    <t>Открытая (21.03.1987)/35</t>
  </si>
  <si>
    <t>102,90</t>
  </si>
  <si>
    <t>Инешин Николай</t>
  </si>
  <si>
    <t>Открытая (19.12.1991)/30</t>
  </si>
  <si>
    <t>114,70</t>
  </si>
  <si>
    <t>162,5</t>
  </si>
  <si>
    <t>172,5</t>
  </si>
  <si>
    <t>Богданов Алексей</t>
  </si>
  <si>
    <t>Мастера 40-49 (25.07.1981)/41</t>
  </si>
  <si>
    <t>121,60</t>
  </si>
  <si>
    <t>Мастера 40-49 (19.06.1982)/40</t>
  </si>
  <si>
    <t>Алькова Диана</t>
  </si>
  <si>
    <t>Юниорки (25.08.2001)/21</t>
  </si>
  <si>
    <t>55,70</t>
  </si>
  <si>
    <t>Открытая (25.08.2001)/21</t>
  </si>
  <si>
    <t>Мелконян Тигран</t>
  </si>
  <si>
    <t>Юниоры (29.09.1999)/23</t>
  </si>
  <si>
    <t>Открытая (24.06.1981)/41</t>
  </si>
  <si>
    <t>Чернявский Вадим</t>
  </si>
  <si>
    <t>Открытая (04.08.1998)/24</t>
  </si>
  <si>
    <t xml:space="preserve">Егорова О. </t>
  </si>
  <si>
    <t>Пархоменко Максим</t>
  </si>
  <si>
    <t>Открытая (21.09.1993)/29</t>
  </si>
  <si>
    <t>88,50</t>
  </si>
  <si>
    <t>237,5</t>
  </si>
  <si>
    <t>Луцук Виталий</t>
  </si>
  <si>
    <t>Открытая (20.03.1991)/31</t>
  </si>
  <si>
    <t>98,20</t>
  </si>
  <si>
    <t>Бакунц Гагик</t>
  </si>
  <si>
    <t>Открытая (22.03.1990)/32</t>
  </si>
  <si>
    <t>118,90</t>
  </si>
  <si>
    <t>Яковлев Максим</t>
  </si>
  <si>
    <t>Открытая (17.06.1982)/40</t>
  </si>
  <si>
    <t>87,70</t>
  </si>
  <si>
    <t>Замятина Наталья</t>
  </si>
  <si>
    <t>Открытая (14.04.1980)/42</t>
  </si>
  <si>
    <t>67,90</t>
  </si>
  <si>
    <t>Мастера 40-49 (14.04.1980)/42</t>
  </si>
  <si>
    <t>Чернева Марина</t>
  </si>
  <si>
    <t>Мастера 50-59 (27.09.1970)/52</t>
  </si>
  <si>
    <t>154,0</t>
  </si>
  <si>
    <t>Гридин Роман</t>
  </si>
  <si>
    <t>Мастера 50-59 (28.01.1972)/50</t>
  </si>
  <si>
    <t>88,20</t>
  </si>
  <si>
    <t>Нефедов Михаил</t>
  </si>
  <si>
    <t>Мастера 50-59 (07.05.1972)/50</t>
  </si>
  <si>
    <t xml:space="preserve">Гаржа Л. </t>
  </si>
  <si>
    <t>Новлянский Виктор</t>
  </si>
  <si>
    <t>Мастера 50-59 (01.11.1965)/56</t>
  </si>
  <si>
    <t>107,60</t>
  </si>
  <si>
    <t>217,5</t>
  </si>
  <si>
    <t xml:space="preserve">Гераймас А. </t>
  </si>
  <si>
    <t>Мороз Эльмира</t>
  </si>
  <si>
    <t>Открытая (08.02.1986)/36</t>
  </si>
  <si>
    <t>56,00</t>
  </si>
  <si>
    <t>Первышина Олеся</t>
  </si>
  <si>
    <t>Мастера 40-49 (10.01.1980)/42</t>
  </si>
  <si>
    <t>55,40</t>
  </si>
  <si>
    <t>Ефремова Елена</t>
  </si>
  <si>
    <t>Открытая (01.04.1987)/35</t>
  </si>
  <si>
    <t>58,00</t>
  </si>
  <si>
    <t xml:space="preserve">Гусев А. </t>
  </si>
  <si>
    <t>Кнутова Татьяна</t>
  </si>
  <si>
    <t>Открытая (16.06.1972)/50</t>
  </si>
  <si>
    <t>Дармина Марина</t>
  </si>
  <si>
    <t>Открытая (26.09.1986)/36</t>
  </si>
  <si>
    <t>64,50</t>
  </si>
  <si>
    <t>Суринова Валерия</t>
  </si>
  <si>
    <t>Девушки 14-16 (08.04.2007)/15</t>
  </si>
  <si>
    <t>72,30</t>
  </si>
  <si>
    <t>Севрюкова Светлана</t>
  </si>
  <si>
    <t>Мастера 50-59 (07.02.1968)/54</t>
  </si>
  <si>
    <t>72,60</t>
  </si>
  <si>
    <t>ВЕСОВАЯ КАТЕГОРИЯ   90+</t>
  </si>
  <si>
    <t>Андреева Ангелина</t>
  </si>
  <si>
    <t>Открытая (30.05.1995)/27</t>
  </si>
  <si>
    <t>104,20</t>
  </si>
  <si>
    <t>Першин Дмитрий</t>
  </si>
  <si>
    <t>Открытая (07.12.1988)/33</t>
  </si>
  <si>
    <t>Овинов Сергей</t>
  </si>
  <si>
    <t>Мастера 40-49 (17.09.1976)/46</t>
  </si>
  <si>
    <t>97,60</t>
  </si>
  <si>
    <t>90+</t>
  </si>
  <si>
    <t>Есин Иван</t>
  </si>
  <si>
    <t>Мастера 80+ (25.12.1938)/83</t>
  </si>
  <si>
    <t>71,50</t>
  </si>
  <si>
    <t>40,0</t>
  </si>
  <si>
    <t>Боровков Владимир</t>
  </si>
  <si>
    <t>Открытая (13.11.1992)/29</t>
  </si>
  <si>
    <t>72,40</t>
  </si>
  <si>
    <t>Садыков Дамир</t>
  </si>
  <si>
    <t>Юноши 17-19 (13.11.2004)/17</t>
  </si>
  <si>
    <t>86,80</t>
  </si>
  <si>
    <t>Кузьмин Руслан</t>
  </si>
  <si>
    <t>Открытая (05.04.1986)/36</t>
  </si>
  <si>
    <t>97,30</t>
  </si>
  <si>
    <t>Ключников Леонид</t>
  </si>
  <si>
    <t>Открытая (11.08.1985)/37</t>
  </si>
  <si>
    <t>98,40</t>
  </si>
  <si>
    <t>Подъем на бицепс</t>
  </si>
  <si>
    <t>Алмосов Илья</t>
  </si>
  <si>
    <t>Открытая (07.12.1982)/39</t>
  </si>
  <si>
    <t>59,80</t>
  </si>
  <si>
    <t>Абдулаев Шамиль</t>
  </si>
  <si>
    <t>Открытая (01.10.1994)/28</t>
  </si>
  <si>
    <t>65,60</t>
  </si>
  <si>
    <t>Чемидронов Александр</t>
  </si>
  <si>
    <t>Горожанина Ольга</t>
  </si>
  <si>
    <t>Открытая (05.11.1983)/38</t>
  </si>
  <si>
    <t>25,0</t>
  </si>
  <si>
    <t>27,5</t>
  </si>
  <si>
    <t>Егорова Ольга</t>
  </si>
  <si>
    <t>62,20</t>
  </si>
  <si>
    <t>32,5</t>
  </si>
  <si>
    <t>Черняев Дмитрий</t>
  </si>
  <si>
    <t>Открытая (14.05.1985)/37</t>
  </si>
  <si>
    <t>67,00</t>
  </si>
  <si>
    <t>Блудвин Артём</t>
  </si>
  <si>
    <t>78,10</t>
  </si>
  <si>
    <t>Летвяков Андрей</t>
  </si>
  <si>
    <t>Открытая (26.06.1986)/36</t>
  </si>
  <si>
    <t>81,20</t>
  </si>
  <si>
    <t>67,5</t>
  </si>
  <si>
    <t>Столяров Алексей</t>
  </si>
  <si>
    <t>Открытая (05.10.1982)/39</t>
  </si>
  <si>
    <t>Поздняков Вячеслав</t>
  </si>
  <si>
    <t>80,40</t>
  </si>
  <si>
    <t>Болтиков Юрий</t>
  </si>
  <si>
    <t>95,70</t>
  </si>
  <si>
    <t>65,5</t>
  </si>
  <si>
    <t>65,50</t>
  </si>
  <si>
    <t>Попов Антон</t>
  </si>
  <si>
    <t>Воровкин Максим</t>
  </si>
  <si>
    <t>Мастера 40-49 (31.03.1980)/42</t>
  </si>
  <si>
    <t>Исаев Андрей</t>
  </si>
  <si>
    <t>Мастера 50-59 (30.03.1970)/52</t>
  </si>
  <si>
    <t>88,40</t>
  </si>
  <si>
    <t>Титов Андрей</t>
  </si>
  <si>
    <t>Мастера 40-49 (15.11.1977)/44</t>
  </si>
  <si>
    <t>ВЕСОВАЯ КАТЕГОРИЯ   140</t>
  </si>
  <si>
    <t>Дробин Дмитрий</t>
  </si>
  <si>
    <t>Мастера 40-49 (13.06.1981)/41</t>
  </si>
  <si>
    <t>140,00</t>
  </si>
  <si>
    <t>Гугняков Александр</t>
  </si>
  <si>
    <t>Открытая (17.09.1974)/48</t>
  </si>
  <si>
    <t>Кубок мира
WRPF Жим лежа среди спортсменов с физическими особенностями
Самара/Самарская область, 01-02 октября 2022 года</t>
  </si>
  <si>
    <t xml:space="preserve">Губанов А. </t>
  </si>
  <si>
    <t xml:space="preserve">Губанов А.  </t>
  </si>
  <si>
    <t>Юноши 13-19 (30.03.2005)/17</t>
  </si>
  <si>
    <t>Мастера 50-59 (28.09.1971)/51</t>
  </si>
  <si>
    <t>Мастера 40-49 (14.03.1975)/47</t>
  </si>
  <si>
    <t>Юниоры 20-23 (08.10.2001)/20</t>
  </si>
  <si>
    <t>Мастера 50-59 (24.08.1967)/55</t>
  </si>
  <si>
    <t>Юноши 13-19 (24.02.2003)/19</t>
  </si>
  <si>
    <t xml:space="preserve">Шугуров В. </t>
  </si>
  <si>
    <t xml:space="preserve">Кулагин А. </t>
  </si>
  <si>
    <t xml:space="preserve">Гатауллин Т. </t>
  </si>
  <si>
    <t xml:space="preserve">Замятин И. </t>
  </si>
  <si>
    <t xml:space="preserve">Черняев Д. </t>
  </si>
  <si>
    <t xml:space="preserve">Луцук В. </t>
  </si>
  <si>
    <t xml:space="preserve">Арусланов Ш. </t>
  </si>
  <si>
    <t xml:space="preserve">Вавилов С. </t>
  </si>
  <si>
    <t>Шишков О.</t>
  </si>
  <si>
    <t>Весовая категория</t>
  </si>
  <si>
    <t>Кубок мира
WRPF Строгий подъем штанги на бицепс ДК
Самара/Самарская область, 01-02 октября 2022 года</t>
  </si>
  <si>
    <t>Кубок мира
WRPF Строгий подъем штанги на бицепс
Самара/Самарская область, 01-02 октября 2022 года</t>
  </si>
  <si>
    <t xml:space="preserve">Казаков В. </t>
  </si>
  <si>
    <t xml:space="preserve">Трухтанов П. </t>
  </si>
  <si>
    <t xml:space="preserve">Чичкин С. </t>
  </si>
  <si>
    <t xml:space="preserve">Аверьянов В. </t>
  </si>
  <si>
    <t>Кубок мира
WRPF Силовое двоеборье без экипировки ДК
Самара/Самарская область, 01-02 октября 2022 года</t>
  </si>
  <si>
    <t>Кубок мира
WRPF Силовое двоеборье без экипировки
Самара/Самарская область, 01-02 октября 2022 года</t>
  </si>
  <si>
    <t>Кубок мира
WRPF Становая тяга без экипировки ДК
Самара/Самарская область, 01-02 октября 2022 года</t>
  </si>
  <si>
    <t>Кубок мира
WRPF Становая тяга без экипировки
Самара/Самарская область, 01-02 октября 2022 года</t>
  </si>
  <si>
    <t>Кубок мира
WEPF Жим лежа в многопетельной софт экипировке ДК
Самара/Самарская область, 01-02 октября 2022 года</t>
  </si>
  <si>
    <t>Кубок мира
WEPF Жим лежа в многопетельной софт экипировке
Самара/Самарская область, 01-02 октября 2022 года</t>
  </si>
  <si>
    <t>Кубок мира
WRPF Военный жим лежа с ДК
Самара/Самарская область, 01-02 октября 2022 года</t>
  </si>
  <si>
    <t>Кубок мира
WEPF Жим лежа в однослойной экипировке
Самара/Самарская область, 01-02 октября 2022 года</t>
  </si>
  <si>
    <t>Кубок мира
WEPF Жим лежа в однопетельной софт экипировке ДК
Самара/Самарская область, 01-02 октября 2022 года</t>
  </si>
  <si>
    <t>Кубок мира
WRPF Жим лежа без экипировки ДК
Самара/Самарская область, 01-02 октября 2022 года</t>
  </si>
  <si>
    <t>Кубок мира
WRPF Жим лежа без экипировки
Самара/Самарская область, 01-02 октября 2022 года</t>
  </si>
  <si>
    <t>Кубок мира
WRPF Военный жим лежа
Самара/Самарская область, 01-02 октября 2022 года</t>
  </si>
  <si>
    <t>Кубок мира
WEPF Жим лежа в однопетельной софт экипировке
Самара/Самарская область, 01-02 октября 2022 года</t>
  </si>
  <si>
    <t>Кубок мира
WRPF Пауэрлифтинг без экипировки ДК
Самара/Самарская область, 01-02 октября 2022 года</t>
  </si>
  <si>
    <t>Кубок мира
WRPF Пауэрлифтинг без экипировки
Самара/Самарская область, 01-02 октября 2022 года</t>
  </si>
  <si>
    <t>Кубок мира
WRPF Пауэрлифтинг классический в бинтах ДК
Самара/Самарская область, 01-02 октября 2022 года</t>
  </si>
  <si>
    <t>Кубок мира
WRPF Пауэрлифтинг классический в бинтах
Самара/Самарская область, 01-02 октября 2022 года</t>
  </si>
  <si>
    <t xml:space="preserve">Овинов С. </t>
  </si>
  <si>
    <t xml:space="preserve">Котилевский К. </t>
  </si>
  <si>
    <t xml:space="preserve">Поздняков В. </t>
  </si>
  <si>
    <t xml:space="preserve">Стецко Ю. </t>
  </si>
  <si>
    <t xml:space="preserve">Севрюков Е. </t>
  </si>
  <si>
    <t>Коптев М., Артеменко К.</t>
  </si>
  <si>
    <t xml:space="preserve">Гугняков А. </t>
  </si>
  <si>
    <t xml:space="preserve">Варакина Е. </t>
  </si>
  <si>
    <t xml:space="preserve">Крыцков Н. </t>
  </si>
  <si>
    <t xml:space="preserve">Тимофеев Д. </t>
  </si>
  <si>
    <t xml:space="preserve">Долгов С. </t>
  </si>
  <si>
    <t xml:space="preserve">Захаров Н. </t>
  </si>
  <si>
    <t xml:space="preserve">Отрадный </t>
  </si>
  <si>
    <t xml:space="preserve">Самара </t>
  </si>
  <si>
    <t xml:space="preserve">Энгельс </t>
  </si>
  <si>
    <t xml:space="preserve">Стерлитамак </t>
  </si>
  <si>
    <t xml:space="preserve"> Новокуйбышевск </t>
  </si>
  <si>
    <t xml:space="preserve">Тольятти </t>
  </si>
  <si>
    <t xml:space="preserve">  Новокуйбышевск </t>
  </si>
  <si>
    <t xml:space="preserve">Новотроицк </t>
  </si>
  <si>
    <t xml:space="preserve">Аксай </t>
  </si>
  <si>
    <t xml:space="preserve">Сосногорск </t>
  </si>
  <si>
    <t xml:space="preserve">Нижний Новгород </t>
  </si>
  <si>
    <t xml:space="preserve"> Новокуйбышевск  </t>
  </si>
  <si>
    <t xml:space="preserve">Ульяновск </t>
  </si>
  <si>
    <t xml:space="preserve">  Новокуйбышевск  </t>
  </si>
  <si>
    <t xml:space="preserve">Сорочинск </t>
  </si>
  <si>
    <t xml:space="preserve">Бузулук </t>
  </si>
  <si>
    <t xml:space="preserve">Улан-Удэ </t>
  </si>
  <si>
    <t xml:space="preserve">Кинель </t>
  </si>
  <si>
    <t xml:space="preserve">Пенза </t>
  </si>
  <si>
    <t xml:space="preserve">Ярцево </t>
  </si>
  <si>
    <t xml:space="preserve">Димитровград </t>
  </si>
  <si>
    <t xml:space="preserve">Новокуйбышевск  </t>
  </si>
  <si>
    <t xml:space="preserve">Новокуйбышевск </t>
  </si>
  <si>
    <t xml:space="preserve">Самара  </t>
  </si>
  <si>
    <t xml:space="preserve">Мюрего </t>
  </si>
  <si>
    <t xml:space="preserve">Нижнекамск </t>
  </si>
  <si>
    <t>№</t>
  </si>
  <si>
    <t xml:space="preserve">
Дата рождения/Возраст</t>
  </si>
  <si>
    <t>Возрастная группа</t>
  </si>
  <si>
    <t>T2</t>
  </si>
  <si>
    <t>O</t>
  </si>
  <si>
    <t>T1</t>
  </si>
  <si>
    <t>J</t>
  </si>
  <si>
    <t>M4</t>
  </si>
  <si>
    <t>M1</t>
  </si>
  <si>
    <t>M5</t>
  </si>
  <si>
    <t>M2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</si>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</sst>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9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24"/>
      <name val="Arial Cyr"/>
      <charset val="204"/>
    </font>
    <font>
      <sz val="12"/>
      <name val="Arial Cyr"/>
      <charset val="204"/>
    </font>
    <font>
      <i/>
      <sz val="12"/>
      <name val="Arial Cyr"/>
      <charset val="204"/>
    </font>
    <font>
      <sz val="14"/>
      <name val="Arial Cyr"/>
      <charset val="204"/>
    </font>
    <font>
      <i/>
      <sz val="11"/>
      <name val="Arial Cyr"/>
      <charset val="204"/>
    </font>
    <font>
      <b/>
      <strike/>
      <sz val="10"/>
      <color theme="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D7E4B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49" fontId="0" fillId="0" borderId="12" xfId="0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 vertical="center" indent="1"/>
    </xf>
    <xf numFmtId="49" fontId="7" fillId="0" borderId="0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0" fillId="0" borderId="17" xfId="0" applyNumberFormat="1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164" fontId="1" fillId="0" borderId="11" xfId="0" applyNumberFormat="1" applyFont="1" applyFill="1" applyBorder="1" applyAlignment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2" fillId="0" borderId="8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U32"/>
  <sheetViews>
    <sheetView workbookViewId="0">
      <selection activeCell="E33" sqref="E33"/>
    </sheetView>
  </sheetViews>
  <sheetFormatPr baseColWidth="10" defaultColWidth="9.1640625" defaultRowHeight="13"/>
  <cols>
    <col min="1" max="1" width="7.5" style="5" bestFit="1" customWidth="1"/>
    <col min="2" max="2" width="20.33203125" style="5" bestFit="1" customWidth="1"/>
    <col min="3" max="3" width="27.83203125" style="5" customWidth="1"/>
    <col min="4" max="4" width="21.5" style="5" bestFit="1" customWidth="1"/>
    <col min="5" max="5" width="10.5" style="16" bestFit="1" customWidth="1"/>
    <col min="6" max="6" width="24.33203125" style="5" customWidth="1"/>
    <col min="7" max="9" width="5.5" style="25" customWidth="1"/>
    <col min="10" max="10" width="4.83203125" style="25" customWidth="1"/>
    <col min="11" max="13" width="5.5" style="25" customWidth="1"/>
    <col min="14" max="14" width="4.83203125" style="25" customWidth="1"/>
    <col min="15" max="17" width="5.5" style="25" customWidth="1"/>
    <col min="18" max="18" width="4.83203125" style="25" customWidth="1"/>
    <col min="19" max="19" width="7.83203125" style="26" bestFit="1" customWidth="1"/>
    <col min="20" max="20" width="8.5" style="6" bestFit="1" customWidth="1"/>
    <col min="21" max="21" width="26.6640625" style="5" bestFit="1" customWidth="1"/>
    <col min="22" max="16384" width="9.1640625" style="3"/>
  </cols>
  <sheetData>
    <row r="1" spans="1:21" s="2" customFormat="1" ht="29" customHeight="1">
      <c r="A1" s="57" t="s">
        <v>463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60"/>
    </row>
    <row r="2" spans="1:21" s="2" customFormat="1" ht="62" customHeight="1" thickBot="1">
      <c r="A2" s="61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4"/>
    </row>
    <row r="3" spans="1:21" s="1" customFormat="1" ht="12.75" customHeight="1">
      <c r="A3" s="65" t="s">
        <v>505</v>
      </c>
      <c r="B3" s="70" t="s">
        <v>0</v>
      </c>
      <c r="C3" s="67" t="s">
        <v>506</v>
      </c>
      <c r="D3" s="67" t="s">
        <v>5</v>
      </c>
      <c r="E3" s="51" t="s">
        <v>507</v>
      </c>
      <c r="F3" s="69" t="s">
        <v>6</v>
      </c>
      <c r="G3" s="69" t="s">
        <v>33</v>
      </c>
      <c r="H3" s="69"/>
      <c r="I3" s="69"/>
      <c r="J3" s="69"/>
      <c r="K3" s="69" t="s">
        <v>34</v>
      </c>
      <c r="L3" s="69"/>
      <c r="M3" s="69"/>
      <c r="N3" s="69"/>
      <c r="O3" s="69" t="s">
        <v>35</v>
      </c>
      <c r="P3" s="69"/>
      <c r="Q3" s="69"/>
      <c r="R3" s="69"/>
      <c r="S3" s="49" t="s">
        <v>1</v>
      </c>
      <c r="T3" s="51" t="s">
        <v>3</v>
      </c>
      <c r="U3" s="53" t="s">
        <v>2</v>
      </c>
    </row>
    <row r="4" spans="1:21" s="1" customFormat="1" ht="21" customHeight="1" thickBot="1">
      <c r="A4" s="66"/>
      <c r="B4" s="71"/>
      <c r="C4" s="68"/>
      <c r="D4" s="68"/>
      <c r="E4" s="52"/>
      <c r="F4" s="68"/>
      <c r="G4" s="4">
        <v>1</v>
      </c>
      <c r="H4" s="4">
        <v>2</v>
      </c>
      <c r="I4" s="4">
        <v>3</v>
      </c>
      <c r="J4" s="4" t="s">
        <v>4</v>
      </c>
      <c r="K4" s="4">
        <v>1</v>
      </c>
      <c r="L4" s="4">
        <v>2</v>
      </c>
      <c r="M4" s="4">
        <v>3</v>
      </c>
      <c r="N4" s="4" t="s">
        <v>4</v>
      </c>
      <c r="O4" s="4">
        <v>1</v>
      </c>
      <c r="P4" s="4">
        <v>2</v>
      </c>
      <c r="Q4" s="4">
        <v>3</v>
      </c>
      <c r="R4" s="4" t="s">
        <v>4</v>
      </c>
      <c r="S4" s="50"/>
      <c r="T4" s="52"/>
      <c r="U4" s="54"/>
    </row>
    <row r="5" spans="1:21" ht="16">
      <c r="A5" s="55" t="s">
        <v>119</v>
      </c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21">
      <c r="A6" s="30" t="s">
        <v>31</v>
      </c>
      <c r="B6" s="10" t="s">
        <v>120</v>
      </c>
      <c r="C6" s="10" t="s">
        <v>121</v>
      </c>
      <c r="D6" s="10" t="s">
        <v>122</v>
      </c>
      <c r="E6" s="11" t="s">
        <v>508</v>
      </c>
      <c r="F6" s="10" t="s">
        <v>479</v>
      </c>
      <c r="G6" s="31" t="s">
        <v>21</v>
      </c>
      <c r="H6" s="35" t="s">
        <v>17</v>
      </c>
      <c r="I6" s="35" t="s">
        <v>17</v>
      </c>
      <c r="J6" s="30"/>
      <c r="K6" s="31" t="s">
        <v>123</v>
      </c>
      <c r="L6" s="31" t="s">
        <v>69</v>
      </c>
      <c r="M6" s="35" t="s">
        <v>7</v>
      </c>
      <c r="N6" s="30"/>
      <c r="O6" s="31" t="s">
        <v>17</v>
      </c>
      <c r="P6" s="31" t="s">
        <v>124</v>
      </c>
      <c r="Q6" s="31" t="s">
        <v>125</v>
      </c>
      <c r="R6" s="30"/>
      <c r="S6" s="44" t="str">
        <f>"240,0"</f>
        <v>240,0</v>
      </c>
      <c r="T6" s="12" t="str">
        <f>"285,9840"</f>
        <v>285,9840</v>
      </c>
      <c r="U6" s="10"/>
    </row>
    <row r="7" spans="1:21">
      <c r="A7" s="32" t="s">
        <v>31</v>
      </c>
      <c r="B7" s="13" t="s">
        <v>126</v>
      </c>
      <c r="C7" s="13" t="s">
        <v>127</v>
      </c>
      <c r="D7" s="13" t="s">
        <v>128</v>
      </c>
      <c r="E7" s="14" t="s">
        <v>509</v>
      </c>
      <c r="F7" s="13" t="s">
        <v>480</v>
      </c>
      <c r="G7" s="34" t="s">
        <v>17</v>
      </c>
      <c r="H7" s="33" t="s">
        <v>124</v>
      </c>
      <c r="I7" s="32"/>
      <c r="J7" s="32"/>
      <c r="K7" s="34" t="s">
        <v>123</v>
      </c>
      <c r="L7" s="34" t="s">
        <v>7</v>
      </c>
      <c r="M7" s="33" t="s">
        <v>129</v>
      </c>
      <c r="N7" s="32"/>
      <c r="O7" s="34" t="s">
        <v>71</v>
      </c>
      <c r="P7" s="34" t="s">
        <v>130</v>
      </c>
      <c r="Q7" s="33" t="s">
        <v>19</v>
      </c>
      <c r="R7" s="32"/>
      <c r="S7" s="46" t="str">
        <f>"252,5"</f>
        <v>252,5</v>
      </c>
      <c r="T7" s="15" t="str">
        <f>"299,1873"</f>
        <v>299,1873</v>
      </c>
      <c r="U7" s="13"/>
    </row>
    <row r="9" spans="1:21" ht="16">
      <c r="A9" s="47" t="s">
        <v>62</v>
      </c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</row>
    <row r="10" spans="1:21">
      <c r="A10" s="30" t="s">
        <v>31</v>
      </c>
      <c r="B10" s="10" t="s">
        <v>131</v>
      </c>
      <c r="C10" s="10" t="s">
        <v>132</v>
      </c>
      <c r="D10" s="10" t="s">
        <v>133</v>
      </c>
      <c r="E10" s="11" t="s">
        <v>509</v>
      </c>
      <c r="F10" s="10" t="s">
        <v>481</v>
      </c>
      <c r="G10" s="31" t="s">
        <v>19</v>
      </c>
      <c r="H10" s="35" t="s">
        <v>134</v>
      </c>
      <c r="I10" s="35" t="s">
        <v>134</v>
      </c>
      <c r="J10" s="30"/>
      <c r="K10" s="31" t="s">
        <v>135</v>
      </c>
      <c r="L10" s="31" t="s">
        <v>136</v>
      </c>
      <c r="M10" s="35" t="s">
        <v>41</v>
      </c>
      <c r="N10" s="30"/>
      <c r="O10" s="31" t="s">
        <v>19</v>
      </c>
      <c r="P10" s="31" t="s">
        <v>40</v>
      </c>
      <c r="Q10" s="31" t="s">
        <v>77</v>
      </c>
      <c r="R10" s="30"/>
      <c r="S10" s="44" t="str">
        <f>"302,5"</f>
        <v>302,5</v>
      </c>
      <c r="T10" s="12" t="str">
        <f>"337,2572"</f>
        <v>337,2572</v>
      </c>
      <c r="U10" s="10" t="s">
        <v>472</v>
      </c>
    </row>
    <row r="11" spans="1:21">
      <c r="A11" s="41" t="s">
        <v>32</v>
      </c>
      <c r="B11" s="36" t="s">
        <v>137</v>
      </c>
      <c r="C11" s="36" t="s">
        <v>138</v>
      </c>
      <c r="D11" s="36" t="s">
        <v>139</v>
      </c>
      <c r="E11" s="37" t="s">
        <v>509</v>
      </c>
      <c r="F11" s="36" t="s">
        <v>480</v>
      </c>
      <c r="G11" s="39" t="s">
        <v>140</v>
      </c>
      <c r="H11" s="40" t="s">
        <v>17</v>
      </c>
      <c r="I11" s="39" t="s">
        <v>17</v>
      </c>
      <c r="J11" s="41"/>
      <c r="K11" s="39" t="s">
        <v>129</v>
      </c>
      <c r="L11" s="39" t="s">
        <v>8</v>
      </c>
      <c r="M11" s="39" t="s">
        <v>135</v>
      </c>
      <c r="N11" s="41"/>
      <c r="O11" s="39" t="s">
        <v>134</v>
      </c>
      <c r="P11" s="39" t="s">
        <v>111</v>
      </c>
      <c r="Q11" s="40" t="s">
        <v>77</v>
      </c>
      <c r="R11" s="41"/>
      <c r="S11" s="45" t="str">
        <f>"277,5"</f>
        <v>277,5</v>
      </c>
      <c r="T11" s="38" t="str">
        <f>"311,7990"</f>
        <v>311,7990</v>
      </c>
      <c r="U11" s="36" t="s">
        <v>473</v>
      </c>
    </row>
    <row r="12" spans="1:21">
      <c r="A12" s="32" t="s">
        <v>189</v>
      </c>
      <c r="B12" s="13" t="s">
        <v>141</v>
      </c>
      <c r="C12" s="13" t="s">
        <v>142</v>
      </c>
      <c r="D12" s="13" t="s">
        <v>65</v>
      </c>
      <c r="E12" s="14" t="s">
        <v>509</v>
      </c>
      <c r="F12" s="13" t="s">
        <v>480</v>
      </c>
      <c r="G12" s="34" t="s">
        <v>143</v>
      </c>
      <c r="H12" s="34" t="s">
        <v>12</v>
      </c>
      <c r="I12" s="33" t="s">
        <v>144</v>
      </c>
      <c r="J12" s="32"/>
      <c r="K12" s="34" t="s">
        <v>8</v>
      </c>
      <c r="L12" s="33" t="s">
        <v>135</v>
      </c>
      <c r="M12" s="34" t="s">
        <v>135</v>
      </c>
      <c r="N12" s="32"/>
      <c r="O12" s="34" t="s">
        <v>130</v>
      </c>
      <c r="P12" s="34" t="s">
        <v>134</v>
      </c>
      <c r="Q12" s="33" t="s">
        <v>145</v>
      </c>
      <c r="R12" s="32"/>
      <c r="S12" s="46" t="str">
        <f>"252,5"</f>
        <v>252,5</v>
      </c>
      <c r="T12" s="15" t="str">
        <f>"284,8453"</f>
        <v>284,8453</v>
      </c>
      <c r="U12" s="13" t="s">
        <v>473</v>
      </c>
    </row>
    <row r="14" spans="1:21" ht="16">
      <c r="A14" s="47" t="s">
        <v>146</v>
      </c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</row>
    <row r="15" spans="1:21">
      <c r="A15" s="30" t="s">
        <v>61</v>
      </c>
      <c r="B15" s="10" t="s">
        <v>147</v>
      </c>
      <c r="C15" s="10" t="s">
        <v>148</v>
      </c>
      <c r="D15" s="10" t="s">
        <v>149</v>
      </c>
      <c r="E15" s="11" t="s">
        <v>510</v>
      </c>
      <c r="F15" s="10" t="s">
        <v>482</v>
      </c>
      <c r="G15" s="35" t="s">
        <v>140</v>
      </c>
      <c r="H15" s="35" t="s">
        <v>140</v>
      </c>
      <c r="I15" s="35" t="s">
        <v>140</v>
      </c>
      <c r="J15" s="30"/>
      <c r="K15" s="35"/>
      <c r="L15" s="30"/>
      <c r="M15" s="30"/>
      <c r="N15" s="30"/>
      <c r="O15" s="35"/>
      <c r="P15" s="30"/>
      <c r="Q15" s="30"/>
      <c r="R15" s="30"/>
      <c r="S15" s="44">
        <v>0</v>
      </c>
      <c r="T15" s="12" t="str">
        <f>"0,0000"</f>
        <v>0,0000</v>
      </c>
      <c r="U15" s="10" t="s">
        <v>446</v>
      </c>
    </row>
    <row r="16" spans="1:21">
      <c r="A16" s="32" t="s">
        <v>31</v>
      </c>
      <c r="B16" s="13" t="s">
        <v>150</v>
      </c>
      <c r="C16" s="13" t="s">
        <v>151</v>
      </c>
      <c r="D16" s="13" t="s">
        <v>152</v>
      </c>
      <c r="E16" s="14" t="s">
        <v>509</v>
      </c>
      <c r="F16" s="13" t="s">
        <v>480</v>
      </c>
      <c r="G16" s="33" t="s">
        <v>8</v>
      </c>
      <c r="H16" s="34" t="s">
        <v>8</v>
      </c>
      <c r="I16" s="34" t="s">
        <v>135</v>
      </c>
      <c r="J16" s="32"/>
      <c r="K16" s="34" t="s">
        <v>153</v>
      </c>
      <c r="L16" s="33" t="s">
        <v>67</v>
      </c>
      <c r="M16" s="33" t="s">
        <v>67</v>
      </c>
      <c r="N16" s="32"/>
      <c r="O16" s="34" t="s">
        <v>41</v>
      </c>
      <c r="P16" s="34" t="s">
        <v>154</v>
      </c>
      <c r="Q16" s="34" t="s">
        <v>12</v>
      </c>
      <c r="R16" s="32"/>
      <c r="S16" s="46" t="str">
        <f>"172,5"</f>
        <v>172,5</v>
      </c>
      <c r="T16" s="15" t="str">
        <f>"176,6228"</f>
        <v>176,6228</v>
      </c>
      <c r="U16" s="13" t="s">
        <v>474</v>
      </c>
    </row>
    <row r="18" spans="1:21" ht="16">
      <c r="A18" s="47" t="s">
        <v>62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</row>
    <row r="19" spans="1:21">
      <c r="A19" s="27" t="s">
        <v>31</v>
      </c>
      <c r="B19" s="7" t="s">
        <v>155</v>
      </c>
      <c r="C19" s="7" t="s">
        <v>156</v>
      </c>
      <c r="D19" s="7" t="s">
        <v>133</v>
      </c>
      <c r="E19" s="8" t="s">
        <v>511</v>
      </c>
      <c r="F19" s="7" t="s">
        <v>480</v>
      </c>
      <c r="G19" s="28" t="s">
        <v>19</v>
      </c>
      <c r="H19" s="28" t="s">
        <v>145</v>
      </c>
      <c r="I19" s="28" t="s">
        <v>77</v>
      </c>
      <c r="J19" s="27"/>
      <c r="K19" s="28" t="s">
        <v>17</v>
      </c>
      <c r="L19" s="28" t="s">
        <v>18</v>
      </c>
      <c r="M19" s="28" t="s">
        <v>19</v>
      </c>
      <c r="N19" s="27"/>
      <c r="O19" s="28" t="s">
        <v>112</v>
      </c>
      <c r="P19" s="28" t="s">
        <v>81</v>
      </c>
      <c r="Q19" s="29" t="s">
        <v>82</v>
      </c>
      <c r="R19" s="27"/>
      <c r="S19" s="43" t="str">
        <f>"410,0"</f>
        <v>410,0</v>
      </c>
      <c r="T19" s="9" t="str">
        <f>"349,6890"</f>
        <v>349,6890</v>
      </c>
      <c r="U19" s="7"/>
    </row>
    <row r="21" spans="1:21" ht="16">
      <c r="A21" s="47" t="s">
        <v>157</v>
      </c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</row>
    <row r="22" spans="1:21">
      <c r="A22" s="27" t="s">
        <v>31</v>
      </c>
      <c r="B22" s="7" t="s">
        <v>158</v>
      </c>
      <c r="C22" s="7" t="s">
        <v>159</v>
      </c>
      <c r="D22" s="7" t="s">
        <v>160</v>
      </c>
      <c r="E22" s="8" t="s">
        <v>509</v>
      </c>
      <c r="F22" s="7" t="s">
        <v>480</v>
      </c>
      <c r="G22" s="29" t="s">
        <v>58</v>
      </c>
      <c r="H22" s="28" t="s">
        <v>86</v>
      </c>
      <c r="I22" s="29" t="s">
        <v>94</v>
      </c>
      <c r="J22" s="27"/>
      <c r="K22" s="28" t="s">
        <v>78</v>
      </c>
      <c r="L22" s="28" t="s">
        <v>48</v>
      </c>
      <c r="M22" s="29" t="s">
        <v>87</v>
      </c>
      <c r="N22" s="27"/>
      <c r="O22" s="28" t="s">
        <v>161</v>
      </c>
      <c r="P22" s="29" t="s">
        <v>162</v>
      </c>
      <c r="Q22" s="29" t="s">
        <v>162</v>
      </c>
      <c r="R22" s="27"/>
      <c r="S22" s="43" t="str">
        <f>"570,0"</f>
        <v>570,0</v>
      </c>
      <c r="T22" s="9" t="str">
        <f>"410,0010"</f>
        <v>410,0010</v>
      </c>
      <c r="U22" s="7"/>
    </row>
    <row r="24" spans="1:21" ht="16">
      <c r="A24" s="47" t="s">
        <v>36</v>
      </c>
      <c r="B24" s="4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</row>
    <row r="25" spans="1:21">
      <c r="A25" s="30" t="s">
        <v>31</v>
      </c>
      <c r="B25" s="10" t="s">
        <v>163</v>
      </c>
      <c r="C25" s="10" t="s">
        <v>164</v>
      </c>
      <c r="D25" s="10" t="s">
        <v>165</v>
      </c>
      <c r="E25" s="11" t="s">
        <v>508</v>
      </c>
      <c r="F25" s="10" t="s">
        <v>483</v>
      </c>
      <c r="G25" s="31" t="s">
        <v>96</v>
      </c>
      <c r="H25" s="31" t="s">
        <v>58</v>
      </c>
      <c r="I25" s="31" t="s">
        <v>94</v>
      </c>
      <c r="J25" s="30"/>
      <c r="K25" s="31" t="s">
        <v>77</v>
      </c>
      <c r="L25" s="31" t="s">
        <v>48</v>
      </c>
      <c r="M25" s="31" t="s">
        <v>166</v>
      </c>
      <c r="N25" s="30"/>
      <c r="O25" s="31" t="s">
        <v>59</v>
      </c>
      <c r="P25" s="31" t="s">
        <v>116</v>
      </c>
      <c r="Q25" s="31" t="s">
        <v>103</v>
      </c>
      <c r="R25" s="30"/>
      <c r="S25" s="44" t="str">
        <f>"602,5"</f>
        <v>602,5</v>
      </c>
      <c r="T25" s="12" t="str">
        <f>"408,7962"</f>
        <v>408,7962</v>
      </c>
      <c r="U25" s="10" t="s">
        <v>470</v>
      </c>
    </row>
    <row r="26" spans="1:21">
      <c r="A26" s="41" t="s">
        <v>32</v>
      </c>
      <c r="B26" s="36" t="s">
        <v>167</v>
      </c>
      <c r="C26" s="36" t="s">
        <v>168</v>
      </c>
      <c r="D26" s="36" t="s">
        <v>169</v>
      </c>
      <c r="E26" s="37" t="s">
        <v>508</v>
      </c>
      <c r="F26" s="36" t="s">
        <v>484</v>
      </c>
      <c r="G26" s="39" t="s">
        <v>40</v>
      </c>
      <c r="H26" s="39" t="s">
        <v>111</v>
      </c>
      <c r="I26" s="40" t="s">
        <v>77</v>
      </c>
      <c r="J26" s="41"/>
      <c r="K26" s="39" t="s">
        <v>154</v>
      </c>
      <c r="L26" s="39" t="s">
        <v>143</v>
      </c>
      <c r="M26" s="40" t="s">
        <v>11</v>
      </c>
      <c r="N26" s="41"/>
      <c r="O26" s="39" t="s">
        <v>48</v>
      </c>
      <c r="P26" s="40" t="s">
        <v>49</v>
      </c>
      <c r="Q26" s="40" t="s">
        <v>112</v>
      </c>
      <c r="R26" s="41"/>
      <c r="S26" s="45" t="str">
        <f>"340,0"</f>
        <v>340,0</v>
      </c>
      <c r="T26" s="38" t="str">
        <f>"233,0360"</f>
        <v>233,0360</v>
      </c>
      <c r="U26" s="36"/>
    </row>
    <row r="27" spans="1:21">
      <c r="A27" s="41" t="s">
        <v>31</v>
      </c>
      <c r="B27" s="36" t="s">
        <v>170</v>
      </c>
      <c r="C27" s="36" t="s">
        <v>171</v>
      </c>
      <c r="D27" s="36" t="s">
        <v>172</v>
      </c>
      <c r="E27" s="37" t="s">
        <v>511</v>
      </c>
      <c r="F27" s="36" t="s">
        <v>480</v>
      </c>
      <c r="G27" s="39" t="s">
        <v>81</v>
      </c>
      <c r="H27" s="40" t="s">
        <v>104</v>
      </c>
      <c r="I27" s="39" t="s">
        <v>104</v>
      </c>
      <c r="J27" s="41"/>
      <c r="K27" s="40" t="s">
        <v>40</v>
      </c>
      <c r="L27" s="39" t="s">
        <v>173</v>
      </c>
      <c r="M27" s="40" t="s">
        <v>174</v>
      </c>
      <c r="N27" s="41"/>
      <c r="O27" s="40" t="s">
        <v>81</v>
      </c>
      <c r="P27" s="39" t="s">
        <v>104</v>
      </c>
      <c r="Q27" s="40" t="s">
        <v>58</v>
      </c>
      <c r="R27" s="41"/>
      <c r="S27" s="45" t="str">
        <f>"497,5"</f>
        <v>497,5</v>
      </c>
      <c r="T27" s="38" t="str">
        <f>"336,0115"</f>
        <v>336,0115</v>
      </c>
      <c r="U27" s="36"/>
    </row>
    <row r="28" spans="1:21">
      <c r="A28" s="32" t="s">
        <v>31</v>
      </c>
      <c r="B28" s="13" t="s">
        <v>175</v>
      </c>
      <c r="C28" s="13" t="s">
        <v>176</v>
      </c>
      <c r="D28" s="13" t="s">
        <v>177</v>
      </c>
      <c r="E28" s="14" t="s">
        <v>509</v>
      </c>
      <c r="F28" s="13" t="s">
        <v>480</v>
      </c>
      <c r="G28" s="34" t="s">
        <v>81</v>
      </c>
      <c r="H28" s="34" t="s">
        <v>96</v>
      </c>
      <c r="I28" s="32"/>
      <c r="J28" s="32"/>
      <c r="K28" s="34" t="s">
        <v>40</v>
      </c>
      <c r="L28" s="34" t="s">
        <v>111</v>
      </c>
      <c r="M28" s="32"/>
      <c r="N28" s="32"/>
      <c r="O28" s="34" t="s">
        <v>178</v>
      </c>
      <c r="P28" s="34" t="s">
        <v>94</v>
      </c>
      <c r="Q28" s="33" t="s">
        <v>56</v>
      </c>
      <c r="R28" s="32"/>
      <c r="S28" s="46" t="str">
        <f>"515,0"</f>
        <v>515,0</v>
      </c>
      <c r="T28" s="15" t="str">
        <f>"348,6035"</f>
        <v>348,6035</v>
      </c>
      <c r="U28" s="13" t="s">
        <v>475</v>
      </c>
    </row>
    <row r="30" spans="1:21" ht="16">
      <c r="A30" s="47" t="s">
        <v>13</v>
      </c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</row>
    <row r="31" spans="1:21">
      <c r="A31" s="30" t="s">
        <v>31</v>
      </c>
      <c r="B31" s="10" t="s">
        <v>179</v>
      </c>
      <c r="C31" s="10" t="s">
        <v>180</v>
      </c>
      <c r="D31" s="10" t="s">
        <v>181</v>
      </c>
      <c r="E31" s="11" t="s">
        <v>511</v>
      </c>
      <c r="F31" s="10" t="s">
        <v>484</v>
      </c>
      <c r="G31" s="31" t="s">
        <v>48</v>
      </c>
      <c r="H31" s="31" t="s">
        <v>49</v>
      </c>
      <c r="I31" s="31" t="s">
        <v>112</v>
      </c>
      <c r="J31" s="30"/>
      <c r="K31" s="31" t="s">
        <v>124</v>
      </c>
      <c r="L31" s="31" t="s">
        <v>18</v>
      </c>
      <c r="M31" s="35" t="s">
        <v>19</v>
      </c>
      <c r="N31" s="30"/>
      <c r="O31" s="31" t="s">
        <v>96</v>
      </c>
      <c r="P31" s="31" t="s">
        <v>178</v>
      </c>
      <c r="Q31" s="31" t="s">
        <v>58</v>
      </c>
      <c r="R31" s="30"/>
      <c r="S31" s="44" t="str">
        <f>"460,0"</f>
        <v>460,0</v>
      </c>
      <c r="T31" s="12" t="str">
        <f>"288,6960"</f>
        <v>288,6960</v>
      </c>
      <c r="U31" s="10" t="s">
        <v>476</v>
      </c>
    </row>
    <row r="32" spans="1:21">
      <c r="A32" s="32" t="s">
        <v>31</v>
      </c>
      <c r="B32" s="13" t="s">
        <v>182</v>
      </c>
      <c r="C32" s="13" t="s">
        <v>183</v>
      </c>
      <c r="D32" s="13" t="s">
        <v>184</v>
      </c>
      <c r="E32" s="14" t="s">
        <v>509</v>
      </c>
      <c r="F32" s="13" t="s">
        <v>485</v>
      </c>
      <c r="G32" s="34" t="s">
        <v>178</v>
      </c>
      <c r="H32" s="34" t="s">
        <v>94</v>
      </c>
      <c r="I32" s="33" t="s">
        <v>56</v>
      </c>
      <c r="J32" s="32"/>
      <c r="K32" s="34" t="s">
        <v>77</v>
      </c>
      <c r="L32" s="33" t="s">
        <v>48</v>
      </c>
      <c r="M32" s="33" t="s">
        <v>48</v>
      </c>
      <c r="N32" s="32"/>
      <c r="O32" s="34" t="s">
        <v>94</v>
      </c>
      <c r="P32" s="34" t="s">
        <v>88</v>
      </c>
      <c r="Q32" s="33" t="s">
        <v>47</v>
      </c>
      <c r="R32" s="32"/>
      <c r="S32" s="46" t="str">
        <f>"570,0"</f>
        <v>570,0</v>
      </c>
      <c r="T32" s="15" t="str">
        <f>"351,6330"</f>
        <v>351,6330</v>
      </c>
      <c r="U32" s="13"/>
    </row>
  </sheetData>
  <mergeCells count="20">
    <mergeCell ref="S3:S4"/>
    <mergeCell ref="T3:T4"/>
    <mergeCell ref="U3:U4"/>
    <mergeCell ref="A5:R5"/>
    <mergeCell ref="A1:U2"/>
    <mergeCell ref="A3:A4"/>
    <mergeCell ref="C3:C4"/>
    <mergeCell ref="D3:D4"/>
    <mergeCell ref="E3:E4"/>
    <mergeCell ref="F3:F4"/>
    <mergeCell ref="G3:J3"/>
    <mergeCell ref="K3:N3"/>
    <mergeCell ref="O3:R3"/>
    <mergeCell ref="B3:B4"/>
    <mergeCell ref="A30:R30"/>
    <mergeCell ref="A9:R9"/>
    <mergeCell ref="A14:R14"/>
    <mergeCell ref="A18:R18"/>
    <mergeCell ref="A21:R21"/>
    <mergeCell ref="A24:R2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4"/>
  <sheetViews>
    <sheetView workbookViewId="0">
      <selection activeCell="E25" sqref="E25"/>
    </sheetView>
  </sheetViews>
  <sheetFormatPr baseColWidth="10" defaultColWidth="9.1640625" defaultRowHeight="13"/>
  <cols>
    <col min="1" max="1" width="7.5" style="5" bestFit="1" customWidth="1"/>
    <col min="2" max="2" width="19.5" style="5" bestFit="1" customWidth="1"/>
    <col min="3" max="3" width="27.5" style="5" bestFit="1" customWidth="1"/>
    <col min="4" max="4" width="21.5" style="5" bestFit="1" customWidth="1"/>
    <col min="5" max="5" width="10.5" style="16" bestFit="1" customWidth="1"/>
    <col min="6" max="6" width="15.5" style="5" bestFit="1" customWidth="1"/>
    <col min="7" max="9" width="5.5" style="25" customWidth="1"/>
    <col min="10" max="10" width="4.83203125" style="25" customWidth="1"/>
    <col min="11" max="11" width="10.5" style="6" bestFit="1" customWidth="1"/>
    <col min="12" max="12" width="8.5" style="6" bestFit="1" customWidth="1"/>
    <col min="13" max="13" width="20.83203125" style="5" customWidth="1"/>
    <col min="14" max="16384" width="9.1640625" style="3"/>
  </cols>
  <sheetData>
    <row r="1" spans="1:13" s="2" customFormat="1" ht="29" customHeight="1">
      <c r="A1" s="57" t="s">
        <v>458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s="2" customFormat="1" ht="62" customHeight="1" thickBot="1">
      <c r="A2" s="61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1" customFormat="1" ht="12.75" customHeight="1">
      <c r="A3" s="65" t="s">
        <v>505</v>
      </c>
      <c r="B3" s="70" t="s">
        <v>0</v>
      </c>
      <c r="C3" s="67" t="s">
        <v>506</v>
      </c>
      <c r="D3" s="67" t="s">
        <v>5</v>
      </c>
      <c r="E3" s="51" t="s">
        <v>507</v>
      </c>
      <c r="F3" s="69" t="s">
        <v>6</v>
      </c>
      <c r="G3" s="69" t="s">
        <v>34</v>
      </c>
      <c r="H3" s="69"/>
      <c r="I3" s="69"/>
      <c r="J3" s="69"/>
      <c r="K3" s="51" t="s">
        <v>30</v>
      </c>
      <c r="L3" s="51" t="s">
        <v>3</v>
      </c>
      <c r="M3" s="53" t="s">
        <v>2</v>
      </c>
    </row>
    <row r="4" spans="1:13" s="1" customFormat="1" ht="21" customHeight="1" thickBot="1">
      <c r="A4" s="66"/>
      <c r="B4" s="71"/>
      <c r="C4" s="68"/>
      <c r="D4" s="68"/>
      <c r="E4" s="52"/>
      <c r="F4" s="68"/>
      <c r="G4" s="4">
        <v>1</v>
      </c>
      <c r="H4" s="4">
        <v>2</v>
      </c>
      <c r="I4" s="4">
        <v>3</v>
      </c>
      <c r="J4" s="4" t="s">
        <v>4</v>
      </c>
      <c r="K4" s="52"/>
      <c r="L4" s="52"/>
      <c r="M4" s="54"/>
    </row>
    <row r="5" spans="1:13" ht="16">
      <c r="A5" s="55" t="s">
        <v>119</v>
      </c>
      <c r="B5" s="55"/>
      <c r="C5" s="56"/>
      <c r="D5" s="56"/>
      <c r="E5" s="56"/>
      <c r="F5" s="56"/>
      <c r="G5" s="56"/>
      <c r="H5" s="56"/>
      <c r="I5" s="56"/>
      <c r="J5" s="56"/>
    </row>
    <row r="6" spans="1:13">
      <c r="A6" s="30" t="s">
        <v>31</v>
      </c>
      <c r="B6" s="10" t="s">
        <v>291</v>
      </c>
      <c r="C6" s="10" t="s">
        <v>292</v>
      </c>
      <c r="D6" s="10" t="s">
        <v>293</v>
      </c>
      <c r="E6" s="11" t="s">
        <v>511</v>
      </c>
      <c r="F6" s="10" t="s">
        <v>480</v>
      </c>
      <c r="G6" s="31" t="s">
        <v>12</v>
      </c>
      <c r="H6" s="35" t="s">
        <v>21</v>
      </c>
      <c r="I6" s="35" t="s">
        <v>21</v>
      </c>
      <c r="J6" s="30"/>
      <c r="K6" s="12" t="str">
        <f>"80,0"</f>
        <v>80,0</v>
      </c>
      <c r="L6" s="12" t="str">
        <f>"83,8720"</f>
        <v>83,8720</v>
      </c>
      <c r="M6" s="10" t="s">
        <v>469</v>
      </c>
    </row>
    <row r="7" spans="1:13">
      <c r="A7" s="32" t="s">
        <v>31</v>
      </c>
      <c r="B7" s="13" t="s">
        <v>291</v>
      </c>
      <c r="C7" s="13" t="s">
        <v>294</v>
      </c>
      <c r="D7" s="13" t="s">
        <v>293</v>
      </c>
      <c r="E7" s="14" t="s">
        <v>509</v>
      </c>
      <c r="F7" s="13" t="s">
        <v>480</v>
      </c>
      <c r="G7" s="34" t="s">
        <v>12</v>
      </c>
      <c r="H7" s="33" t="s">
        <v>21</v>
      </c>
      <c r="I7" s="33" t="s">
        <v>21</v>
      </c>
      <c r="J7" s="32"/>
      <c r="K7" s="15" t="str">
        <f>"80,0"</f>
        <v>80,0</v>
      </c>
      <c r="L7" s="15" t="str">
        <f>"83,8720"</f>
        <v>83,8720</v>
      </c>
      <c r="M7" s="13" t="s">
        <v>469</v>
      </c>
    </row>
    <row r="9" spans="1:13" ht="16">
      <c r="A9" s="47" t="s">
        <v>146</v>
      </c>
      <c r="B9" s="47"/>
      <c r="C9" s="48"/>
      <c r="D9" s="48"/>
      <c r="E9" s="48"/>
      <c r="F9" s="48"/>
      <c r="G9" s="48"/>
      <c r="H9" s="48"/>
      <c r="I9" s="48"/>
      <c r="J9" s="48"/>
    </row>
    <row r="10" spans="1:13">
      <c r="A10" s="27" t="s">
        <v>31</v>
      </c>
      <c r="B10" s="7" t="s">
        <v>295</v>
      </c>
      <c r="C10" s="7" t="s">
        <v>296</v>
      </c>
      <c r="D10" s="7" t="s">
        <v>203</v>
      </c>
      <c r="E10" s="8" t="s">
        <v>511</v>
      </c>
      <c r="F10" s="7" t="s">
        <v>480</v>
      </c>
      <c r="G10" s="28" t="s">
        <v>80</v>
      </c>
      <c r="H10" s="28" t="s">
        <v>95</v>
      </c>
      <c r="I10" s="28" t="s">
        <v>81</v>
      </c>
      <c r="J10" s="27"/>
      <c r="K10" s="9" t="str">
        <f>"170,0"</f>
        <v>170,0</v>
      </c>
      <c r="L10" s="9" t="str">
        <f>"129,7100"</f>
        <v>129,7100</v>
      </c>
      <c r="M10" s="7" t="s">
        <v>439</v>
      </c>
    </row>
    <row r="12" spans="1:13" ht="16">
      <c r="A12" s="47" t="s">
        <v>36</v>
      </c>
      <c r="B12" s="47"/>
      <c r="C12" s="48"/>
      <c r="D12" s="48"/>
      <c r="E12" s="48"/>
      <c r="F12" s="48"/>
      <c r="G12" s="48"/>
      <c r="H12" s="48"/>
      <c r="I12" s="48"/>
      <c r="J12" s="48"/>
    </row>
    <row r="13" spans="1:13">
      <c r="A13" s="30" t="s">
        <v>31</v>
      </c>
      <c r="B13" s="10" t="s">
        <v>259</v>
      </c>
      <c r="C13" s="10" t="s">
        <v>297</v>
      </c>
      <c r="D13" s="10" t="s">
        <v>9</v>
      </c>
      <c r="E13" s="11" t="s">
        <v>509</v>
      </c>
      <c r="F13" s="10" t="s">
        <v>480</v>
      </c>
      <c r="G13" s="31" t="s">
        <v>96</v>
      </c>
      <c r="H13" s="35" t="s">
        <v>210</v>
      </c>
      <c r="I13" s="35" t="s">
        <v>210</v>
      </c>
      <c r="J13" s="30"/>
      <c r="K13" s="12" t="str">
        <f>"180,0"</f>
        <v>180,0</v>
      </c>
      <c r="L13" s="12" t="str">
        <f>"119,0160"</f>
        <v>119,0160</v>
      </c>
      <c r="M13" s="10"/>
    </row>
    <row r="14" spans="1:13">
      <c r="A14" s="41" t="s">
        <v>32</v>
      </c>
      <c r="B14" s="36" t="s">
        <v>298</v>
      </c>
      <c r="C14" s="36" t="s">
        <v>299</v>
      </c>
      <c r="D14" s="36" t="s">
        <v>258</v>
      </c>
      <c r="E14" s="37" t="s">
        <v>509</v>
      </c>
      <c r="F14" s="36" t="s">
        <v>480</v>
      </c>
      <c r="G14" s="39" t="s">
        <v>112</v>
      </c>
      <c r="H14" s="39" t="s">
        <v>82</v>
      </c>
      <c r="I14" s="41"/>
      <c r="J14" s="41"/>
      <c r="K14" s="38" t="str">
        <f>"175,0"</f>
        <v>175,0</v>
      </c>
      <c r="L14" s="38" t="str">
        <f>"113,2512"</f>
        <v>113,2512</v>
      </c>
      <c r="M14" s="36" t="s">
        <v>300</v>
      </c>
    </row>
    <row r="15" spans="1:13">
      <c r="A15" s="32" t="s">
        <v>31</v>
      </c>
      <c r="B15" s="13" t="s">
        <v>259</v>
      </c>
      <c r="C15" s="13" t="s">
        <v>260</v>
      </c>
      <c r="D15" s="13" t="s">
        <v>9</v>
      </c>
      <c r="E15" s="14" t="s">
        <v>513</v>
      </c>
      <c r="F15" s="13" t="s">
        <v>480</v>
      </c>
      <c r="G15" s="34" t="s">
        <v>96</v>
      </c>
      <c r="H15" s="33" t="s">
        <v>210</v>
      </c>
      <c r="I15" s="33" t="s">
        <v>210</v>
      </c>
      <c r="J15" s="32"/>
      <c r="K15" s="15" t="str">
        <f>"180,0"</f>
        <v>180,0</v>
      </c>
      <c r="L15" s="15" t="str">
        <f>"120,2062"</f>
        <v>120,2062</v>
      </c>
      <c r="M15" s="13"/>
    </row>
    <row r="17" spans="1:13" ht="16">
      <c r="A17" s="47" t="s">
        <v>90</v>
      </c>
      <c r="B17" s="47"/>
      <c r="C17" s="48"/>
      <c r="D17" s="48"/>
      <c r="E17" s="48"/>
      <c r="F17" s="48"/>
      <c r="G17" s="48"/>
      <c r="H17" s="48"/>
      <c r="I17" s="48"/>
      <c r="J17" s="48"/>
    </row>
    <row r="18" spans="1:13">
      <c r="A18" s="27" t="s">
        <v>31</v>
      </c>
      <c r="B18" s="7" t="s">
        <v>301</v>
      </c>
      <c r="C18" s="7" t="s">
        <v>302</v>
      </c>
      <c r="D18" s="7" t="s">
        <v>303</v>
      </c>
      <c r="E18" s="8" t="s">
        <v>509</v>
      </c>
      <c r="F18" s="7" t="s">
        <v>480</v>
      </c>
      <c r="G18" s="29" t="s">
        <v>88</v>
      </c>
      <c r="H18" s="28" t="s">
        <v>88</v>
      </c>
      <c r="I18" s="29" t="s">
        <v>304</v>
      </c>
      <c r="J18" s="27"/>
      <c r="K18" s="9" t="str">
        <f>"230,0"</f>
        <v>230,0</v>
      </c>
      <c r="L18" s="9" t="str">
        <f>"142,0710"</f>
        <v>142,0710</v>
      </c>
      <c r="M18" s="7"/>
    </row>
    <row r="20" spans="1:13" ht="16">
      <c r="A20" s="47" t="s">
        <v>13</v>
      </c>
      <c r="B20" s="47"/>
      <c r="C20" s="48"/>
      <c r="D20" s="48"/>
      <c r="E20" s="48"/>
      <c r="F20" s="48"/>
      <c r="G20" s="48"/>
      <c r="H20" s="48"/>
      <c r="I20" s="48"/>
      <c r="J20" s="48"/>
    </row>
    <row r="21" spans="1:13">
      <c r="A21" s="27" t="s">
        <v>31</v>
      </c>
      <c r="B21" s="7" t="s">
        <v>305</v>
      </c>
      <c r="C21" s="7" t="s">
        <v>306</v>
      </c>
      <c r="D21" s="7" t="s">
        <v>307</v>
      </c>
      <c r="E21" s="8" t="s">
        <v>509</v>
      </c>
      <c r="F21" s="7" t="s">
        <v>480</v>
      </c>
      <c r="G21" s="28" t="s">
        <v>94</v>
      </c>
      <c r="H21" s="28" t="s">
        <v>59</v>
      </c>
      <c r="I21" s="29" t="s">
        <v>88</v>
      </c>
      <c r="J21" s="27"/>
      <c r="K21" s="9" t="str">
        <f>"220,0"</f>
        <v>220,0</v>
      </c>
      <c r="L21" s="9" t="str">
        <f>"128,8870"</f>
        <v>128,8870</v>
      </c>
      <c r="M21" s="7"/>
    </row>
    <row r="23" spans="1:13" ht="16">
      <c r="A23" s="47" t="s">
        <v>185</v>
      </c>
      <c r="B23" s="47"/>
      <c r="C23" s="48"/>
      <c r="D23" s="48"/>
      <c r="E23" s="48"/>
      <c r="F23" s="48"/>
      <c r="G23" s="48"/>
      <c r="H23" s="48"/>
      <c r="I23" s="48"/>
      <c r="J23" s="48"/>
    </row>
    <row r="24" spans="1:13">
      <c r="A24" s="27" t="s">
        <v>31</v>
      </c>
      <c r="B24" s="7" t="s">
        <v>308</v>
      </c>
      <c r="C24" s="7" t="s">
        <v>309</v>
      </c>
      <c r="D24" s="7" t="s">
        <v>310</v>
      </c>
      <c r="E24" s="8" t="s">
        <v>509</v>
      </c>
      <c r="F24" s="7" t="s">
        <v>480</v>
      </c>
      <c r="G24" s="28" t="s">
        <v>88</v>
      </c>
      <c r="H24" s="28" t="s">
        <v>47</v>
      </c>
      <c r="I24" s="28" t="s">
        <v>89</v>
      </c>
      <c r="J24" s="27"/>
      <c r="K24" s="9" t="str">
        <f>"260,0"</f>
        <v>260,0</v>
      </c>
      <c r="L24" s="9" t="str">
        <f>"143,5460"</f>
        <v>143,5460</v>
      </c>
      <c r="M24" s="7"/>
    </row>
  </sheetData>
  <mergeCells count="17">
    <mergeCell ref="A1:M2"/>
    <mergeCell ref="A3:A4"/>
    <mergeCell ref="C3:C4"/>
    <mergeCell ref="D3:D4"/>
    <mergeCell ref="E3:E4"/>
    <mergeCell ref="F3:F4"/>
    <mergeCell ref="G3:J3"/>
    <mergeCell ref="B3:B4"/>
    <mergeCell ref="K3:K4"/>
    <mergeCell ref="L3:L4"/>
    <mergeCell ref="M3:M4"/>
    <mergeCell ref="A23:J23"/>
    <mergeCell ref="A5:J5"/>
    <mergeCell ref="A9:J9"/>
    <mergeCell ref="A12:J12"/>
    <mergeCell ref="A17:J17"/>
    <mergeCell ref="A20:J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8"/>
  <sheetViews>
    <sheetView workbookViewId="0">
      <selection activeCell="E7" sqref="E7"/>
    </sheetView>
  </sheetViews>
  <sheetFormatPr baseColWidth="10" defaultColWidth="9.1640625" defaultRowHeight="13"/>
  <cols>
    <col min="1" max="1" width="7.5" style="5" bestFit="1" customWidth="1"/>
    <col min="2" max="2" width="19.1640625" style="5" customWidth="1"/>
    <col min="3" max="3" width="26.33203125" style="5" bestFit="1" customWidth="1"/>
    <col min="4" max="4" width="21.5" style="5" bestFit="1" customWidth="1"/>
    <col min="5" max="5" width="10.5" style="16" bestFit="1" customWidth="1"/>
    <col min="6" max="6" width="15.5" style="5" bestFit="1" customWidth="1"/>
    <col min="7" max="9" width="5.5" style="25" customWidth="1"/>
    <col min="10" max="10" width="4.83203125" style="25" customWidth="1"/>
    <col min="11" max="11" width="10.5" style="6" bestFit="1" customWidth="1"/>
    <col min="12" max="12" width="7.5" style="6" bestFit="1" customWidth="1"/>
    <col min="13" max="13" width="17.6640625" style="5" customWidth="1"/>
    <col min="14" max="16384" width="9.1640625" style="3"/>
  </cols>
  <sheetData>
    <row r="1" spans="1:13" s="2" customFormat="1" ht="29" customHeight="1">
      <c r="A1" s="57" t="s">
        <v>462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s="2" customFormat="1" ht="62" customHeight="1" thickBot="1">
      <c r="A2" s="61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1" customFormat="1" ht="12.75" customHeight="1">
      <c r="A3" s="65" t="s">
        <v>505</v>
      </c>
      <c r="B3" s="70" t="s">
        <v>0</v>
      </c>
      <c r="C3" s="67" t="s">
        <v>506</v>
      </c>
      <c r="D3" s="67" t="s">
        <v>5</v>
      </c>
      <c r="E3" s="51" t="s">
        <v>507</v>
      </c>
      <c r="F3" s="69" t="s">
        <v>6</v>
      </c>
      <c r="G3" s="69" t="s">
        <v>34</v>
      </c>
      <c r="H3" s="69"/>
      <c r="I3" s="69"/>
      <c r="J3" s="69"/>
      <c r="K3" s="51" t="s">
        <v>30</v>
      </c>
      <c r="L3" s="51" t="s">
        <v>3</v>
      </c>
      <c r="M3" s="53" t="s">
        <v>2</v>
      </c>
    </row>
    <row r="4" spans="1:13" s="1" customFormat="1" ht="21" customHeight="1" thickBot="1">
      <c r="A4" s="66"/>
      <c r="B4" s="71"/>
      <c r="C4" s="68"/>
      <c r="D4" s="68"/>
      <c r="E4" s="52"/>
      <c r="F4" s="68"/>
      <c r="G4" s="4">
        <v>1</v>
      </c>
      <c r="H4" s="4">
        <v>2</v>
      </c>
      <c r="I4" s="4">
        <v>3</v>
      </c>
      <c r="J4" s="4" t="s">
        <v>4</v>
      </c>
      <c r="K4" s="52"/>
      <c r="L4" s="52"/>
      <c r="M4" s="54"/>
    </row>
    <row r="5" spans="1:13" ht="16">
      <c r="A5" s="55" t="s">
        <v>36</v>
      </c>
      <c r="B5" s="55"/>
      <c r="C5" s="56"/>
      <c r="D5" s="56"/>
      <c r="E5" s="56"/>
      <c r="F5" s="56"/>
      <c r="G5" s="56"/>
      <c r="H5" s="56"/>
      <c r="I5" s="56"/>
      <c r="J5" s="56"/>
    </row>
    <row r="6" spans="1:13">
      <c r="A6" s="27" t="s">
        <v>31</v>
      </c>
      <c r="B6" s="7" t="s">
        <v>74</v>
      </c>
      <c r="C6" s="7" t="s">
        <v>75</v>
      </c>
      <c r="D6" s="7" t="s">
        <v>76</v>
      </c>
      <c r="E6" s="8" t="s">
        <v>509</v>
      </c>
      <c r="F6" s="7" t="s">
        <v>480</v>
      </c>
      <c r="G6" s="28" t="s">
        <v>12</v>
      </c>
      <c r="H6" s="28" t="s">
        <v>140</v>
      </c>
      <c r="I6" s="28" t="s">
        <v>21</v>
      </c>
      <c r="J6" s="27"/>
      <c r="K6" s="9" t="str">
        <f>"90,0"</f>
        <v>90,0</v>
      </c>
      <c r="L6" s="9" t="str">
        <f>"71,6535"</f>
        <v>71,6535</v>
      </c>
      <c r="M6" s="7" t="s">
        <v>437</v>
      </c>
    </row>
    <row r="8" spans="1:13">
      <c r="E8" s="5"/>
      <c r="F8" s="16"/>
      <c r="G8" s="5"/>
      <c r="K8" s="25"/>
      <c r="M8" s="6"/>
    </row>
  </sheetData>
  <mergeCells count="12">
    <mergeCell ref="A5:J5"/>
    <mergeCell ref="B3:B4"/>
    <mergeCell ref="A1:M2"/>
    <mergeCell ref="A3:A4"/>
    <mergeCell ref="C3:C4"/>
    <mergeCell ref="D3:D4"/>
    <mergeCell ref="E3:E4"/>
    <mergeCell ref="F3:F4"/>
    <mergeCell ref="G3:J3"/>
    <mergeCell ref="K3:K4"/>
    <mergeCell ref="L3:L4"/>
    <mergeCell ref="M3:M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7"/>
  <sheetViews>
    <sheetView workbookViewId="0">
      <selection activeCell="E8" sqref="E8"/>
    </sheetView>
  </sheetViews>
  <sheetFormatPr baseColWidth="10" defaultColWidth="9.1640625" defaultRowHeight="13"/>
  <cols>
    <col min="1" max="1" width="7.5" style="5" bestFit="1" customWidth="1"/>
    <col min="2" max="2" width="19.5" style="5" bestFit="1" customWidth="1"/>
    <col min="3" max="3" width="27.5" style="5" bestFit="1" customWidth="1"/>
    <col min="4" max="4" width="21.5" style="5" bestFit="1" customWidth="1"/>
    <col min="5" max="5" width="10.5" style="16" bestFit="1" customWidth="1"/>
    <col min="6" max="6" width="15.5" style="5" bestFit="1" customWidth="1"/>
    <col min="7" max="9" width="5.5" style="25" customWidth="1"/>
    <col min="10" max="10" width="4.83203125" style="25" customWidth="1"/>
    <col min="11" max="11" width="10.5" style="6" bestFit="1" customWidth="1"/>
    <col min="12" max="12" width="8.5" style="6" bestFit="1" customWidth="1"/>
    <col min="13" max="13" width="19.1640625" style="5" customWidth="1"/>
    <col min="14" max="16384" width="9.1640625" style="3"/>
  </cols>
  <sheetData>
    <row r="1" spans="1:13" s="2" customFormat="1" ht="29" customHeight="1">
      <c r="A1" s="57" t="s">
        <v>454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s="2" customFormat="1" ht="62" customHeight="1" thickBot="1">
      <c r="A2" s="61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1" customFormat="1" ht="12.75" customHeight="1">
      <c r="A3" s="65" t="s">
        <v>505</v>
      </c>
      <c r="B3" s="70" t="s">
        <v>0</v>
      </c>
      <c r="C3" s="67" t="s">
        <v>506</v>
      </c>
      <c r="D3" s="67" t="s">
        <v>5</v>
      </c>
      <c r="E3" s="51" t="s">
        <v>507</v>
      </c>
      <c r="F3" s="69" t="s">
        <v>6</v>
      </c>
      <c r="G3" s="69" t="s">
        <v>34</v>
      </c>
      <c r="H3" s="69"/>
      <c r="I3" s="69"/>
      <c r="J3" s="69"/>
      <c r="K3" s="51" t="s">
        <v>30</v>
      </c>
      <c r="L3" s="51" t="s">
        <v>3</v>
      </c>
      <c r="M3" s="53" t="s">
        <v>2</v>
      </c>
    </row>
    <row r="4" spans="1:13" s="1" customFormat="1" ht="21" customHeight="1" thickBot="1">
      <c r="A4" s="66"/>
      <c r="B4" s="71"/>
      <c r="C4" s="68"/>
      <c r="D4" s="68"/>
      <c r="E4" s="52"/>
      <c r="F4" s="68"/>
      <c r="G4" s="4">
        <v>1</v>
      </c>
      <c r="H4" s="4">
        <v>2</v>
      </c>
      <c r="I4" s="4">
        <v>3</v>
      </c>
      <c r="J4" s="4" t="s">
        <v>4</v>
      </c>
      <c r="K4" s="52"/>
      <c r="L4" s="52"/>
      <c r="M4" s="54"/>
    </row>
    <row r="5" spans="1:13" ht="16">
      <c r="A5" s="55" t="s">
        <v>36</v>
      </c>
      <c r="B5" s="55"/>
      <c r="C5" s="56"/>
      <c r="D5" s="56"/>
      <c r="E5" s="56"/>
      <c r="F5" s="56"/>
      <c r="G5" s="56"/>
      <c r="H5" s="56"/>
      <c r="I5" s="56"/>
      <c r="J5" s="56"/>
    </row>
    <row r="6" spans="1:13">
      <c r="A6" s="30" t="s">
        <v>31</v>
      </c>
      <c r="B6" s="10" t="s">
        <v>259</v>
      </c>
      <c r="C6" s="10" t="s">
        <v>297</v>
      </c>
      <c r="D6" s="10" t="s">
        <v>9</v>
      </c>
      <c r="E6" s="11" t="s">
        <v>509</v>
      </c>
      <c r="F6" s="10" t="s">
        <v>480</v>
      </c>
      <c r="G6" s="31" t="s">
        <v>96</v>
      </c>
      <c r="H6" s="35" t="s">
        <v>210</v>
      </c>
      <c r="I6" s="35" t="s">
        <v>210</v>
      </c>
      <c r="J6" s="30"/>
      <c r="K6" s="12" t="str">
        <f>"180,0"</f>
        <v>180,0</v>
      </c>
      <c r="L6" s="12" t="str">
        <f>"119,0160"</f>
        <v>119,0160</v>
      </c>
      <c r="M6" s="10"/>
    </row>
    <row r="7" spans="1:13">
      <c r="A7" s="32" t="s">
        <v>31</v>
      </c>
      <c r="B7" s="13" t="s">
        <v>259</v>
      </c>
      <c r="C7" s="13" t="s">
        <v>260</v>
      </c>
      <c r="D7" s="13" t="s">
        <v>9</v>
      </c>
      <c r="E7" s="14" t="s">
        <v>513</v>
      </c>
      <c r="F7" s="13" t="s">
        <v>480</v>
      </c>
      <c r="G7" s="34" t="s">
        <v>96</v>
      </c>
      <c r="H7" s="33" t="s">
        <v>210</v>
      </c>
      <c r="I7" s="33" t="s">
        <v>210</v>
      </c>
      <c r="J7" s="32"/>
      <c r="K7" s="15" t="str">
        <f>"180,0"</f>
        <v>180,0</v>
      </c>
      <c r="L7" s="15" t="str">
        <f>"120,2062"</f>
        <v>120,2062</v>
      </c>
      <c r="M7" s="13"/>
    </row>
  </sheetData>
  <mergeCells count="12">
    <mergeCell ref="A5:J5"/>
    <mergeCell ref="B3:B4"/>
    <mergeCell ref="A1:M2"/>
    <mergeCell ref="A3:A4"/>
    <mergeCell ref="C3:C4"/>
    <mergeCell ref="D3:D4"/>
    <mergeCell ref="E3:E4"/>
    <mergeCell ref="F3:F4"/>
    <mergeCell ref="G3:J3"/>
    <mergeCell ref="K3:K4"/>
    <mergeCell ref="L3:L4"/>
    <mergeCell ref="M3:M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6"/>
  <sheetViews>
    <sheetView workbookViewId="0">
      <selection activeCell="E7" sqref="E7"/>
    </sheetView>
  </sheetViews>
  <sheetFormatPr baseColWidth="10" defaultColWidth="9.1640625" defaultRowHeight="13"/>
  <cols>
    <col min="1" max="1" width="7.5" style="5" bestFit="1" customWidth="1"/>
    <col min="2" max="2" width="19.5" style="5" bestFit="1" customWidth="1"/>
    <col min="3" max="3" width="27.5" style="5" bestFit="1" customWidth="1"/>
    <col min="4" max="4" width="21.5" style="5" bestFit="1" customWidth="1"/>
    <col min="5" max="5" width="10.5" style="16" bestFit="1" customWidth="1"/>
    <col min="6" max="6" width="15.5" style="5" bestFit="1" customWidth="1"/>
    <col min="7" max="9" width="5.5" style="25" customWidth="1"/>
    <col min="10" max="10" width="4.83203125" style="25" customWidth="1"/>
    <col min="11" max="11" width="10.5" style="6" bestFit="1" customWidth="1"/>
    <col min="12" max="12" width="8.5" style="6" bestFit="1" customWidth="1"/>
    <col min="13" max="13" width="19.1640625" style="5" customWidth="1"/>
    <col min="14" max="16384" width="9.1640625" style="3"/>
  </cols>
  <sheetData>
    <row r="1" spans="1:13" s="2" customFormat="1" ht="29" customHeight="1">
      <c r="A1" s="57" t="s">
        <v>455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s="2" customFormat="1" ht="62" customHeight="1" thickBot="1">
      <c r="A2" s="61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1" customFormat="1" ht="12.75" customHeight="1">
      <c r="A3" s="65" t="s">
        <v>505</v>
      </c>
      <c r="B3" s="70" t="s">
        <v>0</v>
      </c>
      <c r="C3" s="67" t="s">
        <v>506</v>
      </c>
      <c r="D3" s="67" t="s">
        <v>5</v>
      </c>
      <c r="E3" s="51" t="s">
        <v>507</v>
      </c>
      <c r="F3" s="69" t="s">
        <v>6</v>
      </c>
      <c r="G3" s="69" t="s">
        <v>34</v>
      </c>
      <c r="H3" s="69"/>
      <c r="I3" s="69"/>
      <c r="J3" s="69"/>
      <c r="K3" s="51" t="s">
        <v>30</v>
      </c>
      <c r="L3" s="51" t="s">
        <v>3</v>
      </c>
      <c r="M3" s="53" t="s">
        <v>2</v>
      </c>
    </row>
    <row r="4" spans="1:13" s="1" customFormat="1" ht="21" customHeight="1" thickBot="1">
      <c r="A4" s="66"/>
      <c r="B4" s="71"/>
      <c r="C4" s="68"/>
      <c r="D4" s="68"/>
      <c r="E4" s="52"/>
      <c r="F4" s="68"/>
      <c r="G4" s="4">
        <v>1</v>
      </c>
      <c r="H4" s="4">
        <v>2</v>
      </c>
      <c r="I4" s="4">
        <v>3</v>
      </c>
      <c r="J4" s="4" t="s">
        <v>4</v>
      </c>
      <c r="K4" s="52"/>
      <c r="L4" s="52"/>
      <c r="M4" s="54"/>
    </row>
    <row r="5" spans="1:13" ht="16">
      <c r="A5" s="55" t="s">
        <v>36</v>
      </c>
      <c r="B5" s="55"/>
      <c r="C5" s="56"/>
      <c r="D5" s="56"/>
      <c r="E5" s="56"/>
      <c r="F5" s="56"/>
      <c r="G5" s="56"/>
      <c r="H5" s="56"/>
      <c r="I5" s="56"/>
      <c r="J5" s="56"/>
    </row>
    <row r="6" spans="1:13">
      <c r="A6" s="27" t="s">
        <v>31</v>
      </c>
      <c r="B6" s="7" t="s">
        <v>259</v>
      </c>
      <c r="C6" s="7" t="s">
        <v>260</v>
      </c>
      <c r="D6" s="7" t="s">
        <v>9</v>
      </c>
      <c r="E6" s="8" t="s">
        <v>513</v>
      </c>
      <c r="F6" s="7" t="s">
        <v>480</v>
      </c>
      <c r="G6" s="28" t="s">
        <v>96</v>
      </c>
      <c r="H6" s="29" t="s">
        <v>210</v>
      </c>
      <c r="I6" s="29" t="s">
        <v>210</v>
      </c>
      <c r="J6" s="27"/>
      <c r="K6" s="9" t="str">
        <f>"180,0"</f>
        <v>180,0</v>
      </c>
      <c r="L6" s="9" t="str">
        <f>"120,2062"</f>
        <v>120,2062</v>
      </c>
      <c r="M6" s="7"/>
    </row>
  </sheetData>
  <mergeCells count="12">
    <mergeCell ref="A5:J5"/>
    <mergeCell ref="B3:B4"/>
    <mergeCell ref="A1:M2"/>
    <mergeCell ref="A3:A4"/>
    <mergeCell ref="C3:C4"/>
    <mergeCell ref="D3:D4"/>
    <mergeCell ref="E3:E4"/>
    <mergeCell ref="F3:F4"/>
    <mergeCell ref="G3:J3"/>
    <mergeCell ref="K3:K4"/>
    <mergeCell ref="L3:L4"/>
    <mergeCell ref="M3:M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7"/>
  <sheetViews>
    <sheetView workbookViewId="0">
      <selection activeCell="E18" sqref="E18"/>
    </sheetView>
  </sheetViews>
  <sheetFormatPr baseColWidth="10" defaultColWidth="9.1640625" defaultRowHeight="13"/>
  <cols>
    <col min="1" max="1" width="7.5" style="5" bestFit="1" customWidth="1"/>
    <col min="2" max="2" width="17.5" style="5" bestFit="1" customWidth="1"/>
    <col min="3" max="3" width="27.5" style="5" bestFit="1" customWidth="1"/>
    <col min="4" max="4" width="21.5" style="5" bestFit="1" customWidth="1"/>
    <col min="5" max="5" width="10.5" style="16" bestFit="1" customWidth="1"/>
    <col min="6" max="6" width="18.5" style="5" bestFit="1" customWidth="1"/>
    <col min="7" max="10" width="5.5" style="25" customWidth="1"/>
    <col min="11" max="11" width="10.5" style="6" bestFit="1" customWidth="1"/>
    <col min="12" max="12" width="8.5" style="6" bestFit="1" customWidth="1"/>
    <col min="13" max="13" width="19.1640625" style="5" customWidth="1"/>
    <col min="14" max="16384" width="9.1640625" style="3"/>
  </cols>
  <sheetData>
    <row r="1" spans="1:13" s="2" customFormat="1" ht="29" customHeight="1">
      <c r="A1" s="57" t="s">
        <v>456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s="2" customFormat="1" ht="62" customHeight="1" thickBot="1">
      <c r="A2" s="61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1" customFormat="1" ht="12.75" customHeight="1">
      <c r="A3" s="65" t="s">
        <v>505</v>
      </c>
      <c r="B3" s="70" t="s">
        <v>0</v>
      </c>
      <c r="C3" s="67" t="s">
        <v>506</v>
      </c>
      <c r="D3" s="67" t="s">
        <v>5</v>
      </c>
      <c r="E3" s="51" t="s">
        <v>507</v>
      </c>
      <c r="F3" s="69" t="s">
        <v>6</v>
      </c>
      <c r="G3" s="69" t="s">
        <v>34</v>
      </c>
      <c r="H3" s="69"/>
      <c r="I3" s="69"/>
      <c r="J3" s="69"/>
      <c r="K3" s="51" t="s">
        <v>30</v>
      </c>
      <c r="L3" s="51" t="s">
        <v>3</v>
      </c>
      <c r="M3" s="53" t="s">
        <v>2</v>
      </c>
    </row>
    <row r="4" spans="1:13" s="1" customFormat="1" ht="21" customHeight="1" thickBot="1">
      <c r="A4" s="66"/>
      <c r="B4" s="71"/>
      <c r="C4" s="68"/>
      <c r="D4" s="68"/>
      <c r="E4" s="52"/>
      <c r="F4" s="68"/>
      <c r="G4" s="4">
        <v>1</v>
      </c>
      <c r="H4" s="4">
        <v>2</v>
      </c>
      <c r="I4" s="4">
        <v>3</v>
      </c>
      <c r="J4" s="4" t="s">
        <v>4</v>
      </c>
      <c r="K4" s="52"/>
      <c r="L4" s="52"/>
      <c r="M4" s="54"/>
    </row>
    <row r="5" spans="1:13" ht="16">
      <c r="A5" s="55" t="s">
        <v>157</v>
      </c>
      <c r="B5" s="55"/>
      <c r="C5" s="56"/>
      <c r="D5" s="56"/>
      <c r="E5" s="56"/>
      <c r="F5" s="56"/>
      <c r="G5" s="56"/>
      <c r="H5" s="56"/>
      <c r="I5" s="56"/>
      <c r="J5" s="56"/>
    </row>
    <row r="6" spans="1:13">
      <c r="A6" s="30" t="s">
        <v>31</v>
      </c>
      <c r="B6" s="10" t="s">
        <v>314</v>
      </c>
      <c r="C6" s="10" t="s">
        <v>315</v>
      </c>
      <c r="D6" s="10" t="s">
        <v>316</v>
      </c>
      <c r="E6" s="11" t="s">
        <v>509</v>
      </c>
      <c r="F6" s="10" t="s">
        <v>480</v>
      </c>
      <c r="G6" s="31" t="s">
        <v>41</v>
      </c>
      <c r="H6" s="31" t="s">
        <v>154</v>
      </c>
      <c r="I6" s="35" t="s">
        <v>10</v>
      </c>
      <c r="J6" s="30"/>
      <c r="K6" s="12" t="str">
        <f>"70,0"</f>
        <v>70,0</v>
      </c>
      <c r="L6" s="12" t="str">
        <f>"71,1410"</f>
        <v>71,1410</v>
      </c>
      <c r="M6" s="10" t="s">
        <v>437</v>
      </c>
    </row>
    <row r="7" spans="1:13">
      <c r="A7" s="32" t="s">
        <v>31</v>
      </c>
      <c r="B7" s="13" t="s">
        <v>314</v>
      </c>
      <c r="C7" s="13" t="s">
        <v>317</v>
      </c>
      <c r="D7" s="13" t="s">
        <v>316</v>
      </c>
      <c r="E7" s="14" t="s">
        <v>513</v>
      </c>
      <c r="F7" s="13" t="s">
        <v>480</v>
      </c>
      <c r="G7" s="34" t="s">
        <v>41</v>
      </c>
      <c r="H7" s="34" t="s">
        <v>154</v>
      </c>
      <c r="I7" s="33" t="s">
        <v>10</v>
      </c>
      <c r="J7" s="32"/>
      <c r="K7" s="15" t="str">
        <f>"70,0"</f>
        <v>70,0</v>
      </c>
      <c r="L7" s="15" t="str">
        <f>"72,1370"</f>
        <v>72,1370</v>
      </c>
      <c r="M7" s="13" t="s">
        <v>437</v>
      </c>
    </row>
    <row r="9" spans="1:13" ht="16">
      <c r="A9" s="47" t="s">
        <v>36</v>
      </c>
      <c r="B9" s="47"/>
      <c r="C9" s="48"/>
      <c r="D9" s="48"/>
      <c r="E9" s="48"/>
      <c r="F9" s="48"/>
      <c r="G9" s="48"/>
      <c r="H9" s="48"/>
      <c r="I9" s="48"/>
      <c r="J9" s="48"/>
    </row>
    <row r="10" spans="1:13">
      <c r="A10" s="27" t="s">
        <v>31</v>
      </c>
      <c r="B10" s="7" t="s">
        <v>318</v>
      </c>
      <c r="C10" s="7" t="s">
        <v>319</v>
      </c>
      <c r="D10" s="7" t="s">
        <v>172</v>
      </c>
      <c r="E10" s="8" t="s">
        <v>515</v>
      </c>
      <c r="F10" s="7" t="s">
        <v>499</v>
      </c>
      <c r="G10" s="28" t="s">
        <v>11</v>
      </c>
      <c r="H10" s="28" t="s">
        <v>144</v>
      </c>
      <c r="I10" s="29" t="s">
        <v>66</v>
      </c>
      <c r="J10" s="27"/>
      <c r="K10" s="9" t="str">
        <f>"82,5"</f>
        <v>82,5</v>
      </c>
      <c r="L10" s="9" t="str">
        <f>"88,7615"</f>
        <v>88,7615</v>
      </c>
      <c r="M10" s="7"/>
    </row>
    <row r="12" spans="1:13" ht="16">
      <c r="A12" s="47" t="s">
        <v>157</v>
      </c>
      <c r="B12" s="47"/>
      <c r="C12" s="48"/>
      <c r="D12" s="48"/>
      <c r="E12" s="48"/>
      <c r="F12" s="48"/>
      <c r="G12" s="48"/>
      <c r="H12" s="48"/>
      <c r="I12" s="48"/>
      <c r="J12" s="48"/>
    </row>
    <row r="13" spans="1:13">
      <c r="A13" s="30" t="s">
        <v>31</v>
      </c>
      <c r="B13" s="10" t="s">
        <v>247</v>
      </c>
      <c r="C13" s="10" t="s">
        <v>248</v>
      </c>
      <c r="D13" s="10" t="s">
        <v>249</v>
      </c>
      <c r="E13" s="11" t="s">
        <v>509</v>
      </c>
      <c r="F13" s="10" t="s">
        <v>491</v>
      </c>
      <c r="G13" s="31" t="s">
        <v>87</v>
      </c>
      <c r="H13" s="31" t="s">
        <v>49</v>
      </c>
      <c r="I13" s="31" t="s">
        <v>215</v>
      </c>
      <c r="J13" s="31" t="s">
        <v>320</v>
      </c>
      <c r="K13" s="12" t="str">
        <f>"152,5"</f>
        <v>152,5</v>
      </c>
      <c r="L13" s="12" t="str">
        <f>"111,8892"</f>
        <v>111,8892</v>
      </c>
      <c r="M13" s="10"/>
    </row>
    <row r="14" spans="1:13">
      <c r="A14" s="32" t="s">
        <v>31</v>
      </c>
      <c r="B14" s="13" t="s">
        <v>253</v>
      </c>
      <c r="C14" s="13" t="s">
        <v>254</v>
      </c>
      <c r="D14" s="13" t="s">
        <v>255</v>
      </c>
      <c r="E14" s="14" t="s">
        <v>515</v>
      </c>
      <c r="F14" s="13" t="s">
        <v>480</v>
      </c>
      <c r="G14" s="34" t="s">
        <v>134</v>
      </c>
      <c r="H14" s="33" t="s">
        <v>145</v>
      </c>
      <c r="I14" s="33" t="s">
        <v>145</v>
      </c>
      <c r="J14" s="32"/>
      <c r="K14" s="15" t="str">
        <f>"115,0"</f>
        <v>115,0</v>
      </c>
      <c r="L14" s="15" t="str">
        <f>"99,9396"</f>
        <v>99,9396</v>
      </c>
      <c r="M14" s="13" t="s">
        <v>441</v>
      </c>
    </row>
    <row r="16" spans="1:13" ht="16">
      <c r="A16" s="47" t="s">
        <v>36</v>
      </c>
      <c r="B16" s="47"/>
      <c r="C16" s="48"/>
      <c r="D16" s="48"/>
      <c r="E16" s="48"/>
      <c r="F16" s="48"/>
      <c r="G16" s="48"/>
      <c r="H16" s="48"/>
      <c r="I16" s="48"/>
      <c r="J16" s="48"/>
    </row>
    <row r="17" spans="1:13">
      <c r="A17" s="27" t="s">
        <v>31</v>
      </c>
      <c r="B17" s="7" t="s">
        <v>256</v>
      </c>
      <c r="C17" s="7" t="s">
        <v>257</v>
      </c>
      <c r="D17" s="7" t="s">
        <v>258</v>
      </c>
      <c r="E17" s="8" t="s">
        <v>509</v>
      </c>
      <c r="F17" s="7" t="s">
        <v>480</v>
      </c>
      <c r="G17" s="28" t="s">
        <v>77</v>
      </c>
      <c r="H17" s="27"/>
      <c r="I17" s="27"/>
      <c r="J17" s="27"/>
      <c r="K17" s="9" t="str">
        <f>"130,0"</f>
        <v>130,0</v>
      </c>
      <c r="L17" s="9" t="str">
        <f>"87,4120"</f>
        <v>87,4120</v>
      </c>
      <c r="M17" s="7" t="s">
        <v>435</v>
      </c>
    </row>
  </sheetData>
  <mergeCells count="15">
    <mergeCell ref="L3:L4"/>
    <mergeCell ref="M3:M4"/>
    <mergeCell ref="A5:J5"/>
    <mergeCell ref="A1:M2"/>
    <mergeCell ref="A3:A4"/>
    <mergeCell ref="C3:C4"/>
    <mergeCell ref="D3:D4"/>
    <mergeCell ref="E3:E4"/>
    <mergeCell ref="F3:F4"/>
    <mergeCell ref="G3:J3"/>
    <mergeCell ref="A9:J9"/>
    <mergeCell ref="A12:J12"/>
    <mergeCell ref="A16:J16"/>
    <mergeCell ref="B3:B4"/>
    <mergeCell ref="K3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6"/>
  <sheetViews>
    <sheetView workbookViewId="0">
      <selection activeCell="E7" sqref="E7"/>
    </sheetView>
  </sheetViews>
  <sheetFormatPr baseColWidth="10" defaultColWidth="9.1640625" defaultRowHeight="13"/>
  <cols>
    <col min="1" max="1" width="7.5" style="5" bestFit="1" customWidth="1"/>
    <col min="2" max="2" width="17.6640625" style="5" customWidth="1"/>
    <col min="3" max="3" width="26.33203125" style="5" bestFit="1" customWidth="1"/>
    <col min="4" max="4" width="21.5" style="5" bestFit="1" customWidth="1"/>
    <col min="5" max="5" width="10.5" style="16" bestFit="1" customWidth="1"/>
    <col min="6" max="6" width="15.5" style="5" bestFit="1" customWidth="1"/>
    <col min="7" max="9" width="5.5" style="25" customWidth="1"/>
    <col min="10" max="10" width="4.83203125" style="25" customWidth="1"/>
    <col min="11" max="11" width="10.5" style="6" bestFit="1" customWidth="1"/>
    <col min="12" max="12" width="7.5" style="6" bestFit="1" customWidth="1"/>
    <col min="13" max="13" width="15.5" style="5" bestFit="1" customWidth="1"/>
    <col min="14" max="16384" width="9.1640625" style="3"/>
  </cols>
  <sheetData>
    <row r="1" spans="1:13" s="2" customFormat="1" ht="29" customHeight="1">
      <c r="A1" s="57" t="s">
        <v>461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s="2" customFormat="1" ht="62" customHeight="1" thickBot="1">
      <c r="A2" s="61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1" customFormat="1" ht="12.75" customHeight="1">
      <c r="A3" s="65" t="s">
        <v>505</v>
      </c>
      <c r="B3" s="70" t="s">
        <v>0</v>
      </c>
      <c r="C3" s="67" t="s">
        <v>506</v>
      </c>
      <c r="D3" s="67" t="s">
        <v>5</v>
      </c>
      <c r="E3" s="51" t="s">
        <v>507</v>
      </c>
      <c r="F3" s="69" t="s">
        <v>6</v>
      </c>
      <c r="G3" s="69" t="s">
        <v>34</v>
      </c>
      <c r="H3" s="69"/>
      <c r="I3" s="69"/>
      <c r="J3" s="69"/>
      <c r="K3" s="51" t="s">
        <v>30</v>
      </c>
      <c r="L3" s="51" t="s">
        <v>3</v>
      </c>
      <c r="M3" s="53" t="s">
        <v>2</v>
      </c>
    </row>
    <row r="4" spans="1:13" s="1" customFormat="1" ht="21" customHeight="1" thickBot="1">
      <c r="A4" s="66"/>
      <c r="B4" s="71"/>
      <c r="C4" s="68"/>
      <c r="D4" s="68"/>
      <c r="E4" s="52"/>
      <c r="F4" s="68"/>
      <c r="G4" s="4">
        <v>1</v>
      </c>
      <c r="H4" s="4">
        <v>2</v>
      </c>
      <c r="I4" s="4">
        <v>3</v>
      </c>
      <c r="J4" s="4" t="s">
        <v>4</v>
      </c>
      <c r="K4" s="52"/>
      <c r="L4" s="52"/>
      <c r="M4" s="54"/>
    </row>
    <row r="5" spans="1:13" ht="16">
      <c r="A5" s="55" t="s">
        <v>146</v>
      </c>
      <c r="B5" s="55"/>
      <c r="C5" s="56"/>
      <c r="D5" s="56"/>
      <c r="E5" s="56"/>
      <c r="F5" s="56"/>
      <c r="G5" s="56"/>
      <c r="H5" s="56"/>
      <c r="I5" s="56"/>
      <c r="J5" s="56"/>
    </row>
    <row r="6" spans="1:13">
      <c r="A6" s="27" t="s">
        <v>31</v>
      </c>
      <c r="B6" s="7" t="s">
        <v>191</v>
      </c>
      <c r="C6" s="7" t="s">
        <v>192</v>
      </c>
      <c r="D6" s="7" t="s">
        <v>193</v>
      </c>
      <c r="E6" s="8" t="s">
        <v>509</v>
      </c>
      <c r="F6" s="7" t="s">
        <v>494</v>
      </c>
      <c r="G6" s="28" t="s">
        <v>194</v>
      </c>
      <c r="H6" s="29" t="s">
        <v>173</v>
      </c>
      <c r="I6" s="28" t="s">
        <v>173</v>
      </c>
      <c r="J6" s="27"/>
      <c r="K6" s="9" t="str">
        <f>"127,5"</f>
        <v>127,5</v>
      </c>
      <c r="L6" s="9" t="str">
        <f>"99,2588"</f>
        <v>99,2588</v>
      </c>
      <c r="M6" s="7"/>
    </row>
  </sheetData>
  <mergeCells count="12">
    <mergeCell ref="A5:J5"/>
    <mergeCell ref="B3:B4"/>
    <mergeCell ref="A1:M2"/>
    <mergeCell ref="A3:A4"/>
    <mergeCell ref="C3:C4"/>
    <mergeCell ref="D3:D4"/>
    <mergeCell ref="E3:E4"/>
    <mergeCell ref="F3:F4"/>
    <mergeCell ref="G3:J3"/>
    <mergeCell ref="K3:K4"/>
    <mergeCell ref="L3:L4"/>
    <mergeCell ref="M3:M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9"/>
  <sheetViews>
    <sheetView workbookViewId="0">
      <selection activeCell="E20" sqref="E20"/>
    </sheetView>
  </sheetViews>
  <sheetFormatPr baseColWidth="10" defaultColWidth="9.1640625" defaultRowHeight="13"/>
  <cols>
    <col min="1" max="1" width="7.5" style="5" bestFit="1" customWidth="1"/>
    <col min="2" max="2" width="21.33203125" style="5" customWidth="1"/>
    <col min="3" max="3" width="27.5" style="5" bestFit="1" customWidth="1"/>
    <col min="4" max="4" width="21.5" style="5" bestFit="1" customWidth="1"/>
    <col min="5" max="5" width="10.5" style="16" bestFit="1" customWidth="1"/>
    <col min="6" max="6" width="25.83203125" style="5" customWidth="1"/>
    <col min="7" max="9" width="5.5" style="25" customWidth="1"/>
    <col min="10" max="10" width="4.83203125" style="25" customWidth="1"/>
    <col min="11" max="11" width="10.5" style="6" bestFit="1" customWidth="1"/>
    <col min="12" max="12" width="10" style="6" customWidth="1"/>
    <col min="13" max="13" width="19.6640625" style="5" customWidth="1"/>
    <col min="14" max="16384" width="9.1640625" style="3"/>
  </cols>
  <sheetData>
    <row r="1" spans="1:13" s="2" customFormat="1" ht="29" customHeight="1">
      <c r="A1" s="57" t="s">
        <v>425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s="2" customFormat="1" ht="62" customHeight="1" thickBot="1">
      <c r="A2" s="61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1" customFormat="1" ht="12.75" customHeight="1">
      <c r="A3" s="65" t="s">
        <v>505</v>
      </c>
      <c r="B3" s="70" t="s">
        <v>0</v>
      </c>
      <c r="C3" s="67" t="s">
        <v>506</v>
      </c>
      <c r="D3" s="67" t="s">
        <v>5</v>
      </c>
      <c r="E3" s="51" t="s">
        <v>507</v>
      </c>
      <c r="F3" s="69" t="s">
        <v>6</v>
      </c>
      <c r="G3" s="69" t="s">
        <v>34</v>
      </c>
      <c r="H3" s="69"/>
      <c r="I3" s="69"/>
      <c r="J3" s="69"/>
      <c r="K3" s="51" t="s">
        <v>30</v>
      </c>
      <c r="L3" s="51" t="s">
        <v>3</v>
      </c>
      <c r="M3" s="53" t="s">
        <v>2</v>
      </c>
    </row>
    <row r="4" spans="1:13" s="1" customFormat="1" ht="21" customHeight="1" thickBot="1">
      <c r="A4" s="66"/>
      <c r="B4" s="71"/>
      <c r="C4" s="68"/>
      <c r="D4" s="68"/>
      <c r="E4" s="52"/>
      <c r="F4" s="68"/>
      <c r="G4" s="4">
        <v>1</v>
      </c>
      <c r="H4" s="4">
        <v>2</v>
      </c>
      <c r="I4" s="4">
        <v>3</v>
      </c>
      <c r="J4" s="4" t="s">
        <v>4</v>
      </c>
      <c r="K4" s="52"/>
      <c r="L4" s="52"/>
      <c r="M4" s="54"/>
    </row>
    <row r="5" spans="1:13" ht="16">
      <c r="A5" s="55" t="s">
        <v>146</v>
      </c>
      <c r="B5" s="55"/>
      <c r="C5" s="56"/>
      <c r="D5" s="56"/>
      <c r="E5" s="56"/>
      <c r="F5" s="56"/>
      <c r="G5" s="56"/>
      <c r="H5" s="56"/>
      <c r="I5" s="56"/>
      <c r="J5" s="56"/>
    </row>
    <row r="6" spans="1:13">
      <c r="A6" s="30" t="s">
        <v>31</v>
      </c>
      <c r="B6" s="10" t="s">
        <v>411</v>
      </c>
      <c r="C6" s="10" t="s">
        <v>176</v>
      </c>
      <c r="D6" s="10" t="s">
        <v>242</v>
      </c>
      <c r="E6" s="11" t="s">
        <v>509</v>
      </c>
      <c r="F6" s="10" t="s">
        <v>500</v>
      </c>
      <c r="G6" s="31" t="s">
        <v>134</v>
      </c>
      <c r="H6" s="31" t="s">
        <v>111</v>
      </c>
      <c r="I6" s="35" t="s">
        <v>78</v>
      </c>
      <c r="J6" s="30"/>
      <c r="K6" s="12" t="str">
        <f>"125,0"</f>
        <v>125,0</v>
      </c>
      <c r="L6" s="12" t="str">
        <f>"93,5500"</f>
        <v>93,5500</v>
      </c>
      <c r="M6" s="10" t="s">
        <v>426</v>
      </c>
    </row>
    <row r="7" spans="1:13">
      <c r="A7" s="32" t="s">
        <v>31</v>
      </c>
      <c r="B7" s="13" t="s">
        <v>412</v>
      </c>
      <c r="C7" s="13" t="s">
        <v>413</v>
      </c>
      <c r="D7" s="13" t="s">
        <v>410</v>
      </c>
      <c r="E7" s="14" t="s">
        <v>513</v>
      </c>
      <c r="F7" s="13" t="s">
        <v>501</v>
      </c>
      <c r="G7" s="34" t="s">
        <v>154</v>
      </c>
      <c r="H7" s="33" t="s">
        <v>10</v>
      </c>
      <c r="I7" s="33" t="s">
        <v>143</v>
      </c>
      <c r="J7" s="32"/>
      <c r="K7" s="15" t="str">
        <f>"70,0"</f>
        <v>70,0</v>
      </c>
      <c r="L7" s="15" t="str">
        <f>"54,8388"</f>
        <v>54,8388</v>
      </c>
      <c r="M7" s="13" t="s">
        <v>427</v>
      </c>
    </row>
    <row r="8" spans="1:13">
      <c r="A8" s="25"/>
      <c r="H8" s="42"/>
      <c r="I8" s="42"/>
    </row>
    <row r="9" spans="1:13" ht="16">
      <c r="A9" s="47" t="s">
        <v>157</v>
      </c>
      <c r="B9" s="47"/>
      <c r="C9" s="72"/>
      <c r="D9" s="72"/>
      <c r="E9" s="72"/>
      <c r="F9" s="72"/>
      <c r="G9" s="72"/>
      <c r="H9" s="72"/>
      <c r="I9" s="72"/>
      <c r="J9" s="72"/>
    </row>
    <row r="10" spans="1:13">
      <c r="A10" s="27" t="s">
        <v>31</v>
      </c>
      <c r="B10" s="7" t="s">
        <v>423</v>
      </c>
      <c r="C10" s="7" t="s">
        <v>424</v>
      </c>
      <c r="D10" s="7" t="s">
        <v>352</v>
      </c>
      <c r="E10" s="8" t="s">
        <v>509</v>
      </c>
      <c r="F10" s="7" t="s">
        <v>480</v>
      </c>
      <c r="G10" s="28" t="s">
        <v>49</v>
      </c>
      <c r="H10" s="28" t="s">
        <v>112</v>
      </c>
      <c r="I10" s="28" t="s">
        <v>80</v>
      </c>
      <c r="J10" s="27"/>
      <c r="K10" s="9" t="str">
        <f>"160,0"</f>
        <v>160,0</v>
      </c>
      <c r="L10" s="9" t="str">
        <f>"112,9040"</f>
        <v>112,9040</v>
      </c>
      <c r="M10" s="7"/>
    </row>
    <row r="12" spans="1:13" ht="16">
      <c r="A12" s="47" t="s">
        <v>90</v>
      </c>
      <c r="B12" s="47"/>
      <c r="C12" s="48"/>
      <c r="D12" s="48"/>
      <c r="E12" s="48"/>
      <c r="F12" s="48"/>
      <c r="G12" s="48"/>
      <c r="H12" s="48"/>
      <c r="I12" s="48"/>
      <c r="J12" s="48"/>
    </row>
    <row r="13" spans="1:13">
      <c r="A13" s="27" t="s">
        <v>31</v>
      </c>
      <c r="B13" s="7" t="s">
        <v>414</v>
      </c>
      <c r="C13" s="7" t="s">
        <v>415</v>
      </c>
      <c r="D13" s="7" t="s">
        <v>416</v>
      </c>
      <c r="E13" s="8" t="s">
        <v>515</v>
      </c>
      <c r="F13" s="7" t="s">
        <v>501</v>
      </c>
      <c r="G13" s="28" t="s">
        <v>21</v>
      </c>
      <c r="H13" s="28" t="s">
        <v>124</v>
      </c>
      <c r="I13" s="28" t="s">
        <v>18</v>
      </c>
      <c r="J13" s="27"/>
      <c r="K13" s="9" t="str">
        <f>"105,0"</f>
        <v>105,0</v>
      </c>
      <c r="L13" s="9" t="str">
        <f>"75,6091"</f>
        <v>75,6091</v>
      </c>
      <c r="M13" s="7" t="s">
        <v>426</v>
      </c>
    </row>
    <row r="15" spans="1:13" ht="16">
      <c r="A15" s="47" t="s">
        <v>13</v>
      </c>
      <c r="B15" s="47"/>
      <c r="C15" s="48"/>
      <c r="D15" s="48"/>
      <c r="E15" s="48"/>
      <c r="F15" s="48"/>
      <c r="G15" s="48"/>
      <c r="H15" s="48"/>
      <c r="I15" s="48"/>
      <c r="J15" s="48"/>
    </row>
    <row r="16" spans="1:13">
      <c r="A16" s="27" t="s">
        <v>31</v>
      </c>
      <c r="B16" s="7" t="s">
        <v>417</v>
      </c>
      <c r="C16" s="7" t="s">
        <v>418</v>
      </c>
      <c r="D16" s="7" t="s">
        <v>110</v>
      </c>
      <c r="E16" s="8" t="s">
        <v>513</v>
      </c>
      <c r="F16" s="7" t="s">
        <v>501</v>
      </c>
      <c r="G16" s="28" t="s">
        <v>124</v>
      </c>
      <c r="H16" s="28" t="s">
        <v>18</v>
      </c>
      <c r="I16" s="28" t="s">
        <v>130</v>
      </c>
      <c r="J16" s="27"/>
      <c r="K16" s="9" t="str">
        <f>"107,5"</f>
        <v>107,5</v>
      </c>
      <c r="L16" s="9" t="str">
        <f>"65,2048"</f>
        <v>65,2048</v>
      </c>
      <c r="M16" s="7"/>
    </row>
    <row r="18" spans="1:13" ht="16">
      <c r="A18" s="47" t="s">
        <v>419</v>
      </c>
      <c r="B18" s="47"/>
      <c r="C18" s="48"/>
      <c r="D18" s="48"/>
      <c r="E18" s="48"/>
      <c r="F18" s="48"/>
      <c r="G18" s="48"/>
      <c r="H18" s="48"/>
      <c r="I18" s="48"/>
      <c r="J18" s="48"/>
    </row>
    <row r="19" spans="1:13">
      <c r="A19" s="27" t="s">
        <v>31</v>
      </c>
      <c r="B19" s="7" t="s">
        <v>420</v>
      </c>
      <c r="C19" s="7" t="s">
        <v>421</v>
      </c>
      <c r="D19" s="7" t="s">
        <v>422</v>
      </c>
      <c r="E19" s="8" t="s">
        <v>513</v>
      </c>
      <c r="F19" s="7" t="s">
        <v>501</v>
      </c>
      <c r="G19" s="28" t="s">
        <v>40</v>
      </c>
      <c r="H19" s="28" t="s">
        <v>77</v>
      </c>
      <c r="I19" s="28" t="s">
        <v>48</v>
      </c>
      <c r="J19" s="27"/>
      <c r="K19" s="9" t="str">
        <f>"140,0"</f>
        <v>140,0</v>
      </c>
      <c r="L19" s="9" t="str">
        <f>"75,1074"</f>
        <v>75,1074</v>
      </c>
      <c r="M19" s="7"/>
    </row>
  </sheetData>
  <mergeCells count="16">
    <mergeCell ref="L3:L4"/>
    <mergeCell ref="M3:M4"/>
    <mergeCell ref="A5:J5"/>
    <mergeCell ref="A1:M2"/>
    <mergeCell ref="A3:A4"/>
    <mergeCell ref="C3:C4"/>
    <mergeCell ref="D3:D4"/>
    <mergeCell ref="E3:E4"/>
    <mergeCell ref="F3:F4"/>
    <mergeCell ref="G3:J3"/>
    <mergeCell ref="A12:J12"/>
    <mergeCell ref="A15:J15"/>
    <mergeCell ref="A18:J18"/>
    <mergeCell ref="B3:B4"/>
    <mergeCell ref="K3:K4"/>
    <mergeCell ref="A9:J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40"/>
  <sheetViews>
    <sheetView workbookViewId="0">
      <selection activeCell="E31" sqref="E31"/>
    </sheetView>
  </sheetViews>
  <sheetFormatPr baseColWidth="10" defaultColWidth="9.1640625" defaultRowHeight="13"/>
  <cols>
    <col min="1" max="1" width="7.5" style="5" bestFit="1" customWidth="1"/>
    <col min="2" max="2" width="19.5" style="5" bestFit="1" customWidth="1"/>
    <col min="3" max="3" width="27.83203125" style="5" customWidth="1"/>
    <col min="4" max="4" width="21.5" style="5" bestFit="1" customWidth="1"/>
    <col min="5" max="5" width="10.5" style="16" bestFit="1" customWidth="1"/>
    <col min="6" max="6" width="19.83203125" style="5" customWidth="1"/>
    <col min="7" max="9" width="5.5" style="25" customWidth="1"/>
    <col min="10" max="10" width="4.83203125" style="25" customWidth="1"/>
    <col min="11" max="11" width="10.5" style="6" bestFit="1" customWidth="1"/>
    <col min="12" max="12" width="8.5" style="6" bestFit="1" customWidth="1"/>
    <col min="13" max="13" width="22.83203125" style="5" bestFit="1" customWidth="1"/>
    <col min="14" max="16384" width="9.1640625" style="3"/>
  </cols>
  <sheetData>
    <row r="1" spans="1:13" s="2" customFormat="1" ht="29" customHeight="1">
      <c r="A1" s="57" t="s">
        <v>452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s="2" customFormat="1" ht="62" customHeight="1" thickBot="1">
      <c r="A2" s="61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1" customFormat="1" ht="12.75" customHeight="1">
      <c r="A3" s="65" t="s">
        <v>505</v>
      </c>
      <c r="B3" s="70" t="s">
        <v>0</v>
      </c>
      <c r="C3" s="67" t="s">
        <v>506</v>
      </c>
      <c r="D3" s="67" t="s">
        <v>5</v>
      </c>
      <c r="E3" s="51" t="s">
        <v>507</v>
      </c>
      <c r="F3" s="69" t="s">
        <v>6</v>
      </c>
      <c r="G3" s="69" t="s">
        <v>35</v>
      </c>
      <c r="H3" s="69"/>
      <c r="I3" s="69"/>
      <c r="J3" s="69"/>
      <c r="K3" s="51" t="s">
        <v>30</v>
      </c>
      <c r="L3" s="51" t="s">
        <v>3</v>
      </c>
      <c r="M3" s="53" t="s">
        <v>2</v>
      </c>
    </row>
    <row r="4" spans="1:13" s="1" customFormat="1" ht="21" customHeight="1" thickBot="1">
      <c r="A4" s="66"/>
      <c r="B4" s="71"/>
      <c r="C4" s="68"/>
      <c r="D4" s="68"/>
      <c r="E4" s="52"/>
      <c r="F4" s="68"/>
      <c r="G4" s="4">
        <v>1</v>
      </c>
      <c r="H4" s="4">
        <v>2</v>
      </c>
      <c r="I4" s="4">
        <v>3</v>
      </c>
      <c r="J4" s="4" t="s">
        <v>4</v>
      </c>
      <c r="K4" s="52"/>
      <c r="L4" s="52"/>
      <c r="M4" s="54"/>
    </row>
    <row r="5" spans="1:13" ht="16">
      <c r="A5" s="55" t="s">
        <v>119</v>
      </c>
      <c r="B5" s="55"/>
      <c r="C5" s="56"/>
      <c r="D5" s="56"/>
      <c r="E5" s="56"/>
      <c r="F5" s="56"/>
      <c r="G5" s="56"/>
      <c r="H5" s="56"/>
      <c r="I5" s="56"/>
      <c r="J5" s="56"/>
    </row>
    <row r="6" spans="1:13">
      <c r="A6" s="30" t="s">
        <v>31</v>
      </c>
      <c r="B6" s="10" t="s">
        <v>332</v>
      </c>
      <c r="C6" s="10" t="s">
        <v>333</v>
      </c>
      <c r="D6" s="10" t="s">
        <v>334</v>
      </c>
      <c r="E6" s="11" t="s">
        <v>509</v>
      </c>
      <c r="F6" s="10" t="s">
        <v>494</v>
      </c>
      <c r="G6" s="31" t="s">
        <v>21</v>
      </c>
      <c r="H6" s="31" t="s">
        <v>71</v>
      </c>
      <c r="I6" s="35" t="s">
        <v>19</v>
      </c>
      <c r="J6" s="30"/>
      <c r="K6" s="12" t="str">
        <f>"97,5"</f>
        <v>97,5</v>
      </c>
      <c r="L6" s="12" t="str">
        <f>"114,7185"</f>
        <v>114,7185</v>
      </c>
      <c r="M6" s="10" t="s">
        <v>467</v>
      </c>
    </row>
    <row r="7" spans="1:13">
      <c r="A7" s="32" t="s">
        <v>31</v>
      </c>
      <c r="B7" s="13" t="s">
        <v>335</v>
      </c>
      <c r="C7" s="13" t="s">
        <v>336</v>
      </c>
      <c r="D7" s="13" t="s">
        <v>337</v>
      </c>
      <c r="E7" s="14" t="s">
        <v>513</v>
      </c>
      <c r="F7" s="13" t="s">
        <v>502</v>
      </c>
      <c r="G7" s="34" t="s">
        <v>19</v>
      </c>
      <c r="H7" s="33" t="s">
        <v>145</v>
      </c>
      <c r="I7" s="33" t="s">
        <v>145</v>
      </c>
      <c r="J7" s="32"/>
      <c r="K7" s="15" t="str">
        <f>"110,0"</f>
        <v>110,0</v>
      </c>
      <c r="L7" s="15" t="str">
        <f>"132,3534"</f>
        <v>132,3534</v>
      </c>
      <c r="M7" s="13" t="s">
        <v>468</v>
      </c>
    </row>
    <row r="9" spans="1:13" ht="16">
      <c r="A9" s="47" t="s">
        <v>62</v>
      </c>
      <c r="B9" s="47"/>
      <c r="C9" s="48"/>
      <c r="D9" s="48"/>
      <c r="E9" s="48"/>
      <c r="F9" s="48"/>
      <c r="G9" s="48"/>
      <c r="H9" s="48"/>
      <c r="I9" s="48"/>
      <c r="J9" s="48"/>
    </row>
    <row r="10" spans="1:13">
      <c r="A10" s="27" t="s">
        <v>31</v>
      </c>
      <c r="B10" s="7" t="s">
        <v>338</v>
      </c>
      <c r="C10" s="7" t="s">
        <v>339</v>
      </c>
      <c r="D10" s="7" t="s">
        <v>340</v>
      </c>
      <c r="E10" s="8" t="s">
        <v>509</v>
      </c>
      <c r="F10" s="7" t="s">
        <v>480</v>
      </c>
      <c r="G10" s="28" t="s">
        <v>174</v>
      </c>
      <c r="H10" s="28" t="s">
        <v>200</v>
      </c>
      <c r="I10" s="29" t="s">
        <v>49</v>
      </c>
      <c r="J10" s="27"/>
      <c r="K10" s="9" t="str">
        <f>"142,5"</f>
        <v>142,5</v>
      </c>
      <c r="L10" s="9" t="str">
        <f>"163,1198"</f>
        <v>163,1198</v>
      </c>
      <c r="M10" s="7" t="s">
        <v>341</v>
      </c>
    </row>
    <row r="12" spans="1:13" ht="16">
      <c r="A12" s="47" t="s">
        <v>146</v>
      </c>
      <c r="B12" s="47"/>
      <c r="C12" s="48"/>
      <c r="D12" s="48"/>
      <c r="E12" s="48"/>
      <c r="F12" s="48"/>
      <c r="G12" s="48"/>
      <c r="H12" s="48"/>
      <c r="I12" s="48"/>
      <c r="J12" s="48"/>
    </row>
    <row r="13" spans="1:13">
      <c r="A13" s="30" t="s">
        <v>31</v>
      </c>
      <c r="B13" s="10" t="s">
        <v>342</v>
      </c>
      <c r="C13" s="10" t="s">
        <v>343</v>
      </c>
      <c r="D13" s="10" t="s">
        <v>203</v>
      </c>
      <c r="E13" s="11" t="s">
        <v>509</v>
      </c>
      <c r="F13" s="10" t="s">
        <v>480</v>
      </c>
      <c r="G13" s="31" t="s">
        <v>95</v>
      </c>
      <c r="H13" s="31" t="s">
        <v>81</v>
      </c>
      <c r="I13" s="31" t="s">
        <v>269</v>
      </c>
      <c r="J13" s="30"/>
      <c r="K13" s="12" t="str">
        <f>"177,5"</f>
        <v>177,5</v>
      </c>
      <c r="L13" s="12" t="str">
        <f>"184,1385"</f>
        <v>184,1385</v>
      </c>
      <c r="M13" s="10" t="s">
        <v>447</v>
      </c>
    </row>
    <row r="14" spans="1:13">
      <c r="A14" s="32" t="s">
        <v>32</v>
      </c>
      <c r="B14" s="13" t="s">
        <v>344</v>
      </c>
      <c r="C14" s="13" t="s">
        <v>345</v>
      </c>
      <c r="D14" s="13" t="s">
        <v>346</v>
      </c>
      <c r="E14" s="14" t="s">
        <v>509</v>
      </c>
      <c r="F14" s="13" t="s">
        <v>480</v>
      </c>
      <c r="G14" s="34" t="s">
        <v>21</v>
      </c>
      <c r="H14" s="34" t="s">
        <v>124</v>
      </c>
      <c r="I14" s="34" t="s">
        <v>19</v>
      </c>
      <c r="J14" s="32"/>
      <c r="K14" s="15" t="str">
        <f>"110,0"</f>
        <v>110,0</v>
      </c>
      <c r="L14" s="15" t="str">
        <f>"116,0610"</f>
        <v>116,0610</v>
      </c>
      <c r="M14" s="13"/>
    </row>
    <row r="16" spans="1:13" ht="16">
      <c r="A16" s="47" t="s">
        <v>157</v>
      </c>
      <c r="B16" s="47"/>
      <c r="C16" s="48"/>
      <c r="D16" s="48"/>
      <c r="E16" s="48"/>
      <c r="F16" s="48"/>
      <c r="G16" s="48"/>
      <c r="H16" s="48"/>
      <c r="I16" s="48"/>
      <c r="J16" s="48"/>
    </row>
    <row r="17" spans="1:13">
      <c r="A17" s="30" t="s">
        <v>31</v>
      </c>
      <c r="B17" s="10" t="s">
        <v>347</v>
      </c>
      <c r="C17" s="10" t="s">
        <v>348</v>
      </c>
      <c r="D17" s="10" t="s">
        <v>349</v>
      </c>
      <c r="E17" s="11" t="s">
        <v>510</v>
      </c>
      <c r="F17" s="10" t="s">
        <v>482</v>
      </c>
      <c r="G17" s="31" t="s">
        <v>124</v>
      </c>
      <c r="H17" s="31" t="s">
        <v>19</v>
      </c>
      <c r="I17" s="35" t="s">
        <v>173</v>
      </c>
      <c r="J17" s="30"/>
      <c r="K17" s="12" t="str">
        <f>"110,0"</f>
        <v>110,0</v>
      </c>
      <c r="L17" s="12" t="str">
        <f>"107,0740"</f>
        <v>107,0740</v>
      </c>
      <c r="M17" s="10"/>
    </row>
    <row r="18" spans="1:13">
      <c r="A18" s="32" t="s">
        <v>31</v>
      </c>
      <c r="B18" s="13" t="s">
        <v>350</v>
      </c>
      <c r="C18" s="13" t="s">
        <v>351</v>
      </c>
      <c r="D18" s="13" t="s">
        <v>352</v>
      </c>
      <c r="E18" s="14" t="s">
        <v>515</v>
      </c>
      <c r="F18" s="13" t="s">
        <v>480</v>
      </c>
      <c r="G18" s="34" t="s">
        <v>12</v>
      </c>
      <c r="H18" s="34" t="s">
        <v>21</v>
      </c>
      <c r="I18" s="34" t="s">
        <v>124</v>
      </c>
      <c r="J18" s="32"/>
      <c r="K18" s="15" t="str">
        <f>"100,0"</f>
        <v>100,0</v>
      </c>
      <c r="L18" s="15" t="str">
        <f>"119,2020"</f>
        <v>119,2020</v>
      </c>
      <c r="M18" s="13" t="s">
        <v>300</v>
      </c>
    </row>
    <row r="20" spans="1:13" ht="16">
      <c r="A20" s="47" t="s">
        <v>353</v>
      </c>
      <c r="B20" s="47"/>
      <c r="C20" s="48"/>
      <c r="D20" s="48"/>
      <c r="E20" s="48"/>
      <c r="F20" s="48"/>
      <c r="G20" s="48"/>
      <c r="H20" s="48"/>
      <c r="I20" s="48"/>
      <c r="J20" s="48"/>
    </row>
    <row r="21" spans="1:13">
      <c r="A21" s="27" t="s">
        <v>31</v>
      </c>
      <c r="B21" s="7" t="s">
        <v>354</v>
      </c>
      <c r="C21" s="7" t="s">
        <v>355</v>
      </c>
      <c r="D21" s="7" t="s">
        <v>356</v>
      </c>
      <c r="E21" s="8" t="s">
        <v>509</v>
      </c>
      <c r="F21" s="7" t="s">
        <v>494</v>
      </c>
      <c r="G21" s="28" t="s">
        <v>200</v>
      </c>
      <c r="H21" s="28" t="s">
        <v>166</v>
      </c>
      <c r="I21" s="29" t="s">
        <v>215</v>
      </c>
      <c r="J21" s="27"/>
      <c r="K21" s="9" t="str">
        <f>"147,5"</f>
        <v>147,5</v>
      </c>
      <c r="L21" s="9" t="str">
        <f>"121,4368"</f>
        <v>121,4368</v>
      </c>
      <c r="M21" s="7" t="s">
        <v>467</v>
      </c>
    </row>
    <row r="23" spans="1:13" ht="16">
      <c r="A23" s="47" t="s">
        <v>157</v>
      </c>
      <c r="B23" s="47"/>
      <c r="C23" s="48"/>
      <c r="D23" s="48"/>
      <c r="E23" s="48"/>
      <c r="F23" s="48"/>
      <c r="G23" s="48"/>
      <c r="H23" s="48"/>
      <c r="I23" s="48"/>
      <c r="J23" s="48"/>
    </row>
    <row r="24" spans="1:13">
      <c r="A24" s="27" t="s">
        <v>31</v>
      </c>
      <c r="B24" s="7" t="s">
        <v>357</v>
      </c>
      <c r="C24" s="7" t="s">
        <v>358</v>
      </c>
      <c r="D24" s="7" t="s">
        <v>255</v>
      </c>
      <c r="E24" s="8" t="s">
        <v>509</v>
      </c>
      <c r="F24" s="7" t="s">
        <v>488</v>
      </c>
      <c r="G24" s="28" t="s">
        <v>178</v>
      </c>
      <c r="H24" s="29" t="s">
        <v>55</v>
      </c>
      <c r="I24" s="29" t="s">
        <v>55</v>
      </c>
      <c r="J24" s="27"/>
      <c r="K24" s="9" t="str">
        <f>"190,0"</f>
        <v>190,0</v>
      </c>
      <c r="L24" s="9" t="str">
        <f>"136,8000"</f>
        <v>136,8000</v>
      </c>
      <c r="M24" s="7"/>
    </row>
    <row r="26" spans="1:13" ht="16">
      <c r="A26" s="47" t="s">
        <v>36</v>
      </c>
      <c r="B26" s="47"/>
      <c r="C26" s="48"/>
      <c r="D26" s="48"/>
      <c r="E26" s="48"/>
      <c r="F26" s="48"/>
      <c r="G26" s="48"/>
      <c r="H26" s="48"/>
      <c r="I26" s="48"/>
      <c r="J26" s="48"/>
    </row>
    <row r="27" spans="1:13">
      <c r="A27" s="27" t="s">
        <v>31</v>
      </c>
      <c r="B27" s="7" t="s">
        <v>298</v>
      </c>
      <c r="C27" s="7" t="s">
        <v>299</v>
      </c>
      <c r="D27" s="7" t="s">
        <v>258</v>
      </c>
      <c r="E27" s="8" t="s">
        <v>509</v>
      </c>
      <c r="F27" s="7" t="s">
        <v>480</v>
      </c>
      <c r="G27" s="28" t="s">
        <v>81</v>
      </c>
      <c r="H27" s="28" t="s">
        <v>178</v>
      </c>
      <c r="I27" s="29" t="s">
        <v>58</v>
      </c>
      <c r="J27" s="27"/>
      <c r="K27" s="9" t="str">
        <f>"190,0"</f>
        <v>190,0</v>
      </c>
      <c r="L27" s="9" t="str">
        <f>"127,7560"</f>
        <v>127,7560</v>
      </c>
      <c r="M27" s="7" t="s">
        <v>300</v>
      </c>
    </row>
    <row r="29" spans="1:13" ht="16">
      <c r="A29" s="47" t="s">
        <v>13</v>
      </c>
      <c r="B29" s="47"/>
      <c r="C29" s="48"/>
      <c r="D29" s="48"/>
      <c r="E29" s="48"/>
      <c r="F29" s="48"/>
      <c r="G29" s="48"/>
      <c r="H29" s="48"/>
      <c r="I29" s="48"/>
      <c r="J29" s="48"/>
    </row>
    <row r="30" spans="1:13">
      <c r="A30" s="27" t="s">
        <v>31</v>
      </c>
      <c r="B30" s="7" t="s">
        <v>359</v>
      </c>
      <c r="C30" s="7" t="s">
        <v>360</v>
      </c>
      <c r="D30" s="7" t="s">
        <v>361</v>
      </c>
      <c r="E30" s="8" t="s">
        <v>513</v>
      </c>
      <c r="F30" s="7" t="s">
        <v>494</v>
      </c>
      <c r="G30" s="28" t="s">
        <v>94</v>
      </c>
      <c r="H30" s="28" t="s">
        <v>59</v>
      </c>
      <c r="I30" s="29" t="s">
        <v>88</v>
      </c>
      <c r="J30" s="27"/>
      <c r="K30" s="9" t="str">
        <f>"220,0"</f>
        <v>220,0</v>
      </c>
      <c r="L30" s="9" t="str">
        <f>"145,7823"</f>
        <v>145,7823</v>
      </c>
      <c r="M30" s="7"/>
    </row>
    <row r="32" spans="1:13" ht="16">
      <c r="F32" s="17"/>
      <c r="G32" s="5"/>
      <c r="K32" s="25"/>
      <c r="M32" s="6"/>
    </row>
    <row r="33" spans="2:13">
      <c r="G33" s="5"/>
      <c r="K33" s="25"/>
      <c r="M33" s="6"/>
    </row>
    <row r="34" spans="2:13" ht="18">
      <c r="B34" s="18" t="s">
        <v>22</v>
      </c>
      <c r="C34" s="18"/>
      <c r="G34" s="3"/>
      <c r="K34" s="25"/>
      <c r="M34" s="6"/>
    </row>
    <row r="35" spans="2:13" ht="16">
      <c r="B35" s="19" t="s">
        <v>72</v>
      </c>
      <c r="C35" s="19"/>
      <c r="G35" s="3"/>
      <c r="K35" s="25"/>
      <c r="M35" s="6"/>
    </row>
    <row r="36" spans="2:13" ht="14">
      <c r="B36" s="20"/>
      <c r="C36" s="21" t="s">
        <v>24</v>
      </c>
      <c r="G36" s="3"/>
      <c r="K36" s="25"/>
      <c r="M36" s="6"/>
    </row>
    <row r="37" spans="2:13" ht="14">
      <c r="B37" s="22" t="s">
        <v>25</v>
      </c>
      <c r="C37" s="22" t="s">
        <v>26</v>
      </c>
      <c r="D37" s="22" t="s">
        <v>443</v>
      </c>
      <c r="E37" s="23" t="s">
        <v>27</v>
      </c>
      <c r="F37" s="22" t="s">
        <v>28</v>
      </c>
      <c r="G37" s="3"/>
      <c r="K37" s="25"/>
      <c r="M37" s="6"/>
    </row>
    <row r="38" spans="2:13">
      <c r="B38" s="5" t="s">
        <v>342</v>
      </c>
      <c r="C38" s="5" t="s">
        <v>24</v>
      </c>
      <c r="D38" s="25" t="s">
        <v>195</v>
      </c>
      <c r="E38" s="26">
        <v>177.5</v>
      </c>
      <c r="F38" s="24">
        <v>184.13850128650699</v>
      </c>
      <c r="G38" s="3"/>
      <c r="K38" s="25"/>
      <c r="M38" s="6"/>
    </row>
    <row r="39" spans="2:13">
      <c r="B39" s="5" t="s">
        <v>338</v>
      </c>
      <c r="C39" s="5" t="s">
        <v>24</v>
      </c>
      <c r="D39" s="25" t="s">
        <v>73</v>
      </c>
      <c r="E39" s="26">
        <v>142.5</v>
      </c>
      <c r="F39" s="24">
        <v>163.11975717544601</v>
      </c>
      <c r="G39" s="3"/>
      <c r="K39" s="25"/>
      <c r="M39" s="6"/>
    </row>
    <row r="40" spans="2:13">
      <c r="B40" s="5" t="s">
        <v>354</v>
      </c>
      <c r="C40" s="5" t="s">
        <v>24</v>
      </c>
      <c r="D40" s="25" t="s">
        <v>362</v>
      </c>
      <c r="E40" s="26">
        <v>147.5</v>
      </c>
      <c r="F40" s="24">
        <v>121.436750590801</v>
      </c>
      <c r="G40" s="3"/>
      <c r="K40" s="25"/>
      <c r="M40" s="6"/>
    </row>
  </sheetData>
  <mergeCells count="19">
    <mergeCell ref="K3:K4"/>
    <mergeCell ref="L3:L4"/>
    <mergeCell ref="M3:M4"/>
    <mergeCell ref="A5:J5"/>
    <mergeCell ref="A1:M2"/>
    <mergeCell ref="A3:A4"/>
    <mergeCell ref="C3:C4"/>
    <mergeCell ref="D3:D4"/>
    <mergeCell ref="E3:E4"/>
    <mergeCell ref="F3:F4"/>
    <mergeCell ref="G3:J3"/>
    <mergeCell ref="A29:J29"/>
    <mergeCell ref="B3:B4"/>
    <mergeCell ref="A9:J9"/>
    <mergeCell ref="A12:J12"/>
    <mergeCell ref="A16:J16"/>
    <mergeCell ref="A20:J20"/>
    <mergeCell ref="A23:J23"/>
    <mergeCell ref="A26:J2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16"/>
  <sheetViews>
    <sheetView workbookViewId="0">
      <selection activeCell="E17" sqref="E17"/>
    </sheetView>
  </sheetViews>
  <sheetFormatPr baseColWidth="10" defaultColWidth="9.1640625" defaultRowHeight="13"/>
  <cols>
    <col min="1" max="1" width="7.5" style="5" bestFit="1" customWidth="1"/>
    <col min="2" max="2" width="20.5" style="5" bestFit="1" customWidth="1"/>
    <col min="3" max="3" width="27.5" style="5" bestFit="1" customWidth="1"/>
    <col min="4" max="4" width="21.5" style="5" bestFit="1" customWidth="1"/>
    <col min="5" max="5" width="10.5" style="16" bestFit="1" customWidth="1"/>
    <col min="6" max="6" width="15.5" style="5" bestFit="1" customWidth="1"/>
    <col min="7" max="9" width="5.5" style="25" customWidth="1"/>
    <col min="10" max="10" width="4.83203125" style="25" customWidth="1"/>
    <col min="11" max="11" width="10.5" style="6" bestFit="1" customWidth="1"/>
    <col min="12" max="12" width="8.6640625" style="6" bestFit="1" customWidth="1"/>
    <col min="13" max="13" width="19.33203125" style="5" customWidth="1"/>
    <col min="14" max="16384" width="9.1640625" style="3"/>
  </cols>
  <sheetData>
    <row r="1" spans="1:13" s="2" customFormat="1" ht="29" customHeight="1">
      <c r="A1" s="57" t="s">
        <v>453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s="2" customFormat="1" ht="62" customHeight="1" thickBot="1">
      <c r="A2" s="61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1" customFormat="1" ht="12.75" customHeight="1">
      <c r="A3" s="65" t="s">
        <v>505</v>
      </c>
      <c r="B3" s="70" t="s">
        <v>0</v>
      </c>
      <c r="C3" s="67" t="s">
        <v>506</v>
      </c>
      <c r="D3" s="67" t="s">
        <v>5</v>
      </c>
      <c r="E3" s="51" t="s">
        <v>507</v>
      </c>
      <c r="F3" s="69" t="s">
        <v>6</v>
      </c>
      <c r="G3" s="69" t="s">
        <v>35</v>
      </c>
      <c r="H3" s="69"/>
      <c r="I3" s="69"/>
      <c r="J3" s="69"/>
      <c r="K3" s="51" t="s">
        <v>30</v>
      </c>
      <c r="L3" s="51" t="s">
        <v>3</v>
      </c>
      <c r="M3" s="53" t="s">
        <v>2</v>
      </c>
    </row>
    <row r="4" spans="1:13" s="1" customFormat="1" ht="21" customHeight="1" thickBot="1">
      <c r="A4" s="66"/>
      <c r="B4" s="71"/>
      <c r="C4" s="68"/>
      <c r="D4" s="68"/>
      <c r="E4" s="52"/>
      <c r="F4" s="68"/>
      <c r="G4" s="4">
        <v>1</v>
      </c>
      <c r="H4" s="4">
        <v>2</v>
      </c>
      <c r="I4" s="4">
        <v>3</v>
      </c>
      <c r="J4" s="4" t="s">
        <v>4</v>
      </c>
      <c r="K4" s="52"/>
      <c r="L4" s="52"/>
      <c r="M4" s="54"/>
    </row>
    <row r="5" spans="1:13" ht="16">
      <c r="A5" s="55" t="s">
        <v>36</v>
      </c>
      <c r="B5" s="55"/>
      <c r="C5" s="56"/>
      <c r="D5" s="56"/>
      <c r="E5" s="56"/>
      <c r="F5" s="56"/>
      <c r="G5" s="56"/>
      <c r="H5" s="56"/>
      <c r="I5" s="56"/>
      <c r="J5" s="56"/>
    </row>
    <row r="6" spans="1:13">
      <c r="A6" s="27" t="s">
        <v>31</v>
      </c>
      <c r="B6" s="7" t="s">
        <v>74</v>
      </c>
      <c r="C6" s="7" t="s">
        <v>75</v>
      </c>
      <c r="D6" s="7" t="s">
        <v>76</v>
      </c>
      <c r="E6" s="8" t="s">
        <v>509</v>
      </c>
      <c r="F6" s="7" t="s">
        <v>480</v>
      </c>
      <c r="G6" s="28" t="s">
        <v>80</v>
      </c>
      <c r="H6" s="28" t="s">
        <v>81</v>
      </c>
      <c r="I6" s="29" t="s">
        <v>82</v>
      </c>
      <c r="J6" s="27"/>
      <c r="K6" s="9" t="str">
        <f>"170,0"</f>
        <v>170,0</v>
      </c>
      <c r="L6" s="9" t="str">
        <f>"154,5980"</f>
        <v>154,5980</v>
      </c>
      <c r="M6" s="7" t="s">
        <v>437</v>
      </c>
    </row>
    <row r="8" spans="1:13" ht="16">
      <c r="A8" s="47" t="s">
        <v>90</v>
      </c>
      <c r="B8" s="47"/>
      <c r="C8" s="48"/>
      <c r="D8" s="48"/>
      <c r="E8" s="48"/>
      <c r="F8" s="48"/>
      <c r="G8" s="48"/>
      <c r="H8" s="48"/>
      <c r="I8" s="48"/>
      <c r="J8" s="48"/>
    </row>
    <row r="9" spans="1:13">
      <c r="A9" s="27" t="s">
        <v>31</v>
      </c>
      <c r="B9" s="7" t="s">
        <v>321</v>
      </c>
      <c r="C9" s="7" t="s">
        <v>322</v>
      </c>
      <c r="D9" s="7" t="s">
        <v>323</v>
      </c>
      <c r="E9" s="8" t="s">
        <v>515</v>
      </c>
      <c r="F9" s="7" t="s">
        <v>480</v>
      </c>
      <c r="G9" s="28" t="s">
        <v>80</v>
      </c>
      <c r="H9" s="28" t="s">
        <v>81</v>
      </c>
      <c r="I9" s="29" t="s">
        <v>96</v>
      </c>
      <c r="J9" s="27"/>
      <c r="K9" s="9" t="str">
        <f>"170,0"</f>
        <v>170,0</v>
      </c>
      <c r="L9" s="9" t="str">
        <f>"126,1170"</f>
        <v>126,1170</v>
      </c>
      <c r="M9" s="7" t="s">
        <v>439</v>
      </c>
    </row>
    <row r="11" spans="1:13" ht="16">
      <c r="A11" s="47" t="s">
        <v>13</v>
      </c>
      <c r="B11" s="47"/>
      <c r="C11" s="48"/>
      <c r="D11" s="48"/>
      <c r="E11" s="48"/>
      <c r="F11" s="48"/>
      <c r="G11" s="48"/>
      <c r="H11" s="48"/>
      <c r="I11" s="48"/>
      <c r="J11" s="48"/>
    </row>
    <row r="12" spans="1:13">
      <c r="A12" s="30" t="s">
        <v>31</v>
      </c>
      <c r="B12" s="10" t="s">
        <v>226</v>
      </c>
      <c r="C12" s="10" t="s">
        <v>227</v>
      </c>
      <c r="D12" s="10" t="s">
        <v>221</v>
      </c>
      <c r="E12" s="11" t="s">
        <v>513</v>
      </c>
      <c r="F12" s="10" t="s">
        <v>496</v>
      </c>
      <c r="G12" s="31" t="s">
        <v>96</v>
      </c>
      <c r="H12" s="31" t="s">
        <v>178</v>
      </c>
      <c r="I12" s="31" t="s">
        <v>58</v>
      </c>
      <c r="J12" s="30"/>
      <c r="K12" s="12" t="str">
        <f>"200,0"</f>
        <v>200,0</v>
      </c>
      <c r="L12" s="12" t="str">
        <f>"136,7769"</f>
        <v>136,7769</v>
      </c>
      <c r="M12" s="10"/>
    </row>
    <row r="13" spans="1:13">
      <c r="A13" s="32" t="s">
        <v>31</v>
      </c>
      <c r="B13" s="13" t="s">
        <v>324</v>
      </c>
      <c r="C13" s="13" t="s">
        <v>325</v>
      </c>
      <c r="D13" s="13" t="s">
        <v>20</v>
      </c>
      <c r="E13" s="14" t="s">
        <v>515</v>
      </c>
      <c r="F13" s="13" t="s">
        <v>480</v>
      </c>
      <c r="G13" s="34" t="s">
        <v>46</v>
      </c>
      <c r="H13" s="34" t="s">
        <v>97</v>
      </c>
      <c r="I13" s="34" t="s">
        <v>98</v>
      </c>
      <c r="J13" s="32"/>
      <c r="K13" s="15" t="str">
        <f>"265,0"</f>
        <v>265,0</v>
      </c>
      <c r="L13" s="15" t="str">
        <f>"185,4709"</f>
        <v>185,4709</v>
      </c>
      <c r="M13" s="13" t="s">
        <v>326</v>
      </c>
    </row>
    <row r="15" spans="1:13" ht="16">
      <c r="A15" s="47" t="s">
        <v>42</v>
      </c>
      <c r="B15" s="47"/>
      <c r="C15" s="48"/>
      <c r="D15" s="48"/>
      <c r="E15" s="48"/>
      <c r="F15" s="48"/>
      <c r="G15" s="48"/>
      <c r="H15" s="48"/>
      <c r="I15" s="48"/>
      <c r="J15" s="48"/>
    </row>
    <row r="16" spans="1:13">
      <c r="A16" s="27" t="s">
        <v>31</v>
      </c>
      <c r="B16" s="7" t="s">
        <v>327</v>
      </c>
      <c r="C16" s="7" t="s">
        <v>328</v>
      </c>
      <c r="D16" s="7" t="s">
        <v>329</v>
      </c>
      <c r="E16" s="8" t="s">
        <v>515</v>
      </c>
      <c r="F16" s="7" t="s">
        <v>480</v>
      </c>
      <c r="G16" s="28" t="s">
        <v>55</v>
      </c>
      <c r="H16" s="28" t="s">
        <v>56</v>
      </c>
      <c r="I16" s="29" t="s">
        <v>330</v>
      </c>
      <c r="J16" s="27"/>
      <c r="K16" s="9" t="str">
        <f>"215,0"</f>
        <v>215,0</v>
      </c>
      <c r="L16" s="9" t="str">
        <f>"162,1917"</f>
        <v>162,1917</v>
      </c>
      <c r="M16" s="7" t="s">
        <v>331</v>
      </c>
    </row>
  </sheetData>
  <mergeCells count="15">
    <mergeCell ref="L3:L4"/>
    <mergeCell ref="M3:M4"/>
    <mergeCell ref="A5:J5"/>
    <mergeCell ref="A1:M2"/>
    <mergeCell ref="A3:A4"/>
    <mergeCell ref="C3:C4"/>
    <mergeCell ref="D3:D4"/>
    <mergeCell ref="E3:E4"/>
    <mergeCell ref="F3:F4"/>
    <mergeCell ref="G3:J3"/>
    <mergeCell ref="A8:J8"/>
    <mergeCell ref="A11:J11"/>
    <mergeCell ref="A15:J15"/>
    <mergeCell ref="B3:B4"/>
    <mergeCell ref="K3:K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42"/>
  <sheetViews>
    <sheetView workbookViewId="0">
      <selection activeCell="E33" sqref="E33"/>
    </sheetView>
  </sheetViews>
  <sheetFormatPr baseColWidth="10" defaultColWidth="9.1640625" defaultRowHeight="13"/>
  <cols>
    <col min="1" max="1" width="7.5" style="5" bestFit="1" customWidth="1"/>
    <col min="2" max="2" width="19.5" style="5" bestFit="1" customWidth="1"/>
    <col min="3" max="3" width="28.5" style="5" bestFit="1" customWidth="1"/>
    <col min="4" max="4" width="21.5" style="5" bestFit="1" customWidth="1"/>
    <col min="5" max="5" width="10.5" style="16" bestFit="1" customWidth="1"/>
    <col min="6" max="6" width="21.6640625" style="5" bestFit="1" customWidth="1"/>
    <col min="7" max="10" width="5.5" style="25" customWidth="1"/>
    <col min="11" max="11" width="10.5" style="6" bestFit="1" customWidth="1"/>
    <col min="12" max="12" width="7.5" style="6" bestFit="1" customWidth="1"/>
    <col min="13" max="13" width="31.33203125" style="5" bestFit="1" customWidth="1"/>
    <col min="14" max="16384" width="9.1640625" style="3"/>
  </cols>
  <sheetData>
    <row r="1" spans="1:13" s="2" customFormat="1" ht="29" customHeight="1">
      <c r="A1" s="57" t="s">
        <v>444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s="2" customFormat="1" ht="62" customHeight="1" thickBot="1">
      <c r="A2" s="61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1" customFormat="1" ht="12.75" customHeight="1">
      <c r="A3" s="65" t="s">
        <v>505</v>
      </c>
      <c r="B3" s="70" t="s">
        <v>0</v>
      </c>
      <c r="C3" s="67" t="s">
        <v>506</v>
      </c>
      <c r="D3" s="67" t="s">
        <v>5</v>
      </c>
      <c r="E3" s="51" t="s">
        <v>507</v>
      </c>
      <c r="F3" s="69" t="s">
        <v>6</v>
      </c>
      <c r="G3" s="69" t="s">
        <v>379</v>
      </c>
      <c r="H3" s="69"/>
      <c r="I3" s="69"/>
      <c r="J3" s="69"/>
      <c r="K3" s="51" t="s">
        <v>30</v>
      </c>
      <c r="L3" s="51" t="s">
        <v>3</v>
      </c>
      <c r="M3" s="53" t="s">
        <v>2</v>
      </c>
    </row>
    <row r="4" spans="1:13" s="1" customFormat="1" ht="21" customHeight="1" thickBot="1">
      <c r="A4" s="66"/>
      <c r="B4" s="71"/>
      <c r="C4" s="68"/>
      <c r="D4" s="68"/>
      <c r="E4" s="52"/>
      <c r="F4" s="68"/>
      <c r="G4" s="4">
        <v>1</v>
      </c>
      <c r="H4" s="4">
        <v>2</v>
      </c>
      <c r="I4" s="4">
        <v>3</v>
      </c>
      <c r="J4" s="4" t="s">
        <v>4</v>
      </c>
      <c r="K4" s="52"/>
      <c r="L4" s="52"/>
      <c r="M4" s="54"/>
    </row>
    <row r="5" spans="1:13" ht="16">
      <c r="A5" s="55" t="s">
        <v>119</v>
      </c>
      <c r="B5" s="55"/>
      <c r="C5" s="56"/>
      <c r="D5" s="56"/>
      <c r="E5" s="56"/>
      <c r="F5" s="56"/>
      <c r="G5" s="56"/>
      <c r="H5" s="56"/>
      <c r="I5" s="56"/>
      <c r="J5" s="56"/>
    </row>
    <row r="6" spans="1:13">
      <c r="A6" s="27" t="s">
        <v>31</v>
      </c>
      <c r="B6" s="7" t="s">
        <v>387</v>
      </c>
      <c r="C6" s="7" t="s">
        <v>388</v>
      </c>
      <c r="D6" s="7" t="s">
        <v>334</v>
      </c>
      <c r="E6" s="8" t="s">
        <v>509</v>
      </c>
      <c r="F6" s="7" t="s">
        <v>491</v>
      </c>
      <c r="G6" s="28" t="s">
        <v>389</v>
      </c>
      <c r="H6" s="28" t="s">
        <v>390</v>
      </c>
      <c r="I6" s="28" t="s">
        <v>57</v>
      </c>
      <c r="J6" s="27"/>
      <c r="K6" s="9" t="str">
        <f>"30,0"</f>
        <v>30,0</v>
      </c>
      <c r="L6" s="9" t="str">
        <f>"31,3170"</f>
        <v>31,3170</v>
      </c>
      <c r="M6" s="7"/>
    </row>
    <row r="8" spans="1:13" ht="16">
      <c r="A8" s="47" t="s">
        <v>146</v>
      </c>
      <c r="B8" s="47"/>
      <c r="C8" s="48"/>
      <c r="D8" s="48"/>
      <c r="E8" s="48"/>
      <c r="F8" s="48"/>
      <c r="G8" s="48"/>
      <c r="H8" s="48"/>
      <c r="I8" s="48"/>
      <c r="J8" s="48"/>
    </row>
    <row r="9" spans="1:13">
      <c r="A9" s="27" t="s">
        <v>31</v>
      </c>
      <c r="B9" s="7" t="s">
        <v>391</v>
      </c>
      <c r="C9" s="7" t="s">
        <v>430</v>
      </c>
      <c r="D9" s="7" t="s">
        <v>392</v>
      </c>
      <c r="E9" s="8" t="s">
        <v>513</v>
      </c>
      <c r="F9" s="7" t="s">
        <v>480</v>
      </c>
      <c r="G9" s="28" t="s">
        <v>390</v>
      </c>
      <c r="H9" s="28" t="s">
        <v>57</v>
      </c>
      <c r="I9" s="29" t="s">
        <v>393</v>
      </c>
      <c r="J9" s="27"/>
      <c r="K9" s="9" t="str">
        <f>"30,0"</f>
        <v>30,0</v>
      </c>
      <c r="L9" s="9" t="str">
        <f>"31,1470"</f>
        <v>31,1470</v>
      </c>
      <c r="M9" s="7"/>
    </row>
    <row r="11" spans="1:13" ht="16">
      <c r="A11" s="47" t="s">
        <v>62</v>
      </c>
      <c r="B11" s="47"/>
      <c r="C11" s="48"/>
      <c r="D11" s="48"/>
      <c r="E11" s="48"/>
      <c r="F11" s="48"/>
      <c r="G11" s="48"/>
      <c r="H11" s="48"/>
      <c r="I11" s="48"/>
      <c r="J11" s="48"/>
    </row>
    <row r="12" spans="1:13">
      <c r="A12" s="27" t="s">
        <v>31</v>
      </c>
      <c r="B12" s="7" t="s">
        <v>380</v>
      </c>
      <c r="C12" s="7" t="s">
        <v>381</v>
      </c>
      <c r="D12" s="7" t="s">
        <v>382</v>
      </c>
      <c r="E12" s="8" t="s">
        <v>509</v>
      </c>
      <c r="F12" s="7" t="s">
        <v>480</v>
      </c>
      <c r="G12" s="28" t="s">
        <v>69</v>
      </c>
      <c r="H12" s="28" t="s">
        <v>7</v>
      </c>
      <c r="I12" s="29" t="s">
        <v>129</v>
      </c>
      <c r="J12" s="27"/>
      <c r="K12" s="9" t="str">
        <f>"50,0"</f>
        <v>50,0</v>
      </c>
      <c r="L12" s="9" t="str">
        <f>"41,7775"</f>
        <v>41,7775</v>
      </c>
      <c r="M12" s="7" t="s">
        <v>438</v>
      </c>
    </row>
    <row r="14" spans="1:13" ht="16">
      <c r="A14" s="47" t="s">
        <v>146</v>
      </c>
      <c r="B14" s="47"/>
      <c r="C14" s="48"/>
      <c r="D14" s="48"/>
      <c r="E14" s="48"/>
      <c r="F14" s="48"/>
      <c r="G14" s="48"/>
      <c r="H14" s="48"/>
      <c r="I14" s="48"/>
      <c r="J14" s="48"/>
    </row>
    <row r="15" spans="1:13">
      <c r="A15" s="30" t="s">
        <v>31</v>
      </c>
      <c r="B15" s="10" t="s">
        <v>394</v>
      </c>
      <c r="C15" s="10" t="s">
        <v>395</v>
      </c>
      <c r="D15" s="10" t="s">
        <v>396</v>
      </c>
      <c r="E15" s="11" t="s">
        <v>509</v>
      </c>
      <c r="F15" s="10" t="s">
        <v>490</v>
      </c>
      <c r="G15" s="31" t="s">
        <v>8</v>
      </c>
      <c r="H15" s="31" t="s">
        <v>79</v>
      </c>
      <c r="I15" s="31" t="s">
        <v>136</v>
      </c>
      <c r="J15" s="30"/>
      <c r="K15" s="12" t="str">
        <f>"62,5"</f>
        <v>62,5</v>
      </c>
      <c r="L15" s="12" t="str">
        <f>"47,0719"</f>
        <v>47,0719</v>
      </c>
      <c r="M15" s="10"/>
    </row>
    <row r="16" spans="1:13">
      <c r="A16" s="32" t="s">
        <v>32</v>
      </c>
      <c r="B16" s="13" t="s">
        <v>383</v>
      </c>
      <c r="C16" s="13" t="s">
        <v>384</v>
      </c>
      <c r="D16" s="13" t="s">
        <v>385</v>
      </c>
      <c r="E16" s="14" t="s">
        <v>509</v>
      </c>
      <c r="F16" s="13" t="s">
        <v>503</v>
      </c>
      <c r="G16" s="34" t="s">
        <v>123</v>
      </c>
      <c r="H16" s="34" t="s">
        <v>7</v>
      </c>
      <c r="I16" s="34" t="s">
        <v>129</v>
      </c>
      <c r="J16" s="32"/>
      <c r="K16" s="15" t="str">
        <f>"52,5"</f>
        <v>52,5</v>
      </c>
      <c r="L16" s="15" t="str">
        <f>"40,2701"</f>
        <v>40,2701</v>
      </c>
      <c r="M16" s="13" t="s">
        <v>434</v>
      </c>
    </row>
    <row r="18" spans="1:13" ht="16">
      <c r="A18" s="47" t="s">
        <v>157</v>
      </c>
      <c r="B18" s="47"/>
      <c r="C18" s="48"/>
      <c r="D18" s="48"/>
      <c r="E18" s="48"/>
      <c r="F18" s="48"/>
      <c r="G18" s="48"/>
      <c r="H18" s="48"/>
      <c r="I18" s="48"/>
      <c r="J18" s="48"/>
    </row>
    <row r="19" spans="1:13">
      <c r="A19" s="30" t="s">
        <v>31</v>
      </c>
      <c r="B19" s="10" t="s">
        <v>158</v>
      </c>
      <c r="C19" s="10" t="s">
        <v>159</v>
      </c>
      <c r="D19" s="10" t="s">
        <v>160</v>
      </c>
      <c r="E19" s="11" t="s">
        <v>509</v>
      </c>
      <c r="F19" s="10" t="s">
        <v>480</v>
      </c>
      <c r="G19" s="31" t="s">
        <v>69</v>
      </c>
      <c r="H19" s="31" t="s">
        <v>8</v>
      </c>
      <c r="I19" s="31" t="s">
        <v>41</v>
      </c>
      <c r="J19" s="30"/>
      <c r="K19" s="12" t="str">
        <f>"65,0"</f>
        <v>65,0</v>
      </c>
      <c r="L19" s="12" t="str">
        <f>"45,2043"</f>
        <v>45,2043</v>
      </c>
      <c r="M19" s="10"/>
    </row>
    <row r="20" spans="1:13">
      <c r="A20" s="41" t="s">
        <v>32</v>
      </c>
      <c r="B20" s="36" t="s">
        <v>247</v>
      </c>
      <c r="C20" s="36" t="s">
        <v>248</v>
      </c>
      <c r="D20" s="36" t="s">
        <v>249</v>
      </c>
      <c r="E20" s="37" t="s">
        <v>509</v>
      </c>
      <c r="F20" s="36" t="s">
        <v>491</v>
      </c>
      <c r="G20" s="39" t="s">
        <v>8</v>
      </c>
      <c r="H20" s="39" t="s">
        <v>79</v>
      </c>
      <c r="I20" s="39" t="s">
        <v>136</v>
      </c>
      <c r="J20" s="41"/>
      <c r="K20" s="38" t="str">
        <f>"62,5"</f>
        <v>62,5</v>
      </c>
      <c r="L20" s="38" t="str">
        <f>"44,3875"</f>
        <v>44,3875</v>
      </c>
      <c r="M20" s="36"/>
    </row>
    <row r="21" spans="1:13">
      <c r="A21" s="41" t="s">
        <v>189</v>
      </c>
      <c r="B21" s="36" t="s">
        <v>367</v>
      </c>
      <c r="C21" s="36" t="s">
        <v>368</v>
      </c>
      <c r="D21" s="36" t="s">
        <v>369</v>
      </c>
      <c r="E21" s="37" t="s">
        <v>509</v>
      </c>
      <c r="F21" s="36" t="s">
        <v>489</v>
      </c>
      <c r="G21" s="39" t="s">
        <v>8</v>
      </c>
      <c r="H21" s="39" t="s">
        <v>135</v>
      </c>
      <c r="I21" s="40" t="s">
        <v>79</v>
      </c>
      <c r="J21" s="41"/>
      <c r="K21" s="38" t="str">
        <f>"57,5"</f>
        <v>57,5</v>
      </c>
      <c r="L21" s="38" t="str">
        <f>"40,6582"</f>
        <v>40,6582</v>
      </c>
      <c r="M21" s="36"/>
    </row>
    <row r="22" spans="1:13">
      <c r="A22" s="32" t="s">
        <v>31</v>
      </c>
      <c r="B22" s="13" t="s">
        <v>253</v>
      </c>
      <c r="C22" s="13" t="s">
        <v>254</v>
      </c>
      <c r="D22" s="13" t="s">
        <v>255</v>
      </c>
      <c r="E22" s="14" t="s">
        <v>515</v>
      </c>
      <c r="F22" s="13" t="s">
        <v>480</v>
      </c>
      <c r="G22" s="34" t="s">
        <v>69</v>
      </c>
      <c r="H22" s="34" t="s">
        <v>129</v>
      </c>
      <c r="I22" s="33" t="s">
        <v>8</v>
      </c>
      <c r="J22" s="32"/>
      <c r="K22" s="15" t="str">
        <f>"52,5"</f>
        <v>52,5</v>
      </c>
      <c r="L22" s="15" t="str">
        <f>"43,2727"</f>
        <v>43,2727</v>
      </c>
      <c r="M22" s="13" t="s">
        <v>441</v>
      </c>
    </row>
    <row r="24" spans="1:13" ht="16">
      <c r="A24" s="47" t="s">
        <v>36</v>
      </c>
      <c r="B24" s="47"/>
      <c r="C24" s="48"/>
      <c r="D24" s="48"/>
      <c r="E24" s="48"/>
      <c r="F24" s="48"/>
      <c r="G24" s="48"/>
      <c r="H24" s="48"/>
      <c r="I24" s="48"/>
      <c r="J24" s="48"/>
    </row>
    <row r="25" spans="1:13">
      <c r="A25" s="30" t="s">
        <v>31</v>
      </c>
      <c r="B25" s="10" t="s">
        <v>397</v>
      </c>
      <c r="C25" s="10" t="s">
        <v>428</v>
      </c>
      <c r="D25" s="10" t="s">
        <v>398</v>
      </c>
      <c r="E25" s="11" t="s">
        <v>516</v>
      </c>
      <c r="F25" s="10" t="s">
        <v>481</v>
      </c>
      <c r="G25" s="31" t="s">
        <v>8</v>
      </c>
      <c r="H25" s="31" t="s">
        <v>79</v>
      </c>
      <c r="I25" s="31" t="s">
        <v>136</v>
      </c>
      <c r="J25" s="30"/>
      <c r="K25" s="12" t="str">
        <f>"62,5"</f>
        <v>62,5</v>
      </c>
      <c r="L25" s="12" t="str">
        <f>"41,7969"</f>
        <v>41,7969</v>
      </c>
      <c r="M25" s="10" t="s">
        <v>442</v>
      </c>
    </row>
    <row r="26" spans="1:13">
      <c r="A26" s="41" t="s">
        <v>31</v>
      </c>
      <c r="B26" s="36" t="s">
        <v>170</v>
      </c>
      <c r="C26" s="36" t="s">
        <v>431</v>
      </c>
      <c r="D26" s="36" t="s">
        <v>172</v>
      </c>
      <c r="E26" s="37" t="s">
        <v>511</v>
      </c>
      <c r="F26" s="36" t="s">
        <v>480</v>
      </c>
      <c r="G26" s="39" t="s">
        <v>7</v>
      </c>
      <c r="H26" s="39" t="s">
        <v>8</v>
      </c>
      <c r="I26" s="39" t="s">
        <v>79</v>
      </c>
      <c r="J26" s="41"/>
      <c r="K26" s="38" t="str">
        <f>"60,0"</f>
        <v>60,0</v>
      </c>
      <c r="L26" s="38" t="str">
        <f>"39,0150"</f>
        <v>39,0150</v>
      </c>
      <c r="M26" s="36"/>
    </row>
    <row r="27" spans="1:13">
      <c r="A27" s="41" t="s">
        <v>31</v>
      </c>
      <c r="B27" s="36" t="s">
        <v>399</v>
      </c>
      <c r="C27" s="36" t="s">
        <v>400</v>
      </c>
      <c r="D27" s="36" t="s">
        <v>401</v>
      </c>
      <c r="E27" s="37" t="s">
        <v>509</v>
      </c>
      <c r="F27" s="36" t="s">
        <v>480</v>
      </c>
      <c r="G27" s="39" t="s">
        <v>41</v>
      </c>
      <c r="H27" s="39" t="s">
        <v>402</v>
      </c>
      <c r="I27" s="40" t="s">
        <v>154</v>
      </c>
      <c r="J27" s="41"/>
      <c r="K27" s="38" t="str">
        <f>"67,5"</f>
        <v>67,5</v>
      </c>
      <c r="L27" s="38" t="str">
        <f>"43,9628"</f>
        <v>43,9628</v>
      </c>
      <c r="M27" s="36"/>
    </row>
    <row r="28" spans="1:13">
      <c r="A28" s="41" t="s">
        <v>32</v>
      </c>
      <c r="B28" s="36" t="s">
        <v>403</v>
      </c>
      <c r="C28" s="36" t="s">
        <v>404</v>
      </c>
      <c r="D28" s="36" t="s">
        <v>263</v>
      </c>
      <c r="E28" s="37" t="s">
        <v>509</v>
      </c>
      <c r="F28" s="36" t="s">
        <v>490</v>
      </c>
      <c r="G28" s="39" t="s">
        <v>123</v>
      </c>
      <c r="H28" s="39" t="s">
        <v>69</v>
      </c>
      <c r="I28" s="40" t="s">
        <v>129</v>
      </c>
      <c r="J28" s="41"/>
      <c r="K28" s="38" t="str">
        <f>"47,5"</f>
        <v>47,5</v>
      </c>
      <c r="L28" s="38" t="str">
        <f>"31,3263"</f>
        <v>31,3263</v>
      </c>
      <c r="M28" s="36" t="s">
        <v>438</v>
      </c>
    </row>
    <row r="29" spans="1:13">
      <c r="A29" s="32" t="s">
        <v>31</v>
      </c>
      <c r="B29" s="13" t="s">
        <v>405</v>
      </c>
      <c r="C29" s="13" t="s">
        <v>429</v>
      </c>
      <c r="D29" s="13" t="s">
        <v>406</v>
      </c>
      <c r="E29" s="14" t="s">
        <v>515</v>
      </c>
      <c r="F29" s="13" t="s">
        <v>480</v>
      </c>
      <c r="G29" s="34" t="s">
        <v>79</v>
      </c>
      <c r="H29" s="34" t="s">
        <v>41</v>
      </c>
      <c r="I29" s="33" t="s">
        <v>154</v>
      </c>
      <c r="J29" s="32"/>
      <c r="K29" s="15" t="str">
        <f>"65,0"</f>
        <v>65,0</v>
      </c>
      <c r="L29" s="15" t="str">
        <f>"48,8820"</f>
        <v>48,8820</v>
      </c>
      <c r="M29" s="13"/>
    </row>
    <row r="31" spans="1:13" ht="16">
      <c r="A31" s="47" t="s">
        <v>13</v>
      </c>
      <c r="B31" s="47"/>
      <c r="C31" s="48"/>
      <c r="D31" s="48"/>
      <c r="E31" s="48"/>
      <c r="F31" s="48"/>
      <c r="G31" s="48"/>
      <c r="H31" s="48"/>
      <c r="I31" s="48"/>
      <c r="J31" s="48"/>
    </row>
    <row r="32" spans="1:13">
      <c r="A32" s="27" t="s">
        <v>31</v>
      </c>
      <c r="B32" s="7" t="s">
        <v>407</v>
      </c>
      <c r="C32" s="7" t="s">
        <v>432</v>
      </c>
      <c r="D32" s="7" t="s">
        <v>408</v>
      </c>
      <c r="E32" s="8" t="s">
        <v>515</v>
      </c>
      <c r="F32" s="7" t="s">
        <v>504</v>
      </c>
      <c r="G32" s="29" t="s">
        <v>8</v>
      </c>
      <c r="H32" s="28" t="s">
        <v>8</v>
      </c>
      <c r="I32" s="28" t="s">
        <v>79</v>
      </c>
      <c r="J32" s="28" t="s">
        <v>409</v>
      </c>
      <c r="K32" s="9" t="str">
        <f>"60,0"</f>
        <v>60,0</v>
      </c>
      <c r="L32" s="9" t="str">
        <f>"43,5745"</f>
        <v>43,5745</v>
      </c>
      <c r="M32" s="7"/>
    </row>
    <row r="34" spans="2:13" ht="16">
      <c r="F34" s="17"/>
      <c r="G34" s="5"/>
      <c r="K34" s="25"/>
      <c r="M34" s="6"/>
    </row>
    <row r="35" spans="2:13">
      <c r="G35" s="5"/>
      <c r="K35" s="25"/>
      <c r="M35" s="6"/>
    </row>
    <row r="36" spans="2:13" ht="18">
      <c r="B36" s="18" t="s">
        <v>22</v>
      </c>
      <c r="C36" s="18"/>
      <c r="G36" s="3"/>
      <c r="K36" s="25"/>
      <c r="M36" s="6"/>
    </row>
    <row r="37" spans="2:13" ht="16">
      <c r="B37" s="19" t="s">
        <v>23</v>
      </c>
      <c r="C37" s="19"/>
      <c r="G37" s="3"/>
      <c r="K37" s="25"/>
      <c r="M37" s="6"/>
    </row>
    <row r="38" spans="2:13" ht="14">
      <c r="B38" s="20"/>
      <c r="C38" s="21" t="s">
        <v>24</v>
      </c>
      <c r="G38" s="3"/>
      <c r="K38" s="25"/>
      <c r="M38" s="6"/>
    </row>
    <row r="39" spans="2:13" ht="14">
      <c r="B39" s="22" t="s">
        <v>25</v>
      </c>
      <c r="C39" s="22" t="s">
        <v>26</v>
      </c>
      <c r="D39" s="22" t="s">
        <v>443</v>
      </c>
      <c r="E39" s="23" t="s">
        <v>27</v>
      </c>
      <c r="F39" s="22" t="s">
        <v>190</v>
      </c>
      <c r="G39" s="3"/>
      <c r="K39" s="25"/>
      <c r="M39" s="6"/>
    </row>
    <row r="40" spans="2:13">
      <c r="B40" s="5" t="s">
        <v>394</v>
      </c>
      <c r="C40" s="5" t="s">
        <v>24</v>
      </c>
      <c r="D40" s="25" t="s">
        <v>195</v>
      </c>
      <c r="E40" s="26">
        <v>62.5</v>
      </c>
      <c r="F40" s="24">
        <v>47.071874141693101</v>
      </c>
      <c r="G40" s="3"/>
      <c r="K40" s="25"/>
      <c r="M40" s="6"/>
    </row>
    <row r="41" spans="2:13">
      <c r="B41" s="5" t="s">
        <v>158</v>
      </c>
      <c r="C41" s="5" t="s">
        <v>24</v>
      </c>
      <c r="D41" s="25" t="s">
        <v>188</v>
      </c>
      <c r="E41" s="26">
        <v>65</v>
      </c>
      <c r="F41" s="24">
        <v>45.204250514507301</v>
      </c>
      <c r="G41" s="3"/>
      <c r="K41" s="25"/>
      <c r="M41" s="6"/>
    </row>
    <row r="42" spans="2:13">
      <c r="B42" s="5" t="s">
        <v>247</v>
      </c>
      <c r="C42" s="5" t="s">
        <v>24</v>
      </c>
      <c r="D42" s="25" t="s">
        <v>188</v>
      </c>
      <c r="E42" s="26">
        <v>62.5</v>
      </c>
      <c r="F42" s="24">
        <v>44.387500733137102</v>
      </c>
      <c r="G42" s="3"/>
      <c r="K42" s="25"/>
      <c r="M42" s="6"/>
    </row>
  </sheetData>
  <mergeCells count="18">
    <mergeCell ref="A1:M2"/>
    <mergeCell ref="A3:A4"/>
    <mergeCell ref="C3:C4"/>
    <mergeCell ref="D3:D4"/>
    <mergeCell ref="E3:E4"/>
    <mergeCell ref="F3:F4"/>
    <mergeCell ref="G3:J3"/>
    <mergeCell ref="A31:J31"/>
    <mergeCell ref="K3:K4"/>
    <mergeCell ref="L3:L4"/>
    <mergeCell ref="M3:M4"/>
    <mergeCell ref="A5:J5"/>
    <mergeCell ref="B3:B4"/>
    <mergeCell ref="A8:J8"/>
    <mergeCell ref="A11:J11"/>
    <mergeCell ref="A14:J14"/>
    <mergeCell ref="A18:J18"/>
    <mergeCell ref="A24:J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U20"/>
  <sheetViews>
    <sheetView workbookViewId="0">
      <selection sqref="A1:U2"/>
    </sheetView>
  </sheetViews>
  <sheetFormatPr baseColWidth="10" defaultColWidth="9.1640625" defaultRowHeight="13"/>
  <cols>
    <col min="1" max="1" width="7.5" style="5" bestFit="1" customWidth="1"/>
    <col min="2" max="2" width="18.83203125" style="5" bestFit="1" customWidth="1"/>
    <col min="3" max="3" width="27.5" style="5" bestFit="1" customWidth="1"/>
    <col min="4" max="4" width="21.5" style="5" bestFit="1" customWidth="1"/>
    <col min="5" max="5" width="10.5" style="16" bestFit="1" customWidth="1"/>
    <col min="6" max="6" width="19.83203125" style="5" customWidth="1"/>
    <col min="7" max="9" width="5.5" style="25" customWidth="1"/>
    <col min="10" max="10" width="4.83203125" style="25" customWidth="1"/>
    <col min="11" max="13" width="5.5" style="25" customWidth="1"/>
    <col min="14" max="14" width="4.83203125" style="25" customWidth="1"/>
    <col min="15" max="17" width="5.5" style="25" customWidth="1"/>
    <col min="18" max="18" width="4.83203125" style="25" customWidth="1"/>
    <col min="19" max="19" width="7.83203125" style="6" bestFit="1" customWidth="1"/>
    <col min="20" max="20" width="8.5" style="6" bestFit="1" customWidth="1"/>
    <col min="21" max="21" width="21" style="5" customWidth="1"/>
    <col min="22" max="16384" width="9.1640625" style="3"/>
  </cols>
  <sheetData>
    <row r="1" spans="1:21" s="2" customFormat="1" ht="29" customHeight="1">
      <c r="A1" s="57" t="s">
        <v>464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60"/>
    </row>
    <row r="2" spans="1:21" s="2" customFormat="1" ht="62" customHeight="1" thickBot="1">
      <c r="A2" s="61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4"/>
    </row>
    <row r="3" spans="1:21" s="1" customFormat="1" ht="12.75" customHeight="1">
      <c r="A3" s="65" t="s">
        <v>505</v>
      </c>
      <c r="B3" s="70" t="s">
        <v>0</v>
      </c>
      <c r="C3" s="67" t="s">
        <v>506</v>
      </c>
      <c r="D3" s="67" t="s">
        <v>5</v>
      </c>
      <c r="E3" s="51" t="s">
        <v>507</v>
      </c>
      <c r="F3" s="69" t="s">
        <v>6</v>
      </c>
      <c r="G3" s="69" t="s">
        <v>33</v>
      </c>
      <c r="H3" s="69"/>
      <c r="I3" s="69"/>
      <c r="J3" s="69"/>
      <c r="K3" s="69" t="s">
        <v>34</v>
      </c>
      <c r="L3" s="69"/>
      <c r="M3" s="69"/>
      <c r="N3" s="69"/>
      <c r="O3" s="69" t="s">
        <v>35</v>
      </c>
      <c r="P3" s="69"/>
      <c r="Q3" s="69"/>
      <c r="R3" s="69"/>
      <c r="S3" s="51" t="s">
        <v>1</v>
      </c>
      <c r="T3" s="51" t="s">
        <v>3</v>
      </c>
      <c r="U3" s="53" t="s">
        <v>2</v>
      </c>
    </row>
    <row r="4" spans="1:21" s="1" customFormat="1" ht="21" customHeight="1" thickBot="1">
      <c r="A4" s="66"/>
      <c r="B4" s="71"/>
      <c r="C4" s="68"/>
      <c r="D4" s="68"/>
      <c r="E4" s="52"/>
      <c r="F4" s="68"/>
      <c r="G4" s="4">
        <v>1</v>
      </c>
      <c r="H4" s="4">
        <v>2</v>
      </c>
      <c r="I4" s="4">
        <v>3</v>
      </c>
      <c r="J4" s="4" t="s">
        <v>4</v>
      </c>
      <c r="K4" s="4">
        <v>1</v>
      </c>
      <c r="L4" s="4">
        <v>2</v>
      </c>
      <c r="M4" s="4">
        <v>3</v>
      </c>
      <c r="N4" s="4" t="s">
        <v>4</v>
      </c>
      <c r="O4" s="4">
        <v>1</v>
      </c>
      <c r="P4" s="4">
        <v>2</v>
      </c>
      <c r="Q4" s="4">
        <v>3</v>
      </c>
      <c r="R4" s="4" t="s">
        <v>4</v>
      </c>
      <c r="S4" s="52"/>
      <c r="T4" s="52"/>
      <c r="U4" s="54"/>
    </row>
    <row r="5" spans="1:21" ht="16">
      <c r="A5" s="55" t="s">
        <v>36</v>
      </c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21">
      <c r="A6" s="27" t="s">
        <v>31</v>
      </c>
      <c r="B6" s="7" t="s">
        <v>74</v>
      </c>
      <c r="C6" s="7" t="s">
        <v>75</v>
      </c>
      <c r="D6" s="7" t="s">
        <v>76</v>
      </c>
      <c r="E6" s="8" t="s">
        <v>509</v>
      </c>
      <c r="F6" s="7" t="s">
        <v>480</v>
      </c>
      <c r="G6" s="28" t="s">
        <v>40</v>
      </c>
      <c r="H6" s="28" t="s">
        <v>77</v>
      </c>
      <c r="I6" s="29" t="s">
        <v>78</v>
      </c>
      <c r="J6" s="27"/>
      <c r="K6" s="28" t="s">
        <v>8</v>
      </c>
      <c r="L6" s="28" t="s">
        <v>79</v>
      </c>
      <c r="M6" s="28" t="s">
        <v>41</v>
      </c>
      <c r="N6" s="27"/>
      <c r="O6" s="28" t="s">
        <v>80</v>
      </c>
      <c r="P6" s="28" t="s">
        <v>81</v>
      </c>
      <c r="Q6" s="29" t="s">
        <v>82</v>
      </c>
      <c r="R6" s="27"/>
      <c r="S6" s="9" t="str">
        <f>"365,0"</f>
        <v>365,0</v>
      </c>
      <c r="T6" s="9" t="str">
        <f>"331,9310"</f>
        <v>331,9310</v>
      </c>
      <c r="U6" s="7" t="s">
        <v>437</v>
      </c>
    </row>
    <row r="8" spans="1:21" ht="16">
      <c r="A8" s="47" t="s">
        <v>36</v>
      </c>
      <c r="B8" s="47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21">
      <c r="A9" s="27" t="s">
        <v>31</v>
      </c>
      <c r="B9" s="7" t="s">
        <v>83</v>
      </c>
      <c r="C9" s="7" t="s">
        <v>84</v>
      </c>
      <c r="D9" s="7" t="s">
        <v>85</v>
      </c>
      <c r="E9" s="8" t="s">
        <v>509</v>
      </c>
      <c r="F9" s="7" t="s">
        <v>486</v>
      </c>
      <c r="G9" s="28" t="s">
        <v>54</v>
      </c>
      <c r="H9" s="28" t="s">
        <v>86</v>
      </c>
      <c r="I9" s="28" t="s">
        <v>56</v>
      </c>
      <c r="J9" s="27"/>
      <c r="K9" s="28" t="s">
        <v>78</v>
      </c>
      <c r="L9" s="29" t="s">
        <v>87</v>
      </c>
      <c r="M9" s="29" t="s">
        <v>87</v>
      </c>
      <c r="N9" s="27"/>
      <c r="O9" s="28" t="s">
        <v>88</v>
      </c>
      <c r="P9" s="28" t="s">
        <v>47</v>
      </c>
      <c r="Q9" s="29" t="s">
        <v>89</v>
      </c>
      <c r="R9" s="27"/>
      <c r="S9" s="9" t="str">
        <f>"600,0"</f>
        <v>600,0</v>
      </c>
      <c r="T9" s="9" t="str">
        <f>"403,7400"</f>
        <v>403,7400</v>
      </c>
      <c r="U9" s="7"/>
    </row>
    <row r="11" spans="1:21" ht="16">
      <c r="A11" s="47" t="s">
        <v>90</v>
      </c>
      <c r="B11" s="47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</row>
    <row r="12" spans="1:21">
      <c r="A12" s="27" t="s">
        <v>31</v>
      </c>
      <c r="B12" s="7" t="s">
        <v>91</v>
      </c>
      <c r="C12" s="7" t="s">
        <v>92</v>
      </c>
      <c r="D12" s="7" t="s">
        <v>93</v>
      </c>
      <c r="E12" s="8" t="s">
        <v>509</v>
      </c>
      <c r="F12" s="7" t="s">
        <v>480</v>
      </c>
      <c r="G12" s="28" t="s">
        <v>94</v>
      </c>
      <c r="H12" s="28" t="s">
        <v>59</v>
      </c>
      <c r="I12" s="28" t="s">
        <v>88</v>
      </c>
      <c r="J12" s="27"/>
      <c r="K12" s="28" t="s">
        <v>95</v>
      </c>
      <c r="L12" s="28" t="s">
        <v>82</v>
      </c>
      <c r="M12" s="28" t="s">
        <v>96</v>
      </c>
      <c r="N12" s="27"/>
      <c r="O12" s="28" t="s">
        <v>97</v>
      </c>
      <c r="P12" s="28" t="s">
        <v>98</v>
      </c>
      <c r="Q12" s="28" t="s">
        <v>99</v>
      </c>
      <c r="R12" s="27"/>
      <c r="S12" s="9" t="str">
        <f>"685,0"</f>
        <v>685,0</v>
      </c>
      <c r="T12" s="9" t="str">
        <f>"437,3040"</f>
        <v>437,3040</v>
      </c>
      <c r="U12" s="7" t="s">
        <v>326</v>
      </c>
    </row>
    <row r="14" spans="1:21" ht="16">
      <c r="A14" s="47" t="s">
        <v>13</v>
      </c>
      <c r="B14" s="47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</row>
    <row r="15" spans="1:21">
      <c r="A15" s="30" t="s">
        <v>31</v>
      </c>
      <c r="B15" s="10" t="s">
        <v>100</v>
      </c>
      <c r="C15" s="10" t="s">
        <v>101</v>
      </c>
      <c r="D15" s="10" t="s">
        <v>102</v>
      </c>
      <c r="E15" s="11" t="s">
        <v>509</v>
      </c>
      <c r="F15" s="10" t="s">
        <v>485</v>
      </c>
      <c r="G15" s="31" t="s">
        <v>46</v>
      </c>
      <c r="H15" s="31" t="s">
        <v>103</v>
      </c>
      <c r="I15" s="31" t="s">
        <v>47</v>
      </c>
      <c r="J15" s="30"/>
      <c r="K15" s="35" t="s">
        <v>82</v>
      </c>
      <c r="L15" s="31" t="s">
        <v>96</v>
      </c>
      <c r="M15" s="31" t="s">
        <v>104</v>
      </c>
      <c r="N15" s="30"/>
      <c r="O15" s="31" t="s">
        <v>105</v>
      </c>
      <c r="P15" s="31" t="s">
        <v>106</v>
      </c>
      <c r="Q15" s="35" t="s">
        <v>107</v>
      </c>
      <c r="R15" s="30"/>
      <c r="S15" s="12" t="str">
        <f>"715,0"</f>
        <v>715,0</v>
      </c>
      <c r="T15" s="12" t="str">
        <f>"439,8680"</f>
        <v>439,8680</v>
      </c>
      <c r="U15" s="10" t="s">
        <v>477</v>
      </c>
    </row>
    <row r="16" spans="1:21">
      <c r="A16" s="32" t="s">
        <v>31</v>
      </c>
      <c r="B16" s="13" t="s">
        <v>108</v>
      </c>
      <c r="C16" s="13" t="s">
        <v>109</v>
      </c>
      <c r="D16" s="13" t="s">
        <v>110</v>
      </c>
      <c r="E16" s="14" t="s">
        <v>512</v>
      </c>
      <c r="F16" s="13" t="s">
        <v>480</v>
      </c>
      <c r="G16" s="34" t="s">
        <v>17</v>
      </c>
      <c r="H16" s="34" t="s">
        <v>18</v>
      </c>
      <c r="I16" s="34" t="s">
        <v>111</v>
      </c>
      <c r="J16" s="32"/>
      <c r="K16" s="34" t="s">
        <v>17</v>
      </c>
      <c r="L16" s="34" t="s">
        <v>18</v>
      </c>
      <c r="M16" s="32"/>
      <c r="N16" s="32"/>
      <c r="O16" s="34" t="s">
        <v>87</v>
      </c>
      <c r="P16" s="34" t="s">
        <v>112</v>
      </c>
      <c r="Q16" s="34" t="s">
        <v>81</v>
      </c>
      <c r="R16" s="32"/>
      <c r="S16" s="15" t="str">
        <f>"400,0"</f>
        <v>400,0</v>
      </c>
      <c r="T16" s="15" t="str">
        <f>"433,4656"</f>
        <v>433,4656</v>
      </c>
      <c r="U16" s="13"/>
    </row>
    <row r="18" spans="1:21" ht="16">
      <c r="A18" s="47" t="s">
        <v>42</v>
      </c>
      <c r="B18" s="47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</row>
    <row r="19" spans="1:21">
      <c r="A19" s="30" t="s">
        <v>31</v>
      </c>
      <c r="B19" s="10" t="s">
        <v>113</v>
      </c>
      <c r="C19" s="10" t="s">
        <v>114</v>
      </c>
      <c r="D19" s="10" t="s">
        <v>115</v>
      </c>
      <c r="E19" s="11" t="s">
        <v>509</v>
      </c>
      <c r="F19" s="10" t="s">
        <v>487</v>
      </c>
      <c r="G19" s="31" t="s">
        <v>59</v>
      </c>
      <c r="H19" s="31" t="s">
        <v>116</v>
      </c>
      <c r="I19" s="31" t="s">
        <v>103</v>
      </c>
      <c r="J19" s="30"/>
      <c r="K19" s="31" t="s">
        <v>48</v>
      </c>
      <c r="L19" s="31" t="s">
        <v>49</v>
      </c>
      <c r="M19" s="31" t="s">
        <v>112</v>
      </c>
      <c r="N19" s="30"/>
      <c r="O19" s="31" t="s">
        <v>47</v>
      </c>
      <c r="P19" s="31" t="s">
        <v>89</v>
      </c>
      <c r="Q19" s="31" t="s">
        <v>105</v>
      </c>
      <c r="R19" s="30"/>
      <c r="S19" s="12" t="str">
        <f>"670,0"</f>
        <v>670,0</v>
      </c>
      <c r="T19" s="12" t="str">
        <f>"404,0100"</f>
        <v>404,0100</v>
      </c>
      <c r="U19" s="10"/>
    </row>
    <row r="20" spans="1:21">
      <c r="A20" s="32" t="s">
        <v>31</v>
      </c>
      <c r="B20" s="13" t="s">
        <v>113</v>
      </c>
      <c r="C20" s="13" t="s">
        <v>117</v>
      </c>
      <c r="D20" s="13" t="s">
        <v>115</v>
      </c>
      <c r="E20" s="14" t="s">
        <v>513</v>
      </c>
      <c r="F20" s="13" t="s">
        <v>487</v>
      </c>
      <c r="G20" s="34" t="s">
        <v>59</v>
      </c>
      <c r="H20" s="34" t="s">
        <v>116</v>
      </c>
      <c r="I20" s="34" t="s">
        <v>103</v>
      </c>
      <c r="J20" s="32"/>
      <c r="K20" s="34" t="s">
        <v>48</v>
      </c>
      <c r="L20" s="34" t="s">
        <v>49</v>
      </c>
      <c r="M20" s="34" t="s">
        <v>112</v>
      </c>
      <c r="N20" s="32"/>
      <c r="O20" s="34" t="s">
        <v>47</v>
      </c>
      <c r="P20" s="34" t="s">
        <v>89</v>
      </c>
      <c r="Q20" s="34" t="s">
        <v>105</v>
      </c>
      <c r="R20" s="32"/>
      <c r="S20" s="15" t="str">
        <f>"670,0"</f>
        <v>670,0</v>
      </c>
      <c r="T20" s="15" t="str">
        <f>"406,0300"</f>
        <v>406,0300</v>
      </c>
      <c r="U20" s="13"/>
    </row>
  </sheetData>
  <mergeCells count="18">
    <mergeCell ref="S3:S4"/>
    <mergeCell ref="T3:T4"/>
    <mergeCell ref="U3:U4"/>
    <mergeCell ref="A5:R5"/>
    <mergeCell ref="A1:U2"/>
    <mergeCell ref="A3:A4"/>
    <mergeCell ref="C3:C4"/>
    <mergeCell ref="D3:D4"/>
    <mergeCell ref="E3:E4"/>
    <mergeCell ref="F3:F4"/>
    <mergeCell ref="G3:J3"/>
    <mergeCell ref="K3:N3"/>
    <mergeCell ref="O3:R3"/>
    <mergeCell ref="A8:R8"/>
    <mergeCell ref="A11:R11"/>
    <mergeCell ref="A14:R14"/>
    <mergeCell ref="A18:R18"/>
    <mergeCell ref="B3:B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2"/>
  <sheetViews>
    <sheetView tabSelected="1" workbookViewId="0">
      <selection activeCell="E13" sqref="E13"/>
    </sheetView>
  </sheetViews>
  <sheetFormatPr baseColWidth="10" defaultColWidth="9.1640625" defaultRowHeight="13"/>
  <cols>
    <col min="1" max="1" width="7.5" style="5" bestFit="1" customWidth="1"/>
    <col min="2" max="2" width="22" style="5" bestFit="1" customWidth="1"/>
    <col min="3" max="3" width="27.6640625" style="5" bestFit="1" customWidth="1"/>
    <col min="4" max="4" width="21.5" style="5" bestFit="1" customWidth="1"/>
    <col min="5" max="5" width="10.5" style="16" bestFit="1" customWidth="1"/>
    <col min="6" max="6" width="21.1640625" style="5" customWidth="1"/>
    <col min="7" max="9" width="5.5" style="25" customWidth="1"/>
    <col min="10" max="10" width="4.83203125" style="25" customWidth="1"/>
    <col min="11" max="11" width="10.5" style="6" bestFit="1" customWidth="1"/>
    <col min="12" max="12" width="10" style="6" customWidth="1"/>
    <col min="13" max="13" width="31.33203125" style="5" bestFit="1" customWidth="1"/>
    <col min="14" max="16384" width="9.1640625" style="3"/>
  </cols>
  <sheetData>
    <row r="1" spans="1:13" s="2" customFormat="1" ht="29" customHeight="1">
      <c r="A1" s="57" t="s">
        <v>445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s="2" customFormat="1" ht="62" customHeight="1" thickBot="1">
      <c r="A2" s="61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1" customFormat="1" ht="12.75" customHeight="1">
      <c r="A3" s="65" t="s">
        <v>505</v>
      </c>
      <c r="B3" s="70" t="s">
        <v>0</v>
      </c>
      <c r="C3" s="67" t="s">
        <v>506</v>
      </c>
      <c r="D3" s="67" t="s">
        <v>5</v>
      </c>
      <c r="E3" s="51" t="s">
        <v>507</v>
      </c>
      <c r="F3" s="69" t="s">
        <v>6</v>
      </c>
      <c r="G3" s="69" t="s">
        <v>379</v>
      </c>
      <c r="H3" s="69"/>
      <c r="I3" s="69"/>
      <c r="J3" s="69"/>
      <c r="K3" s="51" t="s">
        <v>30</v>
      </c>
      <c r="L3" s="51" t="s">
        <v>3</v>
      </c>
      <c r="M3" s="53" t="s">
        <v>2</v>
      </c>
    </row>
    <row r="4" spans="1:13" s="1" customFormat="1" ht="21" customHeight="1" thickBot="1">
      <c r="A4" s="66"/>
      <c r="B4" s="71"/>
      <c r="C4" s="68"/>
      <c r="D4" s="68"/>
      <c r="E4" s="52"/>
      <c r="F4" s="68"/>
      <c r="G4" s="4">
        <v>1</v>
      </c>
      <c r="H4" s="4">
        <v>2</v>
      </c>
      <c r="I4" s="4">
        <v>3</v>
      </c>
      <c r="J4" s="4" t="s">
        <v>4</v>
      </c>
      <c r="K4" s="52"/>
      <c r="L4" s="52"/>
      <c r="M4" s="54"/>
    </row>
    <row r="5" spans="1:13" ht="16">
      <c r="A5" s="55" t="s">
        <v>62</v>
      </c>
      <c r="B5" s="55"/>
      <c r="C5" s="56"/>
      <c r="D5" s="56"/>
      <c r="E5" s="56"/>
      <c r="F5" s="56"/>
      <c r="G5" s="56"/>
      <c r="H5" s="56"/>
      <c r="I5" s="56"/>
      <c r="J5" s="56"/>
    </row>
    <row r="6" spans="1:13">
      <c r="A6" s="27" t="s">
        <v>31</v>
      </c>
      <c r="B6" s="7" t="s">
        <v>380</v>
      </c>
      <c r="C6" s="7" t="s">
        <v>381</v>
      </c>
      <c r="D6" s="7" t="s">
        <v>382</v>
      </c>
      <c r="E6" s="8" t="s">
        <v>509</v>
      </c>
      <c r="F6" s="7" t="s">
        <v>480</v>
      </c>
      <c r="G6" s="28" t="s">
        <v>69</v>
      </c>
      <c r="H6" s="28" t="s">
        <v>7</v>
      </c>
      <c r="I6" s="29" t="s">
        <v>129</v>
      </c>
      <c r="J6" s="27"/>
      <c r="K6" s="9" t="str">
        <f>"50,0"</f>
        <v>50,0</v>
      </c>
      <c r="L6" s="9" t="str">
        <f>"41,7775"</f>
        <v>41,7775</v>
      </c>
      <c r="M6" s="7" t="s">
        <v>438</v>
      </c>
    </row>
    <row r="8" spans="1:13" ht="16">
      <c r="A8" s="47" t="s">
        <v>146</v>
      </c>
      <c r="B8" s="47"/>
      <c r="C8" s="48"/>
      <c r="D8" s="48"/>
      <c r="E8" s="48"/>
      <c r="F8" s="48"/>
      <c r="G8" s="48"/>
      <c r="H8" s="48"/>
      <c r="I8" s="48"/>
      <c r="J8" s="48"/>
    </row>
    <row r="9" spans="1:13">
      <c r="A9" s="27" t="s">
        <v>31</v>
      </c>
      <c r="B9" s="7" t="s">
        <v>383</v>
      </c>
      <c r="C9" s="7" t="s">
        <v>384</v>
      </c>
      <c r="D9" s="7" t="s">
        <v>385</v>
      </c>
      <c r="E9" s="8" t="s">
        <v>509</v>
      </c>
      <c r="F9" s="7" t="s">
        <v>503</v>
      </c>
      <c r="G9" s="28" t="s">
        <v>7</v>
      </c>
      <c r="H9" s="28" t="s">
        <v>129</v>
      </c>
      <c r="I9" s="29" t="s">
        <v>8</v>
      </c>
      <c r="J9" s="27"/>
      <c r="K9" s="9" t="str">
        <f>"52,5"</f>
        <v>52,5</v>
      </c>
      <c r="L9" s="9" t="str">
        <f>"40,2701"</f>
        <v>40,2701</v>
      </c>
      <c r="M9" s="7" t="s">
        <v>434</v>
      </c>
    </row>
    <row r="11" spans="1:13" ht="16">
      <c r="A11" s="47" t="s">
        <v>13</v>
      </c>
      <c r="B11" s="47"/>
      <c r="C11" s="48"/>
      <c r="D11" s="48"/>
      <c r="E11" s="48"/>
      <c r="F11" s="48"/>
      <c r="G11" s="48"/>
      <c r="H11" s="48"/>
      <c r="I11" s="48"/>
      <c r="J11" s="48"/>
    </row>
    <row r="12" spans="1:13">
      <c r="A12" s="27" t="s">
        <v>31</v>
      </c>
      <c r="B12" s="7" t="s">
        <v>386</v>
      </c>
      <c r="C12" s="7" t="s">
        <v>433</v>
      </c>
      <c r="D12" s="7" t="s">
        <v>184</v>
      </c>
      <c r="E12" s="8" t="s">
        <v>516</v>
      </c>
      <c r="F12" s="7" t="s">
        <v>480</v>
      </c>
      <c r="G12" s="28" t="s">
        <v>69</v>
      </c>
      <c r="H12" s="28" t="s">
        <v>7</v>
      </c>
      <c r="I12" s="29" t="s">
        <v>129</v>
      </c>
      <c r="J12" s="27"/>
      <c r="K12" s="9" t="str">
        <f>"50,0"</f>
        <v>50,0</v>
      </c>
      <c r="L12" s="9" t="str">
        <f>"29,4825"</f>
        <v>29,4825</v>
      </c>
      <c r="M12" s="7"/>
    </row>
  </sheetData>
  <mergeCells count="14">
    <mergeCell ref="M3:M4"/>
    <mergeCell ref="A5:J5"/>
    <mergeCell ref="A1:M2"/>
    <mergeCell ref="A3:A4"/>
    <mergeCell ref="C3:C4"/>
    <mergeCell ref="D3:D4"/>
    <mergeCell ref="E3:E4"/>
    <mergeCell ref="F3:F4"/>
    <mergeCell ref="G3:J3"/>
    <mergeCell ref="A8:J8"/>
    <mergeCell ref="A11:J11"/>
    <mergeCell ref="B3:B4"/>
    <mergeCell ref="K3:K4"/>
    <mergeCell ref="L3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U6"/>
  <sheetViews>
    <sheetView workbookViewId="0">
      <selection activeCell="E7" sqref="E7"/>
    </sheetView>
  </sheetViews>
  <sheetFormatPr baseColWidth="10" defaultColWidth="9.1640625" defaultRowHeight="13"/>
  <cols>
    <col min="1" max="1" width="7.5" style="5" bestFit="1" customWidth="1"/>
    <col min="2" max="2" width="17.83203125" style="5" bestFit="1" customWidth="1"/>
    <col min="3" max="3" width="26.33203125" style="5" bestFit="1" customWidth="1"/>
    <col min="4" max="4" width="21.5" style="5" bestFit="1" customWidth="1"/>
    <col min="5" max="5" width="10.5" style="16" bestFit="1" customWidth="1"/>
    <col min="6" max="6" width="15.5" style="5" bestFit="1" customWidth="1"/>
    <col min="7" max="9" width="5.5" style="25" customWidth="1"/>
    <col min="10" max="10" width="4.83203125" style="25" customWidth="1"/>
    <col min="11" max="13" width="5.5" style="25" customWidth="1"/>
    <col min="14" max="14" width="4.83203125" style="25" customWidth="1"/>
    <col min="15" max="17" width="5.5" style="25" customWidth="1"/>
    <col min="18" max="18" width="4.83203125" style="25" customWidth="1"/>
    <col min="19" max="19" width="7.83203125" style="6" bestFit="1" customWidth="1"/>
    <col min="20" max="20" width="8.5" style="6" bestFit="1" customWidth="1"/>
    <col min="21" max="21" width="15.33203125" style="5" bestFit="1" customWidth="1"/>
    <col min="22" max="16384" width="9.1640625" style="3"/>
  </cols>
  <sheetData>
    <row r="1" spans="1:21" s="2" customFormat="1" ht="29" customHeight="1">
      <c r="A1" s="57" t="s">
        <v>465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60"/>
    </row>
    <row r="2" spans="1:21" s="2" customFormat="1" ht="62" customHeight="1" thickBot="1">
      <c r="A2" s="61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4"/>
    </row>
    <row r="3" spans="1:21" s="1" customFormat="1" ht="12.75" customHeight="1">
      <c r="A3" s="65" t="s">
        <v>505</v>
      </c>
      <c r="B3" s="70" t="s">
        <v>0</v>
      </c>
      <c r="C3" s="67" t="s">
        <v>506</v>
      </c>
      <c r="D3" s="67" t="s">
        <v>5</v>
      </c>
      <c r="E3" s="51" t="s">
        <v>507</v>
      </c>
      <c r="F3" s="69" t="s">
        <v>6</v>
      </c>
      <c r="G3" s="69" t="s">
        <v>33</v>
      </c>
      <c r="H3" s="69"/>
      <c r="I3" s="69"/>
      <c r="J3" s="69"/>
      <c r="K3" s="69" t="s">
        <v>34</v>
      </c>
      <c r="L3" s="69"/>
      <c r="M3" s="69"/>
      <c r="N3" s="69"/>
      <c r="O3" s="69" t="s">
        <v>35</v>
      </c>
      <c r="P3" s="69"/>
      <c r="Q3" s="69"/>
      <c r="R3" s="69"/>
      <c r="S3" s="51" t="s">
        <v>1</v>
      </c>
      <c r="T3" s="51" t="s">
        <v>3</v>
      </c>
      <c r="U3" s="53" t="s">
        <v>2</v>
      </c>
    </row>
    <row r="4" spans="1:21" s="1" customFormat="1" ht="21" customHeight="1" thickBot="1">
      <c r="A4" s="66"/>
      <c r="B4" s="71"/>
      <c r="C4" s="68"/>
      <c r="D4" s="68"/>
      <c r="E4" s="52"/>
      <c r="F4" s="68"/>
      <c r="G4" s="4">
        <v>1</v>
      </c>
      <c r="H4" s="4">
        <v>2</v>
      </c>
      <c r="I4" s="4">
        <v>3</v>
      </c>
      <c r="J4" s="4" t="s">
        <v>4</v>
      </c>
      <c r="K4" s="4">
        <v>1</v>
      </c>
      <c r="L4" s="4">
        <v>2</v>
      </c>
      <c r="M4" s="4">
        <v>3</v>
      </c>
      <c r="N4" s="4" t="s">
        <v>4</v>
      </c>
      <c r="O4" s="4">
        <v>1</v>
      </c>
      <c r="P4" s="4">
        <v>2</v>
      </c>
      <c r="Q4" s="4">
        <v>3</v>
      </c>
      <c r="R4" s="4" t="s">
        <v>4</v>
      </c>
      <c r="S4" s="52"/>
      <c r="T4" s="52"/>
      <c r="U4" s="54"/>
    </row>
    <row r="5" spans="1:21" ht="16">
      <c r="A5" s="55" t="s">
        <v>62</v>
      </c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21">
      <c r="A6" s="27" t="s">
        <v>31</v>
      </c>
      <c r="B6" s="7" t="s">
        <v>63</v>
      </c>
      <c r="C6" s="7" t="s">
        <v>64</v>
      </c>
      <c r="D6" s="7" t="s">
        <v>65</v>
      </c>
      <c r="E6" s="8" t="s">
        <v>509</v>
      </c>
      <c r="F6" s="7" t="s">
        <v>480</v>
      </c>
      <c r="G6" s="28" t="s">
        <v>12</v>
      </c>
      <c r="H6" s="29" t="s">
        <v>66</v>
      </c>
      <c r="I6" s="28" t="s">
        <v>21</v>
      </c>
      <c r="J6" s="27"/>
      <c r="K6" s="28" t="s">
        <v>67</v>
      </c>
      <c r="L6" s="28" t="s">
        <v>68</v>
      </c>
      <c r="M6" s="29" t="s">
        <v>69</v>
      </c>
      <c r="N6" s="27"/>
      <c r="O6" s="28" t="s">
        <v>66</v>
      </c>
      <c r="P6" s="28" t="s">
        <v>70</v>
      </c>
      <c r="Q6" s="28" t="s">
        <v>71</v>
      </c>
      <c r="R6" s="27"/>
      <c r="S6" s="9" t="str">
        <f>"230,0"</f>
        <v>230,0</v>
      </c>
      <c r="T6" s="9" t="str">
        <f>"259,4630"</f>
        <v>259,4630</v>
      </c>
      <c r="U6" s="7" t="s">
        <v>478</v>
      </c>
    </row>
  </sheetData>
  <mergeCells count="14">
    <mergeCell ref="A5:R5"/>
    <mergeCell ref="B3:B4"/>
    <mergeCell ref="A1:U2"/>
    <mergeCell ref="A3:A4"/>
    <mergeCell ref="C3:C4"/>
    <mergeCell ref="D3:D4"/>
    <mergeCell ref="E3:E4"/>
    <mergeCell ref="F3:F4"/>
    <mergeCell ref="G3:J3"/>
    <mergeCell ref="K3:N3"/>
    <mergeCell ref="O3:R3"/>
    <mergeCell ref="S3:S4"/>
    <mergeCell ref="T3:T4"/>
    <mergeCell ref="U3:U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U10"/>
  <sheetViews>
    <sheetView workbookViewId="0">
      <selection activeCell="E11" sqref="E11"/>
    </sheetView>
  </sheetViews>
  <sheetFormatPr baseColWidth="10" defaultColWidth="9.1640625" defaultRowHeight="13"/>
  <cols>
    <col min="1" max="1" width="7.5" style="5" bestFit="1" customWidth="1"/>
    <col min="2" max="2" width="18.83203125" style="5" bestFit="1" customWidth="1"/>
    <col min="3" max="3" width="27.5" style="5" bestFit="1" customWidth="1"/>
    <col min="4" max="4" width="21.5" style="5" bestFit="1" customWidth="1"/>
    <col min="5" max="5" width="10.5" style="16" bestFit="1" customWidth="1"/>
    <col min="6" max="6" width="19.5" style="5" bestFit="1" customWidth="1"/>
    <col min="7" max="9" width="5.5" style="25" customWidth="1"/>
    <col min="10" max="10" width="4.83203125" style="25" customWidth="1"/>
    <col min="11" max="13" width="5.5" style="25" customWidth="1"/>
    <col min="14" max="14" width="4.83203125" style="25" customWidth="1"/>
    <col min="15" max="17" width="5.5" style="25" customWidth="1"/>
    <col min="18" max="18" width="4.83203125" style="25" customWidth="1"/>
    <col min="19" max="19" width="7.83203125" style="26" bestFit="1" customWidth="1"/>
    <col min="20" max="20" width="8.5" style="6" bestFit="1" customWidth="1"/>
    <col min="21" max="21" width="21.1640625" style="5" bestFit="1" customWidth="1"/>
    <col min="22" max="16384" width="9.1640625" style="3"/>
  </cols>
  <sheetData>
    <row r="1" spans="1:21" s="2" customFormat="1" ht="29" customHeight="1">
      <c r="A1" s="57" t="s">
        <v>466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60"/>
    </row>
    <row r="2" spans="1:21" s="2" customFormat="1" ht="62" customHeight="1" thickBot="1">
      <c r="A2" s="61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4"/>
    </row>
    <row r="3" spans="1:21" s="1" customFormat="1" ht="12.75" customHeight="1">
      <c r="A3" s="65" t="s">
        <v>505</v>
      </c>
      <c r="B3" s="70" t="s">
        <v>0</v>
      </c>
      <c r="C3" s="67" t="s">
        <v>506</v>
      </c>
      <c r="D3" s="67" t="s">
        <v>5</v>
      </c>
      <c r="E3" s="51" t="s">
        <v>507</v>
      </c>
      <c r="F3" s="69" t="s">
        <v>6</v>
      </c>
      <c r="G3" s="69" t="s">
        <v>33</v>
      </c>
      <c r="H3" s="69"/>
      <c r="I3" s="69"/>
      <c r="J3" s="69"/>
      <c r="K3" s="69" t="s">
        <v>34</v>
      </c>
      <c r="L3" s="69"/>
      <c r="M3" s="69"/>
      <c r="N3" s="69"/>
      <c r="O3" s="69" t="s">
        <v>35</v>
      </c>
      <c r="P3" s="69"/>
      <c r="Q3" s="69"/>
      <c r="R3" s="69"/>
      <c r="S3" s="49" t="s">
        <v>1</v>
      </c>
      <c r="T3" s="51" t="s">
        <v>3</v>
      </c>
      <c r="U3" s="53" t="s">
        <v>2</v>
      </c>
    </row>
    <row r="4" spans="1:21" s="1" customFormat="1" ht="21" customHeight="1" thickBot="1">
      <c r="A4" s="66"/>
      <c r="B4" s="71"/>
      <c r="C4" s="68"/>
      <c r="D4" s="68"/>
      <c r="E4" s="52"/>
      <c r="F4" s="68"/>
      <c r="G4" s="4">
        <v>1</v>
      </c>
      <c r="H4" s="4">
        <v>2</v>
      </c>
      <c r="I4" s="4">
        <v>3</v>
      </c>
      <c r="J4" s="4" t="s">
        <v>4</v>
      </c>
      <c r="K4" s="4">
        <v>1</v>
      </c>
      <c r="L4" s="4">
        <v>2</v>
      </c>
      <c r="M4" s="4">
        <v>3</v>
      </c>
      <c r="N4" s="4" t="s">
        <v>4</v>
      </c>
      <c r="O4" s="4">
        <v>1</v>
      </c>
      <c r="P4" s="4">
        <v>2</v>
      </c>
      <c r="Q4" s="4">
        <v>3</v>
      </c>
      <c r="R4" s="4" t="s">
        <v>4</v>
      </c>
      <c r="S4" s="50"/>
      <c r="T4" s="52"/>
      <c r="U4" s="54"/>
    </row>
    <row r="5" spans="1:21" ht="16">
      <c r="A5" s="55" t="s">
        <v>36</v>
      </c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21">
      <c r="A6" s="27" t="s">
        <v>61</v>
      </c>
      <c r="B6" s="7" t="s">
        <v>37</v>
      </c>
      <c r="C6" s="7" t="s">
        <v>38</v>
      </c>
      <c r="D6" s="7" t="s">
        <v>39</v>
      </c>
      <c r="E6" s="8" t="s">
        <v>513</v>
      </c>
      <c r="F6" s="7" t="s">
        <v>480</v>
      </c>
      <c r="G6" s="29" t="s">
        <v>19</v>
      </c>
      <c r="H6" s="29" t="s">
        <v>40</v>
      </c>
      <c r="I6" s="29" t="s">
        <v>40</v>
      </c>
      <c r="J6" s="27"/>
      <c r="K6" s="27"/>
      <c r="L6" s="27"/>
      <c r="M6" s="27"/>
      <c r="N6" s="27"/>
      <c r="O6" s="27"/>
      <c r="P6" s="27"/>
      <c r="Q6" s="27"/>
      <c r="R6" s="27"/>
      <c r="S6" s="43">
        <v>0</v>
      </c>
      <c r="T6" s="9" t="str">
        <f>"0,0000"</f>
        <v>0,0000</v>
      </c>
      <c r="U6" s="7"/>
    </row>
    <row r="8" spans="1:21" ht="16">
      <c r="A8" s="47" t="s">
        <v>42</v>
      </c>
      <c r="B8" s="47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21">
      <c r="A9" s="30" t="s">
        <v>31</v>
      </c>
      <c r="B9" s="10" t="s">
        <v>43</v>
      </c>
      <c r="C9" s="10" t="s">
        <v>44</v>
      </c>
      <c r="D9" s="10" t="s">
        <v>45</v>
      </c>
      <c r="E9" s="11" t="s">
        <v>509</v>
      </c>
      <c r="F9" s="10" t="s">
        <v>483</v>
      </c>
      <c r="G9" s="35" t="s">
        <v>46</v>
      </c>
      <c r="H9" s="31" t="s">
        <v>46</v>
      </c>
      <c r="I9" s="35" t="s">
        <v>47</v>
      </c>
      <c r="J9" s="30"/>
      <c r="K9" s="31" t="s">
        <v>48</v>
      </c>
      <c r="L9" s="31" t="s">
        <v>49</v>
      </c>
      <c r="M9" s="35" t="s">
        <v>50</v>
      </c>
      <c r="N9" s="30"/>
      <c r="O9" s="31" t="s">
        <v>46</v>
      </c>
      <c r="P9" s="35" t="s">
        <v>47</v>
      </c>
      <c r="Q9" s="35" t="s">
        <v>47</v>
      </c>
      <c r="R9" s="30"/>
      <c r="S9" s="44" t="str">
        <f>"630,0"</f>
        <v>630,0</v>
      </c>
      <c r="T9" s="12" t="str">
        <f>"373,7160"</f>
        <v>373,7160</v>
      </c>
      <c r="U9" s="10"/>
    </row>
    <row r="10" spans="1:21">
      <c r="A10" s="32" t="s">
        <v>31</v>
      </c>
      <c r="B10" s="13" t="s">
        <v>51</v>
      </c>
      <c r="C10" s="13" t="s">
        <v>52</v>
      </c>
      <c r="D10" s="13" t="s">
        <v>53</v>
      </c>
      <c r="E10" s="14" t="s">
        <v>513</v>
      </c>
      <c r="F10" s="13" t="s">
        <v>480</v>
      </c>
      <c r="G10" s="34" t="s">
        <v>54</v>
      </c>
      <c r="H10" s="34" t="s">
        <v>55</v>
      </c>
      <c r="I10" s="33" t="s">
        <v>56</v>
      </c>
      <c r="J10" s="32"/>
      <c r="K10" s="34" t="s">
        <v>57</v>
      </c>
      <c r="L10" s="32"/>
      <c r="M10" s="32"/>
      <c r="N10" s="32"/>
      <c r="O10" s="34" t="s">
        <v>58</v>
      </c>
      <c r="P10" s="33" t="s">
        <v>59</v>
      </c>
      <c r="Q10" s="33" t="s">
        <v>59</v>
      </c>
      <c r="R10" s="32"/>
      <c r="S10" s="46" t="str">
        <f>"437,5"</f>
        <v>437,5</v>
      </c>
      <c r="T10" s="15" t="str">
        <f>"276,8588"</f>
        <v>276,8588</v>
      </c>
      <c r="U10" s="13" t="s">
        <v>449</v>
      </c>
    </row>
  </sheetData>
  <mergeCells count="15">
    <mergeCell ref="A1:U2"/>
    <mergeCell ref="A3:A4"/>
    <mergeCell ref="C3:C4"/>
    <mergeCell ref="D3:D4"/>
    <mergeCell ref="E3:E4"/>
    <mergeCell ref="F3:F4"/>
    <mergeCell ref="G3:J3"/>
    <mergeCell ref="K3:N3"/>
    <mergeCell ref="O3:R3"/>
    <mergeCell ref="A8:R8"/>
    <mergeCell ref="B3:B4"/>
    <mergeCell ref="S3:S4"/>
    <mergeCell ref="T3:T4"/>
    <mergeCell ref="U3:U4"/>
    <mergeCell ref="A5:R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21"/>
  <sheetViews>
    <sheetView workbookViewId="0">
      <selection sqref="A1:Q2"/>
    </sheetView>
  </sheetViews>
  <sheetFormatPr baseColWidth="10" defaultColWidth="9.1640625" defaultRowHeight="13"/>
  <cols>
    <col min="1" max="1" width="7.5" style="5" bestFit="1" customWidth="1"/>
    <col min="2" max="2" width="18.6640625" style="5" bestFit="1" customWidth="1"/>
    <col min="3" max="3" width="27.83203125" style="5" customWidth="1"/>
    <col min="4" max="4" width="21.5" style="5" bestFit="1" customWidth="1"/>
    <col min="5" max="5" width="10.5" style="16" bestFit="1" customWidth="1"/>
    <col min="6" max="6" width="21.6640625" style="5" bestFit="1" customWidth="1"/>
    <col min="7" max="9" width="5.5" style="25" customWidth="1"/>
    <col min="10" max="10" width="4.83203125" style="25" customWidth="1"/>
    <col min="11" max="13" width="5.5" style="25" customWidth="1"/>
    <col min="14" max="14" width="4.83203125" style="25" customWidth="1"/>
    <col min="15" max="15" width="7.83203125" style="6" bestFit="1" customWidth="1"/>
    <col min="16" max="16" width="8.5" style="6" bestFit="1" customWidth="1"/>
    <col min="17" max="17" width="21.1640625" style="5" bestFit="1" customWidth="1"/>
    <col min="18" max="16384" width="9.1640625" style="3"/>
  </cols>
  <sheetData>
    <row r="1" spans="1:17" s="2" customFormat="1" ht="29" customHeight="1">
      <c r="A1" s="57" t="s">
        <v>450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</row>
    <row r="2" spans="1:17" s="2" customFormat="1" ht="62" customHeight="1" thickBot="1">
      <c r="A2" s="61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4"/>
    </row>
    <row r="3" spans="1:17" s="1" customFormat="1" ht="12.75" customHeight="1">
      <c r="A3" s="65" t="s">
        <v>505</v>
      </c>
      <c r="B3" s="70" t="s">
        <v>0</v>
      </c>
      <c r="C3" s="67" t="s">
        <v>506</v>
      </c>
      <c r="D3" s="67" t="s">
        <v>5</v>
      </c>
      <c r="E3" s="51" t="s">
        <v>507</v>
      </c>
      <c r="F3" s="69" t="s">
        <v>6</v>
      </c>
      <c r="G3" s="69" t="s">
        <v>34</v>
      </c>
      <c r="H3" s="69"/>
      <c r="I3" s="69"/>
      <c r="J3" s="69"/>
      <c r="K3" s="69" t="s">
        <v>35</v>
      </c>
      <c r="L3" s="69"/>
      <c r="M3" s="69"/>
      <c r="N3" s="69"/>
      <c r="O3" s="51" t="s">
        <v>1</v>
      </c>
      <c r="P3" s="51" t="s">
        <v>3</v>
      </c>
      <c r="Q3" s="53" t="s">
        <v>2</v>
      </c>
    </row>
    <row r="4" spans="1:17" s="1" customFormat="1" ht="21" customHeight="1" thickBot="1">
      <c r="A4" s="66"/>
      <c r="B4" s="71"/>
      <c r="C4" s="68"/>
      <c r="D4" s="68"/>
      <c r="E4" s="52"/>
      <c r="F4" s="68"/>
      <c r="G4" s="4">
        <v>1</v>
      </c>
      <c r="H4" s="4">
        <v>2</v>
      </c>
      <c r="I4" s="4">
        <v>3</v>
      </c>
      <c r="J4" s="4" t="s">
        <v>4</v>
      </c>
      <c r="K4" s="4">
        <v>1</v>
      </c>
      <c r="L4" s="4">
        <v>2</v>
      </c>
      <c r="M4" s="4">
        <v>3</v>
      </c>
      <c r="N4" s="4" t="s">
        <v>4</v>
      </c>
      <c r="O4" s="52"/>
      <c r="P4" s="52"/>
      <c r="Q4" s="54"/>
    </row>
    <row r="5" spans="1:17" ht="16">
      <c r="A5" s="55" t="s">
        <v>146</v>
      </c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7">
      <c r="A6" s="30" t="s">
        <v>31</v>
      </c>
      <c r="B6" s="10" t="s">
        <v>147</v>
      </c>
      <c r="C6" s="10" t="s">
        <v>148</v>
      </c>
      <c r="D6" s="10" t="s">
        <v>149</v>
      </c>
      <c r="E6" s="11" t="s">
        <v>510</v>
      </c>
      <c r="F6" s="10" t="s">
        <v>482</v>
      </c>
      <c r="G6" s="31" t="s">
        <v>366</v>
      </c>
      <c r="H6" s="31" t="s">
        <v>69</v>
      </c>
      <c r="I6" s="35" t="s">
        <v>7</v>
      </c>
      <c r="J6" s="30"/>
      <c r="K6" s="31" t="s">
        <v>21</v>
      </c>
      <c r="L6" s="31" t="s">
        <v>125</v>
      </c>
      <c r="M6" s="31" t="s">
        <v>19</v>
      </c>
      <c r="N6" s="30"/>
      <c r="O6" s="12" t="str">
        <f>"157,5"</f>
        <v>157,5</v>
      </c>
      <c r="P6" s="12" t="str">
        <f>"161,4375"</f>
        <v>161,4375</v>
      </c>
      <c r="Q6" s="10" t="s">
        <v>446</v>
      </c>
    </row>
    <row r="7" spans="1:17">
      <c r="A7" s="32" t="s">
        <v>31</v>
      </c>
      <c r="B7" s="13" t="s">
        <v>342</v>
      </c>
      <c r="C7" s="13" t="s">
        <v>343</v>
      </c>
      <c r="D7" s="13" t="s">
        <v>203</v>
      </c>
      <c r="E7" s="14" t="s">
        <v>509</v>
      </c>
      <c r="F7" s="13" t="s">
        <v>480</v>
      </c>
      <c r="G7" s="34" t="s">
        <v>41</v>
      </c>
      <c r="H7" s="34" t="s">
        <v>154</v>
      </c>
      <c r="I7" s="34" t="s">
        <v>143</v>
      </c>
      <c r="J7" s="32"/>
      <c r="K7" s="34" t="s">
        <v>95</v>
      </c>
      <c r="L7" s="34" t="s">
        <v>81</v>
      </c>
      <c r="M7" s="34" t="s">
        <v>269</v>
      </c>
      <c r="N7" s="32"/>
      <c r="O7" s="15" t="str">
        <f>"252,5"</f>
        <v>252,5</v>
      </c>
      <c r="P7" s="15" t="str">
        <f>"261,9435"</f>
        <v>261,9435</v>
      </c>
      <c r="Q7" s="13" t="s">
        <v>447</v>
      </c>
    </row>
    <row r="9" spans="1:17" ht="16">
      <c r="A9" s="47" t="s">
        <v>157</v>
      </c>
      <c r="B9" s="47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7">
      <c r="A10" s="30" t="s">
        <v>31</v>
      </c>
      <c r="B10" s="10" t="s">
        <v>357</v>
      </c>
      <c r="C10" s="10" t="s">
        <v>358</v>
      </c>
      <c r="D10" s="10" t="s">
        <v>255</v>
      </c>
      <c r="E10" s="11" t="s">
        <v>509</v>
      </c>
      <c r="F10" s="10" t="s">
        <v>488</v>
      </c>
      <c r="G10" s="31" t="s">
        <v>18</v>
      </c>
      <c r="H10" s="31" t="s">
        <v>19</v>
      </c>
      <c r="I10" s="31" t="s">
        <v>194</v>
      </c>
      <c r="J10" s="30"/>
      <c r="K10" s="31" t="s">
        <v>178</v>
      </c>
      <c r="L10" s="35" t="s">
        <v>55</v>
      </c>
      <c r="M10" s="35" t="s">
        <v>55</v>
      </c>
      <c r="N10" s="30"/>
      <c r="O10" s="12" t="str">
        <f>"302,5"</f>
        <v>302,5</v>
      </c>
      <c r="P10" s="12" t="str">
        <f>"217,8000"</f>
        <v>217,8000</v>
      </c>
      <c r="Q10" s="10"/>
    </row>
    <row r="11" spans="1:17">
      <c r="A11" s="32" t="s">
        <v>32</v>
      </c>
      <c r="B11" s="13" t="s">
        <v>367</v>
      </c>
      <c r="C11" s="13" t="s">
        <v>368</v>
      </c>
      <c r="D11" s="13" t="s">
        <v>369</v>
      </c>
      <c r="E11" s="14" t="s">
        <v>509</v>
      </c>
      <c r="F11" s="13" t="s">
        <v>489</v>
      </c>
      <c r="G11" s="34" t="s">
        <v>124</v>
      </c>
      <c r="H11" s="34" t="s">
        <v>19</v>
      </c>
      <c r="I11" s="33" t="s">
        <v>194</v>
      </c>
      <c r="J11" s="32"/>
      <c r="K11" s="34" t="s">
        <v>95</v>
      </c>
      <c r="L11" s="33" t="s">
        <v>96</v>
      </c>
      <c r="M11" s="33" t="s">
        <v>96</v>
      </c>
      <c r="N11" s="32"/>
      <c r="O11" s="15" t="str">
        <f>"275,0"</f>
        <v>275,0</v>
      </c>
      <c r="P11" s="15" t="str">
        <f>"200,9425"</f>
        <v>200,9425</v>
      </c>
      <c r="Q11" s="13"/>
    </row>
    <row r="13" spans="1:17" ht="16">
      <c r="A13" s="47" t="s">
        <v>90</v>
      </c>
      <c r="B13" s="47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1:17">
      <c r="A14" s="27" t="s">
        <v>31</v>
      </c>
      <c r="B14" s="7" t="s">
        <v>370</v>
      </c>
      <c r="C14" s="7" t="s">
        <v>371</v>
      </c>
      <c r="D14" s="7" t="s">
        <v>372</v>
      </c>
      <c r="E14" s="8" t="s">
        <v>508</v>
      </c>
      <c r="F14" s="7" t="s">
        <v>480</v>
      </c>
      <c r="G14" s="28" t="s">
        <v>78</v>
      </c>
      <c r="H14" s="28" t="s">
        <v>87</v>
      </c>
      <c r="I14" s="29" t="s">
        <v>215</v>
      </c>
      <c r="J14" s="27"/>
      <c r="K14" s="28" t="s">
        <v>104</v>
      </c>
      <c r="L14" s="28" t="s">
        <v>58</v>
      </c>
      <c r="M14" s="29" t="s">
        <v>56</v>
      </c>
      <c r="N14" s="27"/>
      <c r="O14" s="9" t="str">
        <f>"345,0"</f>
        <v>345,0</v>
      </c>
      <c r="P14" s="9" t="str">
        <f>"224,4915"</f>
        <v>224,4915</v>
      </c>
      <c r="Q14" s="7"/>
    </row>
    <row r="16" spans="1:17" ht="16">
      <c r="A16" s="47" t="s">
        <v>13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7">
      <c r="A17" s="30" t="s">
        <v>31</v>
      </c>
      <c r="B17" s="10" t="s">
        <v>373</v>
      </c>
      <c r="C17" s="10" t="s">
        <v>374</v>
      </c>
      <c r="D17" s="10" t="s">
        <v>375</v>
      </c>
      <c r="E17" s="11" t="s">
        <v>509</v>
      </c>
      <c r="F17" s="10" t="s">
        <v>480</v>
      </c>
      <c r="G17" s="35" t="s">
        <v>87</v>
      </c>
      <c r="H17" s="31" t="s">
        <v>87</v>
      </c>
      <c r="I17" s="35" t="s">
        <v>215</v>
      </c>
      <c r="J17" s="30"/>
      <c r="K17" s="31" t="s">
        <v>94</v>
      </c>
      <c r="L17" s="35" t="s">
        <v>59</v>
      </c>
      <c r="M17" s="35" t="s">
        <v>59</v>
      </c>
      <c r="N17" s="30"/>
      <c r="O17" s="12" t="str">
        <f>"355,0"</f>
        <v>355,0</v>
      </c>
      <c r="P17" s="12" t="str">
        <f>"218,5025"</f>
        <v>218,5025</v>
      </c>
      <c r="Q17" s="10" t="s">
        <v>448</v>
      </c>
    </row>
    <row r="18" spans="1:17">
      <c r="A18" s="32" t="s">
        <v>32</v>
      </c>
      <c r="B18" s="13" t="s">
        <v>376</v>
      </c>
      <c r="C18" s="13" t="s">
        <v>377</v>
      </c>
      <c r="D18" s="13" t="s">
        <v>378</v>
      </c>
      <c r="E18" s="14" t="s">
        <v>509</v>
      </c>
      <c r="F18" s="13" t="s">
        <v>480</v>
      </c>
      <c r="G18" s="34" t="s">
        <v>174</v>
      </c>
      <c r="H18" s="34" t="s">
        <v>231</v>
      </c>
      <c r="I18" s="34" t="s">
        <v>200</v>
      </c>
      <c r="J18" s="32"/>
      <c r="K18" s="34" t="s">
        <v>178</v>
      </c>
      <c r="L18" s="34" t="s">
        <v>58</v>
      </c>
      <c r="M18" s="33" t="s">
        <v>94</v>
      </c>
      <c r="N18" s="32"/>
      <c r="O18" s="15" t="str">
        <f>"342,5"</f>
        <v>342,5</v>
      </c>
      <c r="P18" s="15" t="str">
        <f>"209,8155"</f>
        <v>209,8155</v>
      </c>
      <c r="Q18" s="13" t="s">
        <v>449</v>
      </c>
    </row>
    <row r="20" spans="1:17" ht="16">
      <c r="A20" s="47" t="s">
        <v>185</v>
      </c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7">
      <c r="A21" s="27" t="s">
        <v>31</v>
      </c>
      <c r="B21" s="7" t="s">
        <v>186</v>
      </c>
      <c r="C21" s="7" t="s">
        <v>290</v>
      </c>
      <c r="D21" s="7" t="s">
        <v>187</v>
      </c>
      <c r="E21" s="8" t="s">
        <v>513</v>
      </c>
      <c r="F21" s="7" t="s">
        <v>480</v>
      </c>
      <c r="G21" s="28" t="s">
        <v>82</v>
      </c>
      <c r="H21" s="28" t="s">
        <v>96</v>
      </c>
      <c r="I21" s="29" t="s">
        <v>104</v>
      </c>
      <c r="J21" s="27"/>
      <c r="K21" s="28" t="s">
        <v>46</v>
      </c>
      <c r="L21" s="28" t="s">
        <v>89</v>
      </c>
      <c r="M21" s="27"/>
      <c r="N21" s="27"/>
      <c r="O21" s="9" t="str">
        <f>"440,0"</f>
        <v>440,0</v>
      </c>
      <c r="P21" s="9" t="str">
        <f>"250,8880"</f>
        <v>250,8880</v>
      </c>
      <c r="Q21" s="7"/>
    </row>
  </sheetData>
  <mergeCells count="17">
    <mergeCell ref="O3:O4"/>
    <mergeCell ref="P3:P4"/>
    <mergeCell ref="Q3:Q4"/>
    <mergeCell ref="A5:N5"/>
    <mergeCell ref="A1:Q2"/>
    <mergeCell ref="A3:A4"/>
    <mergeCell ref="C3:C4"/>
    <mergeCell ref="D3:D4"/>
    <mergeCell ref="E3:E4"/>
    <mergeCell ref="F3:F4"/>
    <mergeCell ref="G3:J3"/>
    <mergeCell ref="K3:N3"/>
    <mergeCell ref="A9:N9"/>
    <mergeCell ref="A13:N13"/>
    <mergeCell ref="A16:N16"/>
    <mergeCell ref="A20:N20"/>
    <mergeCell ref="B3:B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6"/>
  <sheetViews>
    <sheetView workbookViewId="0">
      <selection sqref="A1:Q2"/>
    </sheetView>
  </sheetViews>
  <sheetFormatPr baseColWidth="10" defaultColWidth="9.1640625" defaultRowHeight="13"/>
  <cols>
    <col min="1" max="1" width="7.5" style="5" bestFit="1" customWidth="1"/>
    <col min="2" max="2" width="18" style="5" customWidth="1"/>
    <col min="3" max="3" width="26.33203125" style="5" bestFit="1" customWidth="1"/>
    <col min="4" max="4" width="21.5" style="5" bestFit="1" customWidth="1"/>
    <col min="5" max="5" width="10.5" style="16" bestFit="1" customWidth="1"/>
    <col min="6" max="6" width="15.5" style="5" bestFit="1" customWidth="1"/>
    <col min="7" max="9" width="5.5" style="25" customWidth="1"/>
    <col min="10" max="10" width="4.83203125" style="25" customWidth="1"/>
    <col min="11" max="13" width="5.5" style="25" customWidth="1"/>
    <col min="14" max="14" width="4.83203125" style="25" customWidth="1"/>
    <col min="15" max="15" width="7.83203125" style="6" bestFit="1" customWidth="1"/>
    <col min="16" max="16" width="8.5" style="6" bestFit="1" customWidth="1"/>
    <col min="17" max="17" width="19.33203125" style="5" customWidth="1"/>
    <col min="18" max="16384" width="9.1640625" style="3"/>
  </cols>
  <sheetData>
    <row r="1" spans="1:17" s="2" customFormat="1" ht="29" customHeight="1">
      <c r="A1" s="57" t="s">
        <v>451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</row>
    <row r="2" spans="1:17" s="2" customFormat="1" ht="62" customHeight="1" thickBot="1">
      <c r="A2" s="61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4"/>
    </row>
    <row r="3" spans="1:17" s="1" customFormat="1" ht="12.75" customHeight="1">
      <c r="A3" s="65" t="s">
        <v>505</v>
      </c>
      <c r="B3" s="70" t="s">
        <v>0</v>
      </c>
      <c r="C3" s="67" t="s">
        <v>506</v>
      </c>
      <c r="D3" s="67" t="s">
        <v>5</v>
      </c>
      <c r="E3" s="51" t="s">
        <v>507</v>
      </c>
      <c r="F3" s="69" t="s">
        <v>6</v>
      </c>
      <c r="G3" s="69" t="s">
        <v>34</v>
      </c>
      <c r="H3" s="69"/>
      <c r="I3" s="69"/>
      <c r="J3" s="69"/>
      <c r="K3" s="69" t="s">
        <v>35</v>
      </c>
      <c r="L3" s="69"/>
      <c r="M3" s="69"/>
      <c r="N3" s="69"/>
      <c r="O3" s="51" t="s">
        <v>1</v>
      </c>
      <c r="P3" s="51" t="s">
        <v>3</v>
      </c>
      <c r="Q3" s="53" t="s">
        <v>2</v>
      </c>
    </row>
    <row r="4" spans="1:17" s="1" customFormat="1" ht="21" customHeight="1" thickBot="1">
      <c r="A4" s="66"/>
      <c r="B4" s="71"/>
      <c r="C4" s="68"/>
      <c r="D4" s="68"/>
      <c r="E4" s="52"/>
      <c r="F4" s="68"/>
      <c r="G4" s="4">
        <v>1</v>
      </c>
      <c r="H4" s="4">
        <v>2</v>
      </c>
      <c r="I4" s="4">
        <v>3</v>
      </c>
      <c r="J4" s="4" t="s">
        <v>4</v>
      </c>
      <c r="K4" s="4">
        <v>1</v>
      </c>
      <c r="L4" s="4">
        <v>2</v>
      </c>
      <c r="M4" s="4">
        <v>3</v>
      </c>
      <c r="N4" s="4" t="s">
        <v>4</v>
      </c>
      <c r="O4" s="52"/>
      <c r="P4" s="52"/>
      <c r="Q4" s="54"/>
    </row>
    <row r="5" spans="1:17" ht="16">
      <c r="A5" s="55" t="s">
        <v>157</v>
      </c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7">
      <c r="A6" s="27" t="s">
        <v>31</v>
      </c>
      <c r="B6" s="7" t="s">
        <v>363</v>
      </c>
      <c r="C6" s="7" t="s">
        <v>364</v>
      </c>
      <c r="D6" s="7" t="s">
        <v>365</v>
      </c>
      <c r="E6" s="8" t="s">
        <v>514</v>
      </c>
      <c r="F6" s="7" t="s">
        <v>480</v>
      </c>
      <c r="G6" s="28" t="s">
        <v>366</v>
      </c>
      <c r="H6" s="28" t="s">
        <v>123</v>
      </c>
      <c r="I6" s="29" t="s">
        <v>8</v>
      </c>
      <c r="J6" s="27"/>
      <c r="K6" s="28" t="s">
        <v>12</v>
      </c>
      <c r="L6" s="28" t="s">
        <v>21</v>
      </c>
      <c r="M6" s="28" t="s">
        <v>124</v>
      </c>
      <c r="N6" s="27"/>
      <c r="O6" s="9" t="str">
        <f>"145,0"</f>
        <v>145,0</v>
      </c>
      <c r="P6" s="9" t="str">
        <f>"220,2913"</f>
        <v>220,2913</v>
      </c>
      <c r="Q6" s="7"/>
    </row>
  </sheetData>
  <mergeCells count="13">
    <mergeCell ref="A5:N5"/>
    <mergeCell ref="B3:B4"/>
    <mergeCell ref="A1:Q2"/>
    <mergeCell ref="A3:A4"/>
    <mergeCell ref="C3:C4"/>
    <mergeCell ref="D3:D4"/>
    <mergeCell ref="E3:E4"/>
    <mergeCell ref="F3:F4"/>
    <mergeCell ref="G3:J3"/>
    <mergeCell ref="K3:N3"/>
    <mergeCell ref="O3:O4"/>
    <mergeCell ref="P3:P4"/>
    <mergeCell ref="Q3:Q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48"/>
  <sheetViews>
    <sheetView workbookViewId="0">
      <selection activeCell="E39" sqref="E39"/>
    </sheetView>
  </sheetViews>
  <sheetFormatPr baseColWidth="10" defaultColWidth="9.1640625" defaultRowHeight="13"/>
  <cols>
    <col min="1" max="1" width="7.5" style="5" bestFit="1" customWidth="1"/>
    <col min="2" max="2" width="21.83203125" style="5" bestFit="1" customWidth="1"/>
    <col min="3" max="3" width="27.5" style="5" bestFit="1" customWidth="1"/>
    <col min="4" max="4" width="21.5" style="5" bestFit="1" customWidth="1"/>
    <col min="5" max="5" width="10.5" style="16" bestFit="1" customWidth="1"/>
    <col min="6" max="6" width="22.6640625" style="5" customWidth="1"/>
    <col min="7" max="9" width="5.5" style="25" customWidth="1"/>
    <col min="10" max="10" width="4.83203125" style="25" customWidth="1"/>
    <col min="11" max="11" width="10.5" style="6" bestFit="1" customWidth="1"/>
    <col min="12" max="12" width="8.5" style="6" bestFit="1" customWidth="1"/>
    <col min="13" max="13" width="28.5" style="5" bestFit="1" customWidth="1"/>
    <col min="14" max="16384" width="9.1640625" style="3"/>
  </cols>
  <sheetData>
    <row r="1" spans="1:13" s="2" customFormat="1" ht="29" customHeight="1">
      <c r="A1" s="57" t="s">
        <v>459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s="2" customFormat="1" ht="62" customHeight="1" thickBot="1">
      <c r="A2" s="61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1" customFormat="1" ht="12.75" customHeight="1">
      <c r="A3" s="65" t="s">
        <v>505</v>
      </c>
      <c r="B3" s="70" t="s">
        <v>0</v>
      </c>
      <c r="C3" s="67" t="s">
        <v>506</v>
      </c>
      <c r="D3" s="67" t="s">
        <v>5</v>
      </c>
      <c r="E3" s="51" t="s">
        <v>507</v>
      </c>
      <c r="F3" s="69" t="s">
        <v>6</v>
      </c>
      <c r="G3" s="69" t="s">
        <v>34</v>
      </c>
      <c r="H3" s="69"/>
      <c r="I3" s="69"/>
      <c r="J3" s="69"/>
      <c r="K3" s="51" t="s">
        <v>30</v>
      </c>
      <c r="L3" s="51" t="s">
        <v>3</v>
      </c>
      <c r="M3" s="53" t="s">
        <v>2</v>
      </c>
    </row>
    <row r="4" spans="1:13" s="1" customFormat="1" ht="21" customHeight="1" thickBot="1">
      <c r="A4" s="66"/>
      <c r="B4" s="71"/>
      <c r="C4" s="68"/>
      <c r="D4" s="68"/>
      <c r="E4" s="52"/>
      <c r="F4" s="68"/>
      <c r="G4" s="4">
        <v>1</v>
      </c>
      <c r="H4" s="4">
        <v>2</v>
      </c>
      <c r="I4" s="4">
        <v>3</v>
      </c>
      <c r="J4" s="4" t="s">
        <v>4</v>
      </c>
      <c r="K4" s="52"/>
      <c r="L4" s="52"/>
      <c r="M4" s="54"/>
    </row>
    <row r="5" spans="1:13" ht="16">
      <c r="A5" s="55" t="s">
        <v>146</v>
      </c>
      <c r="B5" s="55"/>
      <c r="C5" s="56"/>
      <c r="D5" s="56"/>
      <c r="E5" s="56"/>
      <c r="F5" s="56"/>
      <c r="G5" s="56"/>
      <c r="H5" s="56"/>
      <c r="I5" s="56"/>
      <c r="J5" s="56"/>
    </row>
    <row r="6" spans="1:13">
      <c r="A6" s="27" t="s">
        <v>31</v>
      </c>
      <c r="B6" s="7" t="s">
        <v>240</v>
      </c>
      <c r="C6" s="7" t="s">
        <v>241</v>
      </c>
      <c r="D6" s="7" t="s">
        <v>242</v>
      </c>
      <c r="E6" s="8" t="s">
        <v>508</v>
      </c>
      <c r="F6" s="7" t="s">
        <v>480</v>
      </c>
      <c r="G6" s="28" t="s">
        <v>243</v>
      </c>
      <c r="H6" s="28" t="s">
        <v>111</v>
      </c>
      <c r="I6" s="27"/>
      <c r="J6" s="27"/>
      <c r="K6" s="9" t="str">
        <f>"125,0"</f>
        <v>125,0</v>
      </c>
      <c r="L6" s="9" t="str">
        <f>"96,3750"</f>
        <v>96,3750</v>
      </c>
      <c r="M6" s="7" t="s">
        <v>440</v>
      </c>
    </row>
    <row r="8" spans="1:13" ht="16">
      <c r="A8" s="47" t="s">
        <v>157</v>
      </c>
      <c r="B8" s="47"/>
      <c r="C8" s="48"/>
      <c r="D8" s="48"/>
      <c r="E8" s="48"/>
      <c r="F8" s="48"/>
      <c r="G8" s="48"/>
      <c r="H8" s="48"/>
      <c r="I8" s="48"/>
      <c r="J8" s="48"/>
    </row>
    <row r="9" spans="1:13">
      <c r="A9" s="27" t="s">
        <v>31</v>
      </c>
      <c r="B9" s="7" t="s">
        <v>244</v>
      </c>
      <c r="C9" s="7" t="s">
        <v>245</v>
      </c>
      <c r="D9" s="7" t="s">
        <v>246</v>
      </c>
      <c r="E9" s="8" t="s">
        <v>510</v>
      </c>
      <c r="F9" s="7" t="s">
        <v>490</v>
      </c>
      <c r="G9" s="28" t="s">
        <v>124</v>
      </c>
      <c r="H9" s="29" t="s">
        <v>18</v>
      </c>
      <c r="I9" s="28" t="s">
        <v>18</v>
      </c>
      <c r="J9" s="27"/>
      <c r="K9" s="9" t="str">
        <f>"105,0"</f>
        <v>105,0</v>
      </c>
      <c r="L9" s="9" t="str">
        <f>"102,7740"</f>
        <v>102,7740</v>
      </c>
      <c r="M9" s="7"/>
    </row>
    <row r="11" spans="1:13" ht="16">
      <c r="A11" s="47" t="s">
        <v>157</v>
      </c>
      <c r="B11" s="47"/>
      <c r="C11" s="48"/>
      <c r="D11" s="48"/>
      <c r="E11" s="48"/>
      <c r="F11" s="48"/>
      <c r="G11" s="48"/>
      <c r="H11" s="48"/>
      <c r="I11" s="48"/>
      <c r="J11" s="48"/>
    </row>
    <row r="12" spans="1:13">
      <c r="A12" s="30" t="s">
        <v>31</v>
      </c>
      <c r="B12" s="10" t="s">
        <v>247</v>
      </c>
      <c r="C12" s="10" t="s">
        <v>248</v>
      </c>
      <c r="D12" s="10" t="s">
        <v>249</v>
      </c>
      <c r="E12" s="11" t="s">
        <v>509</v>
      </c>
      <c r="F12" s="10" t="s">
        <v>491</v>
      </c>
      <c r="G12" s="31" t="s">
        <v>112</v>
      </c>
      <c r="H12" s="31" t="s">
        <v>50</v>
      </c>
      <c r="I12" s="31" t="s">
        <v>80</v>
      </c>
      <c r="J12" s="30"/>
      <c r="K12" s="12" t="str">
        <f>"160,0"</f>
        <v>160,0</v>
      </c>
      <c r="L12" s="12" t="str">
        <f>"117,3920"</f>
        <v>117,3920</v>
      </c>
      <c r="M12" s="10"/>
    </row>
    <row r="13" spans="1:13">
      <c r="A13" s="41" t="s">
        <v>32</v>
      </c>
      <c r="B13" s="36" t="s">
        <v>158</v>
      </c>
      <c r="C13" s="36" t="s">
        <v>159</v>
      </c>
      <c r="D13" s="36" t="s">
        <v>160</v>
      </c>
      <c r="E13" s="37" t="s">
        <v>509</v>
      </c>
      <c r="F13" s="36" t="s">
        <v>480</v>
      </c>
      <c r="G13" s="39" t="s">
        <v>78</v>
      </c>
      <c r="H13" s="39" t="s">
        <v>48</v>
      </c>
      <c r="I13" s="40" t="s">
        <v>87</v>
      </c>
      <c r="J13" s="41"/>
      <c r="K13" s="38" t="str">
        <f>"140,0"</f>
        <v>140,0</v>
      </c>
      <c r="L13" s="38" t="str">
        <f>"100,7020"</f>
        <v>100,7020</v>
      </c>
      <c r="M13" s="36"/>
    </row>
    <row r="14" spans="1:13">
      <c r="A14" s="41" t="s">
        <v>189</v>
      </c>
      <c r="B14" s="36" t="s">
        <v>250</v>
      </c>
      <c r="C14" s="36" t="s">
        <v>251</v>
      </c>
      <c r="D14" s="36" t="s">
        <v>252</v>
      </c>
      <c r="E14" s="37" t="s">
        <v>509</v>
      </c>
      <c r="F14" s="36" t="s">
        <v>480</v>
      </c>
      <c r="G14" s="40" t="s">
        <v>19</v>
      </c>
      <c r="H14" s="39" t="s">
        <v>19</v>
      </c>
      <c r="I14" s="40" t="s">
        <v>134</v>
      </c>
      <c r="J14" s="41"/>
      <c r="K14" s="38" t="str">
        <f>"110,0"</f>
        <v>110,0</v>
      </c>
      <c r="L14" s="38" t="str">
        <f>"79,5080"</f>
        <v>79,5080</v>
      </c>
      <c r="M14" s="36"/>
    </row>
    <row r="15" spans="1:13">
      <c r="A15" s="32" t="s">
        <v>31</v>
      </c>
      <c r="B15" s="13" t="s">
        <v>253</v>
      </c>
      <c r="C15" s="13" t="s">
        <v>254</v>
      </c>
      <c r="D15" s="13" t="s">
        <v>255</v>
      </c>
      <c r="E15" s="14" t="s">
        <v>515</v>
      </c>
      <c r="F15" s="13" t="s">
        <v>480</v>
      </c>
      <c r="G15" s="33" t="s">
        <v>243</v>
      </c>
      <c r="H15" s="34" t="s">
        <v>243</v>
      </c>
      <c r="I15" s="34" t="s">
        <v>145</v>
      </c>
      <c r="J15" s="32"/>
      <c r="K15" s="15" t="str">
        <f>"122,5"</f>
        <v>122,5</v>
      </c>
      <c r="L15" s="15" t="str">
        <f>"106,4574"</f>
        <v>106,4574</v>
      </c>
      <c r="M15" s="13" t="s">
        <v>441</v>
      </c>
    </row>
    <row r="17" spans="1:13" ht="16">
      <c r="A17" s="47" t="s">
        <v>36</v>
      </c>
      <c r="B17" s="47"/>
      <c r="C17" s="48"/>
      <c r="D17" s="48"/>
      <c r="E17" s="48"/>
      <c r="F17" s="48"/>
      <c r="G17" s="48"/>
      <c r="H17" s="48"/>
      <c r="I17" s="48"/>
      <c r="J17" s="48"/>
    </row>
    <row r="18" spans="1:13">
      <c r="A18" s="30" t="s">
        <v>31</v>
      </c>
      <c r="B18" s="10" t="s">
        <v>163</v>
      </c>
      <c r="C18" s="10" t="s">
        <v>164</v>
      </c>
      <c r="D18" s="10" t="s">
        <v>165</v>
      </c>
      <c r="E18" s="11" t="s">
        <v>508</v>
      </c>
      <c r="F18" s="10" t="s">
        <v>492</v>
      </c>
      <c r="G18" s="31" t="s">
        <v>77</v>
      </c>
      <c r="H18" s="31" t="s">
        <v>48</v>
      </c>
      <c r="I18" s="31" t="s">
        <v>166</v>
      </c>
      <c r="J18" s="30"/>
      <c r="K18" s="12" t="str">
        <f>"147,5"</f>
        <v>147,5</v>
      </c>
      <c r="L18" s="12" t="str">
        <f>"100,0787"</f>
        <v>100,0787</v>
      </c>
      <c r="M18" s="10" t="s">
        <v>470</v>
      </c>
    </row>
    <row r="19" spans="1:13">
      <c r="A19" s="41" t="s">
        <v>31</v>
      </c>
      <c r="B19" s="36" t="s">
        <v>256</v>
      </c>
      <c r="C19" s="36" t="s">
        <v>257</v>
      </c>
      <c r="D19" s="36" t="s">
        <v>258</v>
      </c>
      <c r="E19" s="37" t="s">
        <v>509</v>
      </c>
      <c r="F19" s="36" t="s">
        <v>480</v>
      </c>
      <c r="G19" s="39" t="s">
        <v>174</v>
      </c>
      <c r="H19" s="39" t="s">
        <v>231</v>
      </c>
      <c r="I19" s="40" t="s">
        <v>87</v>
      </c>
      <c r="J19" s="41"/>
      <c r="K19" s="38" t="str">
        <f>"137,5"</f>
        <v>137,5</v>
      </c>
      <c r="L19" s="38" t="str">
        <f>"92,4550"</f>
        <v>92,4550</v>
      </c>
      <c r="M19" s="36" t="s">
        <v>435</v>
      </c>
    </row>
    <row r="20" spans="1:13">
      <c r="A20" s="41" t="s">
        <v>31</v>
      </c>
      <c r="B20" s="36" t="s">
        <v>259</v>
      </c>
      <c r="C20" s="36" t="s">
        <v>260</v>
      </c>
      <c r="D20" s="36" t="s">
        <v>9</v>
      </c>
      <c r="E20" s="37" t="s">
        <v>513</v>
      </c>
      <c r="F20" s="36" t="s">
        <v>480</v>
      </c>
      <c r="G20" s="39" t="s">
        <v>48</v>
      </c>
      <c r="H20" s="41"/>
      <c r="I20" s="41"/>
      <c r="J20" s="41"/>
      <c r="K20" s="38" t="str">
        <f>"140,0"</f>
        <v>140,0</v>
      </c>
      <c r="L20" s="38" t="str">
        <f>"96,5202"</f>
        <v>96,5202</v>
      </c>
      <c r="M20" s="36"/>
    </row>
    <row r="21" spans="1:13">
      <c r="A21" s="32" t="s">
        <v>32</v>
      </c>
      <c r="B21" s="13" t="s">
        <v>261</v>
      </c>
      <c r="C21" s="13" t="s">
        <v>262</v>
      </c>
      <c r="D21" s="13" t="s">
        <v>263</v>
      </c>
      <c r="E21" s="14" t="s">
        <v>513</v>
      </c>
      <c r="F21" s="13" t="s">
        <v>480</v>
      </c>
      <c r="G21" s="34" t="s">
        <v>130</v>
      </c>
      <c r="H21" s="34" t="s">
        <v>134</v>
      </c>
      <c r="I21" s="33" t="s">
        <v>243</v>
      </c>
      <c r="J21" s="32"/>
      <c r="K21" s="15" t="str">
        <f>"115,0"</f>
        <v>115,0</v>
      </c>
      <c r="L21" s="15" t="str">
        <f>"87,6657"</f>
        <v>87,6657</v>
      </c>
      <c r="M21" s="13" t="s">
        <v>440</v>
      </c>
    </row>
    <row r="23" spans="1:13" ht="16">
      <c r="A23" s="47" t="s">
        <v>90</v>
      </c>
      <c r="B23" s="47"/>
      <c r="C23" s="48"/>
      <c r="D23" s="48"/>
      <c r="E23" s="48"/>
      <c r="F23" s="48"/>
      <c r="G23" s="48"/>
      <c r="H23" s="48"/>
      <c r="I23" s="48"/>
      <c r="J23" s="48"/>
    </row>
    <row r="24" spans="1:13">
      <c r="A24" s="30" t="s">
        <v>31</v>
      </c>
      <c r="B24" s="10" t="s">
        <v>264</v>
      </c>
      <c r="C24" s="10" t="s">
        <v>265</v>
      </c>
      <c r="D24" s="10" t="s">
        <v>93</v>
      </c>
      <c r="E24" s="11" t="s">
        <v>513</v>
      </c>
      <c r="F24" s="10" t="s">
        <v>484</v>
      </c>
      <c r="G24" s="31" t="s">
        <v>87</v>
      </c>
      <c r="H24" s="31" t="s">
        <v>215</v>
      </c>
      <c r="I24" s="31" t="s">
        <v>112</v>
      </c>
      <c r="J24" s="30"/>
      <c r="K24" s="12" t="str">
        <f>"155,0"</f>
        <v>155,0</v>
      </c>
      <c r="L24" s="12" t="str">
        <f>"100,3373"</f>
        <v>100,3373</v>
      </c>
      <c r="M24" s="10"/>
    </row>
    <row r="25" spans="1:13">
      <c r="A25" s="32" t="s">
        <v>32</v>
      </c>
      <c r="B25" s="13" t="s">
        <v>266</v>
      </c>
      <c r="C25" s="13" t="s">
        <v>267</v>
      </c>
      <c r="D25" s="13" t="s">
        <v>268</v>
      </c>
      <c r="E25" s="14" t="s">
        <v>513</v>
      </c>
      <c r="F25" s="13" t="s">
        <v>480</v>
      </c>
      <c r="G25" s="34" t="s">
        <v>48</v>
      </c>
      <c r="H25" s="34" t="s">
        <v>87</v>
      </c>
      <c r="I25" s="33" t="s">
        <v>215</v>
      </c>
      <c r="J25" s="32"/>
      <c r="K25" s="15" t="str">
        <f>"145,0"</f>
        <v>145,0</v>
      </c>
      <c r="L25" s="15" t="str">
        <f>"94,9398"</f>
        <v>94,9398</v>
      </c>
      <c r="M25" s="13" t="s">
        <v>436</v>
      </c>
    </row>
    <row r="27" spans="1:13" ht="16">
      <c r="A27" s="47" t="s">
        <v>13</v>
      </c>
      <c r="B27" s="47"/>
      <c r="C27" s="48"/>
      <c r="D27" s="48"/>
      <c r="E27" s="48"/>
      <c r="F27" s="48"/>
      <c r="G27" s="48"/>
      <c r="H27" s="48"/>
      <c r="I27" s="48"/>
      <c r="J27" s="48"/>
    </row>
    <row r="28" spans="1:13">
      <c r="A28" s="27" t="s">
        <v>31</v>
      </c>
      <c r="B28" s="7" t="s">
        <v>14</v>
      </c>
      <c r="C28" s="7" t="s">
        <v>15</v>
      </c>
      <c r="D28" s="7" t="s">
        <v>16</v>
      </c>
      <c r="E28" s="8" t="s">
        <v>509</v>
      </c>
      <c r="F28" s="7" t="s">
        <v>480</v>
      </c>
      <c r="G28" s="28" t="s">
        <v>81</v>
      </c>
      <c r="H28" s="28" t="s">
        <v>269</v>
      </c>
      <c r="I28" s="28" t="s">
        <v>270</v>
      </c>
      <c r="J28" s="27"/>
      <c r="K28" s="9" t="str">
        <f>"182,5"</f>
        <v>182,5</v>
      </c>
      <c r="L28" s="9" t="str">
        <f>"111,3432"</f>
        <v>111,3432</v>
      </c>
      <c r="M28" s="7" t="s">
        <v>437</v>
      </c>
    </row>
    <row r="30" spans="1:13" ht="16">
      <c r="A30" s="47" t="s">
        <v>42</v>
      </c>
      <c r="B30" s="47"/>
      <c r="C30" s="48"/>
      <c r="D30" s="48"/>
      <c r="E30" s="48"/>
      <c r="F30" s="48"/>
      <c r="G30" s="48"/>
      <c r="H30" s="48"/>
      <c r="I30" s="48"/>
      <c r="J30" s="48"/>
    </row>
    <row r="31" spans="1:13">
      <c r="A31" s="30" t="s">
        <v>31</v>
      </c>
      <c r="B31" s="10" t="s">
        <v>271</v>
      </c>
      <c r="C31" s="10" t="s">
        <v>272</v>
      </c>
      <c r="D31" s="10" t="s">
        <v>273</v>
      </c>
      <c r="E31" s="11" t="s">
        <v>509</v>
      </c>
      <c r="F31" s="10" t="s">
        <v>493</v>
      </c>
      <c r="G31" s="31" t="s">
        <v>274</v>
      </c>
      <c r="H31" s="31" t="s">
        <v>269</v>
      </c>
      <c r="I31" s="31" t="s">
        <v>275</v>
      </c>
      <c r="J31" s="30"/>
      <c r="K31" s="12" t="str">
        <f>"187,5"</f>
        <v>187,5</v>
      </c>
      <c r="L31" s="12" t="str">
        <f>"110,5313"</f>
        <v>110,5313</v>
      </c>
      <c r="M31" s="10" t="s">
        <v>471</v>
      </c>
    </row>
    <row r="32" spans="1:13">
      <c r="A32" s="41" t="s">
        <v>32</v>
      </c>
      <c r="B32" s="36" t="s">
        <v>276</v>
      </c>
      <c r="C32" s="36" t="s">
        <v>277</v>
      </c>
      <c r="D32" s="36" t="s">
        <v>278</v>
      </c>
      <c r="E32" s="37" t="s">
        <v>509</v>
      </c>
      <c r="F32" s="36" t="s">
        <v>480</v>
      </c>
      <c r="G32" s="39" t="s">
        <v>81</v>
      </c>
      <c r="H32" s="39" t="s">
        <v>96</v>
      </c>
      <c r="I32" s="40" t="s">
        <v>275</v>
      </c>
      <c r="J32" s="41"/>
      <c r="K32" s="38" t="str">
        <f>"180,0"</f>
        <v>180,0</v>
      </c>
      <c r="L32" s="38" t="str">
        <f>"106,5780"</f>
        <v>106,5780</v>
      </c>
      <c r="M32" s="36"/>
    </row>
    <row r="33" spans="1:13">
      <c r="A33" s="32" t="s">
        <v>189</v>
      </c>
      <c r="B33" s="13" t="s">
        <v>279</v>
      </c>
      <c r="C33" s="13" t="s">
        <v>280</v>
      </c>
      <c r="D33" s="13" t="s">
        <v>281</v>
      </c>
      <c r="E33" s="14" t="s">
        <v>509</v>
      </c>
      <c r="F33" s="13" t="s">
        <v>494</v>
      </c>
      <c r="G33" s="34" t="s">
        <v>111</v>
      </c>
      <c r="H33" s="34" t="s">
        <v>77</v>
      </c>
      <c r="I33" s="33" t="s">
        <v>78</v>
      </c>
      <c r="J33" s="32"/>
      <c r="K33" s="15" t="str">
        <f>"130,0"</f>
        <v>130,0</v>
      </c>
      <c r="L33" s="15" t="str">
        <f>"78,2470"</f>
        <v>78,2470</v>
      </c>
      <c r="M33" s="13"/>
    </row>
    <row r="35" spans="1:13" ht="16">
      <c r="A35" s="47" t="s">
        <v>185</v>
      </c>
      <c r="B35" s="47"/>
      <c r="C35" s="48"/>
      <c r="D35" s="48"/>
      <c r="E35" s="48"/>
      <c r="F35" s="48"/>
      <c r="G35" s="48"/>
      <c r="H35" s="48"/>
      <c r="I35" s="48"/>
      <c r="J35" s="48"/>
    </row>
    <row r="36" spans="1:13">
      <c r="A36" s="30" t="s">
        <v>31</v>
      </c>
      <c r="B36" s="10" t="s">
        <v>282</v>
      </c>
      <c r="C36" s="10" t="s">
        <v>283</v>
      </c>
      <c r="D36" s="10" t="s">
        <v>284</v>
      </c>
      <c r="E36" s="11" t="s">
        <v>509</v>
      </c>
      <c r="F36" s="10" t="s">
        <v>495</v>
      </c>
      <c r="G36" s="31" t="s">
        <v>285</v>
      </c>
      <c r="H36" s="31" t="s">
        <v>286</v>
      </c>
      <c r="I36" s="31" t="s">
        <v>269</v>
      </c>
      <c r="J36" s="30"/>
      <c r="K36" s="12" t="str">
        <f>"177,5"</f>
        <v>177,5</v>
      </c>
      <c r="L36" s="12" t="str">
        <f>"103,2162"</f>
        <v>103,2162</v>
      </c>
      <c r="M36" s="10"/>
    </row>
    <row r="37" spans="1:13">
      <c r="A37" s="41" t="s">
        <v>31</v>
      </c>
      <c r="B37" s="36" t="s">
        <v>287</v>
      </c>
      <c r="C37" s="36" t="s">
        <v>288</v>
      </c>
      <c r="D37" s="36" t="s">
        <v>289</v>
      </c>
      <c r="E37" s="37" t="s">
        <v>513</v>
      </c>
      <c r="F37" s="36" t="s">
        <v>480</v>
      </c>
      <c r="G37" s="39" t="s">
        <v>81</v>
      </c>
      <c r="H37" s="39" t="s">
        <v>269</v>
      </c>
      <c r="I37" s="39" t="s">
        <v>104</v>
      </c>
      <c r="J37" s="41"/>
      <c r="K37" s="38" t="str">
        <f>"185,0"</f>
        <v>185,0</v>
      </c>
      <c r="L37" s="38" t="str">
        <f>"106,5722"</f>
        <v>106,5722</v>
      </c>
      <c r="M37" s="36" t="s">
        <v>440</v>
      </c>
    </row>
    <row r="38" spans="1:13">
      <c r="A38" s="32" t="s">
        <v>32</v>
      </c>
      <c r="B38" s="13" t="s">
        <v>186</v>
      </c>
      <c r="C38" s="13" t="s">
        <v>290</v>
      </c>
      <c r="D38" s="13" t="s">
        <v>187</v>
      </c>
      <c r="E38" s="14" t="s">
        <v>513</v>
      </c>
      <c r="F38" s="13" t="s">
        <v>480</v>
      </c>
      <c r="G38" s="34" t="s">
        <v>82</v>
      </c>
      <c r="H38" s="34" t="s">
        <v>96</v>
      </c>
      <c r="I38" s="33" t="s">
        <v>104</v>
      </c>
      <c r="J38" s="32"/>
      <c r="K38" s="15" t="str">
        <f>"180,0"</f>
        <v>180,0</v>
      </c>
      <c r="L38" s="15" t="str">
        <f>"102,6360"</f>
        <v>102,6360</v>
      </c>
      <c r="M38" s="13"/>
    </row>
    <row r="40" spans="1:13" ht="16">
      <c r="F40" s="17"/>
      <c r="G40" s="5"/>
      <c r="K40" s="25"/>
      <c r="M40" s="6"/>
    </row>
    <row r="41" spans="1:13">
      <c r="G41" s="5"/>
      <c r="K41" s="25"/>
      <c r="M41" s="6"/>
    </row>
    <row r="42" spans="1:13" ht="18">
      <c r="B42" s="18" t="s">
        <v>22</v>
      </c>
      <c r="C42" s="18"/>
      <c r="G42" s="3"/>
      <c r="K42" s="25"/>
      <c r="M42" s="6"/>
    </row>
    <row r="43" spans="1:13" ht="16">
      <c r="B43" s="19" t="s">
        <v>23</v>
      </c>
      <c r="C43" s="19"/>
      <c r="G43" s="3"/>
      <c r="K43" s="25"/>
      <c r="M43" s="6"/>
    </row>
    <row r="44" spans="1:13" ht="14">
      <c r="B44" s="20"/>
      <c r="C44" s="21" t="s">
        <v>24</v>
      </c>
      <c r="G44" s="3"/>
      <c r="K44" s="25"/>
      <c r="M44" s="6"/>
    </row>
    <row r="45" spans="1:13" ht="14">
      <c r="B45" s="22" t="s">
        <v>25</v>
      </c>
      <c r="C45" s="22" t="s">
        <v>26</v>
      </c>
      <c r="D45" s="22" t="s">
        <v>443</v>
      </c>
      <c r="E45" s="23" t="s">
        <v>27</v>
      </c>
      <c r="F45" s="22" t="s">
        <v>28</v>
      </c>
      <c r="G45" s="3"/>
      <c r="K45" s="25"/>
      <c r="M45" s="6"/>
    </row>
    <row r="46" spans="1:13">
      <c r="B46" s="5" t="s">
        <v>247</v>
      </c>
      <c r="C46" s="5" t="s">
        <v>24</v>
      </c>
      <c r="D46" s="25" t="s">
        <v>188</v>
      </c>
      <c r="E46" s="26">
        <v>160</v>
      </c>
      <c r="F46" s="24">
        <v>117.39199638366701</v>
      </c>
      <c r="G46" s="3"/>
      <c r="K46" s="25"/>
      <c r="M46" s="6"/>
    </row>
    <row r="47" spans="1:13">
      <c r="B47" s="5" t="s">
        <v>14</v>
      </c>
      <c r="C47" s="5" t="s">
        <v>24</v>
      </c>
      <c r="D47" s="25" t="s">
        <v>29</v>
      </c>
      <c r="E47" s="26">
        <v>182.5</v>
      </c>
      <c r="F47" s="24">
        <v>111.343244761229</v>
      </c>
      <c r="G47" s="3"/>
      <c r="K47" s="25"/>
      <c r="M47" s="6"/>
    </row>
    <row r="48" spans="1:13">
      <c r="B48" s="5" t="s">
        <v>271</v>
      </c>
      <c r="C48" s="5" t="s">
        <v>24</v>
      </c>
      <c r="D48" s="25" t="s">
        <v>60</v>
      </c>
      <c r="E48" s="26">
        <v>187.5</v>
      </c>
      <c r="F48" s="24">
        <v>110.531251877546</v>
      </c>
      <c r="G48" s="3"/>
      <c r="K48" s="25"/>
      <c r="M48" s="6"/>
    </row>
  </sheetData>
  <mergeCells count="19">
    <mergeCell ref="K3:K4"/>
    <mergeCell ref="L3:L4"/>
    <mergeCell ref="M3:M4"/>
    <mergeCell ref="A5:J5"/>
    <mergeCell ref="A1:M2"/>
    <mergeCell ref="A3:A4"/>
    <mergeCell ref="C3:C4"/>
    <mergeCell ref="D3:D4"/>
    <mergeCell ref="E3:E4"/>
    <mergeCell ref="F3:F4"/>
    <mergeCell ref="G3:J3"/>
    <mergeCell ref="A35:J35"/>
    <mergeCell ref="B3:B4"/>
    <mergeCell ref="A8:J8"/>
    <mergeCell ref="A11:J11"/>
    <mergeCell ref="A17:J17"/>
    <mergeCell ref="A23:J23"/>
    <mergeCell ref="A27:J27"/>
    <mergeCell ref="A30:J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39"/>
  <sheetViews>
    <sheetView workbookViewId="0">
      <selection activeCell="E30" sqref="E30"/>
    </sheetView>
  </sheetViews>
  <sheetFormatPr baseColWidth="10" defaultColWidth="9.1640625" defaultRowHeight="13"/>
  <cols>
    <col min="1" max="1" width="7.5" style="5" bestFit="1" customWidth="1"/>
    <col min="2" max="2" width="20.6640625" style="5" bestFit="1" customWidth="1"/>
    <col min="3" max="3" width="27.5" style="5" bestFit="1" customWidth="1"/>
    <col min="4" max="4" width="21.5" style="5" bestFit="1" customWidth="1"/>
    <col min="5" max="5" width="10.5" style="16" bestFit="1" customWidth="1"/>
    <col min="6" max="6" width="20.33203125" style="5" customWidth="1"/>
    <col min="7" max="9" width="5.5" style="25" customWidth="1"/>
    <col min="10" max="10" width="4.83203125" style="25" customWidth="1"/>
    <col min="11" max="11" width="10.5" style="6" bestFit="1" customWidth="1"/>
    <col min="12" max="12" width="8.5" style="6" bestFit="1" customWidth="1"/>
    <col min="13" max="13" width="19.6640625" style="5" customWidth="1"/>
    <col min="14" max="16384" width="9.1640625" style="3"/>
  </cols>
  <sheetData>
    <row r="1" spans="1:13" s="2" customFormat="1" ht="29" customHeight="1">
      <c r="A1" s="57" t="s">
        <v>460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s="2" customFormat="1" ht="62" customHeight="1" thickBot="1">
      <c r="A2" s="61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1" customFormat="1" ht="12.75" customHeight="1">
      <c r="A3" s="65" t="s">
        <v>505</v>
      </c>
      <c r="B3" s="70" t="s">
        <v>0</v>
      </c>
      <c r="C3" s="67" t="s">
        <v>506</v>
      </c>
      <c r="D3" s="67" t="s">
        <v>5</v>
      </c>
      <c r="E3" s="51" t="s">
        <v>507</v>
      </c>
      <c r="F3" s="69" t="s">
        <v>6</v>
      </c>
      <c r="G3" s="69" t="s">
        <v>34</v>
      </c>
      <c r="H3" s="69"/>
      <c r="I3" s="69"/>
      <c r="J3" s="69"/>
      <c r="K3" s="51" t="s">
        <v>30</v>
      </c>
      <c r="L3" s="51" t="s">
        <v>3</v>
      </c>
      <c r="M3" s="53" t="s">
        <v>2</v>
      </c>
    </row>
    <row r="4" spans="1:13" s="1" customFormat="1" ht="21" customHeight="1" thickBot="1">
      <c r="A4" s="66"/>
      <c r="B4" s="71"/>
      <c r="C4" s="68"/>
      <c r="D4" s="68"/>
      <c r="E4" s="52"/>
      <c r="F4" s="68"/>
      <c r="G4" s="4">
        <v>1</v>
      </c>
      <c r="H4" s="4">
        <v>2</v>
      </c>
      <c r="I4" s="4">
        <v>3</v>
      </c>
      <c r="J4" s="4" t="s">
        <v>4</v>
      </c>
      <c r="K4" s="52"/>
      <c r="L4" s="52"/>
      <c r="M4" s="54"/>
    </row>
    <row r="5" spans="1:13" ht="16">
      <c r="A5" s="55" t="s">
        <v>196</v>
      </c>
      <c r="B5" s="55"/>
      <c r="C5" s="56"/>
      <c r="D5" s="56"/>
      <c r="E5" s="56"/>
      <c r="F5" s="56"/>
      <c r="G5" s="56"/>
      <c r="H5" s="56"/>
      <c r="I5" s="56"/>
      <c r="J5" s="56"/>
    </row>
    <row r="6" spans="1:13">
      <c r="A6" s="27" t="s">
        <v>31</v>
      </c>
      <c r="B6" s="7" t="s">
        <v>197</v>
      </c>
      <c r="C6" s="7" t="s">
        <v>198</v>
      </c>
      <c r="D6" s="7" t="s">
        <v>199</v>
      </c>
      <c r="E6" s="8" t="s">
        <v>510</v>
      </c>
      <c r="F6" s="7" t="s">
        <v>480</v>
      </c>
      <c r="G6" s="29" t="s">
        <v>7</v>
      </c>
      <c r="H6" s="28" t="s">
        <v>7</v>
      </c>
      <c r="I6" s="29" t="s">
        <v>8</v>
      </c>
      <c r="J6" s="27"/>
      <c r="K6" s="9" t="str">
        <f>"50,0"</f>
        <v>50,0</v>
      </c>
      <c r="L6" s="9" t="str">
        <f>"53,5150"</f>
        <v>53,5150</v>
      </c>
      <c r="M6" s="7" t="s">
        <v>341</v>
      </c>
    </row>
    <row r="8" spans="1:13" ht="16">
      <c r="A8" s="47" t="s">
        <v>146</v>
      </c>
      <c r="B8" s="47"/>
      <c r="C8" s="48"/>
      <c r="D8" s="48"/>
      <c r="E8" s="48"/>
      <c r="F8" s="48"/>
      <c r="G8" s="48"/>
      <c r="H8" s="48"/>
      <c r="I8" s="48"/>
      <c r="J8" s="48"/>
    </row>
    <row r="9" spans="1:13">
      <c r="A9" s="30" t="s">
        <v>31</v>
      </c>
      <c r="B9" s="10" t="s">
        <v>191</v>
      </c>
      <c r="C9" s="10" t="s">
        <v>192</v>
      </c>
      <c r="D9" s="10" t="s">
        <v>193</v>
      </c>
      <c r="E9" s="11" t="s">
        <v>509</v>
      </c>
      <c r="F9" s="10" t="s">
        <v>494</v>
      </c>
      <c r="G9" s="31" t="s">
        <v>111</v>
      </c>
      <c r="H9" s="35" t="s">
        <v>78</v>
      </c>
      <c r="I9" s="35" t="s">
        <v>200</v>
      </c>
      <c r="J9" s="30"/>
      <c r="K9" s="12" t="str">
        <f>"125,0"</f>
        <v>125,0</v>
      </c>
      <c r="L9" s="12" t="str">
        <f>"97,3125"</f>
        <v>97,3125</v>
      </c>
      <c r="M9" s="10"/>
    </row>
    <row r="10" spans="1:13">
      <c r="A10" s="32" t="s">
        <v>31</v>
      </c>
      <c r="B10" s="13" t="s">
        <v>201</v>
      </c>
      <c r="C10" s="13" t="s">
        <v>202</v>
      </c>
      <c r="D10" s="13" t="s">
        <v>203</v>
      </c>
      <c r="E10" s="14" t="s">
        <v>512</v>
      </c>
      <c r="F10" s="13" t="s">
        <v>480</v>
      </c>
      <c r="G10" s="34" t="s">
        <v>12</v>
      </c>
      <c r="H10" s="33" t="s">
        <v>140</v>
      </c>
      <c r="I10" s="34" t="s">
        <v>140</v>
      </c>
      <c r="J10" s="32"/>
      <c r="K10" s="15" t="str">
        <f>"85,0"</f>
        <v>85,0</v>
      </c>
      <c r="L10" s="15" t="str">
        <f>"116,1311"</f>
        <v>116,1311</v>
      </c>
      <c r="M10" s="13"/>
    </row>
    <row r="12" spans="1:13" ht="16">
      <c r="A12" s="47" t="s">
        <v>157</v>
      </c>
      <c r="B12" s="47"/>
      <c r="C12" s="48"/>
      <c r="D12" s="48"/>
      <c r="E12" s="48"/>
      <c r="F12" s="48"/>
      <c r="G12" s="48"/>
      <c r="H12" s="48"/>
      <c r="I12" s="48"/>
      <c r="J12" s="48"/>
    </row>
    <row r="13" spans="1:13">
      <c r="A13" s="27" t="s">
        <v>31</v>
      </c>
      <c r="B13" s="7" t="s">
        <v>204</v>
      </c>
      <c r="C13" s="7" t="s">
        <v>205</v>
      </c>
      <c r="D13" s="7" t="s">
        <v>206</v>
      </c>
      <c r="E13" s="8" t="s">
        <v>511</v>
      </c>
      <c r="F13" s="7" t="s">
        <v>480</v>
      </c>
      <c r="G13" s="28" t="s">
        <v>124</v>
      </c>
      <c r="H13" s="29" t="s">
        <v>134</v>
      </c>
      <c r="I13" s="28" t="s">
        <v>134</v>
      </c>
      <c r="J13" s="27"/>
      <c r="K13" s="9" t="str">
        <f>"115,0"</f>
        <v>115,0</v>
      </c>
      <c r="L13" s="9" t="str">
        <f>"86,8480"</f>
        <v>86,8480</v>
      </c>
      <c r="M13" s="7"/>
    </row>
    <row r="15" spans="1:13" ht="16">
      <c r="A15" s="47" t="s">
        <v>90</v>
      </c>
      <c r="B15" s="47"/>
      <c r="C15" s="48"/>
      <c r="D15" s="48"/>
      <c r="E15" s="48"/>
      <c r="F15" s="48"/>
      <c r="G15" s="48"/>
      <c r="H15" s="48"/>
      <c r="I15" s="48"/>
      <c r="J15" s="48"/>
    </row>
    <row r="16" spans="1:13">
      <c r="A16" s="30" t="s">
        <v>31</v>
      </c>
      <c r="B16" s="10" t="s">
        <v>207</v>
      </c>
      <c r="C16" s="10" t="s">
        <v>208</v>
      </c>
      <c r="D16" s="10" t="s">
        <v>209</v>
      </c>
      <c r="E16" s="11" t="s">
        <v>509</v>
      </c>
      <c r="F16" s="10" t="s">
        <v>493</v>
      </c>
      <c r="G16" s="31" t="s">
        <v>54</v>
      </c>
      <c r="H16" s="31" t="s">
        <v>210</v>
      </c>
      <c r="I16" s="35" t="s">
        <v>94</v>
      </c>
      <c r="J16" s="30"/>
      <c r="K16" s="12" t="str">
        <f>"202,5"</f>
        <v>202,5</v>
      </c>
      <c r="L16" s="12" t="str">
        <f>"134,3992"</f>
        <v>134,3992</v>
      </c>
      <c r="M16" s="10"/>
    </row>
    <row r="17" spans="1:13">
      <c r="A17" s="41" t="s">
        <v>32</v>
      </c>
      <c r="B17" s="36" t="s">
        <v>211</v>
      </c>
      <c r="C17" s="36" t="s">
        <v>212</v>
      </c>
      <c r="D17" s="36" t="s">
        <v>213</v>
      </c>
      <c r="E17" s="37" t="s">
        <v>509</v>
      </c>
      <c r="F17" s="36" t="s">
        <v>214</v>
      </c>
      <c r="G17" s="39" t="s">
        <v>215</v>
      </c>
      <c r="H17" s="39" t="s">
        <v>80</v>
      </c>
      <c r="I17" s="39" t="s">
        <v>95</v>
      </c>
      <c r="J17" s="41"/>
      <c r="K17" s="38" t="str">
        <f>"165,0"</f>
        <v>165,0</v>
      </c>
      <c r="L17" s="38" t="str">
        <f>"106,8375"</f>
        <v>106,8375</v>
      </c>
      <c r="M17" s="36"/>
    </row>
    <row r="18" spans="1:13">
      <c r="A18" s="32" t="s">
        <v>189</v>
      </c>
      <c r="B18" s="13" t="s">
        <v>216</v>
      </c>
      <c r="C18" s="13" t="s">
        <v>217</v>
      </c>
      <c r="D18" s="13" t="s">
        <v>218</v>
      </c>
      <c r="E18" s="14" t="s">
        <v>509</v>
      </c>
      <c r="F18" s="13" t="s">
        <v>480</v>
      </c>
      <c r="G18" s="33" t="s">
        <v>166</v>
      </c>
      <c r="H18" s="34" t="s">
        <v>215</v>
      </c>
      <c r="I18" s="33" t="s">
        <v>112</v>
      </c>
      <c r="J18" s="32"/>
      <c r="K18" s="15" t="str">
        <f>"152,5"</f>
        <v>152,5</v>
      </c>
      <c r="L18" s="15" t="str">
        <f>"97,8593"</f>
        <v>97,8593</v>
      </c>
      <c r="M18" s="13"/>
    </row>
    <row r="20" spans="1:13" ht="16">
      <c r="A20" s="47" t="s">
        <v>13</v>
      </c>
      <c r="B20" s="47"/>
      <c r="C20" s="48"/>
      <c r="D20" s="48"/>
      <c r="E20" s="48"/>
      <c r="F20" s="48"/>
      <c r="G20" s="48"/>
      <c r="H20" s="48"/>
      <c r="I20" s="48"/>
      <c r="J20" s="48"/>
    </row>
    <row r="21" spans="1:13">
      <c r="A21" s="30" t="s">
        <v>31</v>
      </c>
      <c r="B21" s="10" t="s">
        <v>219</v>
      </c>
      <c r="C21" s="10" t="s">
        <v>220</v>
      </c>
      <c r="D21" s="10" t="s">
        <v>221</v>
      </c>
      <c r="E21" s="11" t="s">
        <v>509</v>
      </c>
      <c r="F21" s="10" t="s">
        <v>222</v>
      </c>
      <c r="G21" s="31" t="s">
        <v>96</v>
      </c>
      <c r="H21" s="31" t="s">
        <v>178</v>
      </c>
      <c r="I21" s="31" t="s">
        <v>54</v>
      </c>
      <c r="J21" s="30"/>
      <c r="K21" s="12" t="str">
        <f>"195,0"</f>
        <v>195,0</v>
      </c>
      <c r="L21" s="12" t="str">
        <f>"119,7105"</f>
        <v>119,7105</v>
      </c>
      <c r="M21" s="10"/>
    </row>
    <row r="22" spans="1:13">
      <c r="A22" s="41" t="s">
        <v>32</v>
      </c>
      <c r="B22" s="36" t="s">
        <v>223</v>
      </c>
      <c r="C22" s="36" t="s">
        <v>224</v>
      </c>
      <c r="D22" s="36" t="s">
        <v>225</v>
      </c>
      <c r="E22" s="37" t="s">
        <v>509</v>
      </c>
      <c r="F22" s="36" t="s">
        <v>480</v>
      </c>
      <c r="G22" s="40" t="s">
        <v>81</v>
      </c>
      <c r="H22" s="39" t="s">
        <v>81</v>
      </c>
      <c r="I22" s="40" t="s">
        <v>82</v>
      </c>
      <c r="J22" s="41"/>
      <c r="K22" s="38" t="str">
        <f>"170,0"</f>
        <v>170,0</v>
      </c>
      <c r="L22" s="38" t="str">
        <f>"104,1930"</f>
        <v>104,1930</v>
      </c>
      <c r="M22" s="36"/>
    </row>
    <row r="23" spans="1:13">
      <c r="A23" s="41" t="s">
        <v>31</v>
      </c>
      <c r="B23" s="36" t="s">
        <v>226</v>
      </c>
      <c r="C23" s="36" t="s">
        <v>227</v>
      </c>
      <c r="D23" s="36" t="s">
        <v>221</v>
      </c>
      <c r="E23" s="37" t="s">
        <v>513</v>
      </c>
      <c r="F23" s="36" t="s">
        <v>496</v>
      </c>
      <c r="G23" s="39" t="s">
        <v>95</v>
      </c>
      <c r="H23" s="40" t="s">
        <v>81</v>
      </c>
      <c r="I23" s="40" t="s">
        <v>81</v>
      </c>
      <c r="J23" s="41"/>
      <c r="K23" s="38" t="str">
        <f>"165,0"</f>
        <v>165,0</v>
      </c>
      <c r="L23" s="38" t="str">
        <f>"112,8410"</f>
        <v>112,8410</v>
      </c>
      <c r="M23" s="36"/>
    </row>
    <row r="24" spans="1:13">
      <c r="A24" s="32" t="s">
        <v>31</v>
      </c>
      <c r="B24" s="13" t="s">
        <v>228</v>
      </c>
      <c r="C24" s="13" t="s">
        <v>229</v>
      </c>
      <c r="D24" s="13" t="s">
        <v>230</v>
      </c>
      <c r="E24" s="14" t="s">
        <v>512</v>
      </c>
      <c r="F24" s="13" t="s">
        <v>497</v>
      </c>
      <c r="G24" s="34" t="s">
        <v>231</v>
      </c>
      <c r="H24" s="34" t="s">
        <v>48</v>
      </c>
      <c r="I24" s="34" t="s">
        <v>200</v>
      </c>
      <c r="J24" s="32"/>
      <c r="K24" s="15" t="str">
        <f>"142,5"</f>
        <v>142,5</v>
      </c>
      <c r="L24" s="15" t="str">
        <f>"165,2387"</f>
        <v>165,2387</v>
      </c>
      <c r="M24" s="13"/>
    </row>
    <row r="26" spans="1:13" ht="16">
      <c r="A26" s="47" t="s">
        <v>185</v>
      </c>
      <c r="B26" s="47"/>
      <c r="C26" s="48"/>
      <c r="D26" s="48"/>
      <c r="E26" s="48"/>
      <c r="F26" s="48"/>
      <c r="G26" s="48"/>
      <c r="H26" s="48"/>
      <c r="I26" s="48"/>
      <c r="J26" s="48"/>
    </row>
    <row r="27" spans="1:13">
      <c r="A27" s="30" t="s">
        <v>31</v>
      </c>
      <c r="B27" s="10" t="s">
        <v>232</v>
      </c>
      <c r="C27" s="10" t="s">
        <v>233</v>
      </c>
      <c r="D27" s="10" t="s">
        <v>234</v>
      </c>
      <c r="E27" s="11" t="s">
        <v>509</v>
      </c>
      <c r="F27" s="10" t="s">
        <v>480</v>
      </c>
      <c r="G27" s="31" t="s">
        <v>161</v>
      </c>
      <c r="H27" s="31" t="s">
        <v>116</v>
      </c>
      <c r="I27" s="31" t="s">
        <v>46</v>
      </c>
      <c r="J27" s="30"/>
      <c r="K27" s="12" t="str">
        <f>"240,0"</f>
        <v>240,0</v>
      </c>
      <c r="L27" s="12" t="str">
        <f>"139,6560"</f>
        <v>139,6560</v>
      </c>
      <c r="M27" s="10"/>
    </row>
    <row r="28" spans="1:13">
      <c r="A28" s="41" t="s">
        <v>32</v>
      </c>
      <c r="B28" s="36" t="s">
        <v>235</v>
      </c>
      <c r="C28" s="36" t="s">
        <v>236</v>
      </c>
      <c r="D28" s="36" t="s">
        <v>237</v>
      </c>
      <c r="E28" s="37" t="s">
        <v>509</v>
      </c>
      <c r="F28" s="36" t="s">
        <v>498</v>
      </c>
      <c r="G28" s="39" t="s">
        <v>178</v>
      </c>
      <c r="H28" s="40" t="s">
        <v>58</v>
      </c>
      <c r="I28" s="40" t="s">
        <v>58</v>
      </c>
      <c r="J28" s="41"/>
      <c r="K28" s="38" t="str">
        <f>"190,0"</f>
        <v>190,0</v>
      </c>
      <c r="L28" s="38" t="str">
        <f>"109,3260"</f>
        <v>109,3260</v>
      </c>
      <c r="M28" s="36"/>
    </row>
    <row r="29" spans="1:13">
      <c r="A29" s="32" t="s">
        <v>31</v>
      </c>
      <c r="B29" s="13" t="s">
        <v>232</v>
      </c>
      <c r="C29" s="13" t="s">
        <v>238</v>
      </c>
      <c r="D29" s="13" t="s">
        <v>234</v>
      </c>
      <c r="E29" s="14" t="s">
        <v>513</v>
      </c>
      <c r="F29" s="13" t="s">
        <v>480</v>
      </c>
      <c r="G29" s="34" t="s">
        <v>161</v>
      </c>
      <c r="H29" s="34" t="s">
        <v>116</v>
      </c>
      <c r="I29" s="34" t="s">
        <v>46</v>
      </c>
      <c r="J29" s="32"/>
      <c r="K29" s="15" t="str">
        <f>"240,0"</f>
        <v>240,0</v>
      </c>
      <c r="L29" s="15" t="str">
        <f>"145,8009"</f>
        <v>145,8009</v>
      </c>
      <c r="M29" s="13"/>
    </row>
    <row r="31" spans="1:13" ht="16">
      <c r="F31" s="17"/>
      <c r="G31" s="5"/>
      <c r="K31" s="25"/>
      <c r="M31" s="6"/>
    </row>
    <row r="32" spans="1:13">
      <c r="G32" s="5"/>
      <c r="K32" s="25"/>
      <c r="M32" s="6"/>
    </row>
    <row r="33" spans="2:13" ht="18">
      <c r="B33" s="18" t="s">
        <v>22</v>
      </c>
      <c r="C33" s="18"/>
      <c r="G33" s="3"/>
      <c r="K33" s="25"/>
      <c r="M33" s="6"/>
    </row>
    <row r="34" spans="2:13" ht="16">
      <c r="B34" s="19" t="s">
        <v>23</v>
      </c>
      <c r="C34" s="19"/>
      <c r="G34" s="3"/>
      <c r="K34" s="25"/>
      <c r="M34" s="6"/>
    </row>
    <row r="35" spans="2:13" ht="14">
      <c r="B35" s="20"/>
      <c r="C35" s="21" t="s">
        <v>24</v>
      </c>
      <c r="G35" s="3"/>
      <c r="K35" s="25"/>
      <c r="M35" s="6"/>
    </row>
    <row r="36" spans="2:13" ht="14">
      <c r="B36" s="22" t="s">
        <v>25</v>
      </c>
      <c r="C36" s="22" t="s">
        <v>26</v>
      </c>
      <c r="D36" s="22" t="s">
        <v>443</v>
      </c>
      <c r="E36" s="23" t="s">
        <v>27</v>
      </c>
      <c r="F36" s="22" t="s">
        <v>28</v>
      </c>
      <c r="G36" s="3"/>
      <c r="K36" s="25"/>
      <c r="M36" s="6"/>
    </row>
    <row r="37" spans="2:13">
      <c r="B37" s="5" t="s">
        <v>232</v>
      </c>
      <c r="C37" s="5" t="s">
        <v>24</v>
      </c>
      <c r="D37" s="25" t="s">
        <v>239</v>
      </c>
      <c r="E37" s="26">
        <v>240</v>
      </c>
      <c r="F37" s="24">
        <v>139.65600013732899</v>
      </c>
      <c r="G37" s="3"/>
      <c r="K37" s="25"/>
      <c r="M37" s="6"/>
    </row>
    <row r="38" spans="2:13">
      <c r="B38" s="5" t="s">
        <v>207</v>
      </c>
      <c r="C38" s="5" t="s">
        <v>24</v>
      </c>
      <c r="D38" s="25" t="s">
        <v>118</v>
      </c>
      <c r="E38" s="26">
        <v>202.5</v>
      </c>
      <c r="F38" s="24">
        <v>134.39924687147101</v>
      </c>
      <c r="G38" s="3"/>
      <c r="K38" s="25"/>
      <c r="M38" s="6"/>
    </row>
    <row r="39" spans="2:13">
      <c r="B39" s="5" t="s">
        <v>219</v>
      </c>
      <c r="C39" s="5" t="s">
        <v>24</v>
      </c>
      <c r="D39" s="25" t="s">
        <v>29</v>
      </c>
      <c r="E39" s="26">
        <v>195</v>
      </c>
      <c r="F39" s="24">
        <v>119.710501134396</v>
      </c>
      <c r="G39" s="3"/>
      <c r="K39" s="25"/>
      <c r="M39" s="6"/>
    </row>
  </sheetData>
  <mergeCells count="17">
    <mergeCell ref="A1:M2"/>
    <mergeCell ref="A3:A4"/>
    <mergeCell ref="C3:C4"/>
    <mergeCell ref="D3:D4"/>
    <mergeCell ref="E3:E4"/>
    <mergeCell ref="F3:F4"/>
    <mergeCell ref="G3:J3"/>
    <mergeCell ref="B3:B4"/>
    <mergeCell ref="K3:K4"/>
    <mergeCell ref="L3:L4"/>
    <mergeCell ref="M3:M4"/>
    <mergeCell ref="A26:J26"/>
    <mergeCell ref="A5:J5"/>
    <mergeCell ref="A8:J8"/>
    <mergeCell ref="A12:J12"/>
    <mergeCell ref="A15:J15"/>
    <mergeCell ref="A20:J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6"/>
  <sheetViews>
    <sheetView workbookViewId="0">
      <selection activeCell="E7" sqref="E7"/>
    </sheetView>
  </sheetViews>
  <sheetFormatPr baseColWidth="10" defaultColWidth="9.1640625" defaultRowHeight="13"/>
  <cols>
    <col min="1" max="1" width="7.5" style="5" bestFit="1" customWidth="1"/>
    <col min="2" max="2" width="15.5" style="5" bestFit="1" customWidth="1"/>
    <col min="3" max="3" width="26.33203125" style="5" bestFit="1" customWidth="1"/>
    <col min="4" max="4" width="21.5" style="5" bestFit="1" customWidth="1"/>
    <col min="5" max="5" width="10.5" style="16" bestFit="1" customWidth="1"/>
    <col min="6" max="6" width="15.5" style="5" bestFit="1" customWidth="1"/>
    <col min="7" max="9" width="5.5" style="25" customWidth="1"/>
    <col min="10" max="10" width="4.83203125" style="25" customWidth="1"/>
    <col min="11" max="11" width="10.5" style="6" bestFit="1" customWidth="1"/>
    <col min="12" max="12" width="8.5" style="6" bestFit="1" customWidth="1"/>
    <col min="13" max="13" width="15.6640625" style="5" bestFit="1" customWidth="1"/>
    <col min="14" max="16384" width="9.1640625" style="3"/>
  </cols>
  <sheetData>
    <row r="1" spans="1:13" s="2" customFormat="1" ht="29" customHeight="1">
      <c r="A1" s="57" t="s">
        <v>457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s="2" customFormat="1" ht="62" customHeight="1" thickBot="1">
      <c r="A2" s="61"/>
      <c r="B2" s="62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1" customFormat="1" ht="12.75" customHeight="1">
      <c r="A3" s="65" t="s">
        <v>505</v>
      </c>
      <c r="B3" s="70" t="s">
        <v>0</v>
      </c>
      <c r="C3" s="67" t="s">
        <v>506</v>
      </c>
      <c r="D3" s="67" t="s">
        <v>5</v>
      </c>
      <c r="E3" s="51" t="s">
        <v>507</v>
      </c>
      <c r="F3" s="69" t="s">
        <v>6</v>
      </c>
      <c r="G3" s="69" t="s">
        <v>34</v>
      </c>
      <c r="H3" s="69"/>
      <c r="I3" s="69"/>
      <c r="J3" s="69"/>
      <c r="K3" s="51" t="s">
        <v>30</v>
      </c>
      <c r="L3" s="51" t="s">
        <v>3</v>
      </c>
      <c r="M3" s="53" t="s">
        <v>2</v>
      </c>
    </row>
    <row r="4" spans="1:13" s="1" customFormat="1" ht="21" customHeight="1" thickBot="1">
      <c r="A4" s="66"/>
      <c r="B4" s="71"/>
      <c r="C4" s="68"/>
      <c r="D4" s="68"/>
      <c r="E4" s="52"/>
      <c r="F4" s="68"/>
      <c r="G4" s="4">
        <v>1</v>
      </c>
      <c r="H4" s="4">
        <v>2</v>
      </c>
      <c r="I4" s="4">
        <v>3</v>
      </c>
      <c r="J4" s="4" t="s">
        <v>4</v>
      </c>
      <c r="K4" s="52"/>
      <c r="L4" s="52"/>
      <c r="M4" s="54"/>
    </row>
    <row r="5" spans="1:13" ht="16">
      <c r="A5" s="55" t="s">
        <v>90</v>
      </c>
      <c r="B5" s="55"/>
      <c r="C5" s="56"/>
      <c r="D5" s="56"/>
      <c r="E5" s="56"/>
      <c r="F5" s="56"/>
      <c r="G5" s="56"/>
      <c r="H5" s="56"/>
      <c r="I5" s="56"/>
      <c r="J5" s="56"/>
    </row>
    <row r="6" spans="1:13">
      <c r="A6" s="27" t="s">
        <v>31</v>
      </c>
      <c r="B6" s="7" t="s">
        <v>311</v>
      </c>
      <c r="C6" s="7" t="s">
        <v>312</v>
      </c>
      <c r="D6" s="7" t="s">
        <v>313</v>
      </c>
      <c r="E6" s="8" t="s">
        <v>509</v>
      </c>
      <c r="F6" s="7" t="s">
        <v>480</v>
      </c>
      <c r="G6" s="28" t="s">
        <v>81</v>
      </c>
      <c r="H6" s="28" t="s">
        <v>96</v>
      </c>
      <c r="I6" s="29" t="s">
        <v>178</v>
      </c>
      <c r="J6" s="27"/>
      <c r="K6" s="9" t="str">
        <f>"180,0"</f>
        <v>180,0</v>
      </c>
      <c r="L6" s="9" t="str">
        <f>"116,4780"</f>
        <v>116,4780</v>
      </c>
      <c r="M6" s="7" t="s">
        <v>447</v>
      </c>
    </row>
  </sheetData>
  <mergeCells count="12">
    <mergeCell ref="A5:J5"/>
    <mergeCell ref="B3:B4"/>
    <mergeCell ref="A1:M2"/>
    <mergeCell ref="A3:A4"/>
    <mergeCell ref="C3:C4"/>
    <mergeCell ref="D3:D4"/>
    <mergeCell ref="E3:E4"/>
    <mergeCell ref="F3:F4"/>
    <mergeCell ref="G3:J3"/>
    <mergeCell ref="K3:K4"/>
    <mergeCell ref="L3:L4"/>
    <mergeCell ref="M3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WRPF ПЛ без экипировки ДК</vt:lpstr>
      <vt:lpstr>WRPF ПЛ без экипировки</vt:lpstr>
      <vt:lpstr>WRPF ПЛ в бинтах ДК</vt:lpstr>
      <vt:lpstr>WRPF ПЛ в бинтах</vt:lpstr>
      <vt:lpstr>WRPF Двоеборье без экип ДК</vt:lpstr>
      <vt:lpstr>WRPF Двоеборье без экип</vt:lpstr>
      <vt:lpstr>WRPF Жим лежа без экип ДК</vt:lpstr>
      <vt:lpstr>WRPF Жим лежа без экип</vt:lpstr>
      <vt:lpstr>WEPF Жим однослой</vt:lpstr>
      <vt:lpstr>WEPF Жим софт однопетельная ДК</vt:lpstr>
      <vt:lpstr>WEPF Жим софт однопетельная</vt:lpstr>
      <vt:lpstr>WEPF Жим софт многопетельнаяДК</vt:lpstr>
      <vt:lpstr>WEPF Жим софт многопетельная</vt:lpstr>
      <vt:lpstr>WRPF Военный жим ДК</vt:lpstr>
      <vt:lpstr>WRPF Военный жим</vt:lpstr>
      <vt:lpstr>WRPF Жим СФО</vt:lpstr>
      <vt:lpstr>WRPF Тяга без экипировки ДК</vt:lpstr>
      <vt:lpstr>WRPF Тяга без экипировки</vt:lpstr>
      <vt:lpstr>WRPF Подъем на бицепс ДК</vt:lpstr>
      <vt:lpstr>WRPF Подъем на бицепс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Екатерина Шевелева</cp:lastModifiedBy>
  <cp:lastPrinted>2015-07-16T19:10:53Z</cp:lastPrinted>
  <dcterms:created xsi:type="dcterms:W3CDTF">2002-06-16T13:36:44Z</dcterms:created>
  <dcterms:modified xsi:type="dcterms:W3CDTF">2022-10-03T10:18:49Z</dcterms:modified>
</cp:coreProperties>
</file>