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C7BD6404-D427-3048-94C7-B887F6DE1ED1}" xr6:coauthVersionLast="45" xr6:coauthVersionMax="45" xr10:uidLastSave="{00000000-0000-0000-0000-000000000000}"/>
  <bookViews>
    <workbookView xWindow="480" yWindow="460" windowWidth="28200" windowHeight="15500" firstSheet="17" activeTab="17" xr2:uid="{00000000-000D-0000-FFFF-FFFF00000000}"/>
  </bookViews>
  <sheets>
    <sheet name="WRPF ПЛ без экипировки ДК" sheetId="9" r:id="rId1"/>
    <sheet name="WRPF ПЛ без экипировки" sheetId="8" r:id="rId2"/>
    <sheet name="WRPF ПЛ в бинтах" sheetId="5" r:id="rId3"/>
    <sheet name="WEPF ПЛ однослой ДК" sheetId="7" r:id="rId4"/>
    <sheet name="WRPF Двоеборье без экип ДК" sheetId="21" r:id="rId5"/>
    <sheet name="WRPF Двоеборье без экип" sheetId="20" r:id="rId6"/>
    <sheet name="WRPF Жим лежа без экип ДК" sheetId="13" r:id="rId7"/>
    <sheet name="WRPF Жим лежа без экип" sheetId="12" r:id="rId8"/>
    <sheet name="WEPF Жим софт однопетельная ДК" sheetId="14" r:id="rId9"/>
    <sheet name="WEPF Жим софт однопетельная" sheetId="10" r:id="rId10"/>
    <sheet name="WEPF Жим софт многопетельная" sheetId="16" r:id="rId11"/>
    <sheet name="WRPF Военный жим ДК" sheetId="15" r:id="rId12"/>
    <sheet name="WRPF Военный жим" sheetId="11" r:id="rId13"/>
    <sheet name="WRPF Тяга без экипировки ДК" sheetId="18" r:id="rId14"/>
    <sheet name="WRPF Тяга без экипировки" sheetId="17" r:id="rId15"/>
    <sheet name="WEPF Тяга экип" sheetId="19" r:id="rId16"/>
    <sheet name="WRPF Подъем на бицепс ДК" sheetId="23" r:id="rId17"/>
    <sheet name="WRPF Подъем на бицепс" sheetId="22" r:id="rId18"/>
  </sheets>
  <definedNames>
    <definedName name="_FilterDatabase" localSheetId="2" hidden="1">'WRPF ПЛ в бинтах'!$A$1:$S$3</definedName>
  </definedNames>
  <calcPr calcId="162913" refMode="R1C1" calcCompleted="0"/>
</workbook>
</file>

<file path=xl/calcChain.xml><?xml version="1.0" encoding="utf-8"?>
<calcChain xmlns="http://schemas.openxmlformats.org/spreadsheetml/2006/main">
  <c r="L29" i="23" l="1"/>
  <c r="K29" i="23"/>
  <c r="L28" i="23"/>
  <c r="K28" i="23"/>
  <c r="L27" i="23"/>
  <c r="K27" i="23"/>
  <c r="L26" i="23"/>
  <c r="K26" i="23"/>
  <c r="L23" i="23"/>
  <c r="K23" i="23"/>
  <c r="L22" i="23"/>
  <c r="K22" i="23"/>
  <c r="L21" i="23"/>
  <c r="K21" i="23"/>
  <c r="L20" i="23"/>
  <c r="K20" i="23"/>
  <c r="L17" i="23"/>
  <c r="K17" i="23"/>
  <c r="L16" i="23"/>
  <c r="K16" i="23"/>
  <c r="L13" i="23"/>
  <c r="K13" i="23"/>
  <c r="L10" i="23"/>
  <c r="K10" i="23"/>
  <c r="L7" i="23"/>
  <c r="K7" i="23"/>
  <c r="L6" i="23"/>
  <c r="L20" i="22"/>
  <c r="K20" i="22"/>
  <c r="L19" i="22"/>
  <c r="K19" i="22"/>
  <c r="L18" i="22"/>
  <c r="K18" i="22"/>
  <c r="L15" i="22"/>
  <c r="K15" i="22"/>
  <c r="L12" i="22"/>
  <c r="K12" i="22"/>
  <c r="L9" i="22"/>
  <c r="K9" i="22"/>
  <c r="L6" i="22"/>
  <c r="K6" i="22"/>
  <c r="P28" i="21"/>
  <c r="O28" i="21"/>
  <c r="P25" i="21"/>
  <c r="O25" i="21"/>
  <c r="P24" i="21"/>
  <c r="O24" i="21"/>
  <c r="P21" i="21"/>
  <c r="O21" i="21"/>
  <c r="P18" i="21"/>
  <c r="O18" i="21"/>
  <c r="P15" i="21"/>
  <c r="O15" i="21"/>
  <c r="P12" i="21"/>
  <c r="O12" i="21"/>
  <c r="P9" i="21"/>
  <c r="O9" i="21"/>
  <c r="P6" i="21"/>
  <c r="O6" i="21"/>
  <c r="P9" i="20"/>
  <c r="O9" i="20"/>
  <c r="P6" i="20"/>
  <c r="O6" i="20"/>
  <c r="L6" i="19"/>
  <c r="K6" i="19"/>
  <c r="L50" i="18"/>
  <c r="K50" i="18"/>
  <c r="L47" i="18"/>
  <c r="K47" i="18"/>
  <c r="L46" i="18"/>
  <c r="K46" i="18"/>
  <c r="L45" i="18"/>
  <c r="K45" i="18"/>
  <c r="L44" i="18"/>
  <c r="K44" i="18"/>
  <c r="L43" i="18"/>
  <c r="K43" i="18"/>
  <c r="L40" i="18"/>
  <c r="K40" i="18"/>
  <c r="L39" i="18"/>
  <c r="K39" i="18"/>
  <c r="L36" i="18"/>
  <c r="K36" i="18"/>
  <c r="L35" i="18"/>
  <c r="K35" i="18"/>
  <c r="L32" i="18"/>
  <c r="K32" i="18"/>
  <c r="L31" i="18"/>
  <c r="K31" i="18"/>
  <c r="L30" i="18"/>
  <c r="K30" i="18"/>
  <c r="L29" i="18"/>
  <c r="K29" i="18"/>
  <c r="L26" i="18"/>
  <c r="K26" i="18"/>
  <c r="L23" i="18"/>
  <c r="K23" i="18"/>
  <c r="L20" i="18"/>
  <c r="K20" i="18"/>
  <c r="L19" i="18"/>
  <c r="K19" i="18"/>
  <c r="L18" i="18"/>
  <c r="K18" i="18"/>
  <c r="L15" i="18"/>
  <c r="K15" i="18"/>
  <c r="L14" i="18"/>
  <c r="K14" i="18"/>
  <c r="L13" i="18"/>
  <c r="K13" i="18"/>
  <c r="L10" i="18"/>
  <c r="K10" i="18"/>
  <c r="L9" i="18"/>
  <c r="K9" i="18"/>
  <c r="L6" i="18"/>
  <c r="K6" i="18"/>
  <c r="L24" i="17"/>
  <c r="K24" i="17"/>
  <c r="L21" i="17"/>
  <c r="K21" i="17"/>
  <c r="L20" i="17"/>
  <c r="K20" i="17"/>
  <c r="L19" i="17"/>
  <c r="K19" i="17"/>
  <c r="L18" i="17"/>
  <c r="K18" i="17"/>
  <c r="L17" i="17"/>
  <c r="K17" i="17"/>
  <c r="L16" i="17"/>
  <c r="K16" i="17"/>
  <c r="L13" i="17"/>
  <c r="K13" i="17"/>
  <c r="L12" i="17"/>
  <c r="K12" i="17"/>
  <c r="L9" i="17"/>
  <c r="K9" i="17"/>
  <c r="L6" i="17"/>
  <c r="K6" i="17"/>
  <c r="L12" i="16"/>
  <c r="K12" i="16"/>
  <c r="L9" i="16"/>
  <c r="K9" i="16"/>
  <c r="L6" i="16"/>
  <c r="K6" i="16"/>
  <c r="L42" i="15"/>
  <c r="K42" i="15"/>
  <c r="L41" i="15"/>
  <c r="K41" i="15"/>
  <c r="L40" i="15"/>
  <c r="K40" i="15"/>
  <c r="L39" i="15"/>
  <c r="K39" i="15"/>
  <c r="L36" i="15"/>
  <c r="K36" i="15"/>
  <c r="L35" i="15"/>
  <c r="K35" i="15"/>
  <c r="L32" i="15"/>
  <c r="K32" i="15"/>
  <c r="L31" i="15"/>
  <c r="K31" i="15"/>
  <c r="L30" i="15"/>
  <c r="K30" i="15"/>
  <c r="L27" i="15"/>
  <c r="K27" i="15"/>
  <c r="L26" i="15"/>
  <c r="K26" i="15"/>
  <c r="L25" i="15"/>
  <c r="K25" i="15"/>
  <c r="L24" i="15"/>
  <c r="K24" i="15"/>
  <c r="L23" i="15"/>
  <c r="K23" i="15"/>
  <c r="L22" i="15"/>
  <c r="K22" i="15"/>
  <c r="L21" i="15"/>
  <c r="K21" i="15"/>
  <c r="L18" i="15"/>
  <c r="K18" i="15"/>
  <c r="L15" i="15"/>
  <c r="K15" i="15"/>
  <c r="L12" i="15"/>
  <c r="K12" i="15"/>
  <c r="L9" i="15"/>
  <c r="K9" i="15"/>
  <c r="L6" i="15"/>
  <c r="K6" i="15"/>
  <c r="L16" i="14"/>
  <c r="K16" i="14"/>
  <c r="L15" i="14"/>
  <c r="K15" i="14"/>
  <c r="L12" i="14"/>
  <c r="K12" i="14"/>
  <c r="L9" i="14"/>
  <c r="K9" i="14"/>
  <c r="L6" i="14"/>
  <c r="K6" i="14"/>
  <c r="L79" i="13"/>
  <c r="K79" i="13"/>
  <c r="L76" i="13"/>
  <c r="K76" i="13"/>
  <c r="L75" i="13"/>
  <c r="K75" i="13"/>
  <c r="L72" i="13"/>
  <c r="K72" i="13"/>
  <c r="L69" i="13"/>
  <c r="K69" i="13"/>
  <c r="L68" i="13"/>
  <c r="K68" i="13"/>
  <c r="L67" i="13"/>
  <c r="K67" i="13"/>
  <c r="L66" i="13"/>
  <c r="K66" i="13"/>
  <c r="L65" i="13"/>
  <c r="K65" i="13"/>
  <c r="L64" i="13"/>
  <c r="K64" i="13"/>
  <c r="L61" i="13"/>
  <c r="K61" i="13"/>
  <c r="L60" i="13"/>
  <c r="L59" i="13"/>
  <c r="L58" i="13"/>
  <c r="K58" i="13"/>
  <c r="L57" i="13"/>
  <c r="K57" i="13"/>
  <c r="L56" i="13"/>
  <c r="K56" i="13"/>
  <c r="L53" i="13"/>
  <c r="K53" i="13"/>
  <c r="L52" i="13"/>
  <c r="K52" i="13"/>
  <c r="L51" i="13"/>
  <c r="K51" i="13"/>
  <c r="L48" i="13"/>
  <c r="K48" i="13"/>
  <c r="L47" i="13"/>
  <c r="K47" i="13"/>
  <c r="L46" i="13"/>
  <c r="K46" i="13"/>
  <c r="L45" i="13"/>
  <c r="K45" i="13"/>
  <c r="L42" i="13"/>
  <c r="K42" i="13"/>
  <c r="L41" i="13"/>
  <c r="K41" i="13"/>
  <c r="L38" i="13"/>
  <c r="K38" i="13"/>
  <c r="L35" i="13"/>
  <c r="K35" i="13"/>
  <c r="L34" i="13"/>
  <c r="K34" i="13"/>
  <c r="L33" i="13"/>
  <c r="K33" i="13"/>
  <c r="L32" i="13"/>
  <c r="K32" i="13"/>
  <c r="L29" i="13"/>
  <c r="K29" i="13"/>
  <c r="L28" i="13"/>
  <c r="K28" i="13"/>
  <c r="L27" i="13"/>
  <c r="K27" i="13"/>
  <c r="L26" i="13"/>
  <c r="K26" i="13"/>
  <c r="L25" i="13"/>
  <c r="K25" i="13"/>
  <c r="L24" i="13"/>
  <c r="K24" i="13"/>
  <c r="L23" i="13"/>
  <c r="K23" i="13"/>
  <c r="L20" i="13"/>
  <c r="K20" i="13"/>
  <c r="L19" i="13"/>
  <c r="K19" i="13"/>
  <c r="L18" i="13"/>
  <c r="K18" i="13"/>
  <c r="L15" i="13"/>
  <c r="K15" i="13"/>
  <c r="L14" i="13"/>
  <c r="K14" i="13"/>
  <c r="L13" i="13"/>
  <c r="K13" i="13"/>
  <c r="L12" i="13"/>
  <c r="K12" i="13"/>
  <c r="L9" i="13"/>
  <c r="K9" i="13"/>
  <c r="L8" i="13"/>
  <c r="K8" i="13"/>
  <c r="L7" i="13"/>
  <c r="K7" i="13"/>
  <c r="L6" i="13"/>
  <c r="K6" i="13"/>
  <c r="L40" i="12"/>
  <c r="K40" i="12"/>
  <c r="L39" i="12"/>
  <c r="K39" i="12"/>
  <c r="L38" i="12"/>
  <c r="K38" i="12"/>
  <c r="L37" i="12"/>
  <c r="K37" i="12"/>
  <c r="L34" i="12"/>
  <c r="K34" i="12"/>
  <c r="L33" i="12"/>
  <c r="K33" i="12"/>
  <c r="L32" i="12"/>
  <c r="K32" i="12"/>
  <c r="L31" i="12"/>
  <c r="K31" i="12"/>
  <c r="L28" i="12"/>
  <c r="K28" i="12"/>
  <c r="L27" i="12"/>
  <c r="K27" i="12"/>
  <c r="L26" i="12"/>
  <c r="K26" i="12"/>
  <c r="L23" i="12"/>
  <c r="K23" i="12"/>
  <c r="L22" i="12"/>
  <c r="K22" i="12"/>
  <c r="L21" i="12"/>
  <c r="K21" i="12"/>
  <c r="L20" i="12"/>
  <c r="K20" i="12"/>
  <c r="L19" i="12"/>
  <c r="K19" i="12"/>
  <c r="L16" i="12"/>
  <c r="K16" i="12"/>
  <c r="L15" i="12"/>
  <c r="K15" i="12"/>
  <c r="L12" i="12"/>
  <c r="K12" i="12"/>
  <c r="L9" i="12"/>
  <c r="K9" i="12"/>
  <c r="L6" i="12"/>
  <c r="K6" i="12"/>
  <c r="L9" i="11"/>
  <c r="K9" i="11"/>
  <c r="L6" i="11"/>
  <c r="K6" i="11"/>
  <c r="L17" i="10"/>
  <c r="K17" i="10"/>
  <c r="L14" i="10"/>
  <c r="K14" i="10"/>
  <c r="L11" i="10"/>
  <c r="K11" i="10"/>
  <c r="L10" i="10"/>
  <c r="K10" i="10"/>
  <c r="L7" i="10"/>
  <c r="K7" i="10"/>
  <c r="L6" i="10"/>
  <c r="K6" i="10"/>
  <c r="T53" i="9"/>
  <c r="S53" i="9"/>
  <c r="T50" i="9"/>
  <c r="S50" i="9"/>
  <c r="T47" i="9"/>
  <c r="S47" i="9"/>
  <c r="T44" i="9"/>
  <c r="S44" i="9"/>
  <c r="T43" i="9"/>
  <c r="S43" i="9"/>
  <c r="T42" i="9"/>
  <c r="S42" i="9"/>
  <c r="T39" i="9"/>
  <c r="S39" i="9"/>
  <c r="T38" i="9"/>
  <c r="S38" i="9"/>
  <c r="T37" i="9"/>
  <c r="S37" i="9"/>
  <c r="T36" i="9"/>
  <c r="S36" i="9"/>
  <c r="T33" i="9"/>
  <c r="S33" i="9"/>
  <c r="T32" i="9"/>
  <c r="S32" i="9"/>
  <c r="T29" i="9"/>
  <c r="S29" i="9"/>
  <c r="T26" i="9"/>
  <c r="S26" i="9"/>
  <c r="T23" i="9"/>
  <c r="S23" i="9"/>
  <c r="T20" i="9"/>
  <c r="S20" i="9"/>
  <c r="T19" i="9"/>
  <c r="S19" i="9"/>
  <c r="T16" i="9"/>
  <c r="S16" i="9"/>
  <c r="T15" i="9"/>
  <c r="S15" i="9"/>
  <c r="T14" i="9"/>
  <c r="S14" i="9"/>
  <c r="T11" i="9"/>
  <c r="S11" i="9"/>
  <c r="T10" i="9"/>
  <c r="S10" i="9"/>
  <c r="T9" i="9"/>
  <c r="S9" i="9"/>
  <c r="T6" i="9"/>
  <c r="S6" i="9"/>
  <c r="T27" i="8"/>
  <c r="S27" i="8"/>
  <c r="T26" i="8"/>
  <c r="T25" i="8"/>
  <c r="S25" i="8"/>
  <c r="T24" i="8"/>
  <c r="S24" i="8"/>
  <c r="T23" i="8"/>
  <c r="S23" i="8"/>
  <c r="T20" i="8"/>
  <c r="S20" i="8"/>
  <c r="T19" i="8"/>
  <c r="S19" i="8"/>
  <c r="T18" i="8"/>
  <c r="S18" i="8"/>
  <c r="T17" i="8"/>
  <c r="S17" i="8"/>
  <c r="T16" i="8"/>
  <c r="S16" i="8"/>
  <c r="T13" i="8"/>
  <c r="S13" i="8"/>
  <c r="T10" i="8"/>
  <c r="S10" i="8"/>
  <c r="T9" i="8"/>
  <c r="S9" i="8"/>
  <c r="T6" i="8"/>
  <c r="S6" i="8"/>
  <c r="T6" i="7"/>
  <c r="S6" i="7"/>
  <c r="T16" i="5"/>
  <c r="S16" i="5"/>
  <c r="T13" i="5"/>
  <c r="S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<sst xmlns="http://schemas.openxmlformats.org/spreadsheetml/2006/main" count="3001" uniqueCount="766">
  <si>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</si>
  <si>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</si>
  <si>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</si>
  <si>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</si>
  <si>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</si>
  <si>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</si>
  <si>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</si>
  <si>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</si>
  <si>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</si>
  <si>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</si>
  <si>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82.5</t>
  </si>
  <si>
    <t>Открытая (02.06.1988)/34</t>
  </si>
  <si>
    <t>80,00</t>
  </si>
  <si>
    <t>160,0</t>
  </si>
  <si>
    <t>170,0</t>
  </si>
  <si>
    <t>180,0</t>
  </si>
  <si>
    <t>120,0</t>
  </si>
  <si>
    <t>125,0</t>
  </si>
  <si>
    <t>130,0</t>
  </si>
  <si>
    <t>190,0</t>
  </si>
  <si>
    <t xml:space="preserve">Бобров Юрий </t>
  </si>
  <si>
    <t>ВЕСОВАЯ КАТЕГОРИЯ   90</t>
  </si>
  <si>
    <t>Овчаренко Максим</t>
  </si>
  <si>
    <t>Открытая (12.05.1982)/40</t>
  </si>
  <si>
    <t>89,00</t>
  </si>
  <si>
    <t>185,0</t>
  </si>
  <si>
    <t>200,0</t>
  </si>
  <si>
    <t>210,0</t>
  </si>
  <si>
    <t>150,0</t>
  </si>
  <si>
    <t>220,0</t>
  </si>
  <si>
    <t>Мастера 40-49 (12.05.1982)/40</t>
  </si>
  <si>
    <t>ВЕСОВАЯ КАТЕГОРИЯ   100</t>
  </si>
  <si>
    <t>Белимов Александр</t>
  </si>
  <si>
    <t>Открытая (27.12.1988)/33</t>
  </si>
  <si>
    <t>99,90</t>
  </si>
  <si>
    <t>320,0</t>
  </si>
  <si>
    <t>330,0</t>
  </si>
  <si>
    <t>340,0</t>
  </si>
  <si>
    <t>175,0</t>
  </si>
  <si>
    <t>270,0</t>
  </si>
  <si>
    <t>285,0</t>
  </si>
  <si>
    <t>ВЕСОВАЯ КАТЕГОРИЯ   110</t>
  </si>
  <si>
    <t>Открытая (18.06.1990)/32</t>
  </si>
  <si>
    <t>108,00</t>
  </si>
  <si>
    <t>230,0</t>
  </si>
  <si>
    <t>240,0</t>
  </si>
  <si>
    <t>250,0</t>
  </si>
  <si>
    <t>165,0</t>
  </si>
  <si>
    <t>245,0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</si>
  <si>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</si>
  <si>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</si>
  <si>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</si>
  <si>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</si>
  <si>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</si>
  <si>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</si>
  <si>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</si>
  <si>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</si>
  <si>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100</t>
  </si>
  <si>
    <t>110</t>
  </si>
  <si>
    <t>90</t>
  </si>
  <si>
    <t>1</t>
  </si>
  <si>
    <t>Овчаренко Олег</t>
  </si>
  <si>
    <t>Открытая (29.08.1991)/31</t>
  </si>
  <si>
    <t>98,20</t>
  </si>
  <si>
    <t xml:space="preserve">Новосибирск/Новосибирская область </t>
  </si>
  <si>
    <t>280,0</t>
  </si>
  <si>
    <t>300,0</t>
  </si>
  <si>
    <t>167,5</t>
  </si>
  <si>
    <t>ВЕСОВАЯ КАТЕГОРИЯ   52</t>
  </si>
  <si>
    <t>Вишняк Анна</t>
  </si>
  <si>
    <t>Открытая (12.12.1984)/37</t>
  </si>
  <si>
    <t>50,90</t>
  </si>
  <si>
    <t>135,0</t>
  </si>
  <si>
    <t>148,5</t>
  </si>
  <si>
    <t>105,0</t>
  </si>
  <si>
    <t>113,0</t>
  </si>
  <si>
    <t>115,0</t>
  </si>
  <si>
    <t>157,5</t>
  </si>
  <si>
    <t>178,0</t>
  </si>
  <si>
    <t>ВЕСОВАЯ КАТЕГОРИЯ   60</t>
  </si>
  <si>
    <t>Открытая (03.11.1987)/35</t>
  </si>
  <si>
    <t>59,60</t>
  </si>
  <si>
    <t>70,0</t>
  </si>
  <si>
    <t>80,0</t>
  </si>
  <si>
    <t>90,0</t>
  </si>
  <si>
    <t>40,0</t>
  </si>
  <si>
    <t>45,0</t>
  </si>
  <si>
    <t>50,0</t>
  </si>
  <si>
    <t>100,0</t>
  </si>
  <si>
    <t>110,0</t>
  </si>
  <si>
    <t>Открытая (11.08.1998)/24</t>
  </si>
  <si>
    <t>58,70</t>
  </si>
  <si>
    <t>60,0</t>
  </si>
  <si>
    <t xml:space="preserve">Филиппова Евгения </t>
  </si>
  <si>
    <t>Морозов Ярослав</t>
  </si>
  <si>
    <t>Открытая (26.03.1999)/23</t>
  </si>
  <si>
    <t>82,10</t>
  </si>
  <si>
    <t>260,0</t>
  </si>
  <si>
    <t>Вакунов Михаил</t>
  </si>
  <si>
    <t>Открытая (24.06.1998)/24</t>
  </si>
  <si>
    <t>89,50</t>
  </si>
  <si>
    <t>265,0</t>
  </si>
  <si>
    <t>140,0</t>
  </si>
  <si>
    <t>310,0</t>
  </si>
  <si>
    <t>Мальцев Александр</t>
  </si>
  <si>
    <t>Открытая (27.09.1983)/39</t>
  </si>
  <si>
    <t>88,90</t>
  </si>
  <si>
    <t>215,0</t>
  </si>
  <si>
    <t xml:space="preserve">Быховец Артём </t>
  </si>
  <si>
    <t>Пушкин Иван</t>
  </si>
  <si>
    <t>Открытая (16.08.2001)/21</t>
  </si>
  <si>
    <t>90,00</t>
  </si>
  <si>
    <t>222,5</t>
  </si>
  <si>
    <t>235,0</t>
  </si>
  <si>
    <t>247,5</t>
  </si>
  <si>
    <t>Махов Алексей</t>
  </si>
  <si>
    <t>Открытая (05.06.1998)/24</t>
  </si>
  <si>
    <t>89,70</t>
  </si>
  <si>
    <t>145,0</t>
  </si>
  <si>
    <t>Открытая (30.07.1990)/32</t>
  </si>
  <si>
    <t xml:space="preserve">Северск/Томская область </t>
  </si>
  <si>
    <t>155,0</t>
  </si>
  <si>
    <t>112,5</t>
  </si>
  <si>
    <t>117,5</t>
  </si>
  <si>
    <t xml:space="preserve">Черепанов Николай </t>
  </si>
  <si>
    <t>Открытая (09.04.1985)/37</t>
  </si>
  <si>
    <t>96,70</t>
  </si>
  <si>
    <t>232,5</t>
  </si>
  <si>
    <t>237,5</t>
  </si>
  <si>
    <t>162,5</t>
  </si>
  <si>
    <t>172,5</t>
  </si>
  <si>
    <t>177,5</t>
  </si>
  <si>
    <t xml:space="preserve">Корнеев Сергей </t>
  </si>
  <si>
    <t>Беляев Сергей</t>
  </si>
  <si>
    <t>Открытая (23.08.1983)/39</t>
  </si>
  <si>
    <t>99,60</t>
  </si>
  <si>
    <t>Орлов Александр</t>
  </si>
  <si>
    <t>Открытая (04.03.1987)/35</t>
  </si>
  <si>
    <t>100,00</t>
  </si>
  <si>
    <t xml:space="preserve">Иркутск/Иркутская область </t>
  </si>
  <si>
    <t>152,5</t>
  </si>
  <si>
    <t>255,0</t>
  </si>
  <si>
    <t>Московский Максим</t>
  </si>
  <si>
    <t>Открытая (15.03.1996)/26</t>
  </si>
  <si>
    <t>Мастера 40-49 (24.11.1980)/41</t>
  </si>
  <si>
    <t>99,50</t>
  </si>
  <si>
    <t>205,0</t>
  </si>
  <si>
    <t xml:space="preserve">Женщины </t>
  </si>
  <si>
    <t>60</t>
  </si>
  <si>
    <t>82.5</t>
  </si>
  <si>
    <t>2</t>
  </si>
  <si>
    <t>3</t>
  </si>
  <si>
    <t>4</t>
  </si>
  <si>
    <t>5</t>
  </si>
  <si>
    <t>-</t>
  </si>
  <si>
    <t>Белая Алена</t>
  </si>
  <si>
    <t>Открытая (05.04.1997)/25</t>
  </si>
  <si>
    <t>51,00</t>
  </si>
  <si>
    <t>55,0</t>
  </si>
  <si>
    <t>65,0</t>
  </si>
  <si>
    <t>72,5</t>
  </si>
  <si>
    <t>75,0</t>
  </si>
  <si>
    <t>82,5</t>
  </si>
  <si>
    <t>ВЕСОВАЯ КАТЕГОРИЯ   56</t>
  </si>
  <si>
    <t>Фрузенкова Анастасия</t>
  </si>
  <si>
    <t>Девушки 17-19 (07.05.2004)/18</t>
  </si>
  <si>
    <t>54,60</t>
  </si>
  <si>
    <t>30,0</t>
  </si>
  <si>
    <t>35,0</t>
  </si>
  <si>
    <t>Кочергина Анастасия</t>
  </si>
  <si>
    <t>Открытая (29.10.1988)/34</t>
  </si>
  <si>
    <t>56,00</t>
  </si>
  <si>
    <t>102,5</t>
  </si>
  <si>
    <t xml:space="preserve">Дмитрий Подчасов </t>
  </si>
  <si>
    <t>Глинская Мария</t>
  </si>
  <si>
    <t>Открытая (04.04.1986)/36</t>
  </si>
  <si>
    <t xml:space="preserve">Краснодар/Краснодарский край </t>
  </si>
  <si>
    <t>95,0</t>
  </si>
  <si>
    <t>62,5</t>
  </si>
  <si>
    <t>Открытая (27.07.1994)/28</t>
  </si>
  <si>
    <t>60,00</t>
  </si>
  <si>
    <t xml:space="preserve">Отченашко Марьяна </t>
  </si>
  <si>
    <t>Табанакова Татьяна</t>
  </si>
  <si>
    <t>Открытая (27.09.1964)/58</t>
  </si>
  <si>
    <t>59,80</t>
  </si>
  <si>
    <t xml:space="preserve">Норильск/Красноярский край </t>
  </si>
  <si>
    <t>47,5</t>
  </si>
  <si>
    <t xml:space="preserve">Вишняк Анна </t>
  </si>
  <si>
    <t>Мастера 50-59 (27.09.1964)/58</t>
  </si>
  <si>
    <t>ВЕСОВАЯ КАТЕГОРИЯ   67.5</t>
  </si>
  <si>
    <t>Девушки 17-19 (24.08.2004)/18</t>
  </si>
  <si>
    <t>64,10</t>
  </si>
  <si>
    <t>52,5</t>
  </si>
  <si>
    <t>85,0</t>
  </si>
  <si>
    <t>92,5</t>
  </si>
  <si>
    <t>Миронова Анастасия</t>
  </si>
  <si>
    <t>Открытая (13.11.1987)/34</t>
  </si>
  <si>
    <t>66,70</t>
  </si>
  <si>
    <t>122,5</t>
  </si>
  <si>
    <t xml:space="preserve">Быховец Артем </t>
  </si>
  <si>
    <t>ВЕСОВАЯ КАТЕГОРИЯ   75</t>
  </si>
  <si>
    <t>Чудная Оксана</t>
  </si>
  <si>
    <t>Открытая (30.05.1977)/45</t>
  </si>
  <si>
    <t>69,70</t>
  </si>
  <si>
    <t>147,5</t>
  </si>
  <si>
    <t>Гёте Екатерина</t>
  </si>
  <si>
    <t>Открытая (24.06.1983)/39</t>
  </si>
  <si>
    <t>82,00</t>
  </si>
  <si>
    <t>42,5</t>
  </si>
  <si>
    <t xml:space="preserve">Тимин Даниил </t>
  </si>
  <si>
    <t>Рахимов Шерозджон</t>
  </si>
  <si>
    <t>Открытая (20.04.2000)/22</t>
  </si>
  <si>
    <t>107,5</t>
  </si>
  <si>
    <t>87,5</t>
  </si>
  <si>
    <t xml:space="preserve">Орлов Александр </t>
  </si>
  <si>
    <t>Тихонов Алексей</t>
  </si>
  <si>
    <t>Юниоры (25.10.2002)/20</t>
  </si>
  <si>
    <t>65,50</t>
  </si>
  <si>
    <t xml:space="preserve">Новокузнецк/Кемеровская область </t>
  </si>
  <si>
    <t xml:space="preserve">Морозов Ярослав </t>
  </si>
  <si>
    <t>Жамоли Хамзахон</t>
  </si>
  <si>
    <t>Открытая (16.08.1990)/32</t>
  </si>
  <si>
    <t>66,90</t>
  </si>
  <si>
    <t>Юниоры (26.02.2002)/20</t>
  </si>
  <si>
    <t>73,90</t>
  </si>
  <si>
    <t>182,5</t>
  </si>
  <si>
    <t>Толмачев Евгений</t>
  </si>
  <si>
    <t>Открытая (19.04.1998)/24</t>
  </si>
  <si>
    <t>69,80</t>
  </si>
  <si>
    <t>127,5</t>
  </si>
  <si>
    <t xml:space="preserve">Рыжков Егор </t>
  </si>
  <si>
    <t>Открытая (02.05.1995)/27</t>
  </si>
  <si>
    <t>72,50</t>
  </si>
  <si>
    <t>192,5</t>
  </si>
  <si>
    <t>Открытая (06.06.1992)/30</t>
  </si>
  <si>
    <t>73,70</t>
  </si>
  <si>
    <t>197,5</t>
  </si>
  <si>
    <t>207,5</t>
  </si>
  <si>
    <t>Блудов Максим</t>
  </si>
  <si>
    <t>Открытая (15.04.1993)/29</t>
  </si>
  <si>
    <t>81,30</t>
  </si>
  <si>
    <t>225,0</t>
  </si>
  <si>
    <t xml:space="preserve">Рыжов Егор </t>
  </si>
  <si>
    <t>Пауль Сергей</t>
  </si>
  <si>
    <t>Открытая (01.04.1999)/23</t>
  </si>
  <si>
    <t>79,10</t>
  </si>
  <si>
    <t>132,5</t>
  </si>
  <si>
    <t>137,5</t>
  </si>
  <si>
    <t>Шелпаков Кирилл</t>
  </si>
  <si>
    <t>Открытая (05.11.1992)/30</t>
  </si>
  <si>
    <t>81,00</t>
  </si>
  <si>
    <t>Парамонов Александр</t>
  </si>
  <si>
    <t>Открытая (06.05.1985)/37</t>
  </si>
  <si>
    <t>85,00</t>
  </si>
  <si>
    <t xml:space="preserve">Новоалтайск/Алтайский край </t>
  </si>
  <si>
    <t xml:space="preserve">Ефимов Андрей </t>
  </si>
  <si>
    <t>Федотов Вадим</t>
  </si>
  <si>
    <t>Юноши 14-16 (22.11.2006)/15</t>
  </si>
  <si>
    <t>97,90</t>
  </si>
  <si>
    <t xml:space="preserve">Тайшет/Иркутская область </t>
  </si>
  <si>
    <t>Открытая (11.12.1974)/47</t>
  </si>
  <si>
    <t>107,20</t>
  </si>
  <si>
    <t xml:space="preserve">Покшеватов Геннадий </t>
  </si>
  <si>
    <t xml:space="preserve">Юноши 17-19 </t>
  </si>
  <si>
    <t>67.5</t>
  </si>
  <si>
    <t>56</t>
  </si>
  <si>
    <t>75</t>
  </si>
  <si>
    <t xml:space="preserve">Юноши </t>
  </si>
  <si>
    <t xml:space="preserve">Юноши 14-16 </t>
  </si>
  <si>
    <t>Николовский Павел</t>
  </si>
  <si>
    <t>Открытая (08.05.1978)/44</t>
  </si>
  <si>
    <t>74,80</t>
  </si>
  <si>
    <t>Мастера 40-49 (08.05.1978)/44</t>
  </si>
  <si>
    <t>Открытая (26.05.1986)/36</t>
  </si>
  <si>
    <t>81,60</t>
  </si>
  <si>
    <t>295,0</t>
  </si>
  <si>
    <t>80,95</t>
  </si>
  <si>
    <t>Быховец Артём</t>
  </si>
  <si>
    <t>Открытая (19.07.1983)/39</t>
  </si>
  <si>
    <t>87,40</t>
  </si>
  <si>
    <t>295,5</t>
  </si>
  <si>
    <t>Юниоры (19.10.1999)/23</t>
  </si>
  <si>
    <t>101,85</t>
  </si>
  <si>
    <t xml:space="preserve">Результат </t>
  </si>
  <si>
    <t xml:space="preserve">Gloss </t>
  </si>
  <si>
    <t>Результат</t>
  </si>
  <si>
    <t>Открытая (12.11.1983)/38</t>
  </si>
  <si>
    <t>82,40</t>
  </si>
  <si>
    <t>ВЕСОВАЯ КАТЕГОРИЯ   125</t>
  </si>
  <si>
    <t>Чернов Александр</t>
  </si>
  <si>
    <t>Открытая (16.12.1989)/32</t>
  </si>
  <si>
    <t>124,00</t>
  </si>
  <si>
    <t>125</t>
  </si>
  <si>
    <t>Юноши 17-19 (02.01.2003)/19</t>
  </si>
  <si>
    <t>63,20</t>
  </si>
  <si>
    <t xml:space="preserve">Рогожкин Роман </t>
  </si>
  <si>
    <t>Куклин Евгений</t>
  </si>
  <si>
    <t>Открытая (16.12.1981)/40</t>
  </si>
  <si>
    <t>73,00</t>
  </si>
  <si>
    <t>Малов Константин</t>
  </si>
  <si>
    <t>Открытая (13.02.1983)/39</t>
  </si>
  <si>
    <t>80,10</t>
  </si>
  <si>
    <t>Касьяненко Григорий</t>
  </si>
  <si>
    <t>Открытая (28.03.1990)/32</t>
  </si>
  <si>
    <t>89,10</t>
  </si>
  <si>
    <t>187,5</t>
  </si>
  <si>
    <t>Борецкий Артур</t>
  </si>
  <si>
    <t>Открытая (14.06.1991)/31</t>
  </si>
  <si>
    <t>89,60</t>
  </si>
  <si>
    <t xml:space="preserve">Томск/Томская область </t>
  </si>
  <si>
    <t xml:space="preserve">Степанов Игорь </t>
  </si>
  <si>
    <t>Открытая (22.07.1989)/33</t>
  </si>
  <si>
    <t>99,40</t>
  </si>
  <si>
    <t>Открытая (01.06.1986)/36</t>
  </si>
  <si>
    <t>92,90</t>
  </si>
  <si>
    <t>195,0</t>
  </si>
  <si>
    <t>Открытая (21.08.1987)/35</t>
  </si>
  <si>
    <t>Гантимуров Александр</t>
  </si>
  <si>
    <t>Открытая (19.06.1985)/37</t>
  </si>
  <si>
    <t>108,30</t>
  </si>
  <si>
    <t>Курьянов Роман</t>
  </si>
  <si>
    <t>Открытая (20.07.1993)/29</t>
  </si>
  <si>
    <t>102,80</t>
  </si>
  <si>
    <t>227,5</t>
  </si>
  <si>
    <t xml:space="preserve">Иванов Алексей </t>
  </si>
  <si>
    <t>Комаров Андрей</t>
  </si>
  <si>
    <t>Открытая (18.08.1973)/49</t>
  </si>
  <si>
    <t>104,00</t>
  </si>
  <si>
    <t>Сынков Василий</t>
  </si>
  <si>
    <t>Открытая (07.09.1972)/50</t>
  </si>
  <si>
    <t>106,20</t>
  </si>
  <si>
    <t>217,5</t>
  </si>
  <si>
    <t>Французов Александр</t>
  </si>
  <si>
    <t>Открытая (18.10.1977)/45</t>
  </si>
  <si>
    <t>116,00</t>
  </si>
  <si>
    <t xml:space="preserve">Киренск/Иркутская область </t>
  </si>
  <si>
    <t>202,5</t>
  </si>
  <si>
    <t xml:space="preserve">Вернов Евгений </t>
  </si>
  <si>
    <t>Открытая (09.04.1989)/33</t>
  </si>
  <si>
    <t>119,80</t>
  </si>
  <si>
    <t xml:space="preserve">Романов Денис </t>
  </si>
  <si>
    <t>Мастера 40-49 (18.10.1977)/45</t>
  </si>
  <si>
    <t>ВЕСОВАЯ КАТЕГОРИЯ   48</t>
  </si>
  <si>
    <t>Девушки 14-16 (09.09.2006)/16</t>
  </si>
  <si>
    <t>47,25</t>
  </si>
  <si>
    <t xml:space="preserve">Августинович Александр </t>
  </si>
  <si>
    <t>Суховская Марина</t>
  </si>
  <si>
    <t>Юниорки (20.08.2000)/22</t>
  </si>
  <si>
    <t>47,20</t>
  </si>
  <si>
    <t>Филиппова Юлия</t>
  </si>
  <si>
    <t>Открытая (11.07.1990)/32</t>
  </si>
  <si>
    <t>47,85</t>
  </si>
  <si>
    <t xml:space="preserve">Панин Сергей </t>
  </si>
  <si>
    <t>Открытая (20.08.2000)/22</t>
  </si>
  <si>
    <t>Девушки 14-16 (26.12.2006)/15</t>
  </si>
  <si>
    <t>49,50</t>
  </si>
  <si>
    <t xml:space="preserve">Челябинск/Челябинская область </t>
  </si>
  <si>
    <t>Девушки 17-19 (18.02.2005)/17</t>
  </si>
  <si>
    <t>51,50</t>
  </si>
  <si>
    <t>Киселева Яна</t>
  </si>
  <si>
    <t>Открытая (03.08.1991)/31</t>
  </si>
  <si>
    <t>51,70</t>
  </si>
  <si>
    <t xml:space="preserve">Боровский Степан </t>
  </si>
  <si>
    <t>Открытая (04.12.1991)/30</t>
  </si>
  <si>
    <t>50,60</t>
  </si>
  <si>
    <t>57,5</t>
  </si>
  <si>
    <t xml:space="preserve">Французов Александр </t>
  </si>
  <si>
    <t>Девушки 17-19 (29.09.2005)/17</t>
  </si>
  <si>
    <t>54,70</t>
  </si>
  <si>
    <t>Кудрявцева Екатерина</t>
  </si>
  <si>
    <t>Открытая (08.03.1988)/34</t>
  </si>
  <si>
    <t>54,80</t>
  </si>
  <si>
    <t>Киселева Виктория</t>
  </si>
  <si>
    <t>Девушки 17-19 (02.05.2005)/17</t>
  </si>
  <si>
    <t>59,30</t>
  </si>
  <si>
    <t>25,0</t>
  </si>
  <si>
    <t>Юниорки (11.10.2000)/22</t>
  </si>
  <si>
    <t>58,20</t>
  </si>
  <si>
    <t>Волоценко Марина</t>
  </si>
  <si>
    <t>Открытая (20.04.1984)/38</t>
  </si>
  <si>
    <t>57,90</t>
  </si>
  <si>
    <t>67,5</t>
  </si>
  <si>
    <t>Открытая (16.10.1992)/30</t>
  </si>
  <si>
    <t>59,00</t>
  </si>
  <si>
    <t xml:space="preserve">Андрюхов Илья </t>
  </si>
  <si>
    <t>Мастера 40-49 (08.07.1976)/46</t>
  </si>
  <si>
    <t>Девушки 17-19 (14.05.2005)/17</t>
  </si>
  <si>
    <t>65,70</t>
  </si>
  <si>
    <t>Ктитарева Наталья</t>
  </si>
  <si>
    <t>Открытая (13.03.1994)/28</t>
  </si>
  <si>
    <t>66,00</t>
  </si>
  <si>
    <t xml:space="preserve">Гантимуров Александр </t>
  </si>
  <si>
    <t>Демидова Александра</t>
  </si>
  <si>
    <t>Мастера 40-49 (26.11.1979)/42</t>
  </si>
  <si>
    <t>65,60</t>
  </si>
  <si>
    <t>Шатохин Максим</t>
  </si>
  <si>
    <t>Юноши 14-16 (20.05.2009)/13</t>
  </si>
  <si>
    <t>53,20</t>
  </si>
  <si>
    <t>Юноши 14-16 (10.11.2005)/16</t>
  </si>
  <si>
    <t>57,20</t>
  </si>
  <si>
    <t>Моисеев Кирилл</t>
  </si>
  <si>
    <t>Юноши 17-19 (10.11.2002)/19</t>
  </si>
  <si>
    <t xml:space="preserve">Бердск/Новосибирская область </t>
  </si>
  <si>
    <t>Юноши 14-16 (07.05.2007)/15</t>
  </si>
  <si>
    <t>65,20</t>
  </si>
  <si>
    <t>Калачиков Павел</t>
  </si>
  <si>
    <t>Юноши 14-16 (23.12.2009)/12</t>
  </si>
  <si>
    <t>62,70</t>
  </si>
  <si>
    <t>Бебякин Кирилл</t>
  </si>
  <si>
    <t>Юноши 14-16 (14.07.2009)/13</t>
  </si>
  <si>
    <t>60,70</t>
  </si>
  <si>
    <t>37,5</t>
  </si>
  <si>
    <t>Кожевников Максим</t>
  </si>
  <si>
    <t>Юноши 14-16 (01.08.2006)/16</t>
  </si>
  <si>
    <t>71,80</t>
  </si>
  <si>
    <t>Юноши 14-16 (20.06.2006)/16</t>
  </si>
  <si>
    <t>73,50</t>
  </si>
  <si>
    <t>Открытая (30.01.1998)/24</t>
  </si>
  <si>
    <t>73,30</t>
  </si>
  <si>
    <t>Юноши 17-19 (02.05.2004)/18</t>
  </si>
  <si>
    <t>79,90</t>
  </si>
  <si>
    <t>Юноши 17-19 (03.09.2004)/18</t>
  </si>
  <si>
    <t>76,00</t>
  </si>
  <si>
    <t>Открытая (21.04.1993)/29</t>
  </si>
  <si>
    <t>80,50</t>
  </si>
  <si>
    <t xml:space="preserve">Дмитрий Хованский </t>
  </si>
  <si>
    <t>Рец Михаил</t>
  </si>
  <si>
    <t>Открытая (13.06.1981)/41</t>
  </si>
  <si>
    <t>82,20</t>
  </si>
  <si>
    <t xml:space="preserve">Семенов Иван </t>
  </si>
  <si>
    <t>Мастера 40-49 (13.06.1981)/41</t>
  </si>
  <si>
    <t>Мастера 50-59 (09.09.1964)/58</t>
  </si>
  <si>
    <t>79,30</t>
  </si>
  <si>
    <t>Юноши 17-19 (16.06.2005)/17</t>
  </si>
  <si>
    <t>86,10</t>
  </si>
  <si>
    <t xml:space="preserve">Искитим/Новосибирская область </t>
  </si>
  <si>
    <t>Лебедев Валерий</t>
  </si>
  <si>
    <t>Открытая (24.12.1992)/29</t>
  </si>
  <si>
    <t>88,70</t>
  </si>
  <si>
    <t>Чернецов Алексей</t>
  </si>
  <si>
    <t>Открытая (03.04.1982)/40</t>
  </si>
  <si>
    <t>87,80</t>
  </si>
  <si>
    <t xml:space="preserve">Хованский Дмитрий </t>
  </si>
  <si>
    <t>Мастера 40-49 (03.04.1982)/40</t>
  </si>
  <si>
    <t>Мастера 50-59 (07.08.1971)/51</t>
  </si>
  <si>
    <t>89,30</t>
  </si>
  <si>
    <t xml:space="preserve">Якимов Александр </t>
  </si>
  <si>
    <t>Микушин Александр</t>
  </si>
  <si>
    <t>Мастера 60-69 (21.06.1960)/62</t>
  </si>
  <si>
    <t>98,30</t>
  </si>
  <si>
    <t>Суханов Дмитрий</t>
  </si>
  <si>
    <t>Юноши 17-19 (19.02.2004)/18</t>
  </si>
  <si>
    <t>104,80</t>
  </si>
  <si>
    <t>Открытая (03.11.1995)/27</t>
  </si>
  <si>
    <t>110,00</t>
  </si>
  <si>
    <t>Суровикин Михаил</t>
  </si>
  <si>
    <t>Открытая (29.01.1987)/35</t>
  </si>
  <si>
    <t>118,40</t>
  </si>
  <si>
    <t>48</t>
  </si>
  <si>
    <t>Открытая (09.02.1997)/25</t>
  </si>
  <si>
    <t>67,50</t>
  </si>
  <si>
    <t xml:space="preserve">Синько Евгений </t>
  </si>
  <si>
    <t>Королев Алексей</t>
  </si>
  <si>
    <t>Открытая (20.01.1985)/37</t>
  </si>
  <si>
    <t>82,30</t>
  </si>
  <si>
    <t>Протопопов Сергей</t>
  </si>
  <si>
    <t>Мастера 40-49 (21.12.1978)/43</t>
  </si>
  <si>
    <t>91,80</t>
  </si>
  <si>
    <t xml:space="preserve">Сокушев Вадим </t>
  </si>
  <si>
    <t>Русаков Евгений</t>
  </si>
  <si>
    <t>Открытая (14.10.1959)/63</t>
  </si>
  <si>
    <t>116,50</t>
  </si>
  <si>
    <t>Мастера 60-69 (14.10.1959)/63</t>
  </si>
  <si>
    <t>Мастера 50-59 (22.09.1969)/53</t>
  </si>
  <si>
    <t>50,50</t>
  </si>
  <si>
    <t xml:space="preserve">Северск, Томская Область/томск </t>
  </si>
  <si>
    <t xml:space="preserve">Белянко Геннадий </t>
  </si>
  <si>
    <t>Открытая (07.11.1989)/32</t>
  </si>
  <si>
    <t>54,50</t>
  </si>
  <si>
    <t>Быданова Ксения</t>
  </si>
  <si>
    <t>Открытая (17.10.1987)/35</t>
  </si>
  <si>
    <t>Панина Ирина</t>
  </si>
  <si>
    <t>Открытая (20.05.1977)/45</t>
  </si>
  <si>
    <t>73,20</t>
  </si>
  <si>
    <t>Юниоры (10.06.2001)/21</t>
  </si>
  <si>
    <t>79,70</t>
  </si>
  <si>
    <t xml:space="preserve">Чита/Забайкальский край </t>
  </si>
  <si>
    <t>Хорошилов Сергей</t>
  </si>
  <si>
    <t>Открытая (02.07.1988)/34</t>
  </si>
  <si>
    <t>80,90</t>
  </si>
  <si>
    <t>Наливайко Илья</t>
  </si>
  <si>
    <t>Открытая (06.12.1978)/43</t>
  </si>
  <si>
    <t>80,40</t>
  </si>
  <si>
    <t>Кандыба Сергей</t>
  </si>
  <si>
    <t>Открытая (30.09.1985)/37</t>
  </si>
  <si>
    <t>Мастера 40-49 (06.12.1978)/43</t>
  </si>
  <si>
    <t>Баранов Виктор</t>
  </si>
  <si>
    <t>Открытая (07.11.1987)/34</t>
  </si>
  <si>
    <t>Открытая (15.11.1974)/47</t>
  </si>
  <si>
    <t>142,5</t>
  </si>
  <si>
    <t>Мастера 70-79 (24.05.1951)/71</t>
  </si>
  <si>
    <t xml:space="preserve">Белянко Егор </t>
  </si>
  <si>
    <t>Гаприндашвили Святослав</t>
  </si>
  <si>
    <t>Открытая (22.12.1987)/34</t>
  </si>
  <si>
    <t>95,40</t>
  </si>
  <si>
    <t>Открытая (08.11.1985)/36</t>
  </si>
  <si>
    <t>93,20</t>
  </si>
  <si>
    <t>Шевелёв Григорий</t>
  </si>
  <si>
    <t>Открытая (02.08.1982)/40</t>
  </si>
  <si>
    <t>121,60</t>
  </si>
  <si>
    <t>Открытая (22.06.1988)/34</t>
  </si>
  <si>
    <t>117,60</t>
  </si>
  <si>
    <t>Открытая (09.01.1984)/38</t>
  </si>
  <si>
    <t>115,30</t>
  </si>
  <si>
    <t>Открытая (12.03.1984)/38</t>
  </si>
  <si>
    <t>119,60</t>
  </si>
  <si>
    <t>Мастера 40-49 (03.08.1981)/41</t>
  </si>
  <si>
    <t>98,70</t>
  </si>
  <si>
    <t>275,0</t>
  </si>
  <si>
    <t>Белова Елена</t>
  </si>
  <si>
    <t>Мастера 50-59 (12.03.1966)/56</t>
  </si>
  <si>
    <t xml:space="preserve">Михайлов Петр </t>
  </si>
  <si>
    <t>Соболев Дмитрий</t>
  </si>
  <si>
    <t>Юниоры (19.01.2000)/22</t>
  </si>
  <si>
    <t>65,40</t>
  </si>
  <si>
    <t xml:space="preserve">Кожевников Михаил </t>
  </si>
  <si>
    <t>Открытая (19.01.2000)/22</t>
  </si>
  <si>
    <t>Южанин Эмин</t>
  </si>
  <si>
    <t>Открытая (05.04.1998)/24</t>
  </si>
  <si>
    <t>94,00</t>
  </si>
  <si>
    <t>262,5</t>
  </si>
  <si>
    <t>272,5</t>
  </si>
  <si>
    <t>98,00</t>
  </si>
  <si>
    <t>Мастера 50-59 (24.07.1964)/58</t>
  </si>
  <si>
    <t>Мастера 50-59 (05.03.1967)/55</t>
  </si>
  <si>
    <t>101,00</t>
  </si>
  <si>
    <t>283,5</t>
  </si>
  <si>
    <t>Открытая (30.11.1991)/30</t>
  </si>
  <si>
    <t>50,40</t>
  </si>
  <si>
    <t xml:space="preserve">Врублевский Олег </t>
  </si>
  <si>
    <t>Грошева Диана</t>
  </si>
  <si>
    <t>Девушки 14-16 (13.02.2007)/15</t>
  </si>
  <si>
    <t xml:space="preserve">Барнаул/Алтайский край </t>
  </si>
  <si>
    <t xml:space="preserve">Полосин Сергей </t>
  </si>
  <si>
    <t>Новопашина Екатерина</t>
  </si>
  <si>
    <t>Девушки 14-16 (18.12.2006)/15</t>
  </si>
  <si>
    <t>62,80</t>
  </si>
  <si>
    <t>Леоненко Лилия</t>
  </si>
  <si>
    <t>Открытая (06.03.1986)/36</t>
  </si>
  <si>
    <t>67,40</t>
  </si>
  <si>
    <t>Юниоры (12.10.2001)/21</t>
  </si>
  <si>
    <t>74,40</t>
  </si>
  <si>
    <t>Юниоры (23.02.2001)/21</t>
  </si>
  <si>
    <t>Розбах Дмитрий</t>
  </si>
  <si>
    <t>Открытая (15.02.2000)/22</t>
  </si>
  <si>
    <t>82,50</t>
  </si>
  <si>
    <t>Полосин Сергей</t>
  </si>
  <si>
    <t>89,20</t>
  </si>
  <si>
    <t>Открытая (10.09.1991)/31</t>
  </si>
  <si>
    <t>Николаев Вячеслав</t>
  </si>
  <si>
    <t>Открытая (10.07.1956)/66</t>
  </si>
  <si>
    <t>96,80</t>
  </si>
  <si>
    <t>Открытая (26.11.1990)/31</t>
  </si>
  <si>
    <t>Мастера 60-69 (10.07.1956)/66</t>
  </si>
  <si>
    <t>Открытая (07.08.1985)/37</t>
  </si>
  <si>
    <t>123,20</t>
  </si>
  <si>
    <t xml:space="preserve">Пермь/Пермский край </t>
  </si>
  <si>
    <t>Мастера 40-49 (05.10.1981)/41</t>
  </si>
  <si>
    <t>87,90</t>
  </si>
  <si>
    <t>305,0</t>
  </si>
  <si>
    <t xml:space="preserve">Прилуцкий Сергей </t>
  </si>
  <si>
    <t>Открытая (14.08.1998)/24</t>
  </si>
  <si>
    <t xml:space="preserve">Пузенко Вячеслав </t>
  </si>
  <si>
    <t>Ненашев Фёдор</t>
  </si>
  <si>
    <t>Юноши 14-16 (15.02.2008)/14</t>
  </si>
  <si>
    <t>Открытая (21.06.1960)/62</t>
  </si>
  <si>
    <t>Открытая (25.07.1988)/34</t>
  </si>
  <si>
    <t>115,20</t>
  </si>
  <si>
    <t xml:space="preserve">Дубцов Сергей </t>
  </si>
  <si>
    <t>Подъем на бицепс</t>
  </si>
  <si>
    <t>Сергиевич Александр</t>
  </si>
  <si>
    <t>57,70</t>
  </si>
  <si>
    <t xml:space="preserve">Омск/Омская область </t>
  </si>
  <si>
    <t xml:space="preserve">Хабаровск/Хабаровский край </t>
  </si>
  <si>
    <t>82,35</t>
  </si>
  <si>
    <t>Открытая (24.04.1994)/28</t>
  </si>
  <si>
    <t>Открытая (20.05.1990)/32</t>
  </si>
  <si>
    <t>59,95</t>
  </si>
  <si>
    <t>20,0</t>
  </si>
  <si>
    <t>27,5</t>
  </si>
  <si>
    <t>61,75</t>
  </si>
  <si>
    <t>22,5</t>
  </si>
  <si>
    <t>66,40</t>
  </si>
  <si>
    <t xml:space="preserve">Мариинск/Кемеровская область </t>
  </si>
  <si>
    <t xml:space="preserve">Волчатников Андрей </t>
  </si>
  <si>
    <t>74,45</t>
  </si>
  <si>
    <t>Андропов Андрей</t>
  </si>
  <si>
    <t>Открытая (03.11.1996)/26</t>
  </si>
  <si>
    <t>72,35</t>
  </si>
  <si>
    <t>80,85</t>
  </si>
  <si>
    <t>Открытая (09.01.1998)/24</t>
  </si>
  <si>
    <t>80,45</t>
  </si>
  <si>
    <t xml:space="preserve">Рубцовск/Алтайский край </t>
  </si>
  <si>
    <t xml:space="preserve">Шестунов Александр </t>
  </si>
  <si>
    <t>Зозуленко Данил</t>
  </si>
  <si>
    <t>Открытая (14.12.2001)/20</t>
  </si>
  <si>
    <t>89,15</t>
  </si>
  <si>
    <t>87,75</t>
  </si>
  <si>
    <t>Августинович Александр</t>
  </si>
  <si>
    <t>Карпов Юрий</t>
  </si>
  <si>
    <t>Рыжков Егор</t>
  </si>
  <si>
    <t xml:space="preserve">Камаляев Вячеслав </t>
  </si>
  <si>
    <t xml:space="preserve">Хорошилов Сергей </t>
  </si>
  <si>
    <t>Колачев Сергей</t>
  </si>
  <si>
    <t>Воробьёв Эдуард</t>
  </si>
  <si>
    <t>Быховец Артем</t>
  </si>
  <si>
    <t xml:space="preserve">Подчасов Дмитрий  </t>
  </si>
  <si>
    <t>Стороженко Павел</t>
  </si>
  <si>
    <t xml:space="preserve">Беловал Евгений </t>
  </si>
  <si>
    <t>Луговой Александр</t>
  </si>
  <si>
    <t>Камаляев Вячеслав</t>
  </si>
  <si>
    <t>Елизаров Евгений</t>
  </si>
  <si>
    <t>Лебедев Вячеслав</t>
  </si>
  <si>
    <t>Агеев Денис</t>
  </si>
  <si>
    <t>Суслов Николай</t>
  </si>
  <si>
    <t>Тимин Даниил</t>
  </si>
  <si>
    <t>Коваленко Алексей</t>
  </si>
  <si>
    <t xml:space="preserve">Томский Алексей </t>
  </si>
  <si>
    <t xml:space="preserve">Филиппов Антон </t>
  </si>
  <si>
    <t xml:space="preserve">Селиверстов Арсений </t>
  </si>
  <si>
    <t xml:space="preserve">Табанакова Татьяна </t>
  </si>
  <si>
    <t xml:space="preserve">Ефременко Владислав </t>
  </si>
  <si>
    <t xml:space="preserve">Цикалов Константин </t>
  </si>
  <si>
    <t xml:space="preserve">Андропов Андрей </t>
  </si>
  <si>
    <t xml:space="preserve">Наливайко Илья </t>
  </si>
  <si>
    <t xml:space="preserve">Зозуленко Данил </t>
  </si>
  <si>
    <t xml:space="preserve">Баранов Виктор </t>
  </si>
  <si>
    <t xml:space="preserve">Чернецов Алексей </t>
  </si>
  <si>
    <t xml:space="preserve">Шестакова Екатерина </t>
  </si>
  <si>
    <t xml:space="preserve">Рудых Дмитрий </t>
  </si>
  <si>
    <t xml:space="preserve">Альховик Артём </t>
  </si>
  <si>
    <t xml:space="preserve">Глинская Мария </t>
  </si>
  <si>
    <t xml:space="preserve">Чудная Оксана </t>
  </si>
  <si>
    <t xml:space="preserve">Жамоли Хамзахон </t>
  </si>
  <si>
    <t xml:space="preserve">Тюленев Михаил </t>
  </si>
  <si>
    <t xml:space="preserve">Блинов Алексей </t>
  </si>
  <si>
    <t xml:space="preserve">Грень Наталья </t>
  </si>
  <si>
    <t xml:space="preserve">Леоненко Лилия </t>
  </si>
  <si>
    <t xml:space="preserve">Миронова Анастасия </t>
  </si>
  <si>
    <t xml:space="preserve">Можаев Илья </t>
  </si>
  <si>
    <t xml:space="preserve">Денисов Максим </t>
  </si>
  <si>
    <t xml:space="preserve">Ковалев Денис </t>
  </si>
  <si>
    <t xml:space="preserve">Лазуткин Михаил </t>
  </si>
  <si>
    <t xml:space="preserve">Парамонов Александр </t>
  </si>
  <si>
    <t xml:space="preserve">Бокарев Алексей </t>
  </si>
  <si>
    <t xml:space="preserve">Рекичинский Станислав </t>
  </si>
  <si>
    <t xml:space="preserve">Николаев Вячеслав </t>
  </si>
  <si>
    <t xml:space="preserve">Микушин Александр </t>
  </si>
  <si>
    <t xml:space="preserve">Южанин Эмин </t>
  </si>
  <si>
    <t xml:space="preserve">Белимов Александр </t>
  </si>
  <si>
    <t xml:space="preserve">Московский Максим </t>
  </si>
  <si>
    <t xml:space="preserve">Бескакотов Александр </t>
  </si>
  <si>
    <t xml:space="preserve">Лагунов Олег </t>
  </si>
  <si>
    <t xml:space="preserve">Мальцев Александр </t>
  </si>
  <si>
    <t xml:space="preserve">Савченко Дмитрий </t>
  </si>
  <si>
    <t xml:space="preserve">Пилипенко Наталья </t>
  </si>
  <si>
    <t xml:space="preserve">Вольф Анжелика </t>
  </si>
  <si>
    <t xml:space="preserve">Быданова Ксения </t>
  </si>
  <si>
    <t xml:space="preserve">Ктитарева Наталья </t>
  </si>
  <si>
    <t xml:space="preserve">Михаэлис Максим </t>
  </si>
  <si>
    <t xml:space="preserve">Дикун Иван </t>
  </si>
  <si>
    <t xml:space="preserve">Концевой Алексей </t>
  </si>
  <si>
    <t xml:space="preserve">Кузнецов Алексей </t>
  </si>
  <si>
    <t xml:space="preserve">Кандыба Александр </t>
  </si>
  <si>
    <t xml:space="preserve">Мурзин Никита </t>
  </si>
  <si>
    <t xml:space="preserve">Соловьева Варвара </t>
  </si>
  <si>
    <t xml:space="preserve">Суховская Марина </t>
  </si>
  <si>
    <t xml:space="preserve">Филиппова Юлия </t>
  </si>
  <si>
    <t xml:space="preserve">Бикбулатова Диана </t>
  </si>
  <si>
    <t xml:space="preserve">Козырева Софья </t>
  </si>
  <si>
    <t xml:space="preserve">Сафонова Анастасия </t>
  </si>
  <si>
    <t xml:space="preserve">Князева Полина </t>
  </si>
  <si>
    <t xml:space="preserve">Мусихина Екатерина </t>
  </si>
  <si>
    <t xml:space="preserve">Волоценко Марина </t>
  </si>
  <si>
    <t xml:space="preserve">Высоцкая Ксения </t>
  </si>
  <si>
    <t xml:space="preserve">Гамова Виктория </t>
  </si>
  <si>
    <t xml:space="preserve">Яковлева Анна </t>
  </si>
  <si>
    <t xml:space="preserve">Гулев Марк </t>
  </si>
  <si>
    <t xml:space="preserve">Моисеев Кирилл </t>
  </si>
  <si>
    <t xml:space="preserve">Ташкин Захар </t>
  </si>
  <si>
    <t xml:space="preserve">Кожевников Максим </t>
  </si>
  <si>
    <t xml:space="preserve">Иванов Иван </t>
  </si>
  <si>
    <t xml:space="preserve">Левкин Максим </t>
  </si>
  <si>
    <t xml:space="preserve">Кленский Никита </t>
  </si>
  <si>
    <t xml:space="preserve">Соболев Лев </t>
  </si>
  <si>
    <t xml:space="preserve">Грамзин Павел </t>
  </si>
  <si>
    <t xml:space="preserve">Гуров Владимир </t>
  </si>
  <si>
    <t xml:space="preserve">Наумов Максим </t>
  </si>
  <si>
    <t xml:space="preserve">Лебедев Валерий </t>
  </si>
  <si>
    <t xml:space="preserve">Бурцев Александр </t>
  </si>
  <si>
    <t xml:space="preserve">Суханов Дмитрий </t>
  </si>
  <si>
    <t xml:space="preserve">Дурнев Роман </t>
  </si>
  <si>
    <t xml:space="preserve">Бобков Алексей </t>
  </si>
  <si>
    <t xml:space="preserve">Пушкин Иван </t>
  </si>
  <si>
    <t xml:space="preserve">Овчаренко Максим </t>
  </si>
  <si>
    <t xml:space="preserve">Савин Александр </t>
  </si>
  <si>
    <t xml:space="preserve">Куличенко Артем </t>
  </si>
  <si>
    <t xml:space="preserve">Курьянов Роман </t>
  </si>
  <si>
    <t xml:space="preserve">Чернов Александр </t>
  </si>
  <si>
    <t xml:space="preserve">Гаврилов Максим </t>
  </si>
  <si>
    <t xml:space="preserve">Шелпаков Кирилл </t>
  </si>
  <si>
    <t xml:space="preserve">Кочергина Анастасия </t>
  </si>
  <si>
    <t xml:space="preserve">Титова Ольга </t>
  </si>
  <si>
    <t xml:space="preserve">Степанова Полина </t>
  </si>
  <si>
    <t xml:space="preserve">Толмачев Евгений </t>
  </si>
  <si>
    <t xml:space="preserve">Витхин Александр </t>
  </si>
  <si>
    <t xml:space="preserve">Блудов Максим </t>
  </si>
  <si>
    <t xml:space="preserve">Заплаткин Александр </t>
  </si>
  <si>
    <t xml:space="preserve">Полетаева Светлана </t>
  </si>
  <si>
    <t xml:space="preserve">Парак Владлена </t>
  </si>
  <si>
    <t xml:space="preserve">Вакунов Михаил </t>
  </si>
  <si>
    <t xml:space="preserve">Иванов Валентин </t>
  </si>
  <si>
    <t xml:space="preserve">Овсянов Илья </t>
  </si>
  <si>
    <t xml:space="preserve">Быков Станислав </t>
  </si>
  <si>
    <t xml:space="preserve">Журкович Александр </t>
  </si>
  <si>
    <t>Весовая категория</t>
  </si>
  <si>
    <t>Всероссийский турнир «King of strong!»
WRPF Пауэрлифтинг без экипировки ДК
Новосибирск/Новосибирская область, 05-06 ноября 2022 года</t>
  </si>
  <si>
    <t>Всероссийский турнир «King of strong!»
WRPF Пауэрлифтинг без экипировки
Новосибирск/Новосибирская область, 05-06 ноября 2022 года</t>
  </si>
  <si>
    <t>Всероссийский турнир «King of strong!»
WRPF Пауэрлифтинг классический в бинтах
Новосибирск/Новосибирская область, 05-06 ноября 2022 года</t>
  </si>
  <si>
    <t>Всероссийский турнир «King of strong!»
WEPF Пауэрлифтинг в однослойной экипировке ДК
Новосибирск/Новосибирская область, 05-06 ноября 2022 года</t>
  </si>
  <si>
    <t>Всероссийский турнир «King of strong!»
WRPF Силовое двоеборье без экипировки ДК
Новосибирск/Новосибирская область, 05-06 ноября 2022 года</t>
  </si>
  <si>
    <t>Всероссийский турнир «King of strong!»
WRPF Силовое двоеборье без экипировки
Новосибирск/Новосибирская область, 05-06 ноября 2022 года</t>
  </si>
  <si>
    <t>Всероссийский турнир «King of strong!»
WRPF Жим лежа без экипировки ДК
Новосибирск/Новосибирская область, 05-06 ноября 2022 года</t>
  </si>
  <si>
    <t>Всероссийский турнир «King of strong!»
WRPF Жим лежа без экипировки
Новосибирск/Новосибирская область, 05-06 ноября 2022 года</t>
  </si>
  <si>
    <t>Всероссийский турнир «King of strong!»
WEPF Жим лежа в однопетельной софт экипировке ДК
Новосибирск/Новосибирская область, 05-06 ноября 2022 года</t>
  </si>
  <si>
    <t>Всероссийский турнир «King of strong!»
WEPF Жим лежа в однопетельной софт экипировке
Новосибирск/Новосибирская область, 05-06 ноября 2022 года</t>
  </si>
  <si>
    <t>Всероссийский турнир «King of strong!»
WEPF Жим лежа в многопетельной софт экипировке
Новосибирск/Новосибирская область, 05-06 ноября 2022 года</t>
  </si>
  <si>
    <t>Всероссийский турнир «King of strong!»
WRPF Военный жим лежа с ДК
Новосибирск/Новосибирская область, 05-06 ноября 2022 года</t>
  </si>
  <si>
    <t>Всероссийский турнир «King of strong!»
WRPF Военный жим лежа
Новосибирск/Новосибирская область, 05-06 ноября 2022 года</t>
  </si>
  <si>
    <t>Всероссийский турнир «King of strong!»
WRPF Становая тяга без экипировки ДК
Новосибирск/Новосибирская область, 05-06 ноября 2022 года</t>
  </si>
  <si>
    <t>Всероссийский турнир «King of strong!»
WRPF Становая тяга без экипировки
Новосибирск/Новосибирская область, 05-06 ноября 2022 года</t>
  </si>
  <si>
    <t>Всероссийский турнир «King of strong!»
WEPF Становая тяга в экипировке
Новосибирск/Новосибирская область, 05-06 ноября 2022 года</t>
  </si>
  <si>
    <t>Всероссийский турнир «King of strong!»
WRPF Строгий подъем штанги на бицепс ДК
Новосибирск/Новосибирская область, 05-06 ноября 2022 года</t>
  </si>
  <si>
    <t>Всероссийский турнир «King of strong!»
WRPF Строгий подъем штанги на бицепс
Новосибирск/Новосибирская область, 05-06 ноября 2022 года</t>
  </si>
  <si>
    <t>Черепанов Андрей</t>
  </si>
  <si>
    <t>Ленинск-Кузнецкий/Кемеровская область</t>
  </si>
  <si>
    <t>Северск/Томская Область</t>
  </si>
  <si>
    <t>Мужчины</t>
  </si>
  <si>
    <t>Девушки 13-19 (13.02.2007)/15</t>
  </si>
  <si>
    <t>Девушки 13-19 (18.12.2006)/15</t>
  </si>
  <si>
    <t>Юноши 13-19 (19.11.2005)/16</t>
  </si>
  <si>
    <t>Юноши 13-19 (31.10.2004)/18</t>
  </si>
  <si>
    <t>Юноши 13-19 (29.11.2003)/18</t>
  </si>
  <si>
    <t>Юниоры 20-23 (16.04.2000)/22</t>
  </si>
  <si>
    <t>№</t>
  </si>
  <si>
    <t xml:space="preserve">
Дата рождения/Возраст</t>
  </si>
  <si>
    <t>Возрастная группа</t>
  </si>
  <si>
    <t>O</t>
  </si>
  <si>
    <t>T2</t>
  </si>
  <si>
    <t>M2</t>
  </si>
  <si>
    <t>J</t>
  </si>
  <si>
    <t>T1</t>
  </si>
  <si>
    <t>M1</t>
  </si>
  <si>
    <t>M3</t>
  </si>
  <si>
    <t>M4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</si>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</sst>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1"/>
  <dimension ref="A1:U71"/>
  <sheetViews>
    <sheetView topLeftCell="A19" workbookViewId="0">
      <selection activeCell="E54" sqref="E54"/>
    </sheetView>
  </sheetViews>
  <sheetFormatPr baseColWidth="10" defaultColWidth="9.1640625" defaultRowHeight="13"/>
  <cols>
    <col min="1" max="1" width="7.5" style="5" bestFit="1" customWidth="1"/>
    <col min="2" max="2" width="25.33203125" style="5" bestFit="1" customWidth="1"/>
    <col min="3" max="3" width="27.83203125" style="5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6" bestFit="1" customWidth="1"/>
    <col min="20" max="20" width="8.5" style="6" bestFit="1" customWidth="1"/>
    <col min="21" max="21" width="28.5" style="5" bestFit="1" customWidth="1"/>
    <col min="22" max="16384" width="9.1640625" style="3"/>
  </cols>
  <sheetData>
    <row r="1" spans="1:21" s="2" customFormat="1" ht="29" customHeight="1">
      <c r="A1" s="55" t="s">
        <v>726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7</v>
      </c>
      <c r="H3" s="69"/>
      <c r="I3" s="69"/>
      <c r="J3" s="69"/>
      <c r="K3" s="69" t="s">
        <v>8</v>
      </c>
      <c r="L3" s="69"/>
      <c r="M3" s="69"/>
      <c r="N3" s="69"/>
      <c r="O3" s="69" t="s">
        <v>9</v>
      </c>
      <c r="P3" s="69"/>
      <c r="Q3" s="69"/>
      <c r="R3" s="69"/>
      <c r="S3" s="67" t="s">
        <v>1</v>
      </c>
      <c r="T3" s="67" t="s">
        <v>3</v>
      </c>
      <c r="U3" s="70" t="s">
        <v>2</v>
      </c>
    </row>
    <row r="4" spans="1:21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8"/>
      <c r="T4" s="68"/>
      <c r="U4" s="71"/>
    </row>
    <row r="5" spans="1:21" ht="16">
      <c r="A5" s="49" t="s">
        <v>68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>
      <c r="A6" s="28" t="s">
        <v>60</v>
      </c>
      <c r="B6" s="7" t="s">
        <v>155</v>
      </c>
      <c r="C6" s="7" t="s">
        <v>156</v>
      </c>
      <c r="D6" s="7" t="s">
        <v>157</v>
      </c>
      <c r="E6" s="8" t="s">
        <v>757</v>
      </c>
      <c r="F6" s="7" t="s">
        <v>64</v>
      </c>
      <c r="G6" s="27" t="s">
        <v>158</v>
      </c>
      <c r="H6" s="27" t="s">
        <v>159</v>
      </c>
      <c r="I6" s="27" t="s">
        <v>160</v>
      </c>
      <c r="J6" s="28"/>
      <c r="K6" s="27" t="s">
        <v>85</v>
      </c>
      <c r="L6" s="27" t="s">
        <v>87</v>
      </c>
      <c r="M6" s="29" t="s">
        <v>158</v>
      </c>
      <c r="N6" s="28"/>
      <c r="O6" s="27" t="s">
        <v>159</v>
      </c>
      <c r="P6" s="27" t="s">
        <v>161</v>
      </c>
      <c r="Q6" s="29" t="s">
        <v>162</v>
      </c>
      <c r="R6" s="28"/>
      <c r="S6" s="9" t="str">
        <f>"197,5"</f>
        <v>197,5</v>
      </c>
      <c r="T6" s="9" t="str">
        <f>"249,9165"</f>
        <v>249,9165</v>
      </c>
      <c r="U6" s="7" t="s">
        <v>94</v>
      </c>
    </row>
    <row r="8" spans="1:21" ht="16">
      <c r="A8" s="53" t="s">
        <v>163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21">
      <c r="A9" s="32" t="s">
        <v>60</v>
      </c>
      <c r="B9" s="10" t="s">
        <v>164</v>
      </c>
      <c r="C9" s="10" t="s">
        <v>165</v>
      </c>
      <c r="D9" s="10" t="s">
        <v>166</v>
      </c>
      <c r="E9" s="11" t="s">
        <v>758</v>
      </c>
      <c r="F9" s="10" t="s">
        <v>64</v>
      </c>
      <c r="G9" s="30" t="s">
        <v>87</v>
      </c>
      <c r="H9" s="30" t="s">
        <v>92</v>
      </c>
      <c r="I9" s="30" t="s">
        <v>159</v>
      </c>
      <c r="J9" s="32"/>
      <c r="K9" s="30" t="s">
        <v>167</v>
      </c>
      <c r="L9" s="30" t="s">
        <v>168</v>
      </c>
      <c r="M9" s="31" t="s">
        <v>85</v>
      </c>
      <c r="N9" s="32"/>
      <c r="O9" s="31" t="s">
        <v>92</v>
      </c>
      <c r="P9" s="30" t="s">
        <v>92</v>
      </c>
      <c r="Q9" s="31" t="s">
        <v>82</v>
      </c>
      <c r="R9" s="32"/>
      <c r="S9" s="12" t="str">
        <f>"160,0"</f>
        <v>160,0</v>
      </c>
      <c r="T9" s="12" t="str">
        <f>"192,0320"</f>
        <v>192,0320</v>
      </c>
      <c r="U9" s="10" t="s">
        <v>608</v>
      </c>
    </row>
    <row r="10" spans="1:21">
      <c r="A10" s="41" t="s">
        <v>60</v>
      </c>
      <c r="B10" s="36" t="s">
        <v>711</v>
      </c>
      <c r="C10" s="36" t="s">
        <v>170</v>
      </c>
      <c r="D10" s="36" t="s">
        <v>171</v>
      </c>
      <c r="E10" s="37" t="s">
        <v>757</v>
      </c>
      <c r="F10" s="36" t="s">
        <v>64</v>
      </c>
      <c r="G10" s="39" t="s">
        <v>84</v>
      </c>
      <c r="H10" s="39" t="s">
        <v>88</v>
      </c>
      <c r="I10" s="40" t="s">
        <v>172</v>
      </c>
      <c r="J10" s="41"/>
      <c r="K10" s="39" t="s">
        <v>158</v>
      </c>
      <c r="L10" s="39" t="s">
        <v>92</v>
      </c>
      <c r="M10" s="40" t="s">
        <v>159</v>
      </c>
      <c r="N10" s="41"/>
      <c r="O10" s="39" t="s">
        <v>18</v>
      </c>
      <c r="P10" s="39" t="s">
        <v>102</v>
      </c>
      <c r="Q10" s="39" t="s">
        <v>118</v>
      </c>
      <c r="R10" s="41"/>
      <c r="S10" s="38" t="str">
        <f>"305,0"</f>
        <v>305,0</v>
      </c>
      <c r="T10" s="38" t="str">
        <f>"358,8630"</f>
        <v>358,8630</v>
      </c>
      <c r="U10" s="36" t="s">
        <v>173</v>
      </c>
    </row>
    <row r="11" spans="1:21">
      <c r="A11" s="35" t="s">
        <v>150</v>
      </c>
      <c r="B11" s="13" t="s">
        <v>641</v>
      </c>
      <c r="C11" s="13" t="s">
        <v>175</v>
      </c>
      <c r="D11" s="13" t="s">
        <v>171</v>
      </c>
      <c r="E11" s="14" t="s">
        <v>757</v>
      </c>
      <c r="F11" s="13" t="s">
        <v>176</v>
      </c>
      <c r="G11" s="33" t="s">
        <v>84</v>
      </c>
      <c r="H11" s="33" t="s">
        <v>177</v>
      </c>
      <c r="I11" s="34" t="s">
        <v>88</v>
      </c>
      <c r="J11" s="35"/>
      <c r="K11" s="33" t="s">
        <v>158</v>
      </c>
      <c r="L11" s="33" t="s">
        <v>92</v>
      </c>
      <c r="M11" s="34" t="s">
        <v>178</v>
      </c>
      <c r="N11" s="35"/>
      <c r="O11" s="33" t="s">
        <v>88</v>
      </c>
      <c r="P11" s="33" t="s">
        <v>122</v>
      </c>
      <c r="Q11" s="34" t="s">
        <v>123</v>
      </c>
      <c r="R11" s="35"/>
      <c r="S11" s="15" t="str">
        <f>"267,5"</f>
        <v>267,5</v>
      </c>
      <c r="T11" s="15" t="str">
        <f>"314,7405"</f>
        <v>314,7405</v>
      </c>
      <c r="U11" s="13"/>
    </row>
    <row r="13" spans="1:21" ht="16">
      <c r="A13" s="53" t="s">
        <v>79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21">
      <c r="A14" s="32" t="s">
        <v>60</v>
      </c>
      <c r="B14" s="10" t="s">
        <v>712</v>
      </c>
      <c r="C14" s="10" t="s">
        <v>179</v>
      </c>
      <c r="D14" s="10" t="s">
        <v>180</v>
      </c>
      <c r="E14" s="11" t="s">
        <v>757</v>
      </c>
      <c r="F14" s="10" t="s">
        <v>64</v>
      </c>
      <c r="G14" s="30" t="s">
        <v>83</v>
      </c>
      <c r="H14" s="31" t="s">
        <v>84</v>
      </c>
      <c r="I14" s="30" t="s">
        <v>84</v>
      </c>
      <c r="J14" s="32"/>
      <c r="K14" s="30" t="s">
        <v>86</v>
      </c>
      <c r="L14" s="30" t="s">
        <v>87</v>
      </c>
      <c r="M14" s="31" t="s">
        <v>158</v>
      </c>
      <c r="N14" s="32"/>
      <c r="O14" s="30" t="s">
        <v>89</v>
      </c>
      <c r="P14" s="31" t="s">
        <v>16</v>
      </c>
      <c r="Q14" s="31" t="s">
        <v>16</v>
      </c>
      <c r="R14" s="32"/>
      <c r="S14" s="12" t="str">
        <f>"250,0"</f>
        <v>250,0</v>
      </c>
      <c r="T14" s="12" t="str">
        <f>"278,7250"</f>
        <v>278,7250</v>
      </c>
      <c r="U14" s="10" t="s">
        <v>181</v>
      </c>
    </row>
    <row r="15" spans="1:21">
      <c r="A15" s="41" t="s">
        <v>150</v>
      </c>
      <c r="B15" s="36" t="s">
        <v>182</v>
      </c>
      <c r="C15" s="36" t="s">
        <v>183</v>
      </c>
      <c r="D15" s="36" t="s">
        <v>184</v>
      </c>
      <c r="E15" s="37" t="s">
        <v>757</v>
      </c>
      <c r="F15" s="36" t="s">
        <v>185</v>
      </c>
      <c r="G15" s="39" t="s">
        <v>87</v>
      </c>
      <c r="H15" s="39" t="s">
        <v>158</v>
      </c>
      <c r="I15" s="39" t="s">
        <v>92</v>
      </c>
      <c r="J15" s="41"/>
      <c r="K15" s="39" t="s">
        <v>85</v>
      </c>
      <c r="L15" s="39" t="s">
        <v>86</v>
      </c>
      <c r="M15" s="39" t="s">
        <v>186</v>
      </c>
      <c r="N15" s="41"/>
      <c r="O15" s="39" t="s">
        <v>88</v>
      </c>
      <c r="P15" s="39" t="s">
        <v>89</v>
      </c>
      <c r="Q15" s="40" t="s">
        <v>76</v>
      </c>
      <c r="R15" s="41"/>
      <c r="S15" s="38" t="str">
        <f>"217,5"</f>
        <v>217,5</v>
      </c>
      <c r="T15" s="38" t="str">
        <f>"243,1215"</f>
        <v>243,1215</v>
      </c>
      <c r="U15" s="36" t="s">
        <v>187</v>
      </c>
    </row>
    <row r="16" spans="1:21">
      <c r="A16" s="35" t="s">
        <v>60</v>
      </c>
      <c r="B16" s="13" t="s">
        <v>630</v>
      </c>
      <c r="C16" s="13" t="s">
        <v>188</v>
      </c>
      <c r="D16" s="13" t="s">
        <v>184</v>
      </c>
      <c r="E16" s="14" t="s">
        <v>759</v>
      </c>
      <c r="F16" s="13" t="s">
        <v>185</v>
      </c>
      <c r="G16" s="33" t="s">
        <v>87</v>
      </c>
      <c r="H16" s="33" t="s">
        <v>158</v>
      </c>
      <c r="I16" s="33" t="s">
        <v>92</v>
      </c>
      <c r="J16" s="35"/>
      <c r="K16" s="33" t="s">
        <v>85</v>
      </c>
      <c r="L16" s="33" t="s">
        <v>86</v>
      </c>
      <c r="M16" s="33" t="s">
        <v>186</v>
      </c>
      <c r="N16" s="35"/>
      <c r="O16" s="33" t="s">
        <v>88</v>
      </c>
      <c r="P16" s="33" t="s">
        <v>89</v>
      </c>
      <c r="Q16" s="34" t="s">
        <v>76</v>
      </c>
      <c r="R16" s="35"/>
      <c r="S16" s="15" t="str">
        <f>"217,5"</f>
        <v>217,5</v>
      </c>
      <c r="T16" s="15" t="str">
        <f>"321,4066"</f>
        <v>321,4066</v>
      </c>
      <c r="U16" s="13" t="s">
        <v>187</v>
      </c>
    </row>
    <row r="18" spans="1:21" ht="16">
      <c r="A18" s="53" t="s">
        <v>189</v>
      </c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21">
      <c r="A19" s="32" t="s">
        <v>60</v>
      </c>
      <c r="B19" s="10" t="s">
        <v>713</v>
      </c>
      <c r="C19" s="10" t="s">
        <v>190</v>
      </c>
      <c r="D19" s="10" t="s">
        <v>191</v>
      </c>
      <c r="E19" s="11" t="s">
        <v>758</v>
      </c>
      <c r="F19" s="10" t="s">
        <v>64</v>
      </c>
      <c r="G19" s="30" t="s">
        <v>82</v>
      </c>
      <c r="H19" s="30" t="s">
        <v>160</v>
      </c>
      <c r="I19" s="30" t="s">
        <v>161</v>
      </c>
      <c r="J19" s="32"/>
      <c r="K19" s="30" t="s">
        <v>186</v>
      </c>
      <c r="L19" s="30" t="s">
        <v>87</v>
      </c>
      <c r="M19" s="30" t="s">
        <v>192</v>
      </c>
      <c r="N19" s="32"/>
      <c r="O19" s="30" t="s">
        <v>161</v>
      </c>
      <c r="P19" s="30" t="s">
        <v>193</v>
      </c>
      <c r="Q19" s="30" t="s">
        <v>194</v>
      </c>
      <c r="R19" s="32"/>
      <c r="S19" s="12" t="str">
        <f>"220,0"</f>
        <v>220,0</v>
      </c>
      <c r="T19" s="12" t="str">
        <f>"233,2220"</f>
        <v>233,2220</v>
      </c>
      <c r="U19" s="10" t="s">
        <v>625</v>
      </c>
    </row>
    <row r="20" spans="1:21">
      <c r="A20" s="35" t="s">
        <v>60</v>
      </c>
      <c r="B20" s="13" t="s">
        <v>648</v>
      </c>
      <c r="C20" s="13" t="s">
        <v>196</v>
      </c>
      <c r="D20" s="13" t="s">
        <v>197</v>
      </c>
      <c r="E20" s="14" t="s">
        <v>757</v>
      </c>
      <c r="F20" s="13" t="s">
        <v>64</v>
      </c>
      <c r="G20" s="33" t="s">
        <v>177</v>
      </c>
      <c r="H20" s="33" t="s">
        <v>172</v>
      </c>
      <c r="I20" s="33" t="s">
        <v>74</v>
      </c>
      <c r="J20" s="35"/>
      <c r="K20" s="33" t="s">
        <v>87</v>
      </c>
      <c r="L20" s="33" t="s">
        <v>192</v>
      </c>
      <c r="M20" s="33" t="s">
        <v>158</v>
      </c>
      <c r="N20" s="35"/>
      <c r="O20" s="33" t="s">
        <v>89</v>
      </c>
      <c r="P20" s="33" t="s">
        <v>198</v>
      </c>
      <c r="Q20" s="34" t="s">
        <v>102</v>
      </c>
      <c r="R20" s="35"/>
      <c r="S20" s="15" t="str">
        <f>"282,5"</f>
        <v>282,5</v>
      </c>
      <c r="T20" s="15" t="str">
        <f>"290,8055"</f>
        <v>290,8055</v>
      </c>
      <c r="U20" s="13" t="s">
        <v>199</v>
      </c>
    </row>
    <row r="22" spans="1:21" ht="16">
      <c r="A22" s="53" t="s">
        <v>200</v>
      </c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1:21">
      <c r="A23" s="28" t="s">
        <v>60</v>
      </c>
      <c r="B23" s="7" t="s">
        <v>201</v>
      </c>
      <c r="C23" s="7" t="s">
        <v>202</v>
      </c>
      <c r="D23" s="7" t="s">
        <v>203</v>
      </c>
      <c r="E23" s="8" t="s">
        <v>757</v>
      </c>
      <c r="F23" s="7" t="s">
        <v>64</v>
      </c>
      <c r="G23" s="29" t="s">
        <v>89</v>
      </c>
      <c r="H23" s="27" t="s">
        <v>89</v>
      </c>
      <c r="I23" s="29" t="s">
        <v>16</v>
      </c>
      <c r="J23" s="28"/>
      <c r="K23" s="27" t="s">
        <v>158</v>
      </c>
      <c r="L23" s="27" t="s">
        <v>178</v>
      </c>
      <c r="M23" s="29" t="s">
        <v>159</v>
      </c>
      <c r="N23" s="28"/>
      <c r="O23" s="27" t="s">
        <v>72</v>
      </c>
      <c r="P23" s="29" t="s">
        <v>204</v>
      </c>
      <c r="Q23" s="29" t="s">
        <v>204</v>
      </c>
      <c r="R23" s="28"/>
      <c r="S23" s="9" t="str">
        <f>"307,5"</f>
        <v>307,5</v>
      </c>
      <c r="T23" s="9" t="str">
        <f>"306,8235"</f>
        <v>306,8235</v>
      </c>
      <c r="U23" s="7" t="s">
        <v>277</v>
      </c>
    </row>
    <row r="25" spans="1:21" ht="16">
      <c r="A25" s="53" t="s">
        <v>10</v>
      </c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</row>
    <row r="26" spans="1:21">
      <c r="A26" s="28" t="s">
        <v>60</v>
      </c>
      <c r="B26" s="7" t="s">
        <v>205</v>
      </c>
      <c r="C26" s="7" t="s">
        <v>206</v>
      </c>
      <c r="D26" s="7" t="s">
        <v>207</v>
      </c>
      <c r="E26" s="8" t="s">
        <v>757</v>
      </c>
      <c r="F26" s="7" t="s">
        <v>64</v>
      </c>
      <c r="G26" s="29" t="s">
        <v>87</v>
      </c>
      <c r="H26" s="27" t="s">
        <v>87</v>
      </c>
      <c r="I26" s="28"/>
      <c r="J26" s="28"/>
      <c r="K26" s="29" t="s">
        <v>85</v>
      </c>
      <c r="L26" s="27" t="s">
        <v>85</v>
      </c>
      <c r="M26" s="29" t="s">
        <v>208</v>
      </c>
      <c r="N26" s="28"/>
      <c r="O26" s="27" t="s">
        <v>83</v>
      </c>
      <c r="P26" s="27" t="s">
        <v>177</v>
      </c>
      <c r="Q26" s="27" t="s">
        <v>16</v>
      </c>
      <c r="R26" s="28"/>
      <c r="S26" s="9" t="str">
        <f>"210,0"</f>
        <v>210,0</v>
      </c>
      <c r="T26" s="9" t="str">
        <f>"189,5880"</f>
        <v>189,5880</v>
      </c>
      <c r="U26" s="7" t="s">
        <v>209</v>
      </c>
    </row>
    <row r="28" spans="1:21" ht="16">
      <c r="A28" s="53" t="s">
        <v>79</v>
      </c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</row>
    <row r="29" spans="1:21">
      <c r="A29" s="28" t="s">
        <v>60</v>
      </c>
      <c r="B29" s="7" t="s">
        <v>210</v>
      </c>
      <c r="C29" s="7" t="s">
        <v>211</v>
      </c>
      <c r="D29" s="7" t="s">
        <v>81</v>
      </c>
      <c r="E29" s="8" t="s">
        <v>757</v>
      </c>
      <c r="F29" s="7" t="s">
        <v>139</v>
      </c>
      <c r="G29" s="27" t="s">
        <v>212</v>
      </c>
      <c r="H29" s="27" t="s">
        <v>76</v>
      </c>
      <c r="I29" s="27" t="s">
        <v>198</v>
      </c>
      <c r="J29" s="28"/>
      <c r="K29" s="27" t="s">
        <v>213</v>
      </c>
      <c r="L29" s="27" t="s">
        <v>177</v>
      </c>
      <c r="M29" s="29" t="s">
        <v>88</v>
      </c>
      <c r="N29" s="28"/>
      <c r="O29" s="29" t="s">
        <v>28</v>
      </c>
      <c r="P29" s="27" t="s">
        <v>28</v>
      </c>
      <c r="Q29" s="27" t="s">
        <v>47</v>
      </c>
      <c r="R29" s="28"/>
      <c r="S29" s="9" t="str">
        <f>"382,5"</f>
        <v>382,5</v>
      </c>
      <c r="T29" s="9" t="str">
        <f>"328,2232"</f>
        <v>328,2232</v>
      </c>
      <c r="U29" s="7" t="s">
        <v>214</v>
      </c>
    </row>
    <row r="31" spans="1:21" ht="16">
      <c r="A31" s="53" t="s">
        <v>189</v>
      </c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</row>
    <row r="32" spans="1:21">
      <c r="A32" s="32" t="s">
        <v>60</v>
      </c>
      <c r="B32" s="10" t="s">
        <v>215</v>
      </c>
      <c r="C32" s="10" t="s">
        <v>216</v>
      </c>
      <c r="D32" s="10" t="s">
        <v>217</v>
      </c>
      <c r="E32" s="11" t="s">
        <v>760</v>
      </c>
      <c r="F32" s="10" t="s">
        <v>218</v>
      </c>
      <c r="G32" s="31" t="s">
        <v>84</v>
      </c>
      <c r="H32" s="30" t="s">
        <v>84</v>
      </c>
      <c r="I32" s="31" t="s">
        <v>172</v>
      </c>
      <c r="J32" s="32"/>
      <c r="K32" s="30" t="s">
        <v>161</v>
      </c>
      <c r="L32" s="31" t="s">
        <v>162</v>
      </c>
      <c r="M32" s="31" t="s">
        <v>162</v>
      </c>
      <c r="N32" s="32"/>
      <c r="O32" s="30" t="s">
        <v>17</v>
      </c>
      <c r="P32" s="30" t="s">
        <v>72</v>
      </c>
      <c r="Q32" s="30" t="s">
        <v>118</v>
      </c>
      <c r="R32" s="32"/>
      <c r="S32" s="12" t="str">
        <f>"310,0"</f>
        <v>310,0</v>
      </c>
      <c r="T32" s="12" t="str">
        <f>"244,9310"</f>
        <v>244,9310</v>
      </c>
      <c r="U32" s="10" t="s">
        <v>219</v>
      </c>
    </row>
    <row r="33" spans="1:21">
      <c r="A33" s="35" t="s">
        <v>60</v>
      </c>
      <c r="B33" s="13" t="s">
        <v>643</v>
      </c>
      <c r="C33" s="13" t="s">
        <v>221</v>
      </c>
      <c r="D33" s="13" t="s">
        <v>222</v>
      </c>
      <c r="E33" s="14" t="s">
        <v>757</v>
      </c>
      <c r="F33" s="13" t="s">
        <v>64</v>
      </c>
      <c r="G33" s="33" t="s">
        <v>83</v>
      </c>
      <c r="H33" s="33" t="s">
        <v>84</v>
      </c>
      <c r="I33" s="33" t="s">
        <v>88</v>
      </c>
      <c r="J33" s="35"/>
      <c r="K33" s="33" t="s">
        <v>159</v>
      </c>
      <c r="L33" s="33" t="s">
        <v>161</v>
      </c>
      <c r="M33" s="33" t="s">
        <v>193</v>
      </c>
      <c r="N33" s="35"/>
      <c r="O33" s="33" t="s">
        <v>18</v>
      </c>
      <c r="P33" s="33" t="s">
        <v>118</v>
      </c>
      <c r="Q33" s="33" t="s">
        <v>13</v>
      </c>
      <c r="R33" s="35"/>
      <c r="S33" s="15" t="str">
        <f>"345,0"</f>
        <v>345,0</v>
      </c>
      <c r="T33" s="15" t="str">
        <f>"267,9270"</f>
        <v>267,9270</v>
      </c>
      <c r="U33" s="13" t="s">
        <v>108</v>
      </c>
    </row>
    <row r="35" spans="1:21" ht="16">
      <c r="A35" s="53" t="s">
        <v>200</v>
      </c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</row>
    <row r="36" spans="1:21">
      <c r="A36" s="32" t="s">
        <v>60</v>
      </c>
      <c r="B36" s="10" t="s">
        <v>650</v>
      </c>
      <c r="C36" s="10" t="s">
        <v>223</v>
      </c>
      <c r="D36" s="10" t="s">
        <v>224</v>
      </c>
      <c r="E36" s="11" t="s">
        <v>760</v>
      </c>
      <c r="F36" s="10" t="s">
        <v>64</v>
      </c>
      <c r="G36" s="30" t="s">
        <v>18</v>
      </c>
      <c r="H36" s="30" t="s">
        <v>102</v>
      </c>
      <c r="I36" s="30" t="s">
        <v>28</v>
      </c>
      <c r="J36" s="32"/>
      <c r="K36" s="30" t="s">
        <v>88</v>
      </c>
      <c r="L36" s="30" t="s">
        <v>74</v>
      </c>
      <c r="M36" s="31" t="s">
        <v>89</v>
      </c>
      <c r="N36" s="32"/>
      <c r="O36" s="30" t="s">
        <v>13</v>
      </c>
      <c r="P36" s="30" t="s">
        <v>14</v>
      </c>
      <c r="Q36" s="30" t="s">
        <v>225</v>
      </c>
      <c r="R36" s="32"/>
      <c r="S36" s="12" t="str">
        <f>"437,5"</f>
        <v>437,5</v>
      </c>
      <c r="T36" s="12" t="str">
        <f>"315,0000"</f>
        <v>315,0000</v>
      </c>
      <c r="U36" s="10" t="s">
        <v>20</v>
      </c>
    </row>
    <row r="37" spans="1:21">
      <c r="A37" s="41" t="s">
        <v>60</v>
      </c>
      <c r="B37" s="36" t="s">
        <v>714</v>
      </c>
      <c r="C37" s="36" t="s">
        <v>227</v>
      </c>
      <c r="D37" s="36" t="s">
        <v>228</v>
      </c>
      <c r="E37" s="37" t="s">
        <v>757</v>
      </c>
      <c r="F37" s="36" t="s">
        <v>64</v>
      </c>
      <c r="G37" s="39" t="s">
        <v>225</v>
      </c>
      <c r="H37" s="40" t="s">
        <v>19</v>
      </c>
      <c r="I37" s="40" t="s">
        <v>19</v>
      </c>
      <c r="J37" s="41"/>
      <c r="K37" s="39" t="s">
        <v>16</v>
      </c>
      <c r="L37" s="39" t="s">
        <v>229</v>
      </c>
      <c r="M37" s="39" t="s">
        <v>18</v>
      </c>
      <c r="N37" s="41"/>
      <c r="O37" s="39" t="s">
        <v>19</v>
      </c>
      <c r="P37" s="39" t="s">
        <v>26</v>
      </c>
      <c r="Q37" s="40" t="s">
        <v>27</v>
      </c>
      <c r="R37" s="41"/>
      <c r="S37" s="38" t="str">
        <f>"512,5"</f>
        <v>512,5</v>
      </c>
      <c r="T37" s="38" t="str">
        <f>"384,8875"</f>
        <v>384,8875</v>
      </c>
      <c r="U37" s="36" t="s">
        <v>230</v>
      </c>
    </row>
    <row r="38" spans="1:21">
      <c r="A38" s="41" t="s">
        <v>150</v>
      </c>
      <c r="B38" s="36" t="s">
        <v>652</v>
      </c>
      <c r="C38" s="36" t="s">
        <v>231</v>
      </c>
      <c r="D38" s="36" t="s">
        <v>232</v>
      </c>
      <c r="E38" s="37" t="s">
        <v>757</v>
      </c>
      <c r="F38" s="36" t="s">
        <v>64</v>
      </c>
      <c r="G38" s="39" t="s">
        <v>14</v>
      </c>
      <c r="H38" s="39" t="s">
        <v>15</v>
      </c>
      <c r="I38" s="39" t="s">
        <v>19</v>
      </c>
      <c r="J38" s="41"/>
      <c r="K38" s="39" t="s">
        <v>74</v>
      </c>
      <c r="L38" s="39" t="s">
        <v>122</v>
      </c>
      <c r="M38" s="40" t="s">
        <v>16</v>
      </c>
      <c r="N38" s="41"/>
      <c r="O38" s="39" t="s">
        <v>225</v>
      </c>
      <c r="P38" s="39" t="s">
        <v>233</v>
      </c>
      <c r="Q38" s="40" t="s">
        <v>26</v>
      </c>
      <c r="R38" s="41"/>
      <c r="S38" s="38" t="str">
        <f>"495,0"</f>
        <v>495,0</v>
      </c>
      <c r="T38" s="38" t="str">
        <f>"361,3500"</f>
        <v>361,3500</v>
      </c>
      <c r="U38" s="36" t="s">
        <v>108</v>
      </c>
    </row>
    <row r="39" spans="1:21">
      <c r="A39" s="35" t="s">
        <v>151</v>
      </c>
      <c r="B39" s="13" t="s">
        <v>715</v>
      </c>
      <c r="C39" s="13" t="s">
        <v>234</v>
      </c>
      <c r="D39" s="13" t="s">
        <v>235</v>
      </c>
      <c r="E39" s="14" t="s">
        <v>757</v>
      </c>
      <c r="F39" s="13" t="s">
        <v>64</v>
      </c>
      <c r="G39" s="33" t="s">
        <v>77</v>
      </c>
      <c r="H39" s="34" t="s">
        <v>67</v>
      </c>
      <c r="I39" s="34" t="s">
        <v>67</v>
      </c>
      <c r="J39" s="35"/>
      <c r="K39" s="33" t="s">
        <v>74</v>
      </c>
      <c r="L39" s="33" t="s">
        <v>89</v>
      </c>
      <c r="M39" s="33" t="s">
        <v>76</v>
      </c>
      <c r="N39" s="35"/>
      <c r="O39" s="33" t="s">
        <v>15</v>
      </c>
      <c r="P39" s="33" t="s">
        <v>236</v>
      </c>
      <c r="Q39" s="33" t="s">
        <v>237</v>
      </c>
      <c r="R39" s="35"/>
      <c r="S39" s="15" t="str">
        <f>"480,0"</f>
        <v>480,0</v>
      </c>
      <c r="T39" s="15" t="str">
        <f>"346,2720"</f>
        <v>346,2720</v>
      </c>
      <c r="U39" s="13" t="s">
        <v>277</v>
      </c>
    </row>
    <row r="41" spans="1:21" ht="16">
      <c r="A41" s="53" t="s">
        <v>10</v>
      </c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</row>
    <row r="42" spans="1:21">
      <c r="A42" s="32" t="s">
        <v>60</v>
      </c>
      <c r="B42" s="10" t="s">
        <v>716</v>
      </c>
      <c r="C42" s="10" t="s">
        <v>239</v>
      </c>
      <c r="D42" s="10" t="s">
        <v>240</v>
      </c>
      <c r="E42" s="11" t="s">
        <v>757</v>
      </c>
      <c r="F42" s="10" t="s">
        <v>64</v>
      </c>
      <c r="G42" s="30" t="s">
        <v>19</v>
      </c>
      <c r="H42" s="30" t="s">
        <v>26</v>
      </c>
      <c r="I42" s="30" t="s">
        <v>27</v>
      </c>
      <c r="J42" s="32"/>
      <c r="K42" s="30" t="s">
        <v>121</v>
      </c>
      <c r="L42" s="30" t="s">
        <v>13</v>
      </c>
      <c r="M42" s="32"/>
      <c r="N42" s="32"/>
      <c r="O42" s="30" t="s">
        <v>241</v>
      </c>
      <c r="P42" s="30" t="s">
        <v>113</v>
      </c>
      <c r="Q42" s="31" t="s">
        <v>45</v>
      </c>
      <c r="R42" s="32"/>
      <c r="S42" s="12" t="str">
        <f>"605,0"</f>
        <v>605,0</v>
      </c>
      <c r="T42" s="12" t="str">
        <f>"408,9195"</f>
        <v>408,9195</v>
      </c>
      <c r="U42" s="10" t="s">
        <v>242</v>
      </c>
    </row>
    <row r="43" spans="1:21">
      <c r="A43" s="41" t="s">
        <v>150</v>
      </c>
      <c r="B43" s="36" t="s">
        <v>243</v>
      </c>
      <c r="C43" s="36" t="s">
        <v>244</v>
      </c>
      <c r="D43" s="36" t="s">
        <v>245</v>
      </c>
      <c r="E43" s="37" t="s">
        <v>757</v>
      </c>
      <c r="F43" s="36" t="s">
        <v>64</v>
      </c>
      <c r="G43" s="39" t="s">
        <v>19</v>
      </c>
      <c r="H43" s="39" t="s">
        <v>236</v>
      </c>
      <c r="I43" s="40" t="s">
        <v>146</v>
      </c>
      <c r="J43" s="41"/>
      <c r="K43" s="39" t="s">
        <v>246</v>
      </c>
      <c r="L43" s="40" t="s">
        <v>247</v>
      </c>
      <c r="M43" s="41"/>
      <c r="N43" s="41"/>
      <c r="O43" s="39" t="s">
        <v>29</v>
      </c>
      <c r="P43" s="39" t="s">
        <v>44</v>
      </c>
      <c r="Q43" s="40" t="s">
        <v>128</v>
      </c>
      <c r="R43" s="41"/>
      <c r="S43" s="38" t="str">
        <f>"560,0"</f>
        <v>560,0</v>
      </c>
      <c r="T43" s="38" t="str">
        <f>"385,0560"</f>
        <v>385,0560</v>
      </c>
      <c r="U43" s="36" t="s">
        <v>230</v>
      </c>
    </row>
    <row r="44" spans="1:21">
      <c r="A44" s="35" t="s">
        <v>151</v>
      </c>
      <c r="B44" s="13" t="s">
        <v>248</v>
      </c>
      <c r="C44" s="13" t="s">
        <v>249</v>
      </c>
      <c r="D44" s="13" t="s">
        <v>250</v>
      </c>
      <c r="E44" s="14" t="s">
        <v>757</v>
      </c>
      <c r="F44" s="13" t="s">
        <v>64</v>
      </c>
      <c r="G44" s="33" t="s">
        <v>28</v>
      </c>
      <c r="H44" s="33" t="s">
        <v>13</v>
      </c>
      <c r="I44" s="34" t="s">
        <v>14</v>
      </c>
      <c r="J44" s="35"/>
      <c r="K44" s="33" t="s">
        <v>102</v>
      </c>
      <c r="L44" s="33" t="s">
        <v>118</v>
      </c>
      <c r="M44" s="33" t="s">
        <v>28</v>
      </c>
      <c r="N44" s="35"/>
      <c r="O44" s="33" t="s">
        <v>13</v>
      </c>
      <c r="P44" s="33" t="s">
        <v>14</v>
      </c>
      <c r="Q44" s="33" t="s">
        <v>38</v>
      </c>
      <c r="R44" s="35"/>
      <c r="S44" s="15" t="str">
        <f>"485,0"</f>
        <v>485,0</v>
      </c>
      <c r="T44" s="15" t="str">
        <f>"328,5390"</f>
        <v>328,5390</v>
      </c>
      <c r="U44" s="13" t="s">
        <v>199</v>
      </c>
    </row>
    <row r="46" spans="1:21" ht="16">
      <c r="A46" s="53" t="s">
        <v>21</v>
      </c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</row>
    <row r="47" spans="1:21">
      <c r="A47" s="28" t="s">
        <v>60</v>
      </c>
      <c r="B47" s="7" t="s">
        <v>251</v>
      </c>
      <c r="C47" s="7" t="s">
        <v>252</v>
      </c>
      <c r="D47" s="7" t="s">
        <v>253</v>
      </c>
      <c r="E47" s="8" t="s">
        <v>757</v>
      </c>
      <c r="F47" s="7" t="s">
        <v>254</v>
      </c>
      <c r="G47" s="27" t="s">
        <v>17</v>
      </c>
      <c r="H47" s="29" t="s">
        <v>72</v>
      </c>
      <c r="I47" s="29" t="s">
        <v>72</v>
      </c>
      <c r="J47" s="28"/>
      <c r="K47" s="27" t="s">
        <v>74</v>
      </c>
      <c r="L47" s="27" t="s">
        <v>89</v>
      </c>
      <c r="M47" s="29" t="s">
        <v>76</v>
      </c>
      <c r="N47" s="28"/>
      <c r="O47" s="27" t="s">
        <v>121</v>
      </c>
      <c r="P47" s="29" t="s">
        <v>129</v>
      </c>
      <c r="Q47" s="29" t="s">
        <v>129</v>
      </c>
      <c r="R47" s="28"/>
      <c r="S47" s="9" t="str">
        <f>"390,0"</f>
        <v>390,0</v>
      </c>
      <c r="T47" s="9" t="str">
        <f>"256,7370"</f>
        <v>256,7370</v>
      </c>
      <c r="U47" s="7" t="s">
        <v>255</v>
      </c>
    </row>
    <row r="49" spans="1:21" ht="16">
      <c r="A49" s="53" t="s">
        <v>31</v>
      </c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</row>
    <row r="50" spans="1:21">
      <c r="A50" s="28" t="s">
        <v>60</v>
      </c>
      <c r="B50" s="7" t="s">
        <v>256</v>
      </c>
      <c r="C50" s="7" t="s">
        <v>257</v>
      </c>
      <c r="D50" s="7" t="s">
        <v>258</v>
      </c>
      <c r="E50" s="8" t="s">
        <v>761</v>
      </c>
      <c r="F50" s="7" t="s">
        <v>259</v>
      </c>
      <c r="G50" s="27" t="s">
        <v>76</v>
      </c>
      <c r="H50" s="27" t="s">
        <v>17</v>
      </c>
      <c r="I50" s="27" t="s">
        <v>18</v>
      </c>
      <c r="J50" s="28"/>
      <c r="K50" s="29" t="s">
        <v>82</v>
      </c>
      <c r="L50" s="27" t="s">
        <v>161</v>
      </c>
      <c r="M50" s="29" t="s">
        <v>83</v>
      </c>
      <c r="N50" s="28"/>
      <c r="O50" s="27" t="s">
        <v>18</v>
      </c>
      <c r="P50" s="27" t="s">
        <v>118</v>
      </c>
      <c r="Q50" s="27" t="s">
        <v>121</v>
      </c>
      <c r="R50" s="28"/>
      <c r="S50" s="9" t="str">
        <f>"360,0"</f>
        <v>360,0</v>
      </c>
      <c r="T50" s="9" t="str">
        <f>"221,0040"</f>
        <v>221,0040</v>
      </c>
      <c r="U50" s="7" t="s">
        <v>608</v>
      </c>
    </row>
    <row r="52" spans="1:21" ht="16">
      <c r="A52" s="53" t="s">
        <v>41</v>
      </c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</row>
    <row r="53" spans="1:21">
      <c r="A53" s="28" t="s">
        <v>60</v>
      </c>
      <c r="B53" s="7" t="s">
        <v>717</v>
      </c>
      <c r="C53" s="7" t="s">
        <v>260</v>
      </c>
      <c r="D53" s="7" t="s">
        <v>261</v>
      </c>
      <c r="E53" s="8" t="s">
        <v>757</v>
      </c>
      <c r="F53" s="7" t="s">
        <v>64</v>
      </c>
      <c r="G53" s="27" t="s">
        <v>14</v>
      </c>
      <c r="H53" s="27" t="s">
        <v>15</v>
      </c>
      <c r="I53" s="27" t="s">
        <v>25</v>
      </c>
      <c r="J53" s="28"/>
      <c r="K53" s="27" t="s">
        <v>16</v>
      </c>
      <c r="L53" s="27" t="s">
        <v>18</v>
      </c>
      <c r="M53" s="27" t="s">
        <v>247</v>
      </c>
      <c r="N53" s="28"/>
      <c r="O53" s="27" t="s">
        <v>27</v>
      </c>
      <c r="P53" s="27" t="s">
        <v>241</v>
      </c>
      <c r="Q53" s="27" t="s">
        <v>113</v>
      </c>
      <c r="R53" s="28"/>
      <c r="S53" s="9" t="str">
        <f>"557,5"</f>
        <v>557,5</v>
      </c>
      <c r="T53" s="9" t="str">
        <f>"330,7647"</f>
        <v>330,7647</v>
      </c>
      <c r="U53" s="7" t="s">
        <v>262</v>
      </c>
    </row>
    <row r="55" spans="1:21" ht="16">
      <c r="F55" s="17"/>
      <c r="G55" s="5"/>
    </row>
    <row r="56" spans="1:21">
      <c r="G56" s="5"/>
    </row>
    <row r="57" spans="1:21" ht="18">
      <c r="B57" s="18" t="s">
        <v>49</v>
      </c>
      <c r="C57" s="18"/>
    </row>
    <row r="58" spans="1:21" ht="16">
      <c r="B58" s="19" t="s">
        <v>147</v>
      </c>
      <c r="C58" s="19"/>
    </row>
    <row r="59" spans="1:21" ht="14">
      <c r="B59" s="20"/>
      <c r="C59" s="21" t="s">
        <v>51</v>
      </c>
      <c r="G59" s="3"/>
    </row>
    <row r="60" spans="1:21" ht="14">
      <c r="B60" s="22" t="s">
        <v>52</v>
      </c>
      <c r="C60" s="22" t="s">
        <v>53</v>
      </c>
      <c r="D60" s="22" t="s">
        <v>725</v>
      </c>
      <c r="E60" s="23" t="s">
        <v>55</v>
      </c>
      <c r="F60" s="22" t="s">
        <v>56</v>
      </c>
      <c r="G60" s="3"/>
    </row>
    <row r="61" spans="1:21">
      <c r="B61" s="5" t="s">
        <v>169</v>
      </c>
      <c r="C61" s="5" t="s">
        <v>51</v>
      </c>
      <c r="D61" s="25" t="s">
        <v>265</v>
      </c>
      <c r="E61" s="26">
        <v>305</v>
      </c>
      <c r="F61" s="24">
        <v>358.862993717194</v>
      </c>
      <c r="G61" s="3"/>
    </row>
    <row r="62" spans="1:21">
      <c r="B62" s="5" t="s">
        <v>174</v>
      </c>
      <c r="C62" s="5" t="s">
        <v>51</v>
      </c>
      <c r="D62" s="25" t="s">
        <v>265</v>
      </c>
      <c r="E62" s="26">
        <v>267.5</v>
      </c>
      <c r="F62" s="24">
        <v>314.74049448967003</v>
      </c>
      <c r="G62" s="3"/>
    </row>
    <row r="63" spans="1:21">
      <c r="B63" s="5" t="s">
        <v>201</v>
      </c>
      <c r="C63" s="5" t="s">
        <v>51</v>
      </c>
      <c r="D63" s="25" t="s">
        <v>266</v>
      </c>
      <c r="E63" s="26">
        <v>307.5</v>
      </c>
      <c r="F63" s="24">
        <v>306.82349771261198</v>
      </c>
      <c r="G63" s="3"/>
    </row>
    <row r="64" spans="1:21">
      <c r="G64" s="3"/>
    </row>
    <row r="65" spans="2:7" ht="16">
      <c r="B65" s="19" t="s">
        <v>50</v>
      </c>
      <c r="C65" s="19"/>
      <c r="G65" s="3"/>
    </row>
    <row r="66" spans="2:7" ht="14">
      <c r="B66" s="20"/>
      <c r="C66" s="21" t="s">
        <v>51</v>
      </c>
      <c r="G66" s="3"/>
    </row>
    <row r="67" spans="2:7" ht="14">
      <c r="B67" s="22" t="s">
        <v>52</v>
      </c>
      <c r="C67" s="22" t="s">
        <v>53</v>
      </c>
      <c r="D67" s="22" t="s">
        <v>725</v>
      </c>
      <c r="E67" s="23" t="s">
        <v>55</v>
      </c>
      <c r="F67" s="22" t="s">
        <v>56</v>
      </c>
      <c r="G67" s="3"/>
    </row>
    <row r="68" spans="2:7">
      <c r="B68" s="5" t="s">
        <v>238</v>
      </c>
      <c r="C68" s="5" t="s">
        <v>51</v>
      </c>
      <c r="D68" s="25" t="s">
        <v>149</v>
      </c>
      <c r="E68" s="26">
        <v>605</v>
      </c>
      <c r="F68" s="24">
        <v>408.91948938369802</v>
      </c>
      <c r="G68" s="3"/>
    </row>
    <row r="69" spans="2:7">
      <c r="B69" s="5" t="s">
        <v>243</v>
      </c>
      <c r="C69" s="5" t="s">
        <v>51</v>
      </c>
      <c r="D69" s="25" t="s">
        <v>149</v>
      </c>
      <c r="E69" s="26">
        <v>560</v>
      </c>
      <c r="F69" s="24">
        <v>385.05600929260299</v>
      </c>
      <c r="G69" s="3"/>
    </row>
    <row r="70" spans="2:7">
      <c r="B70" s="5" t="s">
        <v>226</v>
      </c>
      <c r="C70" s="5" t="s">
        <v>51</v>
      </c>
      <c r="D70" s="25" t="s">
        <v>266</v>
      </c>
      <c r="E70" s="26">
        <v>512.5</v>
      </c>
      <c r="F70" s="24">
        <v>384.88749340176599</v>
      </c>
      <c r="G70" s="3"/>
    </row>
    <row r="71" spans="2:7">
      <c r="E71" s="5"/>
      <c r="F71" s="16"/>
      <c r="G71" s="5"/>
    </row>
  </sheetData>
  <mergeCells count="26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  <mergeCell ref="B3:B4"/>
    <mergeCell ref="A52:R52"/>
    <mergeCell ref="A8:R8"/>
    <mergeCell ref="A13:R13"/>
    <mergeCell ref="A18:R18"/>
    <mergeCell ref="A22:R22"/>
    <mergeCell ref="A25:R25"/>
    <mergeCell ref="A28:R28"/>
    <mergeCell ref="A31:R31"/>
    <mergeCell ref="A35:R35"/>
    <mergeCell ref="A41:R41"/>
    <mergeCell ref="A46:R46"/>
    <mergeCell ref="A49:R4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8"/>
  <dimension ref="A1:M20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5.664062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5" t="s">
        <v>735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8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200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32" t="s">
        <v>60</v>
      </c>
      <c r="B6" s="10" t="s">
        <v>269</v>
      </c>
      <c r="C6" s="10" t="s">
        <v>270</v>
      </c>
      <c r="D6" s="10" t="s">
        <v>271</v>
      </c>
      <c r="E6" s="11" t="s">
        <v>757</v>
      </c>
      <c r="F6" s="10" t="s">
        <v>745</v>
      </c>
      <c r="G6" s="30" t="s">
        <v>241</v>
      </c>
      <c r="H6" s="31" t="s">
        <v>114</v>
      </c>
      <c r="I6" s="31" t="s">
        <v>114</v>
      </c>
      <c r="J6" s="32"/>
      <c r="K6" s="12" t="str">
        <f>"225,0"</f>
        <v>225,0</v>
      </c>
      <c r="L6" s="12" t="str">
        <f>"155,2275"</f>
        <v>155,2275</v>
      </c>
      <c r="M6" s="10"/>
    </row>
    <row r="7" spans="1:13">
      <c r="A7" s="35" t="s">
        <v>60</v>
      </c>
      <c r="B7" s="13" t="s">
        <v>269</v>
      </c>
      <c r="C7" s="13" t="s">
        <v>272</v>
      </c>
      <c r="D7" s="13" t="s">
        <v>271</v>
      </c>
      <c r="E7" s="14" t="s">
        <v>762</v>
      </c>
      <c r="F7" s="13" t="s">
        <v>745</v>
      </c>
      <c r="G7" s="33" t="s">
        <v>241</v>
      </c>
      <c r="H7" s="34" t="s">
        <v>114</v>
      </c>
      <c r="I7" s="34" t="s">
        <v>114</v>
      </c>
      <c r="J7" s="35"/>
      <c r="K7" s="15" t="str">
        <f>"225,0"</f>
        <v>225,0</v>
      </c>
      <c r="L7" s="15" t="str">
        <f>"161,9023"</f>
        <v>161,9023</v>
      </c>
      <c r="M7" s="13"/>
    </row>
    <row r="9" spans="1:13" ht="16">
      <c r="A9" s="53" t="s">
        <v>10</v>
      </c>
      <c r="B9" s="53"/>
      <c r="C9" s="54"/>
      <c r="D9" s="54"/>
      <c r="E9" s="54"/>
      <c r="F9" s="54"/>
      <c r="G9" s="54"/>
      <c r="H9" s="54"/>
      <c r="I9" s="54"/>
      <c r="J9" s="54"/>
    </row>
    <row r="10" spans="1:13">
      <c r="A10" s="32" t="s">
        <v>60</v>
      </c>
      <c r="B10" s="10" t="s">
        <v>442</v>
      </c>
      <c r="C10" s="10" t="s">
        <v>273</v>
      </c>
      <c r="D10" s="10" t="s">
        <v>274</v>
      </c>
      <c r="E10" s="11" t="s">
        <v>757</v>
      </c>
      <c r="F10" s="10" t="s">
        <v>64</v>
      </c>
      <c r="G10" s="30" t="s">
        <v>39</v>
      </c>
      <c r="H10" s="31" t="s">
        <v>275</v>
      </c>
      <c r="I10" s="31" t="s">
        <v>275</v>
      </c>
      <c r="J10" s="32"/>
      <c r="K10" s="12" t="str">
        <f>"270,0"</f>
        <v>270,0</v>
      </c>
      <c r="L10" s="12" t="str">
        <f>"175,2975"</f>
        <v>175,2975</v>
      </c>
      <c r="M10" s="10" t="s">
        <v>199</v>
      </c>
    </row>
    <row r="11" spans="1:13">
      <c r="A11" s="35" t="s">
        <v>150</v>
      </c>
      <c r="B11" s="13" t="s">
        <v>710</v>
      </c>
      <c r="C11" s="13" t="s">
        <v>249</v>
      </c>
      <c r="D11" s="13" t="s">
        <v>276</v>
      </c>
      <c r="E11" s="14" t="s">
        <v>757</v>
      </c>
      <c r="F11" s="13" t="s">
        <v>64</v>
      </c>
      <c r="G11" s="33" t="s">
        <v>29</v>
      </c>
      <c r="H11" s="34" t="s">
        <v>45</v>
      </c>
      <c r="I11" s="34" t="s">
        <v>45</v>
      </c>
      <c r="J11" s="35"/>
      <c r="K11" s="15" t="str">
        <f>"220,0"</f>
        <v>220,0</v>
      </c>
      <c r="L11" s="15" t="str">
        <f>"143,5775"</f>
        <v>143,5775</v>
      </c>
      <c r="M11" s="13" t="s">
        <v>199</v>
      </c>
    </row>
    <row r="13" spans="1:13" ht="16">
      <c r="A13" s="53" t="s">
        <v>21</v>
      </c>
      <c r="B13" s="53"/>
      <c r="C13" s="54"/>
      <c r="D13" s="54"/>
      <c r="E13" s="54"/>
      <c r="F13" s="54"/>
      <c r="G13" s="54"/>
      <c r="H13" s="54"/>
      <c r="I13" s="54"/>
      <c r="J13" s="54"/>
    </row>
    <row r="14" spans="1:13">
      <c r="A14" s="28" t="s">
        <v>60</v>
      </c>
      <c r="B14" s="7" t="s">
        <v>108</v>
      </c>
      <c r="C14" s="7" t="s">
        <v>278</v>
      </c>
      <c r="D14" s="7" t="s">
        <v>279</v>
      </c>
      <c r="E14" s="8" t="s">
        <v>757</v>
      </c>
      <c r="F14" s="7" t="s">
        <v>64</v>
      </c>
      <c r="G14" s="27" t="s">
        <v>241</v>
      </c>
      <c r="H14" s="29" t="s">
        <v>141</v>
      </c>
      <c r="I14" s="29" t="s">
        <v>280</v>
      </c>
      <c r="J14" s="28"/>
      <c r="K14" s="9" t="str">
        <f>"225,0"</f>
        <v>225,0</v>
      </c>
      <c r="L14" s="9" t="str">
        <f>"139,9838"</f>
        <v>139,9838</v>
      </c>
      <c r="M14" s="7" t="s">
        <v>69</v>
      </c>
    </row>
    <row r="16" spans="1:13" ht="16">
      <c r="A16" s="53" t="s">
        <v>41</v>
      </c>
      <c r="B16" s="53"/>
      <c r="C16" s="54"/>
      <c r="D16" s="54"/>
      <c r="E16" s="54"/>
      <c r="F16" s="54"/>
      <c r="G16" s="54"/>
      <c r="H16" s="54"/>
      <c r="I16" s="54"/>
      <c r="J16" s="54"/>
    </row>
    <row r="17" spans="1:13">
      <c r="A17" s="28" t="s">
        <v>60</v>
      </c>
      <c r="B17" s="7" t="s">
        <v>709</v>
      </c>
      <c r="C17" s="7" t="s">
        <v>281</v>
      </c>
      <c r="D17" s="7" t="s">
        <v>282</v>
      </c>
      <c r="E17" s="8" t="s">
        <v>760</v>
      </c>
      <c r="F17" s="7" t="s">
        <v>64</v>
      </c>
      <c r="G17" s="27" t="s">
        <v>29</v>
      </c>
      <c r="H17" s="29" t="s">
        <v>113</v>
      </c>
      <c r="I17" s="29" t="s">
        <v>113</v>
      </c>
      <c r="J17" s="28"/>
      <c r="K17" s="9" t="str">
        <f>"220,0"</f>
        <v>220,0</v>
      </c>
      <c r="L17" s="9" t="str">
        <f>"126,9510"</f>
        <v>126,9510</v>
      </c>
      <c r="M17" s="7" t="s">
        <v>199</v>
      </c>
    </row>
    <row r="19" spans="1:13" ht="16">
      <c r="F19" s="17"/>
      <c r="G19" s="5"/>
      <c r="K19" s="25"/>
      <c r="M19" s="6"/>
    </row>
    <row r="20" spans="1:13">
      <c r="G20" s="5"/>
      <c r="K20" s="25"/>
      <c r="M20" s="6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3:J13"/>
    <mergeCell ref="A16:J16"/>
    <mergeCell ref="B3:B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2"/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3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55" t="s">
        <v>736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8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68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69</v>
      </c>
      <c r="C6" s="7" t="s">
        <v>70</v>
      </c>
      <c r="D6" s="7" t="s">
        <v>71</v>
      </c>
      <c r="E6" s="8" t="s">
        <v>757</v>
      </c>
      <c r="F6" s="7" t="s">
        <v>64</v>
      </c>
      <c r="G6" s="27" t="s">
        <v>102</v>
      </c>
      <c r="H6" s="27" t="s">
        <v>121</v>
      </c>
      <c r="I6" s="28"/>
      <c r="J6" s="28"/>
      <c r="K6" s="9" t="str">
        <f>"155,0"</f>
        <v>155,0</v>
      </c>
      <c r="L6" s="9" t="str">
        <f>"174,5920"</f>
        <v>174,5920</v>
      </c>
      <c r="M6" s="7" t="s">
        <v>615</v>
      </c>
    </row>
    <row r="8" spans="1:13" ht="16">
      <c r="A8" s="53" t="s">
        <v>21</v>
      </c>
      <c r="B8" s="53"/>
      <c r="C8" s="54"/>
      <c r="D8" s="54"/>
      <c r="E8" s="54"/>
      <c r="F8" s="54"/>
      <c r="G8" s="54"/>
      <c r="H8" s="54"/>
      <c r="I8" s="54"/>
      <c r="J8" s="54"/>
    </row>
    <row r="9" spans="1:13">
      <c r="A9" s="28" t="s">
        <v>60</v>
      </c>
      <c r="B9" s="7" t="s">
        <v>663</v>
      </c>
      <c r="C9" s="7" t="s">
        <v>105</v>
      </c>
      <c r="D9" s="7" t="s">
        <v>106</v>
      </c>
      <c r="E9" s="8" t="s">
        <v>757</v>
      </c>
      <c r="F9" s="7" t="s">
        <v>64</v>
      </c>
      <c r="G9" s="27" t="s">
        <v>65</v>
      </c>
      <c r="H9" s="29" t="s">
        <v>66</v>
      </c>
      <c r="I9" s="29" t="s">
        <v>66</v>
      </c>
      <c r="J9" s="28"/>
      <c r="K9" s="9" t="str">
        <f>"280,0"</f>
        <v>280,0</v>
      </c>
      <c r="L9" s="9" t="str">
        <f>"172,4940"</f>
        <v>172,4940</v>
      </c>
      <c r="M9" s="7" t="s">
        <v>108</v>
      </c>
    </row>
    <row r="11" spans="1:13" ht="16">
      <c r="A11" s="53" t="s">
        <v>31</v>
      </c>
      <c r="B11" s="53"/>
      <c r="C11" s="54"/>
      <c r="D11" s="54"/>
      <c r="E11" s="54"/>
      <c r="F11" s="54"/>
      <c r="G11" s="54"/>
      <c r="H11" s="54"/>
      <c r="I11" s="54"/>
      <c r="J11" s="54"/>
    </row>
    <row r="12" spans="1:13">
      <c r="A12" s="28" t="s">
        <v>60</v>
      </c>
      <c r="B12" s="7" t="s">
        <v>664</v>
      </c>
      <c r="C12" s="7" t="s">
        <v>516</v>
      </c>
      <c r="D12" s="7" t="s">
        <v>517</v>
      </c>
      <c r="E12" s="8" t="s">
        <v>762</v>
      </c>
      <c r="F12" s="7" t="s">
        <v>64</v>
      </c>
      <c r="G12" s="27" t="s">
        <v>29</v>
      </c>
      <c r="H12" s="29" t="s">
        <v>518</v>
      </c>
      <c r="I12" s="29" t="s">
        <v>518</v>
      </c>
      <c r="J12" s="28"/>
      <c r="K12" s="9" t="str">
        <f>"220,0"</f>
        <v>220,0</v>
      </c>
      <c r="L12" s="9" t="str">
        <f>"129,8870"</f>
        <v>129,8870</v>
      </c>
      <c r="M12" s="7" t="s">
        <v>108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3"/>
  <dimension ref="A1:M60"/>
  <sheetViews>
    <sheetView topLeftCell="A10" workbookViewId="0">
      <selection activeCell="E43" sqref="E43"/>
    </sheetView>
  </sheetViews>
  <sheetFormatPr baseColWidth="10" defaultColWidth="9.1640625" defaultRowHeight="13"/>
  <cols>
    <col min="1" max="1" width="7.5" style="5" bestFit="1" customWidth="1"/>
    <col min="2" max="2" width="32.3320312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4.5" style="5" customWidth="1"/>
    <col min="14" max="16384" width="9.1640625" style="3"/>
  </cols>
  <sheetData>
    <row r="1" spans="1:13" s="2" customFormat="1" ht="29" customHeight="1">
      <c r="A1" s="55" t="s">
        <v>737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8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68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665</v>
      </c>
      <c r="C6" s="7" t="s">
        <v>473</v>
      </c>
      <c r="D6" s="7" t="s">
        <v>474</v>
      </c>
      <c r="E6" s="8" t="s">
        <v>759</v>
      </c>
      <c r="F6" s="7" t="s">
        <v>746</v>
      </c>
      <c r="G6" s="29" t="s">
        <v>86</v>
      </c>
      <c r="H6" s="27" t="s">
        <v>86</v>
      </c>
      <c r="I6" s="27" t="s">
        <v>87</v>
      </c>
      <c r="J6" s="28"/>
      <c r="K6" s="9" t="str">
        <f>"50,0"</f>
        <v>50,0</v>
      </c>
      <c r="L6" s="9" t="str">
        <f>"76,9462"</f>
        <v>76,9462</v>
      </c>
      <c r="M6" s="7" t="s">
        <v>476</v>
      </c>
    </row>
    <row r="8" spans="1:13" ht="16">
      <c r="A8" s="53" t="s">
        <v>163</v>
      </c>
      <c r="B8" s="53"/>
      <c r="C8" s="54"/>
      <c r="D8" s="54"/>
      <c r="E8" s="54"/>
      <c r="F8" s="54"/>
      <c r="G8" s="54"/>
      <c r="H8" s="54"/>
      <c r="I8" s="54"/>
      <c r="J8" s="54"/>
    </row>
    <row r="9" spans="1:13">
      <c r="A9" s="28" t="s">
        <v>60</v>
      </c>
      <c r="B9" s="7" t="s">
        <v>666</v>
      </c>
      <c r="C9" s="7" t="s">
        <v>477</v>
      </c>
      <c r="D9" s="7" t="s">
        <v>478</v>
      </c>
      <c r="E9" s="8" t="s">
        <v>757</v>
      </c>
      <c r="F9" s="7" t="s">
        <v>64</v>
      </c>
      <c r="G9" s="27" t="s">
        <v>86</v>
      </c>
      <c r="H9" s="29" t="s">
        <v>192</v>
      </c>
      <c r="I9" s="29" t="s">
        <v>192</v>
      </c>
      <c r="J9" s="28"/>
      <c r="K9" s="9" t="str">
        <f>"45,0"</f>
        <v>45,0</v>
      </c>
      <c r="L9" s="9" t="str">
        <f>"54,0855"</f>
        <v>54,0855</v>
      </c>
      <c r="M9" s="7" t="s">
        <v>352</v>
      </c>
    </row>
    <row r="11" spans="1:13" ht="16">
      <c r="A11" s="53" t="s">
        <v>79</v>
      </c>
      <c r="B11" s="53"/>
      <c r="C11" s="54"/>
      <c r="D11" s="54"/>
      <c r="E11" s="54"/>
      <c r="F11" s="54"/>
      <c r="G11" s="54"/>
      <c r="H11" s="54"/>
      <c r="I11" s="54"/>
      <c r="J11" s="54"/>
    </row>
    <row r="12" spans="1:13">
      <c r="A12" s="28" t="s">
        <v>60</v>
      </c>
      <c r="B12" s="7" t="s">
        <v>667</v>
      </c>
      <c r="C12" s="7" t="s">
        <v>480</v>
      </c>
      <c r="D12" s="7" t="s">
        <v>374</v>
      </c>
      <c r="E12" s="8" t="s">
        <v>757</v>
      </c>
      <c r="F12" s="7" t="s">
        <v>64</v>
      </c>
      <c r="G12" s="27" t="s">
        <v>158</v>
      </c>
      <c r="H12" s="27" t="s">
        <v>365</v>
      </c>
      <c r="I12" s="27" t="s">
        <v>92</v>
      </c>
      <c r="J12" s="29" t="s">
        <v>178</v>
      </c>
      <c r="K12" s="9" t="str">
        <f>"60,0"</f>
        <v>60,0</v>
      </c>
      <c r="L12" s="9" t="str">
        <f>"67,5060"</f>
        <v>67,5060</v>
      </c>
      <c r="M12" s="7" t="s">
        <v>461</v>
      </c>
    </row>
    <row r="14" spans="1:13" ht="16">
      <c r="A14" s="53" t="s">
        <v>189</v>
      </c>
      <c r="B14" s="53"/>
      <c r="C14" s="54"/>
      <c r="D14" s="54"/>
      <c r="E14" s="54"/>
      <c r="F14" s="54"/>
      <c r="G14" s="54"/>
      <c r="H14" s="54"/>
      <c r="I14" s="54"/>
      <c r="J14" s="54"/>
    </row>
    <row r="15" spans="1:13">
      <c r="A15" s="28" t="s">
        <v>60</v>
      </c>
      <c r="B15" s="7" t="s">
        <v>668</v>
      </c>
      <c r="C15" s="7" t="s">
        <v>389</v>
      </c>
      <c r="D15" s="7" t="s">
        <v>390</v>
      </c>
      <c r="E15" s="8" t="s">
        <v>757</v>
      </c>
      <c r="F15" s="7" t="s">
        <v>64</v>
      </c>
      <c r="G15" s="27" t="s">
        <v>365</v>
      </c>
      <c r="H15" s="27" t="s">
        <v>178</v>
      </c>
      <c r="I15" s="29" t="s">
        <v>381</v>
      </c>
      <c r="J15" s="28"/>
      <c r="K15" s="9" t="str">
        <f>"62,5"</f>
        <v>62,5</v>
      </c>
      <c r="L15" s="9" t="str">
        <f>"64,8375"</f>
        <v>64,8375</v>
      </c>
      <c r="M15" s="7" t="s">
        <v>391</v>
      </c>
    </row>
    <row r="17" spans="1:13" ht="16">
      <c r="A17" s="53" t="s">
        <v>200</v>
      </c>
      <c r="B17" s="53"/>
      <c r="C17" s="54"/>
      <c r="D17" s="54"/>
      <c r="E17" s="54"/>
      <c r="F17" s="54"/>
      <c r="G17" s="54"/>
      <c r="H17" s="54"/>
      <c r="I17" s="54"/>
      <c r="J17" s="54"/>
    </row>
    <row r="18" spans="1:13">
      <c r="A18" s="28" t="s">
        <v>60</v>
      </c>
      <c r="B18" s="7" t="s">
        <v>481</v>
      </c>
      <c r="C18" s="7" t="s">
        <v>482</v>
      </c>
      <c r="D18" s="7" t="s">
        <v>483</v>
      </c>
      <c r="E18" s="8" t="s">
        <v>757</v>
      </c>
      <c r="F18" s="7" t="s">
        <v>64</v>
      </c>
      <c r="G18" s="27" t="s">
        <v>159</v>
      </c>
      <c r="H18" s="27" t="s">
        <v>82</v>
      </c>
      <c r="I18" s="29" t="s">
        <v>160</v>
      </c>
      <c r="J18" s="28"/>
      <c r="K18" s="9" t="str">
        <f>"70,0"</f>
        <v>70,0</v>
      </c>
      <c r="L18" s="9" t="str">
        <f>"67,5850"</f>
        <v>67,5850</v>
      </c>
      <c r="M18" s="7" t="s">
        <v>352</v>
      </c>
    </row>
    <row r="20" spans="1:13" ht="16">
      <c r="A20" s="53" t="s">
        <v>10</v>
      </c>
      <c r="B20" s="53"/>
      <c r="C20" s="54"/>
      <c r="D20" s="54"/>
      <c r="E20" s="54"/>
      <c r="F20" s="54"/>
      <c r="G20" s="54"/>
      <c r="H20" s="54"/>
      <c r="I20" s="54"/>
      <c r="J20" s="54"/>
    </row>
    <row r="21" spans="1:13">
      <c r="A21" s="32" t="s">
        <v>60</v>
      </c>
      <c r="B21" s="10" t="s">
        <v>594</v>
      </c>
      <c r="C21" s="10" t="s">
        <v>484</v>
      </c>
      <c r="D21" s="10" t="s">
        <v>485</v>
      </c>
      <c r="E21" s="11" t="s">
        <v>760</v>
      </c>
      <c r="F21" s="10" t="s">
        <v>486</v>
      </c>
      <c r="G21" s="30" t="s">
        <v>74</v>
      </c>
      <c r="H21" s="30" t="s">
        <v>89</v>
      </c>
      <c r="I21" s="30" t="s">
        <v>76</v>
      </c>
      <c r="J21" s="32"/>
      <c r="K21" s="12" t="str">
        <f>"115,0"</f>
        <v>115,0</v>
      </c>
      <c r="L21" s="12" t="str">
        <f>"78,6945"</f>
        <v>78,6945</v>
      </c>
      <c r="M21" s="10" t="s">
        <v>108</v>
      </c>
    </row>
    <row r="22" spans="1:13">
      <c r="A22" s="41" t="s">
        <v>60</v>
      </c>
      <c r="B22" s="36" t="s">
        <v>426</v>
      </c>
      <c r="C22" s="36" t="s">
        <v>427</v>
      </c>
      <c r="D22" s="36" t="s">
        <v>428</v>
      </c>
      <c r="E22" s="37" t="s">
        <v>757</v>
      </c>
      <c r="F22" s="36" t="s">
        <v>64</v>
      </c>
      <c r="G22" s="39" t="s">
        <v>118</v>
      </c>
      <c r="H22" s="40" t="s">
        <v>28</v>
      </c>
      <c r="I22" s="40" t="s">
        <v>28</v>
      </c>
      <c r="J22" s="41"/>
      <c r="K22" s="38" t="str">
        <f>"145,0"</f>
        <v>145,0</v>
      </c>
      <c r="L22" s="38" t="str">
        <f>"97,3530"</f>
        <v>97,3530</v>
      </c>
      <c r="M22" s="36" t="s">
        <v>429</v>
      </c>
    </row>
    <row r="23" spans="1:13">
      <c r="A23" s="41" t="s">
        <v>150</v>
      </c>
      <c r="B23" s="36" t="s">
        <v>612</v>
      </c>
      <c r="C23" s="36" t="s">
        <v>488</v>
      </c>
      <c r="D23" s="36" t="s">
        <v>489</v>
      </c>
      <c r="E23" s="37" t="s">
        <v>757</v>
      </c>
      <c r="F23" s="36" t="s">
        <v>64</v>
      </c>
      <c r="G23" s="39" t="s">
        <v>16</v>
      </c>
      <c r="H23" s="39" t="s">
        <v>18</v>
      </c>
      <c r="I23" s="39" t="s">
        <v>246</v>
      </c>
      <c r="J23" s="41"/>
      <c r="K23" s="38" t="str">
        <f>"132,5"</f>
        <v>132,5</v>
      </c>
      <c r="L23" s="38" t="str">
        <f>"89,8218"</f>
        <v>89,8218</v>
      </c>
      <c r="M23" s="36" t="s">
        <v>620</v>
      </c>
    </row>
    <row r="24" spans="1:13">
      <c r="A24" s="41" t="s">
        <v>151</v>
      </c>
      <c r="B24" s="36" t="s">
        <v>490</v>
      </c>
      <c r="C24" s="36" t="s">
        <v>491</v>
      </c>
      <c r="D24" s="36" t="s">
        <v>492</v>
      </c>
      <c r="E24" s="37" t="s">
        <v>757</v>
      </c>
      <c r="F24" s="36" t="s">
        <v>64</v>
      </c>
      <c r="G24" s="39" t="s">
        <v>16</v>
      </c>
      <c r="H24" s="40" t="s">
        <v>18</v>
      </c>
      <c r="I24" s="39" t="s">
        <v>18</v>
      </c>
      <c r="J24" s="41"/>
      <c r="K24" s="38" t="str">
        <f>"130,0"</f>
        <v>130,0</v>
      </c>
      <c r="L24" s="38" t="str">
        <f>"88,4780"</f>
        <v>88,4780</v>
      </c>
      <c r="M24" s="36" t="s">
        <v>487</v>
      </c>
    </row>
    <row r="25" spans="1:13">
      <c r="A25" s="41" t="s">
        <v>152</v>
      </c>
      <c r="B25" s="36" t="s">
        <v>493</v>
      </c>
      <c r="C25" s="36" t="s">
        <v>494</v>
      </c>
      <c r="D25" s="36" t="s">
        <v>432</v>
      </c>
      <c r="E25" s="37" t="s">
        <v>757</v>
      </c>
      <c r="F25" s="36" t="s">
        <v>64</v>
      </c>
      <c r="G25" s="39" t="s">
        <v>89</v>
      </c>
      <c r="H25" s="39" t="s">
        <v>76</v>
      </c>
      <c r="I25" s="39" t="s">
        <v>198</v>
      </c>
      <c r="J25" s="41"/>
      <c r="K25" s="38" t="str">
        <f>"122,5"</f>
        <v>122,5</v>
      </c>
      <c r="L25" s="38" t="str">
        <f>"84,0963"</f>
        <v>84,0963</v>
      </c>
      <c r="M25" s="36" t="s">
        <v>352</v>
      </c>
    </row>
    <row r="26" spans="1:13">
      <c r="A26" s="41" t="s">
        <v>60</v>
      </c>
      <c r="B26" s="36" t="s">
        <v>426</v>
      </c>
      <c r="C26" s="36" t="s">
        <v>430</v>
      </c>
      <c r="D26" s="36" t="s">
        <v>428</v>
      </c>
      <c r="E26" s="37" t="s">
        <v>762</v>
      </c>
      <c r="F26" s="36" t="s">
        <v>64</v>
      </c>
      <c r="G26" s="39" t="s">
        <v>118</v>
      </c>
      <c r="H26" s="40" t="s">
        <v>28</v>
      </c>
      <c r="I26" s="40" t="s">
        <v>28</v>
      </c>
      <c r="J26" s="41"/>
      <c r="K26" s="38" t="str">
        <f>"145,0"</f>
        <v>145,0</v>
      </c>
      <c r="L26" s="38" t="str">
        <f>"97,8398"</f>
        <v>97,8398</v>
      </c>
      <c r="M26" s="36" t="s">
        <v>429</v>
      </c>
    </row>
    <row r="27" spans="1:13">
      <c r="A27" s="35" t="s">
        <v>150</v>
      </c>
      <c r="B27" s="13" t="s">
        <v>634</v>
      </c>
      <c r="C27" s="13" t="s">
        <v>495</v>
      </c>
      <c r="D27" s="13" t="s">
        <v>492</v>
      </c>
      <c r="E27" s="14" t="s">
        <v>762</v>
      </c>
      <c r="F27" s="13" t="s">
        <v>64</v>
      </c>
      <c r="G27" s="33" t="s">
        <v>16</v>
      </c>
      <c r="H27" s="34" t="s">
        <v>18</v>
      </c>
      <c r="I27" s="33" t="s">
        <v>18</v>
      </c>
      <c r="J27" s="35"/>
      <c r="K27" s="15" t="str">
        <f>"130,0"</f>
        <v>130,0</v>
      </c>
      <c r="L27" s="15" t="str">
        <f>"90,9554"</f>
        <v>90,9554</v>
      </c>
      <c r="M27" s="13" t="s">
        <v>487</v>
      </c>
    </row>
    <row r="29" spans="1:13" ht="16">
      <c r="A29" s="53" t="s">
        <v>21</v>
      </c>
      <c r="B29" s="53"/>
      <c r="C29" s="54"/>
      <c r="D29" s="54"/>
      <c r="E29" s="54"/>
      <c r="F29" s="54"/>
      <c r="G29" s="54"/>
      <c r="H29" s="54"/>
      <c r="I29" s="54"/>
      <c r="J29" s="54"/>
    </row>
    <row r="30" spans="1:13">
      <c r="A30" s="32" t="s">
        <v>60</v>
      </c>
      <c r="B30" s="10" t="s">
        <v>496</v>
      </c>
      <c r="C30" s="10" t="s">
        <v>497</v>
      </c>
      <c r="D30" s="10" t="s">
        <v>117</v>
      </c>
      <c r="E30" s="11" t="s">
        <v>757</v>
      </c>
      <c r="F30" s="10" t="s">
        <v>64</v>
      </c>
      <c r="G30" s="30" t="s">
        <v>13</v>
      </c>
      <c r="H30" s="30" t="s">
        <v>47</v>
      </c>
      <c r="I30" s="31" t="s">
        <v>67</v>
      </c>
      <c r="J30" s="32"/>
      <c r="K30" s="12" t="str">
        <f>"165,0"</f>
        <v>165,0</v>
      </c>
      <c r="L30" s="12" t="str">
        <f>"105,5175"</f>
        <v>105,5175</v>
      </c>
      <c r="M30" s="10" t="s">
        <v>613</v>
      </c>
    </row>
    <row r="31" spans="1:13">
      <c r="A31" s="41" t="s">
        <v>150</v>
      </c>
      <c r="B31" s="36" t="s">
        <v>669</v>
      </c>
      <c r="C31" s="36" t="s">
        <v>498</v>
      </c>
      <c r="D31" s="36" t="s">
        <v>117</v>
      </c>
      <c r="E31" s="37" t="s">
        <v>757</v>
      </c>
      <c r="F31" s="36" t="s">
        <v>64</v>
      </c>
      <c r="G31" s="39" t="s">
        <v>247</v>
      </c>
      <c r="H31" s="39" t="s">
        <v>499</v>
      </c>
      <c r="I31" s="40" t="s">
        <v>204</v>
      </c>
      <c r="J31" s="41"/>
      <c r="K31" s="38" t="str">
        <f>"142,5"</f>
        <v>142,5</v>
      </c>
      <c r="L31" s="38" t="str">
        <f>"91,1288"</f>
        <v>91,1288</v>
      </c>
      <c r="M31" s="36" t="s">
        <v>352</v>
      </c>
    </row>
    <row r="32" spans="1:13">
      <c r="A32" s="35" t="s">
        <v>60</v>
      </c>
      <c r="B32" s="13" t="s">
        <v>476</v>
      </c>
      <c r="C32" s="13" t="s">
        <v>500</v>
      </c>
      <c r="D32" s="13" t="s">
        <v>304</v>
      </c>
      <c r="E32" s="14" t="s">
        <v>764</v>
      </c>
      <c r="F32" s="13" t="s">
        <v>475</v>
      </c>
      <c r="G32" s="34" t="s">
        <v>83</v>
      </c>
      <c r="H32" s="33" t="s">
        <v>193</v>
      </c>
      <c r="I32" s="33" t="s">
        <v>194</v>
      </c>
      <c r="J32" s="35"/>
      <c r="K32" s="15" t="str">
        <f>"92,5"</f>
        <v>92,5</v>
      </c>
      <c r="L32" s="15" t="str">
        <f>"103,2816"</f>
        <v>103,2816</v>
      </c>
      <c r="M32" s="13" t="s">
        <v>501</v>
      </c>
    </row>
    <row r="34" spans="1:13" ht="16">
      <c r="A34" s="53" t="s">
        <v>31</v>
      </c>
      <c r="B34" s="53"/>
      <c r="C34" s="54"/>
      <c r="D34" s="54"/>
      <c r="E34" s="54"/>
      <c r="F34" s="54"/>
      <c r="G34" s="54"/>
      <c r="H34" s="54"/>
      <c r="I34" s="54"/>
      <c r="J34" s="54"/>
    </row>
    <row r="35" spans="1:13">
      <c r="A35" s="32" t="s">
        <v>60</v>
      </c>
      <c r="B35" s="10" t="s">
        <v>502</v>
      </c>
      <c r="C35" s="10" t="s">
        <v>503</v>
      </c>
      <c r="D35" s="10" t="s">
        <v>504</v>
      </c>
      <c r="E35" s="11" t="s">
        <v>757</v>
      </c>
      <c r="F35" s="10" t="s">
        <v>64</v>
      </c>
      <c r="G35" s="30" t="s">
        <v>13</v>
      </c>
      <c r="H35" s="30" t="s">
        <v>67</v>
      </c>
      <c r="I35" s="31" t="s">
        <v>14</v>
      </c>
      <c r="J35" s="32"/>
      <c r="K35" s="12" t="str">
        <f>"167,5"</f>
        <v>167,5</v>
      </c>
      <c r="L35" s="12" t="str">
        <f>"104,0007"</f>
        <v>104,0007</v>
      </c>
      <c r="M35" s="10"/>
    </row>
    <row r="36" spans="1:13">
      <c r="A36" s="35" t="s">
        <v>150</v>
      </c>
      <c r="B36" s="13" t="s">
        <v>670</v>
      </c>
      <c r="C36" s="13" t="s">
        <v>505</v>
      </c>
      <c r="D36" s="13" t="s">
        <v>506</v>
      </c>
      <c r="E36" s="14" t="s">
        <v>757</v>
      </c>
      <c r="F36" s="13" t="s">
        <v>64</v>
      </c>
      <c r="G36" s="33" t="s">
        <v>76</v>
      </c>
      <c r="H36" s="33" t="s">
        <v>198</v>
      </c>
      <c r="I36" s="33" t="s">
        <v>17</v>
      </c>
      <c r="J36" s="35"/>
      <c r="K36" s="15" t="str">
        <f>"125,0"</f>
        <v>125,0</v>
      </c>
      <c r="L36" s="15" t="str">
        <f>"78,4500"</f>
        <v>78,4500</v>
      </c>
      <c r="M36" s="13" t="s">
        <v>352</v>
      </c>
    </row>
    <row r="38" spans="1:13" ht="16">
      <c r="A38" s="53" t="s">
        <v>288</v>
      </c>
      <c r="B38" s="53"/>
      <c r="C38" s="54"/>
      <c r="D38" s="54"/>
      <c r="E38" s="54"/>
      <c r="F38" s="54"/>
      <c r="G38" s="54"/>
      <c r="H38" s="54"/>
      <c r="I38" s="54"/>
      <c r="J38" s="54"/>
    </row>
    <row r="39" spans="1:13">
      <c r="A39" s="32" t="s">
        <v>60</v>
      </c>
      <c r="B39" s="10" t="s">
        <v>507</v>
      </c>
      <c r="C39" s="10" t="s">
        <v>508</v>
      </c>
      <c r="D39" s="10" t="s">
        <v>509</v>
      </c>
      <c r="E39" s="11" t="s">
        <v>757</v>
      </c>
      <c r="F39" s="10" t="s">
        <v>64</v>
      </c>
      <c r="G39" s="30" t="s">
        <v>130</v>
      </c>
      <c r="H39" s="30" t="s">
        <v>225</v>
      </c>
      <c r="I39" s="31" t="s">
        <v>305</v>
      </c>
      <c r="J39" s="32"/>
      <c r="K39" s="12" t="str">
        <f>"182,5"</f>
        <v>182,5</v>
      </c>
      <c r="L39" s="12" t="str">
        <f>"104,6090"</f>
        <v>104,6090</v>
      </c>
      <c r="M39" s="10"/>
    </row>
    <row r="40" spans="1:13">
      <c r="A40" s="41" t="s">
        <v>150</v>
      </c>
      <c r="B40" s="36" t="s">
        <v>671</v>
      </c>
      <c r="C40" s="36" t="s">
        <v>510</v>
      </c>
      <c r="D40" s="36" t="s">
        <v>511</v>
      </c>
      <c r="E40" s="37" t="s">
        <v>757</v>
      </c>
      <c r="F40" s="36" t="s">
        <v>64</v>
      </c>
      <c r="G40" s="39" t="s">
        <v>76</v>
      </c>
      <c r="H40" s="39" t="s">
        <v>17</v>
      </c>
      <c r="I40" s="39" t="s">
        <v>246</v>
      </c>
      <c r="J40" s="41"/>
      <c r="K40" s="38" t="str">
        <f>"132,5"</f>
        <v>132,5</v>
      </c>
      <c r="L40" s="38" t="str">
        <f>"76,5453"</f>
        <v>76,5453</v>
      </c>
      <c r="M40" s="36" t="s">
        <v>352</v>
      </c>
    </row>
    <row r="41" spans="1:13">
      <c r="A41" s="41" t="s">
        <v>151</v>
      </c>
      <c r="B41" s="36" t="s">
        <v>672</v>
      </c>
      <c r="C41" s="36" t="s">
        <v>512</v>
      </c>
      <c r="D41" s="36" t="s">
        <v>513</v>
      </c>
      <c r="E41" s="37" t="s">
        <v>757</v>
      </c>
      <c r="F41" s="36" t="s">
        <v>64</v>
      </c>
      <c r="G41" s="39" t="s">
        <v>76</v>
      </c>
      <c r="H41" s="39" t="s">
        <v>17</v>
      </c>
      <c r="I41" s="39" t="s">
        <v>18</v>
      </c>
      <c r="J41" s="41"/>
      <c r="K41" s="38" t="str">
        <f>"130,0"</f>
        <v>130,0</v>
      </c>
      <c r="L41" s="38" t="str">
        <f>"75,4780"</f>
        <v>75,4780</v>
      </c>
      <c r="M41" s="36" t="s">
        <v>352</v>
      </c>
    </row>
    <row r="42" spans="1:13">
      <c r="A42" s="35" t="s">
        <v>152</v>
      </c>
      <c r="B42" s="13" t="s">
        <v>673</v>
      </c>
      <c r="C42" s="13" t="s">
        <v>514</v>
      </c>
      <c r="D42" s="13" t="s">
        <v>515</v>
      </c>
      <c r="E42" s="14" t="s">
        <v>757</v>
      </c>
      <c r="F42" s="13" t="s">
        <v>64</v>
      </c>
      <c r="G42" s="33" t="s">
        <v>89</v>
      </c>
      <c r="H42" s="33" t="s">
        <v>16</v>
      </c>
      <c r="I42" s="34" t="s">
        <v>18</v>
      </c>
      <c r="J42" s="35"/>
      <c r="K42" s="15" t="str">
        <f>"120,0"</f>
        <v>120,0</v>
      </c>
      <c r="L42" s="15" t="str">
        <f>"69,0480"</f>
        <v>69,0480</v>
      </c>
      <c r="M42" s="13" t="s">
        <v>352</v>
      </c>
    </row>
    <row r="44" spans="1:13" ht="16">
      <c r="F44" s="17"/>
      <c r="G44" s="5"/>
      <c r="K44" s="25"/>
      <c r="M44" s="6"/>
    </row>
    <row r="45" spans="1:13">
      <c r="G45" s="5"/>
      <c r="K45" s="25"/>
      <c r="M45" s="6"/>
    </row>
    <row r="46" spans="1:13" ht="18">
      <c r="B46" s="18" t="s">
        <v>49</v>
      </c>
      <c r="C46" s="18"/>
      <c r="K46" s="25"/>
      <c r="M46" s="6"/>
    </row>
    <row r="47" spans="1:13" ht="16">
      <c r="B47" s="19" t="s">
        <v>147</v>
      </c>
      <c r="C47" s="19"/>
      <c r="K47" s="25"/>
      <c r="M47" s="6"/>
    </row>
    <row r="48" spans="1:13" ht="14">
      <c r="B48" s="20"/>
      <c r="C48" s="21" t="s">
        <v>51</v>
      </c>
      <c r="K48" s="25"/>
      <c r="M48" s="6"/>
    </row>
    <row r="49" spans="2:13" ht="14">
      <c r="B49" s="22" t="s">
        <v>52</v>
      </c>
      <c r="C49" s="22" t="s">
        <v>53</v>
      </c>
      <c r="D49" s="22" t="s">
        <v>725</v>
      </c>
      <c r="E49" s="23" t="s">
        <v>283</v>
      </c>
      <c r="F49" s="22" t="s">
        <v>56</v>
      </c>
      <c r="K49" s="25"/>
      <c r="M49" s="6"/>
    </row>
    <row r="50" spans="2:13">
      <c r="B50" s="5" t="s">
        <v>481</v>
      </c>
      <c r="C50" s="5" t="s">
        <v>51</v>
      </c>
      <c r="D50" s="25" t="s">
        <v>266</v>
      </c>
      <c r="E50" s="26">
        <v>70</v>
      </c>
      <c r="F50" s="24">
        <v>67.584999799728394</v>
      </c>
      <c r="K50" s="25"/>
      <c r="M50" s="6"/>
    </row>
    <row r="51" spans="2:13">
      <c r="B51" s="5" t="s">
        <v>479</v>
      </c>
      <c r="C51" s="5" t="s">
        <v>51</v>
      </c>
      <c r="D51" s="25" t="s">
        <v>148</v>
      </c>
      <c r="E51" s="26">
        <v>60</v>
      </c>
      <c r="F51" s="24">
        <v>67.506000995636001</v>
      </c>
      <c r="K51" s="25"/>
      <c r="M51" s="6"/>
    </row>
    <row r="52" spans="2:13">
      <c r="B52" s="5" t="s">
        <v>388</v>
      </c>
      <c r="C52" s="5" t="s">
        <v>51</v>
      </c>
      <c r="D52" s="25" t="s">
        <v>264</v>
      </c>
      <c r="E52" s="26">
        <v>62.5</v>
      </c>
      <c r="F52" s="24">
        <v>64.8375004529953</v>
      </c>
      <c r="K52" s="25"/>
      <c r="M52" s="6"/>
    </row>
    <row r="53" spans="2:13">
      <c r="K53" s="25"/>
      <c r="M53" s="6"/>
    </row>
    <row r="54" spans="2:13" ht="16">
      <c r="B54" s="19" t="s">
        <v>50</v>
      </c>
      <c r="C54" s="19"/>
      <c r="K54" s="25"/>
      <c r="M54" s="6"/>
    </row>
    <row r="55" spans="2:13" ht="14">
      <c r="B55" s="20"/>
      <c r="C55" s="21" t="s">
        <v>51</v>
      </c>
      <c r="K55" s="25"/>
      <c r="M55" s="6"/>
    </row>
    <row r="56" spans="2:13" ht="14">
      <c r="B56" s="22" t="s">
        <v>52</v>
      </c>
      <c r="C56" s="22" t="s">
        <v>53</v>
      </c>
      <c r="D56" s="22" t="s">
        <v>725</v>
      </c>
      <c r="E56" s="23" t="s">
        <v>283</v>
      </c>
      <c r="F56" s="22" t="s">
        <v>56</v>
      </c>
      <c r="K56" s="25"/>
      <c r="M56" s="6"/>
    </row>
    <row r="57" spans="2:13">
      <c r="B57" s="5" t="s">
        <v>496</v>
      </c>
      <c r="C57" s="5" t="s">
        <v>51</v>
      </c>
      <c r="D57" s="25" t="s">
        <v>59</v>
      </c>
      <c r="E57" s="26">
        <v>165</v>
      </c>
      <c r="F57" s="24">
        <v>105.517503619194</v>
      </c>
      <c r="K57" s="25"/>
      <c r="M57" s="6"/>
    </row>
    <row r="58" spans="2:13">
      <c r="B58" s="5" t="s">
        <v>507</v>
      </c>
      <c r="C58" s="5" t="s">
        <v>51</v>
      </c>
      <c r="D58" s="25" t="s">
        <v>292</v>
      </c>
      <c r="E58" s="26">
        <v>182.5</v>
      </c>
      <c r="F58" s="24">
        <v>104.608997702599</v>
      </c>
      <c r="K58" s="25"/>
      <c r="M58" s="6"/>
    </row>
    <row r="59" spans="2:13">
      <c r="B59" s="5" t="s">
        <v>502</v>
      </c>
      <c r="C59" s="5" t="s">
        <v>51</v>
      </c>
      <c r="D59" s="25" t="s">
        <v>57</v>
      </c>
      <c r="E59" s="26">
        <v>167.5</v>
      </c>
      <c r="F59" s="24">
        <v>104.000745862722</v>
      </c>
      <c r="K59" s="25"/>
      <c r="M59" s="6"/>
    </row>
    <row r="60" spans="2:13">
      <c r="E60" s="5"/>
      <c r="F60" s="16"/>
      <c r="G60" s="5"/>
      <c r="K60" s="25"/>
      <c r="M60" s="6"/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4:J34"/>
    <mergeCell ref="A38:J38"/>
    <mergeCell ref="B3:B4"/>
    <mergeCell ref="A8:J8"/>
    <mergeCell ref="A11:J11"/>
    <mergeCell ref="A14:J14"/>
    <mergeCell ref="A17:J17"/>
    <mergeCell ref="A20:J20"/>
    <mergeCell ref="A29:J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7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1.664062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1.1640625" style="5" bestFit="1" customWidth="1"/>
    <col min="14" max="16384" width="9.1640625" style="3"/>
  </cols>
  <sheetData>
    <row r="1" spans="1:13" s="2" customFormat="1" ht="29" customHeight="1">
      <c r="A1" s="55" t="s">
        <v>738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8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572</v>
      </c>
      <c r="C6" s="7" t="s">
        <v>286</v>
      </c>
      <c r="D6" s="7" t="s">
        <v>287</v>
      </c>
      <c r="E6" s="8" t="s">
        <v>757</v>
      </c>
      <c r="F6" s="7" t="s">
        <v>64</v>
      </c>
      <c r="G6" s="27" t="s">
        <v>18</v>
      </c>
      <c r="H6" s="27" t="s">
        <v>102</v>
      </c>
      <c r="I6" s="27" t="s">
        <v>204</v>
      </c>
      <c r="J6" s="28"/>
      <c r="K6" s="9" t="str">
        <f>"147,5"</f>
        <v>147,5</v>
      </c>
      <c r="L6" s="9" t="str">
        <f>"98,8840"</f>
        <v>98,8840</v>
      </c>
      <c r="M6" s="7"/>
    </row>
    <row r="8" spans="1:13" ht="16">
      <c r="A8" s="53" t="s">
        <v>288</v>
      </c>
      <c r="B8" s="53"/>
      <c r="C8" s="54"/>
      <c r="D8" s="54"/>
      <c r="E8" s="54"/>
      <c r="F8" s="54"/>
      <c r="G8" s="54"/>
      <c r="H8" s="54"/>
      <c r="I8" s="54"/>
      <c r="J8" s="54"/>
    </row>
    <row r="9" spans="1:13">
      <c r="A9" s="28" t="s">
        <v>60</v>
      </c>
      <c r="B9" s="7" t="s">
        <v>708</v>
      </c>
      <c r="C9" s="7" t="s">
        <v>290</v>
      </c>
      <c r="D9" s="7" t="s">
        <v>291</v>
      </c>
      <c r="E9" s="8" t="s">
        <v>757</v>
      </c>
      <c r="F9" s="7" t="s">
        <v>64</v>
      </c>
      <c r="G9" s="27" t="s">
        <v>225</v>
      </c>
      <c r="H9" s="28"/>
      <c r="I9" s="28"/>
      <c r="J9" s="28"/>
      <c r="K9" s="9" t="str">
        <f>"182,5"</f>
        <v>182,5</v>
      </c>
      <c r="L9" s="9" t="str">
        <f>"104,1710"</f>
        <v>104,1710</v>
      </c>
      <c r="M9" s="7" t="s">
        <v>317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20"/>
  <dimension ref="A1:M68"/>
  <sheetViews>
    <sheetView topLeftCell="A19" workbookViewId="0">
      <selection activeCell="E51" sqref="E51"/>
    </sheetView>
  </sheetViews>
  <sheetFormatPr baseColWidth="10" defaultColWidth="9.1640625" defaultRowHeight="13"/>
  <cols>
    <col min="1" max="1" width="7.5" style="5" bestFit="1" customWidth="1"/>
    <col min="2" max="2" width="27.83203125" style="5" bestFit="1" customWidth="1"/>
    <col min="3" max="3" width="27.83203125" style="5" customWidth="1"/>
    <col min="4" max="4" width="21.5" style="5" bestFit="1" customWidth="1"/>
    <col min="5" max="5" width="10.5" style="16" bestFit="1" customWidth="1"/>
    <col min="6" max="6" width="34.5" style="5" bestFit="1" customWidth="1"/>
    <col min="7" max="10" width="5.5" style="25" customWidth="1"/>
    <col min="11" max="11" width="10.5" style="6" bestFit="1" customWidth="1"/>
    <col min="12" max="12" width="8.5" style="6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55" t="s">
        <v>739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9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68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646</v>
      </c>
      <c r="C6" s="7" t="s">
        <v>537</v>
      </c>
      <c r="D6" s="7" t="s">
        <v>538</v>
      </c>
      <c r="E6" s="8" t="s">
        <v>757</v>
      </c>
      <c r="F6" s="7" t="s">
        <v>64</v>
      </c>
      <c r="G6" s="27" t="s">
        <v>82</v>
      </c>
      <c r="H6" s="27" t="s">
        <v>84</v>
      </c>
      <c r="I6" s="27" t="s">
        <v>88</v>
      </c>
      <c r="J6" s="28"/>
      <c r="K6" s="9" t="str">
        <f>"100,0"</f>
        <v>100,0</v>
      </c>
      <c r="L6" s="9" t="str">
        <f>"127,6900"</f>
        <v>127,6900</v>
      </c>
      <c r="M6" s="7" t="s">
        <v>539</v>
      </c>
    </row>
    <row r="8" spans="1:13" ht="16">
      <c r="A8" s="53" t="s">
        <v>163</v>
      </c>
      <c r="B8" s="53"/>
      <c r="C8" s="54"/>
      <c r="D8" s="54"/>
      <c r="E8" s="54"/>
      <c r="F8" s="54"/>
      <c r="G8" s="54"/>
      <c r="H8" s="54"/>
      <c r="I8" s="54"/>
      <c r="J8" s="54"/>
    </row>
    <row r="9" spans="1:13">
      <c r="A9" s="32" t="s">
        <v>60</v>
      </c>
      <c r="B9" s="10" t="s">
        <v>169</v>
      </c>
      <c r="C9" s="10" t="s">
        <v>170</v>
      </c>
      <c r="D9" s="10" t="s">
        <v>171</v>
      </c>
      <c r="E9" s="11" t="s">
        <v>757</v>
      </c>
      <c r="F9" s="10" t="s">
        <v>64</v>
      </c>
      <c r="G9" s="30" t="s">
        <v>18</v>
      </c>
      <c r="H9" s="30" t="s">
        <v>102</v>
      </c>
      <c r="I9" s="30" t="s">
        <v>118</v>
      </c>
      <c r="J9" s="32"/>
      <c r="K9" s="12" t="str">
        <f>"145,0"</f>
        <v>145,0</v>
      </c>
      <c r="L9" s="12" t="str">
        <f>"170,6070"</f>
        <v>170,6070</v>
      </c>
      <c r="M9" s="10" t="s">
        <v>616</v>
      </c>
    </row>
    <row r="10" spans="1:13">
      <c r="A10" s="35" t="s">
        <v>150</v>
      </c>
      <c r="B10" s="13" t="s">
        <v>641</v>
      </c>
      <c r="C10" s="13" t="s">
        <v>175</v>
      </c>
      <c r="D10" s="13" t="s">
        <v>171</v>
      </c>
      <c r="E10" s="14" t="s">
        <v>757</v>
      </c>
      <c r="F10" s="13" t="s">
        <v>176</v>
      </c>
      <c r="G10" s="33" t="s">
        <v>88</v>
      </c>
      <c r="H10" s="33" t="s">
        <v>122</v>
      </c>
      <c r="I10" s="34" t="s">
        <v>123</v>
      </c>
      <c r="J10" s="35"/>
      <c r="K10" s="15" t="str">
        <f>"112,5"</f>
        <v>112,5</v>
      </c>
      <c r="L10" s="15" t="str">
        <f>"132,3675"</f>
        <v>132,3675</v>
      </c>
      <c r="M10" s="13"/>
    </row>
    <row r="12" spans="1:13" ht="16">
      <c r="A12" s="53" t="s">
        <v>79</v>
      </c>
      <c r="B12" s="53"/>
      <c r="C12" s="54"/>
      <c r="D12" s="54"/>
      <c r="E12" s="54"/>
      <c r="F12" s="54"/>
      <c r="G12" s="54"/>
      <c r="H12" s="54"/>
      <c r="I12" s="54"/>
      <c r="J12" s="54"/>
    </row>
    <row r="13" spans="1:13">
      <c r="A13" s="32" t="s">
        <v>60</v>
      </c>
      <c r="B13" s="10" t="s">
        <v>540</v>
      </c>
      <c r="C13" s="10" t="s">
        <v>541</v>
      </c>
      <c r="D13" s="10" t="s">
        <v>180</v>
      </c>
      <c r="E13" s="11" t="s">
        <v>761</v>
      </c>
      <c r="F13" s="10" t="s">
        <v>542</v>
      </c>
      <c r="G13" s="31" t="s">
        <v>161</v>
      </c>
      <c r="H13" s="31" t="s">
        <v>161</v>
      </c>
      <c r="I13" s="30" t="s">
        <v>161</v>
      </c>
      <c r="J13" s="32"/>
      <c r="K13" s="12" t="str">
        <f>"75,0"</f>
        <v>75,0</v>
      </c>
      <c r="L13" s="12" t="str">
        <f>"83,6175"</f>
        <v>83,6175</v>
      </c>
      <c r="M13" s="10" t="s">
        <v>543</v>
      </c>
    </row>
    <row r="14" spans="1:13">
      <c r="A14" s="41" t="s">
        <v>60</v>
      </c>
      <c r="B14" s="36" t="s">
        <v>182</v>
      </c>
      <c r="C14" s="36" t="s">
        <v>183</v>
      </c>
      <c r="D14" s="36" t="s">
        <v>184</v>
      </c>
      <c r="E14" s="37" t="s">
        <v>757</v>
      </c>
      <c r="F14" s="36" t="s">
        <v>185</v>
      </c>
      <c r="G14" s="39" t="s">
        <v>88</v>
      </c>
      <c r="H14" s="39" t="s">
        <v>89</v>
      </c>
      <c r="I14" s="40" t="s">
        <v>76</v>
      </c>
      <c r="J14" s="41"/>
      <c r="K14" s="38" t="str">
        <f>"110,0"</f>
        <v>110,0</v>
      </c>
      <c r="L14" s="38" t="str">
        <f>"122,9580"</f>
        <v>122,9580</v>
      </c>
      <c r="M14" s="36" t="s">
        <v>187</v>
      </c>
    </row>
    <row r="15" spans="1:13">
      <c r="A15" s="35" t="s">
        <v>60</v>
      </c>
      <c r="B15" s="13" t="s">
        <v>182</v>
      </c>
      <c r="C15" s="13" t="s">
        <v>188</v>
      </c>
      <c r="D15" s="13" t="s">
        <v>184</v>
      </c>
      <c r="E15" s="14" t="s">
        <v>759</v>
      </c>
      <c r="F15" s="13" t="s">
        <v>185</v>
      </c>
      <c r="G15" s="33" t="s">
        <v>88</v>
      </c>
      <c r="H15" s="33" t="s">
        <v>89</v>
      </c>
      <c r="I15" s="34" t="s">
        <v>76</v>
      </c>
      <c r="J15" s="35"/>
      <c r="K15" s="15" t="str">
        <f>"110,0"</f>
        <v>110,0</v>
      </c>
      <c r="L15" s="15" t="str">
        <f>"162,5505"</f>
        <v>162,5505</v>
      </c>
      <c r="M15" s="13" t="s">
        <v>187</v>
      </c>
    </row>
    <row r="17" spans="1:13" ht="16">
      <c r="A17" s="53" t="s">
        <v>189</v>
      </c>
      <c r="B17" s="53"/>
      <c r="C17" s="54"/>
      <c r="D17" s="54"/>
      <c r="E17" s="54"/>
      <c r="F17" s="54"/>
      <c r="G17" s="54"/>
      <c r="H17" s="54"/>
      <c r="I17" s="54"/>
      <c r="J17" s="54"/>
    </row>
    <row r="18" spans="1:13">
      <c r="A18" s="32" t="s">
        <v>60</v>
      </c>
      <c r="B18" s="10" t="s">
        <v>544</v>
      </c>
      <c r="C18" s="10" t="s">
        <v>545</v>
      </c>
      <c r="D18" s="10" t="s">
        <v>546</v>
      </c>
      <c r="E18" s="11" t="s">
        <v>761</v>
      </c>
      <c r="F18" s="10" t="s">
        <v>542</v>
      </c>
      <c r="G18" s="30" t="s">
        <v>161</v>
      </c>
      <c r="H18" s="31" t="s">
        <v>83</v>
      </c>
      <c r="I18" s="30" t="s">
        <v>83</v>
      </c>
      <c r="J18" s="32"/>
      <c r="K18" s="12" t="str">
        <f>"80,0"</f>
        <v>80,0</v>
      </c>
      <c r="L18" s="12" t="str">
        <f>"86,1200"</f>
        <v>86,1200</v>
      </c>
      <c r="M18" s="10" t="s">
        <v>543</v>
      </c>
    </row>
    <row r="19" spans="1:13">
      <c r="A19" s="41" t="s">
        <v>60</v>
      </c>
      <c r="B19" s="36" t="s">
        <v>647</v>
      </c>
      <c r="C19" s="36" t="s">
        <v>548</v>
      </c>
      <c r="D19" s="36" t="s">
        <v>549</v>
      </c>
      <c r="E19" s="37" t="s">
        <v>757</v>
      </c>
      <c r="F19" s="36" t="s">
        <v>64</v>
      </c>
      <c r="G19" s="39" t="s">
        <v>28</v>
      </c>
      <c r="H19" s="40" t="s">
        <v>13</v>
      </c>
      <c r="I19" s="40" t="s">
        <v>67</v>
      </c>
      <c r="J19" s="41"/>
      <c r="K19" s="38" t="str">
        <f>"150,0"</f>
        <v>150,0</v>
      </c>
      <c r="L19" s="38" t="str">
        <f>"153,2550"</f>
        <v>153,2550</v>
      </c>
      <c r="M19" s="36" t="s">
        <v>324</v>
      </c>
    </row>
    <row r="20" spans="1:13">
      <c r="A20" s="35" t="s">
        <v>150</v>
      </c>
      <c r="B20" s="13" t="s">
        <v>648</v>
      </c>
      <c r="C20" s="13" t="s">
        <v>196</v>
      </c>
      <c r="D20" s="13" t="s">
        <v>197</v>
      </c>
      <c r="E20" s="14" t="s">
        <v>757</v>
      </c>
      <c r="F20" s="13" t="s">
        <v>64</v>
      </c>
      <c r="G20" s="33" t="s">
        <v>89</v>
      </c>
      <c r="H20" s="33" t="s">
        <v>198</v>
      </c>
      <c r="I20" s="34" t="s">
        <v>102</v>
      </c>
      <c r="J20" s="35"/>
      <c r="K20" s="15" t="str">
        <f>"122,5"</f>
        <v>122,5</v>
      </c>
      <c r="L20" s="15" t="str">
        <f>"126,1015"</f>
        <v>126,1015</v>
      </c>
      <c r="M20" s="13" t="s">
        <v>199</v>
      </c>
    </row>
    <row r="22" spans="1:13" ht="16">
      <c r="A22" s="53" t="s">
        <v>200</v>
      </c>
      <c r="B22" s="53"/>
      <c r="C22" s="54"/>
      <c r="D22" s="54"/>
      <c r="E22" s="54"/>
      <c r="F22" s="54"/>
      <c r="G22" s="54"/>
      <c r="H22" s="54"/>
      <c r="I22" s="54"/>
      <c r="J22" s="54"/>
    </row>
    <row r="23" spans="1:13">
      <c r="A23" s="28" t="s">
        <v>60</v>
      </c>
      <c r="B23" s="7" t="s">
        <v>201</v>
      </c>
      <c r="C23" s="7" t="s">
        <v>202</v>
      </c>
      <c r="D23" s="7" t="s">
        <v>203</v>
      </c>
      <c r="E23" s="8" t="s">
        <v>757</v>
      </c>
      <c r="F23" s="7" t="s">
        <v>64</v>
      </c>
      <c r="G23" s="27" t="s">
        <v>72</v>
      </c>
      <c r="H23" s="29" t="s">
        <v>204</v>
      </c>
      <c r="I23" s="29" t="s">
        <v>204</v>
      </c>
      <c r="J23" s="28"/>
      <c r="K23" s="9" t="str">
        <f>"135,0"</f>
        <v>135,0</v>
      </c>
      <c r="L23" s="9" t="str">
        <f>"134,7030"</f>
        <v>134,7030</v>
      </c>
      <c r="M23" s="7" t="s">
        <v>277</v>
      </c>
    </row>
    <row r="25" spans="1:13" ht="16">
      <c r="A25" s="53" t="s">
        <v>189</v>
      </c>
      <c r="B25" s="53"/>
      <c r="C25" s="54"/>
      <c r="D25" s="54"/>
      <c r="E25" s="54"/>
      <c r="F25" s="54"/>
      <c r="G25" s="54"/>
      <c r="H25" s="54"/>
      <c r="I25" s="54"/>
      <c r="J25" s="54"/>
    </row>
    <row r="26" spans="1:13">
      <c r="A26" s="28" t="s">
        <v>60</v>
      </c>
      <c r="B26" s="7" t="s">
        <v>220</v>
      </c>
      <c r="C26" s="7" t="s">
        <v>221</v>
      </c>
      <c r="D26" s="7" t="s">
        <v>222</v>
      </c>
      <c r="E26" s="8" t="s">
        <v>757</v>
      </c>
      <c r="F26" s="7" t="s">
        <v>64</v>
      </c>
      <c r="G26" s="27" t="s">
        <v>18</v>
      </c>
      <c r="H26" s="27" t="s">
        <v>118</v>
      </c>
      <c r="I26" s="27" t="s">
        <v>13</v>
      </c>
      <c r="J26" s="28"/>
      <c r="K26" s="9" t="str">
        <f>"160,0"</f>
        <v>160,0</v>
      </c>
      <c r="L26" s="9" t="str">
        <f>"124,2560"</f>
        <v>124,2560</v>
      </c>
      <c r="M26" s="7" t="s">
        <v>108</v>
      </c>
    </row>
    <row r="28" spans="1:13" ht="16">
      <c r="A28" s="53" t="s">
        <v>200</v>
      </c>
      <c r="B28" s="53"/>
      <c r="C28" s="54"/>
      <c r="D28" s="54"/>
      <c r="E28" s="54"/>
      <c r="F28" s="54"/>
      <c r="G28" s="54"/>
      <c r="H28" s="54"/>
      <c r="I28" s="54"/>
      <c r="J28" s="54"/>
    </row>
    <row r="29" spans="1:13">
      <c r="A29" s="32" t="s">
        <v>60</v>
      </c>
      <c r="B29" s="10" t="s">
        <v>649</v>
      </c>
      <c r="C29" s="10" t="s">
        <v>550</v>
      </c>
      <c r="D29" s="10" t="s">
        <v>551</v>
      </c>
      <c r="E29" s="11" t="s">
        <v>760</v>
      </c>
      <c r="F29" s="10" t="s">
        <v>64</v>
      </c>
      <c r="G29" s="30" t="s">
        <v>14</v>
      </c>
      <c r="H29" s="30" t="s">
        <v>15</v>
      </c>
      <c r="I29" s="30" t="s">
        <v>19</v>
      </c>
      <c r="J29" s="32"/>
      <c r="K29" s="12" t="str">
        <f>"190,0"</f>
        <v>190,0</v>
      </c>
      <c r="L29" s="12" t="str">
        <f>"136,1540"</f>
        <v>136,1540</v>
      </c>
      <c r="M29" s="10" t="s">
        <v>230</v>
      </c>
    </row>
    <row r="30" spans="1:13">
      <c r="A30" s="41" t="s">
        <v>150</v>
      </c>
      <c r="B30" s="36" t="s">
        <v>650</v>
      </c>
      <c r="C30" s="36" t="s">
        <v>223</v>
      </c>
      <c r="D30" s="36" t="s">
        <v>224</v>
      </c>
      <c r="E30" s="37" t="s">
        <v>760</v>
      </c>
      <c r="F30" s="36" t="s">
        <v>64</v>
      </c>
      <c r="G30" s="39" t="s">
        <v>13</v>
      </c>
      <c r="H30" s="39" t="s">
        <v>14</v>
      </c>
      <c r="I30" s="39" t="s">
        <v>225</v>
      </c>
      <c r="J30" s="41"/>
      <c r="K30" s="38" t="str">
        <f>"182,5"</f>
        <v>182,5</v>
      </c>
      <c r="L30" s="38" t="str">
        <f>"131,4000"</f>
        <v>131,4000</v>
      </c>
      <c r="M30" s="36" t="s">
        <v>20</v>
      </c>
    </row>
    <row r="31" spans="1:13">
      <c r="A31" s="41" t="s">
        <v>151</v>
      </c>
      <c r="B31" s="36" t="s">
        <v>651</v>
      </c>
      <c r="C31" s="36" t="s">
        <v>552</v>
      </c>
      <c r="D31" s="36" t="s">
        <v>551</v>
      </c>
      <c r="E31" s="37" t="s">
        <v>760</v>
      </c>
      <c r="F31" s="36" t="s">
        <v>64</v>
      </c>
      <c r="G31" s="39" t="s">
        <v>13</v>
      </c>
      <c r="H31" s="39" t="s">
        <v>14</v>
      </c>
      <c r="I31" s="40" t="s">
        <v>225</v>
      </c>
      <c r="J31" s="41"/>
      <c r="K31" s="38" t="str">
        <f>"170,0"</f>
        <v>170,0</v>
      </c>
      <c r="L31" s="38" t="str">
        <f>"121,8220"</f>
        <v>121,8220</v>
      </c>
      <c r="M31" s="36" t="s">
        <v>94</v>
      </c>
    </row>
    <row r="32" spans="1:13">
      <c r="A32" s="35" t="s">
        <v>60</v>
      </c>
      <c r="B32" s="13" t="s">
        <v>652</v>
      </c>
      <c r="C32" s="13" t="s">
        <v>231</v>
      </c>
      <c r="D32" s="13" t="s">
        <v>232</v>
      </c>
      <c r="E32" s="14" t="s">
        <v>757</v>
      </c>
      <c r="F32" s="13" t="s">
        <v>64</v>
      </c>
      <c r="G32" s="33" t="s">
        <v>225</v>
      </c>
      <c r="H32" s="33" t="s">
        <v>233</v>
      </c>
      <c r="I32" s="34" t="s">
        <v>26</v>
      </c>
      <c r="J32" s="35"/>
      <c r="K32" s="15" t="str">
        <f>"192,5"</f>
        <v>192,5</v>
      </c>
      <c r="L32" s="15" t="str">
        <f>"140,5250"</f>
        <v>140,5250</v>
      </c>
      <c r="M32" s="13" t="s">
        <v>108</v>
      </c>
    </row>
    <row r="34" spans="1:13" ht="16">
      <c r="A34" s="53" t="s">
        <v>10</v>
      </c>
      <c r="B34" s="53"/>
      <c r="C34" s="54"/>
      <c r="D34" s="54"/>
      <c r="E34" s="54"/>
      <c r="F34" s="54"/>
      <c r="G34" s="54"/>
      <c r="H34" s="54"/>
      <c r="I34" s="54"/>
      <c r="J34" s="54"/>
    </row>
    <row r="35" spans="1:13">
      <c r="A35" s="32" t="s">
        <v>60</v>
      </c>
      <c r="B35" s="10" t="s">
        <v>553</v>
      </c>
      <c r="C35" s="10" t="s">
        <v>554</v>
      </c>
      <c r="D35" s="10" t="s">
        <v>555</v>
      </c>
      <c r="E35" s="11" t="s">
        <v>757</v>
      </c>
      <c r="F35" s="10" t="s">
        <v>542</v>
      </c>
      <c r="G35" s="30" t="s">
        <v>45</v>
      </c>
      <c r="H35" s="31" t="s">
        <v>46</v>
      </c>
      <c r="I35" s="31" t="s">
        <v>46</v>
      </c>
      <c r="J35" s="32"/>
      <c r="K35" s="12" t="str">
        <f>"240,0"</f>
        <v>240,0</v>
      </c>
      <c r="L35" s="12" t="str">
        <f>"160,7760"</f>
        <v>160,7760</v>
      </c>
      <c r="M35" s="10" t="s">
        <v>609</v>
      </c>
    </row>
    <row r="36" spans="1:13">
      <c r="A36" s="35" t="s">
        <v>150</v>
      </c>
      <c r="B36" s="13" t="s">
        <v>243</v>
      </c>
      <c r="C36" s="13" t="s">
        <v>244</v>
      </c>
      <c r="D36" s="13" t="s">
        <v>245</v>
      </c>
      <c r="E36" s="14" t="s">
        <v>757</v>
      </c>
      <c r="F36" s="13" t="s">
        <v>64</v>
      </c>
      <c r="G36" s="33" t="s">
        <v>29</v>
      </c>
      <c r="H36" s="33" t="s">
        <v>44</v>
      </c>
      <c r="I36" s="34" t="s">
        <v>128</v>
      </c>
      <c r="J36" s="35"/>
      <c r="K36" s="15" t="str">
        <f>"230,0"</f>
        <v>230,0</v>
      </c>
      <c r="L36" s="15" t="str">
        <f>"158,1480"</f>
        <v>158,1480</v>
      </c>
      <c r="M36" s="13" t="s">
        <v>230</v>
      </c>
    </row>
    <row r="38" spans="1:13" ht="16">
      <c r="A38" s="53" t="s">
        <v>21</v>
      </c>
      <c r="B38" s="53"/>
      <c r="C38" s="54"/>
      <c r="D38" s="54"/>
      <c r="E38" s="54"/>
      <c r="F38" s="54"/>
      <c r="G38" s="54"/>
      <c r="H38" s="54"/>
      <c r="I38" s="54"/>
      <c r="J38" s="54"/>
    </row>
    <row r="39" spans="1:13">
      <c r="A39" s="32" t="s">
        <v>60</v>
      </c>
      <c r="B39" s="10" t="s">
        <v>543</v>
      </c>
      <c r="C39" s="10" t="s">
        <v>105</v>
      </c>
      <c r="D39" s="10" t="s">
        <v>557</v>
      </c>
      <c r="E39" s="11" t="s">
        <v>757</v>
      </c>
      <c r="F39" s="10" t="s">
        <v>254</v>
      </c>
      <c r="G39" s="31" t="s">
        <v>44</v>
      </c>
      <c r="H39" s="30" t="s">
        <v>45</v>
      </c>
      <c r="I39" s="31" t="s">
        <v>46</v>
      </c>
      <c r="J39" s="32"/>
      <c r="K39" s="12" t="str">
        <f>"240,0"</f>
        <v>240,0</v>
      </c>
      <c r="L39" s="12" t="str">
        <f>"153,9120"</f>
        <v>153,9120</v>
      </c>
      <c r="M39" s="10" t="s">
        <v>617</v>
      </c>
    </row>
    <row r="40" spans="1:13">
      <c r="A40" s="35" t="s">
        <v>150</v>
      </c>
      <c r="B40" s="13" t="s">
        <v>653</v>
      </c>
      <c r="C40" s="13" t="s">
        <v>252</v>
      </c>
      <c r="D40" s="13" t="s">
        <v>253</v>
      </c>
      <c r="E40" s="14" t="s">
        <v>757</v>
      </c>
      <c r="F40" s="13" t="s">
        <v>254</v>
      </c>
      <c r="G40" s="33" t="s">
        <v>121</v>
      </c>
      <c r="H40" s="34" t="s">
        <v>129</v>
      </c>
      <c r="I40" s="34" t="s">
        <v>129</v>
      </c>
      <c r="J40" s="35"/>
      <c r="K40" s="15" t="str">
        <f>"155,0"</f>
        <v>155,0</v>
      </c>
      <c r="L40" s="15" t="str">
        <f>"102,0365"</f>
        <v>102,0365</v>
      </c>
      <c r="M40" s="13" t="s">
        <v>255</v>
      </c>
    </row>
    <row r="42" spans="1:13" ht="16">
      <c r="A42" s="53" t="s">
        <v>31</v>
      </c>
      <c r="B42" s="53"/>
      <c r="C42" s="54"/>
      <c r="D42" s="54"/>
      <c r="E42" s="54"/>
      <c r="F42" s="54"/>
      <c r="G42" s="54"/>
      <c r="H42" s="54"/>
      <c r="I42" s="54"/>
      <c r="J42" s="54"/>
    </row>
    <row r="43" spans="1:13">
      <c r="A43" s="32" t="s">
        <v>60</v>
      </c>
      <c r="B43" s="10" t="s">
        <v>654</v>
      </c>
      <c r="C43" s="10" t="s">
        <v>558</v>
      </c>
      <c r="D43" s="10" t="s">
        <v>517</v>
      </c>
      <c r="E43" s="11" t="s">
        <v>757</v>
      </c>
      <c r="F43" s="10" t="s">
        <v>64</v>
      </c>
      <c r="G43" s="30" t="s">
        <v>113</v>
      </c>
      <c r="H43" s="30" t="s">
        <v>46</v>
      </c>
      <c r="I43" s="31" t="s">
        <v>97</v>
      </c>
      <c r="J43" s="31" t="s">
        <v>97</v>
      </c>
      <c r="K43" s="12" t="str">
        <f>"250,0"</f>
        <v>250,0</v>
      </c>
      <c r="L43" s="12" t="str">
        <f>"152,9500"</f>
        <v>152,9500</v>
      </c>
      <c r="M43" s="10" t="s">
        <v>618</v>
      </c>
    </row>
    <row r="44" spans="1:13">
      <c r="A44" s="41" t="s">
        <v>150</v>
      </c>
      <c r="B44" s="36" t="s">
        <v>559</v>
      </c>
      <c r="C44" s="36" t="s">
        <v>560</v>
      </c>
      <c r="D44" s="36" t="s">
        <v>561</v>
      </c>
      <c r="E44" s="37" t="s">
        <v>757</v>
      </c>
      <c r="F44" s="36" t="s">
        <v>64</v>
      </c>
      <c r="G44" s="39" t="s">
        <v>27</v>
      </c>
      <c r="H44" s="39" t="s">
        <v>44</v>
      </c>
      <c r="I44" s="39" t="s">
        <v>45</v>
      </c>
      <c r="J44" s="41"/>
      <c r="K44" s="38" t="str">
        <f>"240,0"</f>
        <v>240,0</v>
      </c>
      <c r="L44" s="38" t="str">
        <f>"148,0560"</f>
        <v>148,0560</v>
      </c>
      <c r="M44" s="36" t="s">
        <v>199</v>
      </c>
    </row>
    <row r="45" spans="1:13">
      <c r="A45" s="41" t="s">
        <v>151</v>
      </c>
      <c r="B45" s="36" t="s">
        <v>655</v>
      </c>
      <c r="C45" s="36" t="s">
        <v>562</v>
      </c>
      <c r="D45" s="36" t="s">
        <v>504</v>
      </c>
      <c r="E45" s="37" t="s">
        <v>757</v>
      </c>
      <c r="F45" s="36" t="s">
        <v>402</v>
      </c>
      <c r="G45" s="39" t="s">
        <v>26</v>
      </c>
      <c r="H45" s="39" t="s">
        <v>27</v>
      </c>
      <c r="I45" s="39" t="s">
        <v>29</v>
      </c>
      <c r="J45" s="41"/>
      <c r="K45" s="38" t="str">
        <f>"220,0"</f>
        <v>220,0</v>
      </c>
      <c r="L45" s="38" t="str">
        <f>"136,5980"</f>
        <v>136,5980</v>
      </c>
      <c r="M45" s="36"/>
    </row>
    <row r="46" spans="1:13">
      <c r="A46" s="41" t="s">
        <v>60</v>
      </c>
      <c r="B46" s="36" t="s">
        <v>656</v>
      </c>
      <c r="C46" s="36" t="s">
        <v>563</v>
      </c>
      <c r="D46" s="36" t="s">
        <v>561</v>
      </c>
      <c r="E46" s="37" t="s">
        <v>763</v>
      </c>
      <c r="F46" s="36" t="s">
        <v>64</v>
      </c>
      <c r="G46" s="39" t="s">
        <v>27</v>
      </c>
      <c r="H46" s="39" t="s">
        <v>44</v>
      </c>
      <c r="I46" s="39" t="s">
        <v>45</v>
      </c>
      <c r="J46" s="41"/>
      <c r="K46" s="38" t="str">
        <f>"240,0"</f>
        <v>240,0</v>
      </c>
      <c r="L46" s="38" t="str">
        <f>"231,7077"</f>
        <v>231,7077</v>
      </c>
      <c r="M46" s="36" t="s">
        <v>199</v>
      </c>
    </row>
    <row r="47" spans="1:13">
      <c r="A47" s="35" t="s">
        <v>150</v>
      </c>
      <c r="B47" s="13" t="s">
        <v>657</v>
      </c>
      <c r="C47" s="13" t="s">
        <v>448</v>
      </c>
      <c r="D47" s="13" t="s">
        <v>449</v>
      </c>
      <c r="E47" s="14" t="s">
        <v>763</v>
      </c>
      <c r="F47" s="13" t="s">
        <v>64</v>
      </c>
      <c r="G47" s="33" t="s">
        <v>28</v>
      </c>
      <c r="H47" s="33" t="s">
        <v>13</v>
      </c>
      <c r="I47" s="33" t="s">
        <v>14</v>
      </c>
      <c r="J47" s="35"/>
      <c r="K47" s="15" t="str">
        <f>"170,0"</f>
        <v>170,0</v>
      </c>
      <c r="L47" s="15" t="str">
        <f>"150,0379"</f>
        <v>150,0379</v>
      </c>
      <c r="M47" s="13" t="s">
        <v>20</v>
      </c>
    </row>
    <row r="49" spans="1:13" ht="16">
      <c r="A49" s="53" t="s">
        <v>288</v>
      </c>
      <c r="B49" s="53"/>
      <c r="C49" s="54"/>
      <c r="D49" s="54"/>
      <c r="E49" s="54"/>
      <c r="F49" s="54"/>
      <c r="G49" s="54"/>
      <c r="H49" s="54"/>
      <c r="I49" s="54"/>
      <c r="J49" s="54"/>
    </row>
    <row r="50" spans="1:13">
      <c r="A50" s="28" t="s">
        <v>60</v>
      </c>
      <c r="B50" s="7" t="s">
        <v>629</v>
      </c>
      <c r="C50" s="7" t="s">
        <v>564</v>
      </c>
      <c r="D50" s="7" t="s">
        <v>565</v>
      </c>
      <c r="E50" s="8" t="s">
        <v>757</v>
      </c>
      <c r="F50" s="7" t="s">
        <v>566</v>
      </c>
      <c r="G50" s="27" t="s">
        <v>27</v>
      </c>
      <c r="H50" s="27" t="s">
        <v>29</v>
      </c>
      <c r="I50" s="29" t="s">
        <v>44</v>
      </c>
      <c r="J50" s="28"/>
      <c r="K50" s="9" t="str">
        <f>"220,0"</f>
        <v>220,0</v>
      </c>
      <c r="L50" s="9" t="str">
        <f>"125,7520"</f>
        <v>125,7520</v>
      </c>
      <c r="M50" s="7" t="s">
        <v>610</v>
      </c>
    </row>
    <row r="52" spans="1:13" ht="16">
      <c r="F52" s="17"/>
      <c r="G52" s="5"/>
      <c r="K52" s="25"/>
      <c r="M52" s="6"/>
    </row>
    <row r="53" spans="1:13">
      <c r="G53" s="5"/>
      <c r="K53" s="25"/>
      <c r="M53" s="6"/>
    </row>
    <row r="54" spans="1:13" ht="18">
      <c r="B54" s="18" t="s">
        <v>49</v>
      </c>
      <c r="C54" s="18"/>
      <c r="K54" s="25"/>
      <c r="M54" s="6"/>
    </row>
    <row r="55" spans="1:13" ht="16">
      <c r="B55" s="19" t="s">
        <v>147</v>
      </c>
      <c r="C55" s="19"/>
      <c r="K55" s="25"/>
      <c r="M55" s="6"/>
    </row>
    <row r="56" spans="1:13" ht="14">
      <c r="B56" s="20"/>
      <c r="C56" s="21" t="s">
        <v>51</v>
      </c>
      <c r="K56" s="25"/>
      <c r="M56" s="6"/>
    </row>
    <row r="57" spans="1:13" ht="14">
      <c r="B57" s="22" t="s">
        <v>52</v>
      </c>
      <c r="C57" s="22" t="s">
        <v>53</v>
      </c>
      <c r="D57" s="22" t="s">
        <v>725</v>
      </c>
      <c r="E57" s="23" t="s">
        <v>283</v>
      </c>
      <c r="F57" s="22" t="s">
        <v>56</v>
      </c>
      <c r="K57" s="25"/>
      <c r="M57" s="6"/>
    </row>
    <row r="58" spans="1:13">
      <c r="B58" s="5" t="s">
        <v>169</v>
      </c>
      <c r="C58" s="5" t="s">
        <v>51</v>
      </c>
      <c r="D58" s="25" t="s">
        <v>265</v>
      </c>
      <c r="E58" s="26">
        <v>145</v>
      </c>
      <c r="F58" s="24">
        <v>170.60699701309201</v>
      </c>
      <c r="K58" s="25"/>
      <c r="M58" s="6"/>
    </row>
    <row r="59" spans="1:13">
      <c r="B59" s="5" t="s">
        <v>547</v>
      </c>
      <c r="C59" s="5" t="s">
        <v>51</v>
      </c>
      <c r="D59" s="25" t="s">
        <v>264</v>
      </c>
      <c r="E59" s="26">
        <v>150</v>
      </c>
      <c r="F59" s="24">
        <v>153.25500369072</v>
      </c>
      <c r="K59" s="25"/>
      <c r="M59" s="6"/>
    </row>
    <row r="60" spans="1:13">
      <c r="B60" s="5" t="s">
        <v>201</v>
      </c>
      <c r="C60" s="5" t="s">
        <v>51</v>
      </c>
      <c r="D60" s="25" t="s">
        <v>266</v>
      </c>
      <c r="E60" s="26">
        <v>135</v>
      </c>
      <c r="F60" s="24">
        <v>134.702998995781</v>
      </c>
      <c r="K60" s="25"/>
      <c r="M60" s="6"/>
    </row>
    <row r="61" spans="1:13">
      <c r="K61" s="25"/>
      <c r="M61" s="6"/>
    </row>
    <row r="62" spans="1:13" ht="16">
      <c r="B62" s="19" t="s">
        <v>50</v>
      </c>
      <c r="C62" s="19"/>
      <c r="K62" s="25"/>
      <c r="M62" s="6"/>
    </row>
    <row r="63" spans="1:13" ht="14">
      <c r="B63" s="20"/>
      <c r="C63" s="21" t="s">
        <v>51</v>
      </c>
      <c r="K63" s="25"/>
      <c r="M63" s="6"/>
    </row>
    <row r="64" spans="1:13" ht="14">
      <c r="B64" s="22" t="s">
        <v>52</v>
      </c>
      <c r="C64" s="22" t="s">
        <v>53</v>
      </c>
      <c r="D64" s="22" t="s">
        <v>725</v>
      </c>
      <c r="E64" s="23" t="s">
        <v>283</v>
      </c>
      <c r="F64" s="22" t="s">
        <v>56</v>
      </c>
      <c r="K64" s="25"/>
      <c r="M64" s="6"/>
    </row>
    <row r="65" spans="2:13">
      <c r="B65" s="5" t="s">
        <v>553</v>
      </c>
      <c r="C65" s="5" t="s">
        <v>51</v>
      </c>
      <c r="D65" s="25" t="s">
        <v>149</v>
      </c>
      <c r="E65" s="26">
        <v>240</v>
      </c>
      <c r="F65" s="24">
        <v>160.77600002288801</v>
      </c>
      <c r="K65" s="25"/>
      <c r="M65" s="6"/>
    </row>
    <row r="66" spans="2:13">
      <c r="B66" s="5" t="s">
        <v>243</v>
      </c>
      <c r="C66" s="5" t="s">
        <v>51</v>
      </c>
      <c r="D66" s="25" t="s">
        <v>149</v>
      </c>
      <c r="E66" s="26">
        <v>230</v>
      </c>
      <c r="F66" s="24">
        <v>158.14800381660501</v>
      </c>
      <c r="K66" s="25"/>
      <c r="M66" s="6"/>
    </row>
    <row r="67" spans="2:13">
      <c r="B67" s="5" t="s">
        <v>556</v>
      </c>
      <c r="C67" s="5" t="s">
        <v>51</v>
      </c>
      <c r="D67" s="25" t="s">
        <v>59</v>
      </c>
      <c r="E67" s="26">
        <v>240</v>
      </c>
      <c r="F67" s="24">
        <v>153.91200542449999</v>
      </c>
      <c r="K67" s="25"/>
      <c r="M67" s="6"/>
    </row>
    <row r="68" spans="2:13">
      <c r="E68" s="5"/>
      <c r="F68" s="16"/>
      <c r="G68" s="5"/>
      <c r="K68" s="25"/>
      <c r="M68" s="6"/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4:J34"/>
    <mergeCell ref="A38:J38"/>
    <mergeCell ref="A42:J42"/>
    <mergeCell ref="A49:J49"/>
    <mergeCell ref="B3:B4"/>
    <mergeCell ref="A8:J8"/>
    <mergeCell ref="A12:J12"/>
    <mergeCell ref="A17:J17"/>
    <mergeCell ref="A22:J22"/>
    <mergeCell ref="A25:J25"/>
    <mergeCell ref="A28:J2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21"/>
  <dimension ref="A1:M34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24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9.33203125" style="5" bestFit="1" customWidth="1"/>
    <col min="14" max="16384" width="9.1640625" style="3"/>
  </cols>
  <sheetData>
    <row r="1" spans="1:13" s="2" customFormat="1" ht="29" customHeight="1">
      <c r="A1" s="55" t="s">
        <v>740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9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68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69</v>
      </c>
      <c r="C6" s="7" t="s">
        <v>70</v>
      </c>
      <c r="D6" s="7" t="s">
        <v>71</v>
      </c>
      <c r="E6" s="8" t="s">
        <v>757</v>
      </c>
      <c r="F6" s="7" t="s">
        <v>64</v>
      </c>
      <c r="G6" s="27" t="s">
        <v>77</v>
      </c>
      <c r="H6" s="29" t="s">
        <v>78</v>
      </c>
      <c r="I6" s="27" t="s">
        <v>78</v>
      </c>
      <c r="J6" s="28"/>
      <c r="K6" s="9" t="str">
        <f>"178,0"</f>
        <v>178,0</v>
      </c>
      <c r="L6" s="9" t="str">
        <f>"225,5794"</f>
        <v>225,5794</v>
      </c>
      <c r="M6" s="7" t="s">
        <v>615</v>
      </c>
    </row>
    <row r="8" spans="1:13" ht="16">
      <c r="A8" s="53" t="s">
        <v>163</v>
      </c>
      <c r="B8" s="53"/>
      <c r="C8" s="54"/>
      <c r="D8" s="54"/>
      <c r="E8" s="54"/>
      <c r="F8" s="54"/>
      <c r="G8" s="54"/>
      <c r="H8" s="54"/>
      <c r="I8" s="54"/>
      <c r="J8" s="54"/>
    </row>
    <row r="9" spans="1:13">
      <c r="A9" s="28" t="s">
        <v>60</v>
      </c>
      <c r="B9" s="7" t="s">
        <v>519</v>
      </c>
      <c r="C9" s="7" t="s">
        <v>520</v>
      </c>
      <c r="D9" s="7" t="s">
        <v>166</v>
      </c>
      <c r="E9" s="8" t="s">
        <v>759</v>
      </c>
      <c r="F9" s="7" t="s">
        <v>64</v>
      </c>
      <c r="G9" s="27" t="s">
        <v>82</v>
      </c>
      <c r="H9" s="27" t="s">
        <v>161</v>
      </c>
      <c r="I9" s="29" t="s">
        <v>83</v>
      </c>
      <c r="J9" s="28"/>
      <c r="K9" s="9" t="str">
        <f>"75,0"</f>
        <v>75,0</v>
      </c>
      <c r="L9" s="9" t="str">
        <f>"114,5891"</f>
        <v>114,5891</v>
      </c>
      <c r="M9" s="7" t="s">
        <v>521</v>
      </c>
    </row>
    <row r="11" spans="1:13" ht="16">
      <c r="A11" s="53" t="s">
        <v>189</v>
      </c>
      <c r="B11" s="53"/>
      <c r="C11" s="54"/>
      <c r="D11" s="54"/>
      <c r="E11" s="54"/>
      <c r="F11" s="54"/>
      <c r="G11" s="54"/>
      <c r="H11" s="54"/>
      <c r="I11" s="54"/>
      <c r="J11" s="54"/>
    </row>
    <row r="12" spans="1:13">
      <c r="A12" s="32" t="s">
        <v>60</v>
      </c>
      <c r="B12" s="10" t="s">
        <v>522</v>
      </c>
      <c r="C12" s="10" t="s">
        <v>523</v>
      </c>
      <c r="D12" s="10" t="s">
        <v>524</v>
      </c>
      <c r="E12" s="11" t="s">
        <v>760</v>
      </c>
      <c r="F12" s="10" t="s">
        <v>64</v>
      </c>
      <c r="G12" s="30" t="s">
        <v>14</v>
      </c>
      <c r="H12" s="30" t="s">
        <v>25</v>
      </c>
      <c r="I12" s="31" t="s">
        <v>315</v>
      </c>
      <c r="J12" s="32"/>
      <c r="K12" s="12" t="str">
        <f>"185,0"</f>
        <v>185,0</v>
      </c>
      <c r="L12" s="12" t="str">
        <f>"146,3535"</f>
        <v>146,3535</v>
      </c>
      <c r="M12" s="10" t="s">
        <v>525</v>
      </c>
    </row>
    <row r="13" spans="1:13">
      <c r="A13" s="35" t="s">
        <v>60</v>
      </c>
      <c r="B13" s="13" t="s">
        <v>522</v>
      </c>
      <c r="C13" s="13" t="s">
        <v>526</v>
      </c>
      <c r="D13" s="13" t="s">
        <v>524</v>
      </c>
      <c r="E13" s="14" t="s">
        <v>757</v>
      </c>
      <c r="F13" s="13" t="s">
        <v>64</v>
      </c>
      <c r="G13" s="33" t="s">
        <v>14</v>
      </c>
      <c r="H13" s="33" t="s">
        <v>25</v>
      </c>
      <c r="I13" s="34" t="s">
        <v>315</v>
      </c>
      <c r="J13" s="35"/>
      <c r="K13" s="15" t="str">
        <f>"185,0"</f>
        <v>185,0</v>
      </c>
      <c r="L13" s="15" t="str">
        <f>"146,3535"</f>
        <v>146,3535</v>
      </c>
      <c r="M13" s="13" t="s">
        <v>525</v>
      </c>
    </row>
    <row r="15" spans="1:13" ht="16">
      <c r="A15" s="53" t="s">
        <v>31</v>
      </c>
      <c r="B15" s="53"/>
      <c r="C15" s="54"/>
      <c r="D15" s="54"/>
      <c r="E15" s="54"/>
      <c r="F15" s="54"/>
      <c r="G15" s="54"/>
      <c r="H15" s="54"/>
      <c r="I15" s="54"/>
      <c r="J15" s="54"/>
    </row>
    <row r="16" spans="1:13">
      <c r="A16" s="32" t="s">
        <v>60</v>
      </c>
      <c r="B16" s="10" t="s">
        <v>658</v>
      </c>
      <c r="C16" s="10" t="s">
        <v>528</v>
      </c>
      <c r="D16" s="10" t="s">
        <v>529</v>
      </c>
      <c r="E16" s="11" t="s">
        <v>757</v>
      </c>
      <c r="F16" s="10" t="s">
        <v>309</v>
      </c>
      <c r="G16" s="30" t="s">
        <v>530</v>
      </c>
      <c r="H16" s="30" t="s">
        <v>531</v>
      </c>
      <c r="I16" s="31" t="s">
        <v>65</v>
      </c>
      <c r="J16" s="32"/>
      <c r="K16" s="12" t="str">
        <f>"272,5"</f>
        <v>272,5</v>
      </c>
      <c r="L16" s="12" t="str">
        <f>"170,3125"</f>
        <v>170,3125</v>
      </c>
      <c r="M16" s="10" t="s">
        <v>124</v>
      </c>
    </row>
    <row r="17" spans="1:13">
      <c r="A17" s="41" t="s">
        <v>150</v>
      </c>
      <c r="B17" s="36" t="s">
        <v>659</v>
      </c>
      <c r="C17" s="36" t="s">
        <v>33</v>
      </c>
      <c r="D17" s="36" t="s">
        <v>34</v>
      </c>
      <c r="E17" s="37" t="s">
        <v>757</v>
      </c>
      <c r="F17" s="36" t="s">
        <v>64</v>
      </c>
      <c r="G17" s="39" t="s">
        <v>39</v>
      </c>
      <c r="H17" s="40" t="s">
        <v>40</v>
      </c>
      <c r="I17" s="40" t="s">
        <v>40</v>
      </c>
      <c r="J17" s="41"/>
      <c r="K17" s="38" t="str">
        <f>"270,0"</f>
        <v>270,0</v>
      </c>
      <c r="L17" s="38" t="str">
        <f>"164,3760"</f>
        <v>164,3760</v>
      </c>
      <c r="M17" s="36" t="s">
        <v>619</v>
      </c>
    </row>
    <row r="18" spans="1:13">
      <c r="A18" s="41" t="s">
        <v>151</v>
      </c>
      <c r="B18" s="36" t="s">
        <v>214</v>
      </c>
      <c r="C18" s="36" t="s">
        <v>137</v>
      </c>
      <c r="D18" s="36" t="s">
        <v>138</v>
      </c>
      <c r="E18" s="37" t="s">
        <v>757</v>
      </c>
      <c r="F18" s="36" t="s">
        <v>139</v>
      </c>
      <c r="G18" s="40" t="s">
        <v>141</v>
      </c>
      <c r="H18" s="39" t="s">
        <v>141</v>
      </c>
      <c r="I18" s="40" t="s">
        <v>39</v>
      </c>
      <c r="J18" s="41"/>
      <c r="K18" s="38" t="str">
        <f>"255,0"</f>
        <v>255,0</v>
      </c>
      <c r="L18" s="38" t="str">
        <f>"155,1930"</f>
        <v>155,1930</v>
      </c>
      <c r="M18" s="36"/>
    </row>
    <row r="19" spans="1:13">
      <c r="A19" s="41" t="s">
        <v>152</v>
      </c>
      <c r="B19" s="36" t="s">
        <v>627</v>
      </c>
      <c r="C19" s="36" t="s">
        <v>125</v>
      </c>
      <c r="D19" s="36" t="s">
        <v>126</v>
      </c>
      <c r="E19" s="37" t="s">
        <v>757</v>
      </c>
      <c r="F19" s="36" t="s">
        <v>582</v>
      </c>
      <c r="G19" s="39" t="s">
        <v>46</v>
      </c>
      <c r="H19" s="40" t="s">
        <v>97</v>
      </c>
      <c r="I19" s="40" t="s">
        <v>97</v>
      </c>
      <c r="J19" s="41"/>
      <c r="K19" s="38" t="str">
        <f>"250,0"</f>
        <v>250,0</v>
      </c>
      <c r="L19" s="38" t="str">
        <f>"154,3000"</f>
        <v>154,3000</v>
      </c>
      <c r="M19" s="36" t="s">
        <v>132</v>
      </c>
    </row>
    <row r="20" spans="1:13">
      <c r="A20" s="41" t="s">
        <v>153</v>
      </c>
      <c r="B20" s="36" t="s">
        <v>660</v>
      </c>
      <c r="C20" s="36" t="s">
        <v>143</v>
      </c>
      <c r="D20" s="36" t="s">
        <v>532</v>
      </c>
      <c r="E20" s="37" t="s">
        <v>757</v>
      </c>
      <c r="F20" s="36" t="s">
        <v>64</v>
      </c>
      <c r="G20" s="39" t="s">
        <v>146</v>
      </c>
      <c r="H20" s="39" t="s">
        <v>107</v>
      </c>
      <c r="I20" s="39" t="s">
        <v>241</v>
      </c>
      <c r="J20" s="41"/>
      <c r="K20" s="38" t="str">
        <f>"225,0"</f>
        <v>225,0</v>
      </c>
      <c r="L20" s="38" t="str">
        <f>"138,0600"</f>
        <v>138,0600</v>
      </c>
      <c r="M20" s="36" t="s">
        <v>219</v>
      </c>
    </row>
    <row r="21" spans="1:13">
      <c r="A21" s="35" t="s">
        <v>60</v>
      </c>
      <c r="B21" s="13" t="s">
        <v>661</v>
      </c>
      <c r="C21" s="13" t="s">
        <v>533</v>
      </c>
      <c r="D21" s="13" t="s">
        <v>138</v>
      </c>
      <c r="E21" s="14" t="s">
        <v>759</v>
      </c>
      <c r="F21" s="13" t="s">
        <v>64</v>
      </c>
      <c r="G21" s="33" t="s">
        <v>45</v>
      </c>
      <c r="H21" s="34" t="s">
        <v>97</v>
      </c>
      <c r="I21" s="34" t="s">
        <v>97</v>
      </c>
      <c r="J21" s="35"/>
      <c r="K21" s="15" t="str">
        <f>"240,0"</f>
        <v>240,0</v>
      </c>
      <c r="L21" s="15" t="str">
        <f>"193,0966"</f>
        <v>193,0966</v>
      </c>
      <c r="M21" s="13"/>
    </row>
    <row r="23" spans="1:13" ht="16">
      <c r="A23" s="53" t="s">
        <v>41</v>
      </c>
      <c r="B23" s="53"/>
      <c r="C23" s="54"/>
      <c r="D23" s="54"/>
      <c r="E23" s="54"/>
      <c r="F23" s="54"/>
      <c r="G23" s="54"/>
      <c r="H23" s="54"/>
      <c r="I23" s="54"/>
      <c r="J23" s="54"/>
    </row>
    <row r="24" spans="1:13">
      <c r="A24" s="28" t="s">
        <v>60</v>
      </c>
      <c r="B24" s="7" t="s">
        <v>662</v>
      </c>
      <c r="C24" s="7" t="s">
        <v>534</v>
      </c>
      <c r="D24" s="7" t="s">
        <v>535</v>
      </c>
      <c r="E24" s="8" t="s">
        <v>759</v>
      </c>
      <c r="F24" s="7" t="s">
        <v>64</v>
      </c>
      <c r="G24" s="27" t="s">
        <v>97</v>
      </c>
      <c r="H24" s="27" t="s">
        <v>518</v>
      </c>
      <c r="I24" s="29" t="s">
        <v>536</v>
      </c>
      <c r="J24" s="28"/>
      <c r="K24" s="9" t="str">
        <f>"275,0"</f>
        <v>275,0</v>
      </c>
      <c r="L24" s="9" t="str">
        <f>"208,3812"</f>
        <v>208,3812</v>
      </c>
      <c r="M24" s="7"/>
    </row>
    <row r="26" spans="1:13">
      <c r="G26" s="5"/>
      <c r="K26" s="25"/>
      <c r="M26" s="6"/>
    </row>
    <row r="27" spans="1:13">
      <c r="K27" s="25"/>
      <c r="M27" s="6"/>
    </row>
    <row r="28" spans="1:13" ht="18">
      <c r="B28" s="18" t="s">
        <v>49</v>
      </c>
      <c r="C28" s="18"/>
      <c r="K28" s="25"/>
      <c r="M28" s="6"/>
    </row>
    <row r="29" spans="1:13" ht="16">
      <c r="B29" s="19" t="s">
        <v>50</v>
      </c>
      <c r="C29" s="19"/>
      <c r="K29" s="25"/>
      <c r="M29" s="6"/>
    </row>
    <row r="30" spans="1:13" ht="14">
      <c r="B30" s="20"/>
      <c r="C30" s="21" t="s">
        <v>51</v>
      </c>
      <c r="K30" s="25"/>
      <c r="M30" s="6"/>
    </row>
    <row r="31" spans="1:13" ht="14">
      <c r="B31" s="22" t="s">
        <v>52</v>
      </c>
      <c r="C31" s="22" t="s">
        <v>53</v>
      </c>
      <c r="D31" s="22" t="s">
        <v>54</v>
      </c>
      <c r="E31" s="23" t="s">
        <v>283</v>
      </c>
      <c r="F31" s="22" t="s">
        <v>56</v>
      </c>
      <c r="K31" s="25"/>
      <c r="M31" s="6"/>
    </row>
    <row r="32" spans="1:13">
      <c r="B32" s="5" t="s">
        <v>527</v>
      </c>
      <c r="C32" s="5" t="s">
        <v>51</v>
      </c>
      <c r="D32" s="25" t="s">
        <v>57</v>
      </c>
      <c r="E32" s="26">
        <v>272.5</v>
      </c>
      <c r="F32" s="24">
        <v>170.3125</v>
      </c>
      <c r="K32" s="25"/>
      <c r="M32" s="6"/>
    </row>
    <row r="33" spans="2:13">
      <c r="B33" s="5" t="s">
        <v>32</v>
      </c>
      <c r="C33" s="5" t="s">
        <v>51</v>
      </c>
      <c r="D33" s="25" t="s">
        <v>57</v>
      </c>
      <c r="E33" s="26">
        <v>270</v>
      </c>
      <c r="F33" s="24">
        <v>164.37599837779999</v>
      </c>
      <c r="K33" s="25"/>
      <c r="M33" s="6"/>
    </row>
    <row r="34" spans="2:13">
      <c r="B34" s="5" t="s">
        <v>136</v>
      </c>
      <c r="C34" s="5" t="s">
        <v>51</v>
      </c>
      <c r="D34" s="25" t="s">
        <v>57</v>
      </c>
      <c r="E34" s="26">
        <v>255</v>
      </c>
      <c r="F34" s="24">
        <v>155.193005204201</v>
      </c>
      <c r="G34" s="5"/>
      <c r="K34" s="25"/>
      <c r="M34" s="6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A23:J23"/>
    <mergeCell ref="B3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9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25.3320312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55" t="s">
        <v>741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9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21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645</v>
      </c>
      <c r="C6" s="7" t="s">
        <v>567</v>
      </c>
      <c r="D6" s="7" t="s">
        <v>568</v>
      </c>
      <c r="E6" s="8" t="s">
        <v>762</v>
      </c>
      <c r="F6" s="7" t="s">
        <v>139</v>
      </c>
      <c r="G6" s="27" t="s">
        <v>518</v>
      </c>
      <c r="H6" s="27" t="s">
        <v>275</v>
      </c>
      <c r="I6" s="29" t="s">
        <v>569</v>
      </c>
      <c r="J6" s="28"/>
      <c r="K6" s="9" t="str">
        <f>"295,0"</f>
        <v>295,0</v>
      </c>
      <c r="L6" s="9" t="str">
        <f>"191,6118"</f>
        <v>191,6118</v>
      </c>
      <c r="M6" s="7" t="s">
        <v>570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5"/>
  <dimension ref="A1:M40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25.83203125" style="5" bestFit="1" customWidth="1"/>
    <col min="3" max="3" width="29" style="5" bestFit="1" customWidth="1"/>
    <col min="4" max="4" width="21.5" style="5" bestFit="1" customWidth="1"/>
    <col min="5" max="5" width="10.5" style="16" bestFit="1" customWidth="1"/>
    <col min="6" max="6" width="31.6640625" style="5" bestFit="1" customWidth="1"/>
    <col min="7" max="9" width="5.5" style="25" customWidth="1"/>
    <col min="10" max="10" width="4.83203125" style="25" customWidth="1"/>
    <col min="11" max="11" width="10.5" style="26" bestFit="1" customWidth="1"/>
    <col min="12" max="12" width="7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55" t="s">
        <v>742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579</v>
      </c>
      <c r="H3" s="69"/>
      <c r="I3" s="69"/>
      <c r="J3" s="69"/>
      <c r="K3" s="72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73"/>
      <c r="L4" s="68"/>
      <c r="M4" s="71"/>
    </row>
    <row r="5" spans="1:13" ht="16">
      <c r="A5" s="49" t="s">
        <v>79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32" t="s">
        <v>154</v>
      </c>
      <c r="B6" s="10" t="s">
        <v>540</v>
      </c>
      <c r="C6" s="10" t="s">
        <v>748</v>
      </c>
      <c r="D6" s="10" t="s">
        <v>587</v>
      </c>
      <c r="E6" s="11" t="s">
        <v>765</v>
      </c>
      <c r="F6" s="10" t="s">
        <v>542</v>
      </c>
      <c r="G6" s="31" t="s">
        <v>588</v>
      </c>
      <c r="H6" s="31" t="s">
        <v>588</v>
      </c>
      <c r="I6" s="31" t="s">
        <v>588</v>
      </c>
      <c r="J6" s="32"/>
      <c r="K6" s="43">
        <v>0</v>
      </c>
      <c r="L6" s="12" t="str">
        <f>"0,0000"</f>
        <v>0,0000</v>
      </c>
      <c r="M6" s="10" t="s">
        <v>543</v>
      </c>
    </row>
    <row r="7" spans="1:13">
      <c r="A7" s="35" t="s">
        <v>60</v>
      </c>
      <c r="B7" s="13" t="s">
        <v>630</v>
      </c>
      <c r="C7" s="13" t="s">
        <v>188</v>
      </c>
      <c r="D7" s="13" t="s">
        <v>184</v>
      </c>
      <c r="E7" s="14" t="s">
        <v>759</v>
      </c>
      <c r="F7" s="13" t="s">
        <v>185</v>
      </c>
      <c r="G7" s="33" t="s">
        <v>375</v>
      </c>
      <c r="H7" s="33" t="s">
        <v>589</v>
      </c>
      <c r="I7" s="33" t="s">
        <v>167</v>
      </c>
      <c r="J7" s="35"/>
      <c r="K7" s="44" t="str">
        <f>"30,0"</f>
        <v>30,0</v>
      </c>
      <c r="L7" s="15" t="str">
        <f>"38,3543"</f>
        <v>38,3543</v>
      </c>
      <c r="M7" s="13" t="s">
        <v>187</v>
      </c>
    </row>
    <row r="9" spans="1:13" ht="16">
      <c r="A9" s="53" t="s">
        <v>189</v>
      </c>
      <c r="B9" s="53"/>
      <c r="C9" s="54"/>
      <c r="D9" s="54"/>
      <c r="E9" s="54"/>
      <c r="F9" s="54"/>
      <c r="G9" s="54"/>
      <c r="H9" s="54"/>
      <c r="I9" s="54"/>
      <c r="J9" s="54"/>
    </row>
    <row r="10" spans="1:13">
      <c r="A10" s="28" t="s">
        <v>60</v>
      </c>
      <c r="B10" s="7" t="s">
        <v>544</v>
      </c>
      <c r="C10" s="7" t="s">
        <v>749</v>
      </c>
      <c r="D10" s="7" t="s">
        <v>590</v>
      </c>
      <c r="E10" s="8" t="s">
        <v>765</v>
      </c>
      <c r="F10" s="7" t="s">
        <v>542</v>
      </c>
      <c r="G10" s="27" t="s">
        <v>588</v>
      </c>
      <c r="H10" s="27" t="s">
        <v>591</v>
      </c>
      <c r="I10" s="27" t="s">
        <v>375</v>
      </c>
      <c r="J10" s="28"/>
      <c r="K10" s="42" t="str">
        <f>"25,0"</f>
        <v>25,0</v>
      </c>
      <c r="L10" s="9" t="str">
        <f>"24,1280"</f>
        <v>24,1280</v>
      </c>
      <c r="M10" s="7" t="s">
        <v>543</v>
      </c>
    </row>
    <row r="12" spans="1:13" ht="16">
      <c r="A12" s="53" t="s">
        <v>189</v>
      </c>
      <c r="B12" s="53"/>
      <c r="C12" s="54"/>
      <c r="D12" s="54"/>
      <c r="E12" s="54"/>
      <c r="F12" s="54"/>
      <c r="G12" s="54"/>
      <c r="H12" s="54"/>
      <c r="I12" s="54"/>
      <c r="J12" s="54"/>
    </row>
    <row r="13" spans="1:13">
      <c r="A13" s="28" t="s">
        <v>60</v>
      </c>
      <c r="B13" s="7" t="s">
        <v>631</v>
      </c>
      <c r="C13" s="7" t="s">
        <v>750</v>
      </c>
      <c r="D13" s="7" t="s">
        <v>592</v>
      </c>
      <c r="E13" s="8" t="s">
        <v>765</v>
      </c>
      <c r="F13" s="7" t="s">
        <v>593</v>
      </c>
      <c r="G13" s="27" t="s">
        <v>208</v>
      </c>
      <c r="H13" s="27" t="s">
        <v>86</v>
      </c>
      <c r="I13" s="27" t="s">
        <v>192</v>
      </c>
      <c r="J13" s="28"/>
      <c r="K13" s="42" t="str">
        <f>"52,5"</f>
        <v>52,5</v>
      </c>
      <c r="L13" s="9" t="str">
        <f>"39,8475"</f>
        <v>39,8475</v>
      </c>
      <c r="M13" s="7" t="s">
        <v>594</v>
      </c>
    </row>
    <row r="15" spans="1:13" ht="16">
      <c r="A15" s="53" t="s">
        <v>200</v>
      </c>
      <c r="B15" s="53"/>
      <c r="C15" s="54"/>
      <c r="D15" s="54"/>
      <c r="E15" s="54"/>
      <c r="F15" s="54"/>
      <c r="G15" s="54"/>
      <c r="H15" s="54"/>
      <c r="I15" s="54"/>
      <c r="J15" s="54"/>
    </row>
    <row r="16" spans="1:13">
      <c r="A16" s="32" t="s">
        <v>60</v>
      </c>
      <c r="B16" s="10" t="s">
        <v>632</v>
      </c>
      <c r="C16" s="10" t="s">
        <v>751</v>
      </c>
      <c r="D16" s="10" t="s">
        <v>595</v>
      </c>
      <c r="E16" s="11" t="s">
        <v>765</v>
      </c>
      <c r="F16" s="10" t="s">
        <v>64</v>
      </c>
      <c r="G16" s="30" t="s">
        <v>208</v>
      </c>
      <c r="H16" s="30" t="s">
        <v>86</v>
      </c>
      <c r="I16" s="31" t="s">
        <v>87</v>
      </c>
      <c r="J16" s="32"/>
      <c r="K16" s="43" t="str">
        <f>"45,0"</f>
        <v>45,0</v>
      </c>
      <c r="L16" s="12" t="str">
        <f>"31,1535"</f>
        <v>31,1535</v>
      </c>
      <c r="M16" s="10" t="s">
        <v>487</v>
      </c>
    </row>
    <row r="17" spans="1:13">
      <c r="A17" s="35" t="s">
        <v>60</v>
      </c>
      <c r="B17" s="13" t="s">
        <v>633</v>
      </c>
      <c r="C17" s="13" t="s">
        <v>597</v>
      </c>
      <c r="D17" s="13" t="s">
        <v>598</v>
      </c>
      <c r="E17" s="14" t="s">
        <v>757</v>
      </c>
      <c r="F17" s="13" t="s">
        <v>309</v>
      </c>
      <c r="G17" s="34" t="s">
        <v>159</v>
      </c>
      <c r="H17" s="33" t="s">
        <v>159</v>
      </c>
      <c r="I17" s="34" t="s">
        <v>381</v>
      </c>
      <c r="J17" s="35"/>
      <c r="K17" s="44" t="str">
        <f>"65,0"</f>
        <v>65,0</v>
      </c>
      <c r="L17" s="15" t="str">
        <f>"45,9875"</f>
        <v>45,9875</v>
      </c>
      <c r="M17" s="13" t="s">
        <v>108</v>
      </c>
    </row>
    <row r="19" spans="1:13" ht="16">
      <c r="A19" s="53" t="s">
        <v>10</v>
      </c>
      <c r="B19" s="53"/>
      <c r="C19" s="54"/>
      <c r="D19" s="54"/>
      <c r="E19" s="54"/>
      <c r="F19" s="54"/>
      <c r="G19" s="54"/>
      <c r="H19" s="54"/>
      <c r="I19" s="54"/>
      <c r="J19" s="54"/>
    </row>
    <row r="20" spans="1:13">
      <c r="A20" s="32" t="s">
        <v>60</v>
      </c>
      <c r="B20" s="10" t="s">
        <v>612</v>
      </c>
      <c r="C20" s="10" t="s">
        <v>488</v>
      </c>
      <c r="D20" s="10" t="s">
        <v>599</v>
      </c>
      <c r="E20" s="11" t="s">
        <v>757</v>
      </c>
      <c r="F20" s="10" t="s">
        <v>64</v>
      </c>
      <c r="G20" s="30" t="s">
        <v>178</v>
      </c>
      <c r="H20" s="30" t="s">
        <v>381</v>
      </c>
      <c r="I20" s="30" t="s">
        <v>160</v>
      </c>
      <c r="J20" s="32"/>
      <c r="K20" s="43" t="str">
        <f>"72,5"</f>
        <v>72,5</v>
      </c>
      <c r="L20" s="12" t="str">
        <f>"47,3552"</f>
        <v>47,3552</v>
      </c>
      <c r="M20" s="10" t="s">
        <v>611</v>
      </c>
    </row>
    <row r="21" spans="1:13">
      <c r="A21" s="41" t="s">
        <v>150</v>
      </c>
      <c r="B21" s="36" t="s">
        <v>490</v>
      </c>
      <c r="C21" s="36" t="s">
        <v>491</v>
      </c>
      <c r="D21" s="36" t="s">
        <v>492</v>
      </c>
      <c r="E21" s="37" t="s">
        <v>757</v>
      </c>
      <c r="F21" s="36" t="s">
        <v>64</v>
      </c>
      <c r="G21" s="39" t="s">
        <v>158</v>
      </c>
      <c r="H21" s="39" t="s">
        <v>178</v>
      </c>
      <c r="I21" s="39" t="s">
        <v>159</v>
      </c>
      <c r="J21" s="41"/>
      <c r="K21" s="45" t="str">
        <f>"65,0"</f>
        <v>65,0</v>
      </c>
      <c r="L21" s="38" t="str">
        <f>"42,6173"</f>
        <v>42,6173</v>
      </c>
      <c r="M21" s="36" t="s">
        <v>612</v>
      </c>
    </row>
    <row r="22" spans="1:13">
      <c r="A22" s="41" t="s">
        <v>151</v>
      </c>
      <c r="B22" s="36" t="s">
        <v>578</v>
      </c>
      <c r="C22" s="36" t="s">
        <v>600</v>
      </c>
      <c r="D22" s="36" t="s">
        <v>601</v>
      </c>
      <c r="E22" s="37" t="s">
        <v>757</v>
      </c>
      <c r="F22" s="36" t="s">
        <v>602</v>
      </c>
      <c r="G22" s="39" t="s">
        <v>92</v>
      </c>
      <c r="H22" s="40" t="s">
        <v>159</v>
      </c>
      <c r="I22" s="40" t="s">
        <v>159</v>
      </c>
      <c r="J22" s="41"/>
      <c r="K22" s="45" t="str">
        <f>"60,0"</f>
        <v>60,0</v>
      </c>
      <c r="L22" s="38" t="str">
        <f>"39,3210"</f>
        <v>39,3210</v>
      </c>
      <c r="M22" s="36" t="s">
        <v>603</v>
      </c>
    </row>
    <row r="23" spans="1:13">
      <c r="A23" s="35" t="s">
        <v>60</v>
      </c>
      <c r="B23" s="13" t="s">
        <v>634</v>
      </c>
      <c r="C23" s="13" t="s">
        <v>495</v>
      </c>
      <c r="D23" s="13" t="s">
        <v>492</v>
      </c>
      <c r="E23" s="14" t="s">
        <v>762</v>
      </c>
      <c r="F23" s="13" t="s">
        <v>64</v>
      </c>
      <c r="G23" s="33" t="s">
        <v>158</v>
      </c>
      <c r="H23" s="33" t="s">
        <v>178</v>
      </c>
      <c r="I23" s="33" t="s">
        <v>159</v>
      </c>
      <c r="J23" s="35"/>
      <c r="K23" s="44" t="str">
        <f>"65,0"</f>
        <v>65,0</v>
      </c>
      <c r="L23" s="15" t="str">
        <f>"43,9384"</f>
        <v>43,9384</v>
      </c>
      <c r="M23" s="13" t="s">
        <v>612</v>
      </c>
    </row>
    <row r="25" spans="1:13" ht="16">
      <c r="A25" s="53" t="s">
        <v>21</v>
      </c>
      <c r="B25" s="53"/>
      <c r="C25" s="54"/>
      <c r="D25" s="54"/>
      <c r="E25" s="54"/>
      <c r="F25" s="54"/>
      <c r="G25" s="54"/>
      <c r="H25" s="54"/>
      <c r="I25" s="54"/>
      <c r="J25" s="54"/>
    </row>
    <row r="26" spans="1:13">
      <c r="A26" s="32" t="s">
        <v>60</v>
      </c>
      <c r="B26" s="10" t="s">
        <v>635</v>
      </c>
      <c r="C26" s="10" t="s">
        <v>605</v>
      </c>
      <c r="D26" s="10" t="s">
        <v>606</v>
      </c>
      <c r="E26" s="11" t="s">
        <v>757</v>
      </c>
      <c r="F26" s="10" t="s">
        <v>64</v>
      </c>
      <c r="G26" s="30" t="s">
        <v>82</v>
      </c>
      <c r="H26" s="30" t="s">
        <v>160</v>
      </c>
      <c r="I26" s="30" t="s">
        <v>161</v>
      </c>
      <c r="J26" s="32"/>
      <c r="K26" s="43" t="str">
        <f>"75,0"</f>
        <v>75,0</v>
      </c>
      <c r="L26" s="12" t="str">
        <f>"46,1325"</f>
        <v>46,1325</v>
      </c>
      <c r="M26" s="10"/>
    </row>
    <row r="27" spans="1:13">
      <c r="A27" s="41" t="s">
        <v>150</v>
      </c>
      <c r="B27" s="36" t="s">
        <v>636</v>
      </c>
      <c r="C27" s="36" t="s">
        <v>497</v>
      </c>
      <c r="D27" s="36" t="s">
        <v>117</v>
      </c>
      <c r="E27" s="37" t="s">
        <v>757</v>
      </c>
      <c r="F27" s="36" t="s">
        <v>64</v>
      </c>
      <c r="G27" s="40" t="s">
        <v>159</v>
      </c>
      <c r="H27" s="40" t="s">
        <v>159</v>
      </c>
      <c r="I27" s="39" t="s">
        <v>159</v>
      </c>
      <c r="J27" s="41"/>
      <c r="K27" s="45" t="str">
        <f>"65,0"</f>
        <v>65,0</v>
      </c>
      <c r="L27" s="38" t="str">
        <f>"39,8450"</f>
        <v>39,8450</v>
      </c>
      <c r="M27" s="36" t="s">
        <v>613</v>
      </c>
    </row>
    <row r="28" spans="1:13">
      <c r="A28" s="41" t="s">
        <v>151</v>
      </c>
      <c r="B28" s="36" t="s">
        <v>439</v>
      </c>
      <c r="C28" s="36" t="s">
        <v>440</v>
      </c>
      <c r="D28" s="36" t="s">
        <v>607</v>
      </c>
      <c r="E28" s="37" t="s">
        <v>757</v>
      </c>
      <c r="F28" s="36" t="s">
        <v>64</v>
      </c>
      <c r="G28" s="39" t="s">
        <v>192</v>
      </c>
      <c r="H28" s="39" t="s">
        <v>92</v>
      </c>
      <c r="I28" s="40" t="s">
        <v>178</v>
      </c>
      <c r="J28" s="41"/>
      <c r="K28" s="45" t="str">
        <f>"60,0"</f>
        <v>60,0</v>
      </c>
      <c r="L28" s="38" t="str">
        <f>"37,2420"</f>
        <v>37,2420</v>
      </c>
      <c r="M28" s="36" t="s">
        <v>487</v>
      </c>
    </row>
    <row r="29" spans="1:13">
      <c r="A29" s="35" t="s">
        <v>60</v>
      </c>
      <c r="B29" s="13" t="s">
        <v>637</v>
      </c>
      <c r="C29" s="13" t="s">
        <v>443</v>
      </c>
      <c r="D29" s="13" t="s">
        <v>607</v>
      </c>
      <c r="E29" s="14" t="s">
        <v>762</v>
      </c>
      <c r="F29" s="13" t="s">
        <v>64</v>
      </c>
      <c r="G29" s="33" t="s">
        <v>192</v>
      </c>
      <c r="H29" s="33" t="s">
        <v>92</v>
      </c>
      <c r="I29" s="34" t="s">
        <v>178</v>
      </c>
      <c r="J29" s="35"/>
      <c r="K29" s="44" t="str">
        <f>"60,0"</f>
        <v>60,0</v>
      </c>
      <c r="L29" s="15" t="str">
        <f>"37,2420"</f>
        <v>37,2420</v>
      </c>
      <c r="M29" s="13" t="s">
        <v>487</v>
      </c>
    </row>
    <row r="31" spans="1:13" ht="16">
      <c r="F31" s="17"/>
      <c r="G31" s="5"/>
      <c r="M31" s="6"/>
    </row>
    <row r="32" spans="1:13">
      <c r="G32" s="5"/>
      <c r="M32" s="6"/>
    </row>
    <row r="33" spans="2:13" ht="18">
      <c r="B33" s="18" t="s">
        <v>49</v>
      </c>
      <c r="C33" s="18"/>
      <c r="G33" s="3"/>
      <c r="M33" s="6"/>
    </row>
    <row r="34" spans="2:13" ht="16">
      <c r="B34" s="19" t="s">
        <v>747</v>
      </c>
      <c r="G34" s="3"/>
      <c r="M34" s="6"/>
    </row>
    <row r="35" spans="2:13" ht="14">
      <c r="B35" s="20"/>
      <c r="C35" s="21" t="s">
        <v>51</v>
      </c>
      <c r="G35" s="3"/>
      <c r="M35" s="6"/>
    </row>
    <row r="36" spans="2:13" ht="14">
      <c r="B36" s="22" t="s">
        <v>52</v>
      </c>
      <c r="C36" s="22" t="s">
        <v>53</v>
      </c>
      <c r="D36" s="22" t="s">
        <v>725</v>
      </c>
      <c r="E36" s="23" t="s">
        <v>283</v>
      </c>
      <c r="F36" s="22" t="s">
        <v>284</v>
      </c>
      <c r="G36" s="3"/>
      <c r="M36" s="6"/>
    </row>
    <row r="37" spans="2:13">
      <c r="B37" s="5" t="s">
        <v>487</v>
      </c>
      <c r="C37" s="5" t="s">
        <v>51</v>
      </c>
      <c r="D37" s="25" t="s">
        <v>149</v>
      </c>
      <c r="E37" s="26">
        <v>72.5</v>
      </c>
      <c r="F37" s="24">
        <v>47.355187237262697</v>
      </c>
      <c r="G37" s="3"/>
      <c r="M37" s="6"/>
    </row>
    <row r="38" spans="2:13">
      <c r="B38" s="5" t="s">
        <v>604</v>
      </c>
      <c r="C38" s="5" t="s">
        <v>51</v>
      </c>
      <c r="D38" s="25" t="s">
        <v>59</v>
      </c>
      <c r="E38" s="26">
        <v>75</v>
      </c>
      <c r="F38" s="24">
        <v>46.132501959800699</v>
      </c>
      <c r="G38" s="3"/>
      <c r="M38" s="6"/>
    </row>
    <row r="39" spans="2:13">
      <c r="B39" s="5" t="s">
        <v>596</v>
      </c>
      <c r="C39" s="5" t="s">
        <v>51</v>
      </c>
      <c r="D39" s="25" t="s">
        <v>266</v>
      </c>
      <c r="E39" s="26">
        <v>65</v>
      </c>
      <c r="F39" s="24">
        <v>45.987498760223403</v>
      </c>
      <c r="G39" s="3"/>
      <c r="M39" s="6"/>
    </row>
    <row r="40" spans="2:13">
      <c r="E40" s="5"/>
      <c r="F40" s="16"/>
      <c r="G40" s="5"/>
      <c r="M40" s="6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5:J25"/>
    <mergeCell ref="A5:J5"/>
    <mergeCell ref="A9:J9"/>
    <mergeCell ref="A12:J12"/>
    <mergeCell ref="A15:J15"/>
    <mergeCell ref="A19:J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6"/>
  <dimension ref="A1:M23"/>
  <sheetViews>
    <sheetView tabSelected="1"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7.3320312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1.664062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7.5" style="6" bestFit="1" customWidth="1"/>
    <col min="13" max="13" width="19.33203125" style="5" bestFit="1" customWidth="1"/>
    <col min="14" max="16384" width="9.1640625" style="3"/>
  </cols>
  <sheetData>
    <row r="1" spans="1:13" s="2" customFormat="1" ht="29" customHeight="1">
      <c r="A1" s="55" t="s">
        <v>743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579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189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638</v>
      </c>
      <c r="C6" s="7" t="s">
        <v>571</v>
      </c>
      <c r="D6" s="7" t="s">
        <v>549</v>
      </c>
      <c r="E6" s="8" t="s">
        <v>757</v>
      </c>
      <c r="F6" s="7" t="s">
        <v>64</v>
      </c>
      <c r="G6" s="27" t="s">
        <v>85</v>
      </c>
      <c r="H6" s="29" t="s">
        <v>186</v>
      </c>
      <c r="I6" s="29" t="s">
        <v>186</v>
      </c>
      <c r="J6" s="28"/>
      <c r="K6" s="9" t="str">
        <f>"40,0"</f>
        <v>40,0</v>
      </c>
      <c r="L6" s="9" t="str">
        <f>"36,0300"</f>
        <v>36,0300</v>
      </c>
      <c r="M6" s="7" t="s">
        <v>572</v>
      </c>
    </row>
    <row r="8" spans="1:13" ht="16">
      <c r="A8" s="53" t="s">
        <v>79</v>
      </c>
      <c r="B8" s="53"/>
      <c r="C8" s="54"/>
      <c r="D8" s="54"/>
      <c r="E8" s="54"/>
      <c r="F8" s="54"/>
      <c r="G8" s="54"/>
      <c r="H8" s="54"/>
      <c r="I8" s="54"/>
      <c r="J8" s="54"/>
    </row>
    <row r="9" spans="1:13">
      <c r="A9" s="28" t="s">
        <v>60</v>
      </c>
      <c r="B9" s="7" t="s">
        <v>580</v>
      </c>
      <c r="C9" s="7" t="s">
        <v>752</v>
      </c>
      <c r="D9" s="7" t="s">
        <v>581</v>
      </c>
      <c r="E9" s="8" t="s">
        <v>765</v>
      </c>
      <c r="F9" s="7" t="s">
        <v>582</v>
      </c>
      <c r="G9" s="27" t="s">
        <v>208</v>
      </c>
      <c r="H9" s="29" t="s">
        <v>86</v>
      </c>
      <c r="I9" s="27" t="s">
        <v>86</v>
      </c>
      <c r="J9" s="28"/>
      <c r="K9" s="9" t="str">
        <f>"45,0"</f>
        <v>45,0</v>
      </c>
      <c r="L9" s="9" t="str">
        <f>"38,9542"</f>
        <v>38,9542</v>
      </c>
      <c r="M9" s="7" t="s">
        <v>525</v>
      </c>
    </row>
    <row r="11" spans="1:13" ht="16">
      <c r="A11" s="53" t="s">
        <v>200</v>
      </c>
      <c r="B11" s="53"/>
      <c r="C11" s="54"/>
      <c r="D11" s="54"/>
      <c r="E11" s="54"/>
      <c r="F11" s="54"/>
      <c r="G11" s="54"/>
      <c r="H11" s="54"/>
      <c r="I11" s="54"/>
      <c r="J11" s="54"/>
    </row>
    <row r="12" spans="1:13">
      <c r="A12" s="28" t="s">
        <v>60</v>
      </c>
      <c r="B12" s="7" t="s">
        <v>639</v>
      </c>
      <c r="C12" s="7" t="s">
        <v>753</v>
      </c>
      <c r="D12" s="7" t="s">
        <v>228</v>
      </c>
      <c r="E12" s="8" t="s">
        <v>760</v>
      </c>
      <c r="F12" s="7" t="s">
        <v>583</v>
      </c>
      <c r="G12" s="27" t="s">
        <v>365</v>
      </c>
      <c r="H12" s="27" t="s">
        <v>92</v>
      </c>
      <c r="I12" s="29" t="s">
        <v>159</v>
      </c>
      <c r="J12" s="28"/>
      <c r="K12" s="9" t="str">
        <f>"60,0"</f>
        <v>60,0</v>
      </c>
      <c r="L12" s="9" t="str">
        <f>"43,6740"</f>
        <v>43,6740</v>
      </c>
      <c r="M12" s="7" t="s">
        <v>525</v>
      </c>
    </row>
    <row r="14" spans="1:13" ht="16">
      <c r="A14" s="53" t="s">
        <v>10</v>
      </c>
      <c r="B14" s="53"/>
      <c r="C14" s="54"/>
      <c r="D14" s="54"/>
      <c r="E14" s="54"/>
      <c r="F14" s="54"/>
      <c r="G14" s="54"/>
      <c r="H14" s="54"/>
      <c r="I14" s="54"/>
      <c r="J14" s="54"/>
    </row>
    <row r="15" spans="1:13">
      <c r="A15" s="28" t="s">
        <v>60</v>
      </c>
      <c r="B15" s="7" t="s">
        <v>572</v>
      </c>
      <c r="C15" s="7" t="s">
        <v>286</v>
      </c>
      <c r="D15" s="7" t="s">
        <v>584</v>
      </c>
      <c r="E15" s="8" t="s">
        <v>757</v>
      </c>
      <c r="F15" s="7" t="s">
        <v>64</v>
      </c>
      <c r="G15" s="29" t="s">
        <v>92</v>
      </c>
      <c r="H15" s="27" t="s">
        <v>159</v>
      </c>
      <c r="I15" s="27" t="s">
        <v>82</v>
      </c>
      <c r="J15" s="28"/>
      <c r="K15" s="9" t="str">
        <f>"70,0"</f>
        <v>70,0</v>
      </c>
      <c r="L15" s="9" t="str">
        <f>"45,1745"</f>
        <v>45,1745</v>
      </c>
      <c r="M15" s="7"/>
    </row>
    <row r="17" spans="1:13" ht="16">
      <c r="A17" s="53" t="s">
        <v>31</v>
      </c>
      <c r="B17" s="53"/>
      <c r="C17" s="54"/>
      <c r="D17" s="54"/>
      <c r="E17" s="54"/>
      <c r="F17" s="54"/>
      <c r="G17" s="54"/>
      <c r="H17" s="54"/>
      <c r="I17" s="54"/>
      <c r="J17" s="54"/>
    </row>
    <row r="18" spans="1:13">
      <c r="A18" s="32" t="s">
        <v>60</v>
      </c>
      <c r="B18" s="10" t="s">
        <v>340</v>
      </c>
      <c r="C18" s="10" t="s">
        <v>585</v>
      </c>
      <c r="D18" s="10" t="s">
        <v>135</v>
      </c>
      <c r="E18" s="11" t="s">
        <v>757</v>
      </c>
      <c r="F18" s="10" t="s">
        <v>64</v>
      </c>
      <c r="G18" s="30" t="s">
        <v>83</v>
      </c>
      <c r="H18" s="30" t="s">
        <v>213</v>
      </c>
      <c r="I18" s="30" t="s">
        <v>84</v>
      </c>
      <c r="J18" s="32"/>
      <c r="K18" s="12" t="str">
        <f>"90,0"</f>
        <v>90,0</v>
      </c>
      <c r="L18" s="12" t="str">
        <f>"52,4070"</f>
        <v>52,4070</v>
      </c>
      <c r="M18" s="10" t="s">
        <v>310</v>
      </c>
    </row>
    <row r="19" spans="1:13">
      <c r="A19" s="41" t="s">
        <v>150</v>
      </c>
      <c r="B19" s="36" t="s">
        <v>628</v>
      </c>
      <c r="C19" s="36" t="s">
        <v>311</v>
      </c>
      <c r="D19" s="36" t="s">
        <v>312</v>
      </c>
      <c r="E19" s="37" t="s">
        <v>757</v>
      </c>
      <c r="F19" s="36" t="s">
        <v>64</v>
      </c>
      <c r="G19" s="39" t="s">
        <v>92</v>
      </c>
      <c r="H19" s="39" t="s">
        <v>82</v>
      </c>
      <c r="I19" s="39" t="s">
        <v>160</v>
      </c>
      <c r="J19" s="41"/>
      <c r="K19" s="38" t="str">
        <f>"72,5"</f>
        <v>72,5</v>
      </c>
      <c r="L19" s="38" t="str">
        <f>"42,2530"</f>
        <v>42,2530</v>
      </c>
      <c r="M19" s="36" t="s">
        <v>340</v>
      </c>
    </row>
    <row r="20" spans="1:13">
      <c r="A20" s="35" t="s">
        <v>151</v>
      </c>
      <c r="B20" s="13" t="s">
        <v>640</v>
      </c>
      <c r="C20" s="13" t="s">
        <v>586</v>
      </c>
      <c r="D20" s="13" t="s">
        <v>449</v>
      </c>
      <c r="E20" s="14" t="s">
        <v>757</v>
      </c>
      <c r="F20" s="13" t="s">
        <v>64</v>
      </c>
      <c r="G20" s="33" t="s">
        <v>92</v>
      </c>
      <c r="H20" s="33" t="s">
        <v>82</v>
      </c>
      <c r="I20" s="34" t="s">
        <v>83</v>
      </c>
      <c r="J20" s="35"/>
      <c r="K20" s="15" t="str">
        <f>"70,0"</f>
        <v>70,0</v>
      </c>
      <c r="L20" s="15" t="str">
        <f>"40,9920"</f>
        <v>40,9920</v>
      </c>
      <c r="M20" s="13"/>
    </row>
    <row r="22" spans="1:13" ht="16">
      <c r="F22" s="17"/>
      <c r="G22" s="5"/>
      <c r="K22" s="25"/>
      <c r="M22" s="6"/>
    </row>
    <row r="23" spans="1:13">
      <c r="G23" s="5"/>
      <c r="K23" s="25"/>
      <c r="M23" s="6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"/>
  <dimension ref="A1:U37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3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26" bestFit="1" customWidth="1"/>
    <col min="20" max="20" width="8.5" style="6" bestFit="1" customWidth="1"/>
    <col min="21" max="21" width="23.5" style="5" customWidth="1"/>
    <col min="22" max="16384" width="9.1640625" style="3"/>
  </cols>
  <sheetData>
    <row r="1" spans="1:21" s="2" customFormat="1" ht="29" customHeight="1">
      <c r="A1" s="55" t="s">
        <v>727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7</v>
      </c>
      <c r="H3" s="69"/>
      <c r="I3" s="69"/>
      <c r="J3" s="69"/>
      <c r="K3" s="69" t="s">
        <v>8</v>
      </c>
      <c r="L3" s="69"/>
      <c r="M3" s="69"/>
      <c r="N3" s="69"/>
      <c r="O3" s="69" t="s">
        <v>9</v>
      </c>
      <c r="P3" s="69"/>
      <c r="Q3" s="69"/>
      <c r="R3" s="69"/>
      <c r="S3" s="72" t="s">
        <v>1</v>
      </c>
      <c r="T3" s="67" t="s">
        <v>3</v>
      </c>
      <c r="U3" s="70" t="s">
        <v>2</v>
      </c>
    </row>
    <row r="4" spans="1:21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68"/>
      <c r="U4" s="71"/>
    </row>
    <row r="5" spans="1:21" ht="16">
      <c r="A5" s="49" t="s">
        <v>68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>
      <c r="A6" s="28" t="s">
        <v>60</v>
      </c>
      <c r="B6" s="7" t="s">
        <v>187</v>
      </c>
      <c r="C6" s="7" t="s">
        <v>70</v>
      </c>
      <c r="D6" s="7" t="s">
        <v>71</v>
      </c>
      <c r="E6" s="8" t="s">
        <v>757</v>
      </c>
      <c r="F6" s="7" t="s">
        <v>64</v>
      </c>
      <c r="G6" s="27" t="s">
        <v>17</v>
      </c>
      <c r="H6" s="27" t="s">
        <v>18</v>
      </c>
      <c r="I6" s="27" t="s">
        <v>72</v>
      </c>
      <c r="J6" s="29" t="s">
        <v>73</v>
      </c>
      <c r="K6" s="27" t="s">
        <v>74</v>
      </c>
      <c r="L6" s="27" t="s">
        <v>75</v>
      </c>
      <c r="M6" s="29" t="s">
        <v>76</v>
      </c>
      <c r="N6" s="28"/>
      <c r="O6" s="27" t="s">
        <v>77</v>
      </c>
      <c r="P6" s="29" t="s">
        <v>78</v>
      </c>
      <c r="Q6" s="27" t="s">
        <v>78</v>
      </c>
      <c r="R6" s="28"/>
      <c r="S6" s="42" t="str">
        <f>"426,0"</f>
        <v>426,0</v>
      </c>
      <c r="T6" s="9" t="str">
        <f>"539,8698"</f>
        <v>539,8698</v>
      </c>
      <c r="U6" s="7" t="s">
        <v>108</v>
      </c>
    </row>
    <row r="8" spans="1:21" ht="16">
      <c r="A8" s="53" t="s">
        <v>79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21">
      <c r="A9" s="32" t="s">
        <v>60</v>
      </c>
      <c r="B9" s="10" t="s">
        <v>718</v>
      </c>
      <c r="C9" s="10" t="s">
        <v>80</v>
      </c>
      <c r="D9" s="10" t="s">
        <v>81</v>
      </c>
      <c r="E9" s="11" t="s">
        <v>757</v>
      </c>
      <c r="F9" s="10" t="s">
        <v>64</v>
      </c>
      <c r="G9" s="30" t="s">
        <v>82</v>
      </c>
      <c r="H9" s="30" t="s">
        <v>83</v>
      </c>
      <c r="I9" s="31" t="s">
        <v>84</v>
      </c>
      <c r="J9" s="32"/>
      <c r="K9" s="30" t="s">
        <v>85</v>
      </c>
      <c r="L9" s="30" t="s">
        <v>86</v>
      </c>
      <c r="M9" s="31" t="s">
        <v>87</v>
      </c>
      <c r="N9" s="32"/>
      <c r="O9" s="30" t="s">
        <v>88</v>
      </c>
      <c r="P9" s="30" t="s">
        <v>89</v>
      </c>
      <c r="Q9" s="30" t="s">
        <v>76</v>
      </c>
      <c r="R9" s="32"/>
      <c r="S9" s="43" t="str">
        <f>"240,0"</f>
        <v>240,0</v>
      </c>
      <c r="T9" s="12" t="str">
        <f>"268,9680"</f>
        <v>268,9680</v>
      </c>
      <c r="U9" s="10" t="s">
        <v>20</v>
      </c>
    </row>
    <row r="10" spans="1:21">
      <c r="A10" s="35" t="s">
        <v>150</v>
      </c>
      <c r="B10" s="13" t="s">
        <v>719</v>
      </c>
      <c r="C10" s="13" t="s">
        <v>90</v>
      </c>
      <c r="D10" s="13" t="s">
        <v>91</v>
      </c>
      <c r="E10" s="14" t="s">
        <v>757</v>
      </c>
      <c r="F10" s="13" t="s">
        <v>64</v>
      </c>
      <c r="G10" s="33" t="s">
        <v>92</v>
      </c>
      <c r="H10" s="34" t="s">
        <v>82</v>
      </c>
      <c r="I10" s="33" t="s">
        <v>82</v>
      </c>
      <c r="J10" s="35"/>
      <c r="K10" s="34" t="s">
        <v>85</v>
      </c>
      <c r="L10" s="33" t="s">
        <v>85</v>
      </c>
      <c r="M10" s="33" t="s">
        <v>86</v>
      </c>
      <c r="N10" s="35"/>
      <c r="O10" s="34" t="s">
        <v>83</v>
      </c>
      <c r="P10" s="33" t="s">
        <v>83</v>
      </c>
      <c r="Q10" s="33" t="s">
        <v>84</v>
      </c>
      <c r="R10" s="35"/>
      <c r="S10" s="44" t="str">
        <f>"205,0"</f>
        <v>205,0</v>
      </c>
      <c r="T10" s="15" t="str">
        <f>"232,4700"</f>
        <v>232,4700</v>
      </c>
      <c r="U10" s="13" t="s">
        <v>93</v>
      </c>
    </row>
    <row r="12" spans="1:21" ht="16">
      <c r="A12" s="53" t="s">
        <v>10</v>
      </c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21">
      <c r="A13" s="28" t="s">
        <v>60</v>
      </c>
      <c r="B13" s="7" t="s">
        <v>94</v>
      </c>
      <c r="C13" s="7" t="s">
        <v>95</v>
      </c>
      <c r="D13" s="7" t="s">
        <v>96</v>
      </c>
      <c r="E13" s="8" t="s">
        <v>757</v>
      </c>
      <c r="F13" s="7" t="s">
        <v>64</v>
      </c>
      <c r="G13" s="27" t="s">
        <v>27</v>
      </c>
      <c r="H13" s="29" t="s">
        <v>44</v>
      </c>
      <c r="I13" s="27" t="s">
        <v>44</v>
      </c>
      <c r="J13" s="28"/>
      <c r="K13" s="27" t="s">
        <v>14</v>
      </c>
      <c r="L13" s="27" t="s">
        <v>15</v>
      </c>
      <c r="M13" s="27" t="s">
        <v>19</v>
      </c>
      <c r="N13" s="28"/>
      <c r="O13" s="27" t="s">
        <v>45</v>
      </c>
      <c r="P13" s="27" t="s">
        <v>46</v>
      </c>
      <c r="Q13" s="29" t="s">
        <v>97</v>
      </c>
      <c r="R13" s="28"/>
      <c r="S13" s="42" t="str">
        <f>"670,0"</f>
        <v>670,0</v>
      </c>
      <c r="T13" s="9" t="str">
        <f>"450,1730"</f>
        <v>450,1730</v>
      </c>
      <c r="U13" s="7"/>
    </row>
    <row r="15" spans="1:21" ht="16">
      <c r="A15" s="53" t="s">
        <v>21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1:21">
      <c r="A16" s="32" t="s">
        <v>60</v>
      </c>
      <c r="B16" s="10" t="s">
        <v>720</v>
      </c>
      <c r="C16" s="10" t="s">
        <v>99</v>
      </c>
      <c r="D16" s="10" t="s">
        <v>100</v>
      </c>
      <c r="E16" s="11" t="s">
        <v>757</v>
      </c>
      <c r="F16" s="10" t="s">
        <v>64</v>
      </c>
      <c r="G16" s="30" t="s">
        <v>45</v>
      </c>
      <c r="H16" s="30" t="s">
        <v>97</v>
      </c>
      <c r="I16" s="30" t="s">
        <v>101</v>
      </c>
      <c r="J16" s="32"/>
      <c r="K16" s="30" t="s">
        <v>102</v>
      </c>
      <c r="L16" s="30" t="s">
        <v>28</v>
      </c>
      <c r="M16" s="30" t="s">
        <v>13</v>
      </c>
      <c r="N16" s="32"/>
      <c r="O16" s="30" t="s">
        <v>103</v>
      </c>
      <c r="P16" s="30" t="s">
        <v>35</v>
      </c>
      <c r="Q16" s="31" t="s">
        <v>36</v>
      </c>
      <c r="R16" s="32"/>
      <c r="S16" s="43" t="str">
        <f>"745,0"</f>
        <v>745,0</v>
      </c>
      <c r="T16" s="12" t="str">
        <f>"476,9490"</f>
        <v>476,9490</v>
      </c>
      <c r="U16" s="10" t="s">
        <v>626</v>
      </c>
    </row>
    <row r="17" spans="1:21">
      <c r="A17" s="41" t="s">
        <v>150</v>
      </c>
      <c r="B17" s="36" t="s">
        <v>663</v>
      </c>
      <c r="C17" s="36" t="s">
        <v>105</v>
      </c>
      <c r="D17" s="36" t="s">
        <v>106</v>
      </c>
      <c r="E17" s="11" t="s">
        <v>757</v>
      </c>
      <c r="F17" s="36" t="s">
        <v>64</v>
      </c>
      <c r="G17" s="39" t="s">
        <v>107</v>
      </c>
      <c r="H17" s="39" t="s">
        <v>44</v>
      </c>
      <c r="I17" s="40" t="s">
        <v>45</v>
      </c>
      <c r="J17" s="41"/>
      <c r="K17" s="39" t="s">
        <v>14</v>
      </c>
      <c r="L17" s="39" t="s">
        <v>15</v>
      </c>
      <c r="M17" s="40" t="s">
        <v>25</v>
      </c>
      <c r="N17" s="41"/>
      <c r="O17" s="39" t="s">
        <v>97</v>
      </c>
      <c r="P17" s="39" t="s">
        <v>39</v>
      </c>
      <c r="Q17" s="41"/>
      <c r="R17" s="41"/>
      <c r="S17" s="45" t="str">
        <f>"680,0"</f>
        <v>680,0</v>
      </c>
      <c r="T17" s="38" t="str">
        <f>"436,8320"</f>
        <v>436,8320</v>
      </c>
      <c r="U17" s="36" t="s">
        <v>108</v>
      </c>
    </row>
    <row r="18" spans="1:21">
      <c r="A18" s="41" t="s">
        <v>151</v>
      </c>
      <c r="B18" s="36" t="s">
        <v>109</v>
      </c>
      <c r="C18" s="36" t="s">
        <v>110</v>
      </c>
      <c r="D18" s="36" t="s">
        <v>111</v>
      </c>
      <c r="E18" s="11" t="s">
        <v>757</v>
      </c>
      <c r="F18" s="36" t="s">
        <v>64</v>
      </c>
      <c r="G18" s="39" t="s">
        <v>112</v>
      </c>
      <c r="H18" s="39" t="s">
        <v>44</v>
      </c>
      <c r="I18" s="40" t="s">
        <v>113</v>
      </c>
      <c r="J18" s="41"/>
      <c r="K18" s="39" t="s">
        <v>47</v>
      </c>
      <c r="L18" s="39" t="s">
        <v>14</v>
      </c>
      <c r="M18" s="40" t="s">
        <v>38</v>
      </c>
      <c r="N18" s="41"/>
      <c r="O18" s="39" t="s">
        <v>45</v>
      </c>
      <c r="P18" s="39" t="s">
        <v>114</v>
      </c>
      <c r="Q18" s="39" t="s">
        <v>39</v>
      </c>
      <c r="R18" s="41"/>
      <c r="S18" s="45" t="str">
        <f>"670,0"</f>
        <v>670,0</v>
      </c>
      <c r="T18" s="38" t="str">
        <f>"427,7280"</f>
        <v>427,7280</v>
      </c>
      <c r="U18" s="36" t="s">
        <v>624</v>
      </c>
    </row>
    <row r="19" spans="1:21">
      <c r="A19" s="41" t="s">
        <v>152</v>
      </c>
      <c r="B19" s="36" t="s">
        <v>115</v>
      </c>
      <c r="C19" s="36" t="s">
        <v>116</v>
      </c>
      <c r="D19" s="36" t="s">
        <v>117</v>
      </c>
      <c r="E19" s="11" t="s">
        <v>757</v>
      </c>
      <c r="F19" s="36" t="s">
        <v>64</v>
      </c>
      <c r="G19" s="39" t="s">
        <v>29</v>
      </c>
      <c r="H19" s="39" t="s">
        <v>44</v>
      </c>
      <c r="I19" s="39" t="s">
        <v>45</v>
      </c>
      <c r="J19" s="41"/>
      <c r="K19" s="39" t="s">
        <v>72</v>
      </c>
      <c r="L19" s="39" t="s">
        <v>102</v>
      </c>
      <c r="M19" s="39" t="s">
        <v>118</v>
      </c>
      <c r="N19" s="41"/>
      <c r="O19" s="39" t="s">
        <v>101</v>
      </c>
      <c r="P19" s="39" t="s">
        <v>65</v>
      </c>
      <c r="Q19" s="40" t="s">
        <v>66</v>
      </c>
      <c r="R19" s="41"/>
      <c r="S19" s="45" t="str">
        <f>"665,0"</f>
        <v>665,0</v>
      </c>
      <c r="T19" s="38" t="str">
        <f>"425,2675"</f>
        <v>425,2675</v>
      </c>
      <c r="U19" s="36"/>
    </row>
    <row r="20" spans="1:21">
      <c r="A20" s="35" t="s">
        <v>153</v>
      </c>
      <c r="B20" s="13" t="s">
        <v>721</v>
      </c>
      <c r="C20" s="13" t="s">
        <v>119</v>
      </c>
      <c r="D20" s="13" t="s">
        <v>111</v>
      </c>
      <c r="E20" s="11" t="s">
        <v>757</v>
      </c>
      <c r="F20" s="13" t="s">
        <v>120</v>
      </c>
      <c r="G20" s="33" t="s">
        <v>118</v>
      </c>
      <c r="H20" s="33" t="s">
        <v>121</v>
      </c>
      <c r="I20" s="33" t="s">
        <v>47</v>
      </c>
      <c r="J20" s="35"/>
      <c r="K20" s="33" t="s">
        <v>74</v>
      </c>
      <c r="L20" s="33" t="s">
        <v>122</v>
      </c>
      <c r="M20" s="33" t="s">
        <v>123</v>
      </c>
      <c r="N20" s="35"/>
      <c r="O20" s="33" t="s">
        <v>14</v>
      </c>
      <c r="P20" s="33" t="s">
        <v>25</v>
      </c>
      <c r="Q20" s="33" t="s">
        <v>19</v>
      </c>
      <c r="R20" s="35"/>
      <c r="S20" s="44" t="str">
        <f>"472,5"</f>
        <v>472,5</v>
      </c>
      <c r="T20" s="15" t="str">
        <f>"301,6440"</f>
        <v>301,6440</v>
      </c>
      <c r="U20" s="13" t="s">
        <v>124</v>
      </c>
    </row>
    <row r="22" spans="1:21" ht="16">
      <c r="A22" s="53" t="s">
        <v>31</v>
      </c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1:21">
      <c r="A23" s="32" t="s">
        <v>60</v>
      </c>
      <c r="B23" s="10" t="s">
        <v>627</v>
      </c>
      <c r="C23" s="10" t="s">
        <v>125</v>
      </c>
      <c r="D23" s="10" t="s">
        <v>126</v>
      </c>
      <c r="E23" s="11" t="s">
        <v>757</v>
      </c>
      <c r="F23" s="10" t="s">
        <v>582</v>
      </c>
      <c r="G23" s="30" t="s">
        <v>29</v>
      </c>
      <c r="H23" s="30" t="s">
        <v>127</v>
      </c>
      <c r="I23" s="30" t="s">
        <v>128</v>
      </c>
      <c r="J23" s="32"/>
      <c r="K23" s="30" t="s">
        <v>129</v>
      </c>
      <c r="L23" s="30" t="s">
        <v>130</v>
      </c>
      <c r="M23" s="30" t="s">
        <v>131</v>
      </c>
      <c r="N23" s="32"/>
      <c r="O23" s="30" t="s">
        <v>46</v>
      </c>
      <c r="P23" s="31" t="s">
        <v>97</v>
      </c>
      <c r="Q23" s="31" t="s">
        <v>97</v>
      </c>
      <c r="R23" s="32"/>
      <c r="S23" s="43" t="str">
        <f>"665,0"</f>
        <v>665,0</v>
      </c>
      <c r="T23" s="12" t="str">
        <f>"410,4380"</f>
        <v>410,4380</v>
      </c>
      <c r="U23" s="10" t="s">
        <v>132</v>
      </c>
    </row>
    <row r="24" spans="1:21">
      <c r="A24" s="41" t="s">
        <v>150</v>
      </c>
      <c r="B24" s="36" t="s">
        <v>133</v>
      </c>
      <c r="C24" s="36" t="s">
        <v>134</v>
      </c>
      <c r="D24" s="36" t="s">
        <v>135</v>
      </c>
      <c r="E24" s="11" t="s">
        <v>757</v>
      </c>
      <c r="F24" s="36" t="s">
        <v>64</v>
      </c>
      <c r="G24" s="40" t="s">
        <v>29</v>
      </c>
      <c r="H24" s="39" t="s">
        <v>29</v>
      </c>
      <c r="I24" s="39" t="s">
        <v>113</v>
      </c>
      <c r="J24" s="41"/>
      <c r="K24" s="39" t="s">
        <v>102</v>
      </c>
      <c r="L24" s="39" t="s">
        <v>118</v>
      </c>
      <c r="M24" s="39" t="s">
        <v>28</v>
      </c>
      <c r="N24" s="41"/>
      <c r="O24" s="40" t="s">
        <v>97</v>
      </c>
      <c r="P24" s="39" t="s">
        <v>97</v>
      </c>
      <c r="Q24" s="39" t="s">
        <v>39</v>
      </c>
      <c r="R24" s="41"/>
      <c r="S24" s="45" t="str">
        <f>"655,0"</f>
        <v>655,0</v>
      </c>
      <c r="T24" s="38" t="str">
        <f>"399,2880"</f>
        <v>399,2880</v>
      </c>
      <c r="U24" s="36"/>
    </row>
    <row r="25" spans="1:21">
      <c r="A25" s="41" t="s">
        <v>151</v>
      </c>
      <c r="B25" s="36" t="s">
        <v>214</v>
      </c>
      <c r="C25" s="36" t="s">
        <v>137</v>
      </c>
      <c r="D25" s="36" t="s">
        <v>138</v>
      </c>
      <c r="E25" s="11" t="s">
        <v>757</v>
      </c>
      <c r="F25" s="36" t="s">
        <v>139</v>
      </c>
      <c r="G25" s="39" t="s">
        <v>44</v>
      </c>
      <c r="H25" s="40" t="s">
        <v>45</v>
      </c>
      <c r="I25" s="41"/>
      <c r="J25" s="41"/>
      <c r="K25" s="39" t="s">
        <v>140</v>
      </c>
      <c r="L25" s="40" t="s">
        <v>77</v>
      </c>
      <c r="M25" s="39" t="s">
        <v>77</v>
      </c>
      <c r="N25" s="41"/>
      <c r="O25" s="40" t="s">
        <v>141</v>
      </c>
      <c r="P25" s="39" t="s">
        <v>141</v>
      </c>
      <c r="Q25" s="40" t="s">
        <v>39</v>
      </c>
      <c r="R25" s="41"/>
      <c r="S25" s="45" t="str">
        <f>"642,5"</f>
        <v>642,5</v>
      </c>
      <c r="T25" s="38" t="str">
        <f>"391,0255"</f>
        <v>391,0255</v>
      </c>
      <c r="U25" s="36"/>
    </row>
    <row r="26" spans="1:21">
      <c r="A26" s="41" t="s">
        <v>154</v>
      </c>
      <c r="B26" s="36" t="s">
        <v>142</v>
      </c>
      <c r="C26" s="36" t="s">
        <v>143</v>
      </c>
      <c r="D26" s="36" t="s">
        <v>34</v>
      </c>
      <c r="E26" s="11" t="s">
        <v>757</v>
      </c>
      <c r="F26" s="36" t="s">
        <v>64</v>
      </c>
      <c r="G26" s="39" t="s">
        <v>19</v>
      </c>
      <c r="H26" s="40" t="s">
        <v>26</v>
      </c>
      <c r="I26" s="40" t="s">
        <v>27</v>
      </c>
      <c r="J26" s="41"/>
      <c r="K26" s="40" t="s">
        <v>118</v>
      </c>
      <c r="L26" s="40" t="s">
        <v>121</v>
      </c>
      <c r="M26" s="40" t="s">
        <v>121</v>
      </c>
      <c r="N26" s="41"/>
      <c r="O26" s="40"/>
      <c r="P26" s="41"/>
      <c r="Q26" s="41"/>
      <c r="R26" s="41"/>
      <c r="S26" s="45">
        <v>0</v>
      </c>
      <c r="T26" s="38" t="str">
        <f>"0,0000"</f>
        <v>0,0000</v>
      </c>
      <c r="U26" s="36" t="s">
        <v>219</v>
      </c>
    </row>
    <row r="27" spans="1:21">
      <c r="A27" s="35" t="s">
        <v>60</v>
      </c>
      <c r="B27" s="13" t="s">
        <v>722</v>
      </c>
      <c r="C27" s="13" t="s">
        <v>144</v>
      </c>
      <c r="D27" s="13" t="s">
        <v>145</v>
      </c>
      <c r="E27" s="14" t="s">
        <v>762</v>
      </c>
      <c r="F27" s="13" t="s">
        <v>582</v>
      </c>
      <c r="G27" s="33" t="s">
        <v>19</v>
      </c>
      <c r="H27" s="33" t="s">
        <v>146</v>
      </c>
      <c r="I27" s="34" t="s">
        <v>27</v>
      </c>
      <c r="J27" s="35"/>
      <c r="K27" s="33" t="s">
        <v>13</v>
      </c>
      <c r="L27" s="34" t="s">
        <v>67</v>
      </c>
      <c r="M27" s="34" t="s">
        <v>67</v>
      </c>
      <c r="N27" s="35"/>
      <c r="O27" s="33" t="s">
        <v>45</v>
      </c>
      <c r="P27" s="34" t="s">
        <v>46</v>
      </c>
      <c r="Q27" s="34" t="s">
        <v>46</v>
      </c>
      <c r="R27" s="35"/>
      <c r="S27" s="44" t="str">
        <f>"605,0"</f>
        <v>605,0</v>
      </c>
      <c r="T27" s="15" t="str">
        <f>"370,7736"</f>
        <v>370,7736</v>
      </c>
      <c r="U27" s="13" t="s">
        <v>132</v>
      </c>
    </row>
    <row r="29" spans="1:21">
      <c r="G29" s="5"/>
    </row>
    <row r="31" spans="1:21" ht="18">
      <c r="B31" s="18" t="s">
        <v>49</v>
      </c>
      <c r="C31" s="18"/>
    </row>
    <row r="32" spans="1:21" ht="16">
      <c r="B32" s="19" t="s">
        <v>50</v>
      </c>
      <c r="C32" s="19"/>
    </row>
    <row r="33" spans="2:7" ht="14">
      <c r="B33" s="20"/>
      <c r="C33" s="21" t="s">
        <v>51</v>
      </c>
    </row>
    <row r="34" spans="2:7" ht="14">
      <c r="B34" s="22" t="s">
        <v>52</v>
      </c>
      <c r="C34" s="22" t="s">
        <v>53</v>
      </c>
      <c r="D34" s="22" t="s">
        <v>725</v>
      </c>
      <c r="E34" s="23" t="s">
        <v>55</v>
      </c>
      <c r="F34" s="22" t="s">
        <v>56</v>
      </c>
    </row>
    <row r="35" spans="2:7">
      <c r="B35" s="5" t="s">
        <v>98</v>
      </c>
      <c r="C35" s="5" t="s">
        <v>51</v>
      </c>
      <c r="D35" s="25" t="s">
        <v>59</v>
      </c>
      <c r="E35" s="26">
        <v>745</v>
      </c>
      <c r="F35" s="24">
        <v>476.94901406765001</v>
      </c>
    </row>
    <row r="36" spans="2:7">
      <c r="B36" s="5" t="s">
        <v>94</v>
      </c>
      <c r="C36" s="5" t="s">
        <v>51</v>
      </c>
      <c r="D36" s="25" t="s">
        <v>149</v>
      </c>
      <c r="E36" s="26">
        <v>670</v>
      </c>
      <c r="F36" s="24">
        <v>450.17298281192802</v>
      </c>
    </row>
    <row r="37" spans="2:7">
      <c r="B37" s="5" t="s">
        <v>104</v>
      </c>
      <c r="C37" s="5" t="s">
        <v>51</v>
      </c>
      <c r="D37" s="25" t="s">
        <v>59</v>
      </c>
      <c r="E37" s="26">
        <v>680</v>
      </c>
      <c r="F37" s="24">
        <v>436.83201789856003</v>
      </c>
      <c r="G37" s="5"/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A15:R15"/>
    <mergeCell ref="A22:R22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5">
    <pageSetUpPr fitToPage="1"/>
  </sheetPr>
  <dimension ref="A1:U16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3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1.664062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6" bestFit="1" customWidth="1"/>
    <col min="20" max="20" width="8.5" style="6" bestFit="1" customWidth="1"/>
    <col min="21" max="21" width="22.6640625" style="5" customWidth="1"/>
    <col min="22" max="16384" width="9.1640625" style="3"/>
  </cols>
  <sheetData>
    <row r="1" spans="1:21" s="2" customFormat="1" ht="29" customHeight="1">
      <c r="A1" s="55" t="s">
        <v>728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7</v>
      </c>
      <c r="H3" s="69"/>
      <c r="I3" s="69"/>
      <c r="J3" s="69"/>
      <c r="K3" s="69" t="s">
        <v>8</v>
      </c>
      <c r="L3" s="69"/>
      <c r="M3" s="69"/>
      <c r="N3" s="69"/>
      <c r="O3" s="69" t="s">
        <v>9</v>
      </c>
      <c r="P3" s="69"/>
      <c r="Q3" s="69"/>
      <c r="R3" s="69"/>
      <c r="S3" s="67" t="s">
        <v>1</v>
      </c>
      <c r="T3" s="67" t="s">
        <v>3</v>
      </c>
      <c r="U3" s="70" t="s">
        <v>2</v>
      </c>
    </row>
    <row r="4" spans="1:21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8"/>
      <c r="T4" s="68"/>
      <c r="U4" s="71"/>
    </row>
    <row r="5" spans="1:21" ht="16">
      <c r="A5" s="49" t="s">
        <v>10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>
      <c r="A6" s="28" t="s">
        <v>60</v>
      </c>
      <c r="B6" s="7" t="s">
        <v>723</v>
      </c>
      <c r="C6" s="7" t="s">
        <v>11</v>
      </c>
      <c r="D6" s="7" t="s">
        <v>12</v>
      </c>
      <c r="E6" s="8" t="s">
        <v>757</v>
      </c>
      <c r="F6" s="7" t="s">
        <v>64</v>
      </c>
      <c r="G6" s="27" t="s">
        <v>13</v>
      </c>
      <c r="H6" s="27" t="s">
        <v>14</v>
      </c>
      <c r="I6" s="27" t="s">
        <v>15</v>
      </c>
      <c r="J6" s="28"/>
      <c r="K6" s="27" t="s">
        <v>16</v>
      </c>
      <c r="L6" s="27" t="s">
        <v>17</v>
      </c>
      <c r="M6" s="29" t="s">
        <v>18</v>
      </c>
      <c r="N6" s="28"/>
      <c r="O6" s="27" t="s">
        <v>14</v>
      </c>
      <c r="P6" s="27" t="s">
        <v>15</v>
      </c>
      <c r="Q6" s="27" t="s">
        <v>19</v>
      </c>
      <c r="R6" s="28"/>
      <c r="S6" s="9" t="str">
        <f>"495,0"</f>
        <v>495,0</v>
      </c>
      <c r="T6" s="9" t="str">
        <f>"337,9365"</f>
        <v>337,9365</v>
      </c>
      <c r="U6" s="7" t="s">
        <v>20</v>
      </c>
    </row>
    <row r="8" spans="1:21" ht="16">
      <c r="A8" s="53" t="s">
        <v>21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21">
      <c r="A9" s="32" t="s">
        <v>60</v>
      </c>
      <c r="B9" s="10" t="s">
        <v>22</v>
      </c>
      <c r="C9" s="10" t="s">
        <v>23</v>
      </c>
      <c r="D9" s="10" t="s">
        <v>24</v>
      </c>
      <c r="E9" s="11" t="s">
        <v>757</v>
      </c>
      <c r="F9" s="10" t="s">
        <v>64</v>
      </c>
      <c r="G9" s="30" t="s">
        <v>25</v>
      </c>
      <c r="H9" s="30" t="s">
        <v>26</v>
      </c>
      <c r="I9" s="31" t="s">
        <v>27</v>
      </c>
      <c r="J9" s="32"/>
      <c r="K9" s="30" t="s">
        <v>28</v>
      </c>
      <c r="L9" s="30" t="s">
        <v>13</v>
      </c>
      <c r="M9" s="31" t="s">
        <v>14</v>
      </c>
      <c r="N9" s="32"/>
      <c r="O9" s="30" t="s">
        <v>26</v>
      </c>
      <c r="P9" s="30" t="s">
        <v>27</v>
      </c>
      <c r="Q9" s="31" t="s">
        <v>29</v>
      </c>
      <c r="R9" s="32"/>
      <c r="S9" s="12" t="str">
        <f>"570,0"</f>
        <v>570,0</v>
      </c>
      <c r="T9" s="12" t="str">
        <f>"365,9970"</f>
        <v>365,9970</v>
      </c>
      <c r="U9" s="10" t="s">
        <v>20</v>
      </c>
    </row>
    <row r="10" spans="1:21">
      <c r="A10" s="35" t="s">
        <v>60</v>
      </c>
      <c r="B10" s="13" t="s">
        <v>22</v>
      </c>
      <c r="C10" s="13" t="s">
        <v>30</v>
      </c>
      <c r="D10" s="13" t="s">
        <v>24</v>
      </c>
      <c r="E10" s="14" t="s">
        <v>762</v>
      </c>
      <c r="F10" s="13" t="s">
        <v>64</v>
      </c>
      <c r="G10" s="33" t="s">
        <v>25</v>
      </c>
      <c r="H10" s="33" t="s">
        <v>26</v>
      </c>
      <c r="I10" s="34" t="s">
        <v>27</v>
      </c>
      <c r="J10" s="35"/>
      <c r="K10" s="33" t="s">
        <v>28</v>
      </c>
      <c r="L10" s="33" t="s">
        <v>13</v>
      </c>
      <c r="M10" s="34" t="s">
        <v>14</v>
      </c>
      <c r="N10" s="35"/>
      <c r="O10" s="33" t="s">
        <v>26</v>
      </c>
      <c r="P10" s="33" t="s">
        <v>27</v>
      </c>
      <c r="Q10" s="34" t="s">
        <v>29</v>
      </c>
      <c r="R10" s="35"/>
      <c r="S10" s="15" t="str">
        <f>"570,0"</f>
        <v>570,0</v>
      </c>
      <c r="T10" s="15" t="str">
        <f>"365,9970"</f>
        <v>365,9970</v>
      </c>
      <c r="U10" s="13" t="s">
        <v>20</v>
      </c>
    </row>
    <row r="12" spans="1:21" ht="16">
      <c r="A12" s="53" t="s">
        <v>31</v>
      </c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21">
      <c r="A13" s="28" t="s">
        <v>60</v>
      </c>
      <c r="B13" s="7" t="s">
        <v>659</v>
      </c>
      <c r="C13" s="7" t="s">
        <v>33</v>
      </c>
      <c r="D13" s="7" t="s">
        <v>34</v>
      </c>
      <c r="E13" s="8" t="s">
        <v>757</v>
      </c>
      <c r="F13" s="7" t="s">
        <v>64</v>
      </c>
      <c r="G13" s="27" t="s">
        <v>35</v>
      </c>
      <c r="H13" s="27" t="s">
        <v>36</v>
      </c>
      <c r="I13" s="27" t="s">
        <v>37</v>
      </c>
      <c r="J13" s="28"/>
      <c r="K13" s="29" t="s">
        <v>14</v>
      </c>
      <c r="L13" s="27" t="s">
        <v>14</v>
      </c>
      <c r="M13" s="27" t="s">
        <v>38</v>
      </c>
      <c r="N13" s="28"/>
      <c r="O13" s="27" t="s">
        <v>39</v>
      </c>
      <c r="P13" s="29" t="s">
        <v>40</v>
      </c>
      <c r="Q13" s="29" t="s">
        <v>40</v>
      </c>
      <c r="R13" s="28"/>
      <c r="S13" s="9" t="str">
        <f>"785,0"</f>
        <v>785,0</v>
      </c>
      <c r="T13" s="9" t="str">
        <f>"477,9080"</f>
        <v>477,9080</v>
      </c>
      <c r="U13" s="7" t="s">
        <v>619</v>
      </c>
    </row>
    <row r="15" spans="1:21" ht="16">
      <c r="A15" s="53" t="s">
        <v>41</v>
      </c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1:21">
      <c r="A16" s="28" t="s">
        <v>60</v>
      </c>
      <c r="B16" s="7" t="s">
        <v>724</v>
      </c>
      <c r="C16" s="7" t="s">
        <v>42</v>
      </c>
      <c r="D16" s="7" t="s">
        <v>43</v>
      </c>
      <c r="E16" s="8" t="s">
        <v>757</v>
      </c>
      <c r="F16" s="7" t="s">
        <v>64</v>
      </c>
      <c r="G16" s="29" t="s">
        <v>44</v>
      </c>
      <c r="H16" s="27" t="s">
        <v>45</v>
      </c>
      <c r="I16" s="29" t="s">
        <v>46</v>
      </c>
      <c r="J16" s="28"/>
      <c r="K16" s="27" t="s">
        <v>13</v>
      </c>
      <c r="L16" s="27" t="s">
        <v>47</v>
      </c>
      <c r="M16" s="27" t="s">
        <v>14</v>
      </c>
      <c r="N16" s="28"/>
      <c r="O16" s="27" t="s">
        <v>44</v>
      </c>
      <c r="P16" s="27" t="s">
        <v>45</v>
      </c>
      <c r="Q16" s="29" t="s">
        <v>48</v>
      </c>
      <c r="R16" s="28"/>
      <c r="S16" s="9" t="str">
        <f>"650,0"</f>
        <v>650,0</v>
      </c>
      <c r="T16" s="9" t="str">
        <f>"384,7350"</f>
        <v>384,7350</v>
      </c>
      <c r="U16" s="7" t="s">
        <v>744</v>
      </c>
    </row>
  </sheetData>
  <mergeCells count="17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A12:R12"/>
    <mergeCell ref="A15:R15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3"/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6" bestFit="1" customWidth="1"/>
    <col min="20" max="20" width="8.5" style="6" bestFit="1" customWidth="1"/>
    <col min="21" max="21" width="17.6640625" style="5" customWidth="1"/>
    <col min="22" max="16384" width="9.1640625" style="3"/>
  </cols>
  <sheetData>
    <row r="1" spans="1:21" s="2" customFormat="1" ht="29" customHeight="1">
      <c r="A1" s="55" t="s">
        <v>729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7</v>
      </c>
      <c r="H3" s="69"/>
      <c r="I3" s="69"/>
      <c r="J3" s="69"/>
      <c r="K3" s="69" t="s">
        <v>8</v>
      </c>
      <c r="L3" s="69"/>
      <c r="M3" s="69"/>
      <c r="N3" s="69"/>
      <c r="O3" s="69" t="s">
        <v>9</v>
      </c>
      <c r="P3" s="69"/>
      <c r="Q3" s="69"/>
      <c r="R3" s="69"/>
      <c r="S3" s="67" t="s">
        <v>1</v>
      </c>
      <c r="T3" s="67" t="s">
        <v>3</v>
      </c>
      <c r="U3" s="70" t="s">
        <v>2</v>
      </c>
    </row>
    <row r="4" spans="1:21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8"/>
      <c r="T4" s="68"/>
      <c r="U4" s="71"/>
    </row>
    <row r="5" spans="1:21" ht="16">
      <c r="A5" s="49" t="s">
        <v>31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>
      <c r="A6" s="28" t="s">
        <v>60</v>
      </c>
      <c r="B6" s="7" t="s">
        <v>61</v>
      </c>
      <c r="C6" s="7" t="s">
        <v>62</v>
      </c>
      <c r="D6" s="7" t="s">
        <v>63</v>
      </c>
      <c r="E6" s="8" t="s">
        <v>757</v>
      </c>
      <c r="F6" s="7" t="s">
        <v>64</v>
      </c>
      <c r="G6" s="29" t="s">
        <v>65</v>
      </c>
      <c r="H6" s="27" t="s">
        <v>65</v>
      </c>
      <c r="I6" s="27" t="s">
        <v>66</v>
      </c>
      <c r="J6" s="28"/>
      <c r="K6" s="27" t="s">
        <v>13</v>
      </c>
      <c r="L6" s="29" t="s">
        <v>67</v>
      </c>
      <c r="M6" s="29" t="s">
        <v>67</v>
      </c>
      <c r="N6" s="28"/>
      <c r="O6" s="27" t="s">
        <v>45</v>
      </c>
      <c r="P6" s="29" t="s">
        <v>46</v>
      </c>
      <c r="Q6" s="29" t="s">
        <v>46</v>
      </c>
      <c r="R6" s="28"/>
      <c r="S6" s="9" t="str">
        <f>"700,0"</f>
        <v>700,0</v>
      </c>
      <c r="T6" s="9" t="str">
        <f>"429,1700"</f>
        <v>429,1700</v>
      </c>
      <c r="U6" s="7" t="s">
        <v>615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7"/>
  <dimension ref="A1:Q28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5" width="7.83203125" style="6" bestFit="1" customWidth="1"/>
    <col min="16" max="16" width="8.5" style="6" bestFit="1" customWidth="1"/>
    <col min="17" max="17" width="26.6640625" style="5" bestFit="1" customWidth="1"/>
    <col min="18" max="16384" width="9.1640625" style="3"/>
  </cols>
  <sheetData>
    <row r="1" spans="1:17" s="2" customFormat="1" ht="29" customHeight="1">
      <c r="A1" s="55" t="s">
        <v>730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8</v>
      </c>
      <c r="H3" s="69"/>
      <c r="I3" s="69"/>
      <c r="J3" s="69"/>
      <c r="K3" s="69" t="s">
        <v>9</v>
      </c>
      <c r="L3" s="69"/>
      <c r="M3" s="69"/>
      <c r="N3" s="69"/>
      <c r="O3" s="67" t="s">
        <v>1</v>
      </c>
      <c r="P3" s="67" t="s">
        <v>3</v>
      </c>
      <c r="Q3" s="70" t="s">
        <v>2</v>
      </c>
    </row>
    <row r="4" spans="1:17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8"/>
      <c r="P4" s="68"/>
      <c r="Q4" s="71"/>
    </row>
    <row r="5" spans="1:17" ht="16">
      <c r="A5" s="49" t="s">
        <v>163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7">
      <c r="A6" s="28" t="s">
        <v>60</v>
      </c>
      <c r="B6" s="7" t="s">
        <v>641</v>
      </c>
      <c r="C6" s="7" t="s">
        <v>175</v>
      </c>
      <c r="D6" s="7" t="s">
        <v>171</v>
      </c>
      <c r="E6" s="8" t="s">
        <v>757</v>
      </c>
      <c r="F6" s="7" t="s">
        <v>176</v>
      </c>
      <c r="G6" s="27" t="s">
        <v>158</v>
      </c>
      <c r="H6" s="27" t="s">
        <v>92</v>
      </c>
      <c r="I6" s="29" t="s">
        <v>178</v>
      </c>
      <c r="J6" s="28"/>
      <c r="K6" s="27" t="s">
        <v>88</v>
      </c>
      <c r="L6" s="27" t="s">
        <v>122</v>
      </c>
      <c r="M6" s="29" t="s">
        <v>123</v>
      </c>
      <c r="N6" s="28"/>
      <c r="O6" s="9" t="str">
        <f>"172,5"</f>
        <v>172,5</v>
      </c>
      <c r="P6" s="9" t="str">
        <f>"202,9635"</f>
        <v>202,9635</v>
      </c>
      <c r="Q6" s="7"/>
    </row>
    <row r="8" spans="1:17" ht="16">
      <c r="A8" s="53" t="s">
        <v>189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7">
      <c r="A9" s="28" t="s">
        <v>60</v>
      </c>
      <c r="B9" s="7" t="s">
        <v>195</v>
      </c>
      <c r="C9" s="7" t="s">
        <v>196</v>
      </c>
      <c r="D9" s="7" t="s">
        <v>197</v>
      </c>
      <c r="E9" s="8" t="s">
        <v>757</v>
      </c>
      <c r="F9" s="7" t="s">
        <v>64</v>
      </c>
      <c r="G9" s="27" t="s">
        <v>87</v>
      </c>
      <c r="H9" s="27" t="s">
        <v>192</v>
      </c>
      <c r="I9" s="27" t="s">
        <v>158</v>
      </c>
      <c r="J9" s="28"/>
      <c r="K9" s="27" t="s">
        <v>89</v>
      </c>
      <c r="L9" s="27" t="s">
        <v>198</v>
      </c>
      <c r="M9" s="29" t="s">
        <v>102</v>
      </c>
      <c r="N9" s="28"/>
      <c r="O9" s="9" t="str">
        <f>"177,5"</f>
        <v>177,5</v>
      </c>
      <c r="P9" s="9" t="str">
        <f>"182,7185"</f>
        <v>182,7185</v>
      </c>
      <c r="Q9" s="7" t="s">
        <v>199</v>
      </c>
    </row>
    <row r="11" spans="1:17" ht="16">
      <c r="A11" s="53" t="s">
        <v>200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7">
      <c r="A12" s="28" t="s">
        <v>60</v>
      </c>
      <c r="B12" s="7" t="s">
        <v>642</v>
      </c>
      <c r="C12" s="7" t="s">
        <v>202</v>
      </c>
      <c r="D12" s="7" t="s">
        <v>203</v>
      </c>
      <c r="E12" s="8" t="s">
        <v>757</v>
      </c>
      <c r="F12" s="7" t="s">
        <v>64</v>
      </c>
      <c r="G12" s="27" t="s">
        <v>158</v>
      </c>
      <c r="H12" s="27" t="s">
        <v>178</v>
      </c>
      <c r="I12" s="29" t="s">
        <v>159</v>
      </c>
      <c r="J12" s="28"/>
      <c r="K12" s="27" t="s">
        <v>72</v>
      </c>
      <c r="L12" s="29" t="s">
        <v>204</v>
      </c>
      <c r="M12" s="29" t="s">
        <v>204</v>
      </c>
      <c r="N12" s="28"/>
      <c r="O12" s="9" t="str">
        <f>"197,5"</f>
        <v>197,5</v>
      </c>
      <c r="P12" s="9" t="str">
        <f>"197,0655"</f>
        <v>197,0655</v>
      </c>
      <c r="Q12" s="7" t="s">
        <v>277</v>
      </c>
    </row>
    <row r="14" spans="1:17" ht="16">
      <c r="A14" s="53" t="s">
        <v>79</v>
      </c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7">
      <c r="A15" s="28" t="s">
        <v>60</v>
      </c>
      <c r="B15" s="7" t="s">
        <v>573</v>
      </c>
      <c r="C15" s="7" t="s">
        <v>574</v>
      </c>
      <c r="D15" s="7" t="s">
        <v>377</v>
      </c>
      <c r="E15" s="8" t="s">
        <v>761</v>
      </c>
      <c r="F15" s="7" t="s">
        <v>542</v>
      </c>
      <c r="G15" s="29" t="s">
        <v>86</v>
      </c>
      <c r="H15" s="29" t="s">
        <v>86</v>
      </c>
      <c r="I15" s="27" t="s">
        <v>86</v>
      </c>
      <c r="J15" s="28"/>
      <c r="K15" s="27" t="s">
        <v>177</v>
      </c>
      <c r="L15" s="29" t="s">
        <v>88</v>
      </c>
      <c r="M15" s="29" t="s">
        <v>88</v>
      </c>
      <c r="N15" s="28"/>
      <c r="O15" s="9" t="str">
        <f>"140,0"</f>
        <v>140,0</v>
      </c>
      <c r="P15" s="9" t="str">
        <f>"122,8220"</f>
        <v>122,8220</v>
      </c>
      <c r="Q15" s="7" t="s">
        <v>614</v>
      </c>
    </row>
    <row r="17" spans="1:17" ht="16">
      <c r="A17" s="53" t="s">
        <v>189</v>
      </c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7">
      <c r="A18" s="28" t="s">
        <v>60</v>
      </c>
      <c r="B18" s="7" t="s">
        <v>643</v>
      </c>
      <c r="C18" s="7" t="s">
        <v>221</v>
      </c>
      <c r="D18" s="7" t="s">
        <v>222</v>
      </c>
      <c r="E18" s="8" t="s">
        <v>757</v>
      </c>
      <c r="F18" s="7" t="s">
        <v>64</v>
      </c>
      <c r="G18" s="27" t="s">
        <v>159</v>
      </c>
      <c r="H18" s="27" t="s">
        <v>161</v>
      </c>
      <c r="I18" s="27" t="s">
        <v>193</v>
      </c>
      <c r="J18" s="28"/>
      <c r="K18" s="27" t="s">
        <v>18</v>
      </c>
      <c r="L18" s="27" t="s">
        <v>118</v>
      </c>
      <c r="M18" s="27" t="s">
        <v>13</v>
      </c>
      <c r="N18" s="28"/>
      <c r="O18" s="9" t="str">
        <f>"245,0"</f>
        <v>245,0</v>
      </c>
      <c r="P18" s="9" t="str">
        <f>"190,2670"</f>
        <v>190,2670</v>
      </c>
      <c r="Q18" s="7" t="s">
        <v>108</v>
      </c>
    </row>
    <row r="20" spans="1:17" ht="16">
      <c r="A20" s="53" t="s">
        <v>21</v>
      </c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7">
      <c r="A21" s="28" t="s">
        <v>60</v>
      </c>
      <c r="B21" s="7" t="s">
        <v>251</v>
      </c>
      <c r="C21" s="7" t="s">
        <v>252</v>
      </c>
      <c r="D21" s="7" t="s">
        <v>253</v>
      </c>
      <c r="E21" s="8" t="s">
        <v>757</v>
      </c>
      <c r="F21" s="7" t="s">
        <v>254</v>
      </c>
      <c r="G21" s="27" t="s">
        <v>74</v>
      </c>
      <c r="H21" s="27" t="s">
        <v>89</v>
      </c>
      <c r="I21" s="29" t="s">
        <v>76</v>
      </c>
      <c r="J21" s="28"/>
      <c r="K21" s="27" t="s">
        <v>121</v>
      </c>
      <c r="L21" s="29" t="s">
        <v>129</v>
      </c>
      <c r="M21" s="29" t="s">
        <v>129</v>
      </c>
      <c r="N21" s="28"/>
      <c r="O21" s="9" t="str">
        <f>"265,0"</f>
        <v>265,0</v>
      </c>
      <c r="P21" s="9" t="str">
        <f>"174,4495"</f>
        <v>174,4495</v>
      </c>
      <c r="Q21" s="7" t="s">
        <v>255</v>
      </c>
    </row>
    <row r="23" spans="1:17" ht="16">
      <c r="A23" s="53" t="s">
        <v>31</v>
      </c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7">
      <c r="A24" s="32" t="s">
        <v>60</v>
      </c>
      <c r="B24" s="10" t="s">
        <v>447</v>
      </c>
      <c r="C24" s="10" t="s">
        <v>575</v>
      </c>
      <c r="D24" s="10" t="s">
        <v>449</v>
      </c>
      <c r="E24" s="11" t="s">
        <v>757</v>
      </c>
      <c r="F24" s="10" t="s">
        <v>64</v>
      </c>
      <c r="G24" s="30" t="s">
        <v>88</v>
      </c>
      <c r="H24" s="30" t="s">
        <v>74</v>
      </c>
      <c r="I24" s="31" t="s">
        <v>122</v>
      </c>
      <c r="J24" s="32"/>
      <c r="K24" s="30" t="s">
        <v>28</v>
      </c>
      <c r="L24" s="30" t="s">
        <v>13</v>
      </c>
      <c r="M24" s="30" t="s">
        <v>14</v>
      </c>
      <c r="N24" s="32"/>
      <c r="O24" s="12" t="str">
        <f>"275,0"</f>
        <v>275,0</v>
      </c>
      <c r="P24" s="12" t="str">
        <f>"168,5475"</f>
        <v>168,5475</v>
      </c>
      <c r="Q24" s="10" t="s">
        <v>20</v>
      </c>
    </row>
    <row r="25" spans="1:17">
      <c r="A25" s="35" t="s">
        <v>60</v>
      </c>
      <c r="B25" s="13" t="s">
        <v>447</v>
      </c>
      <c r="C25" s="13" t="s">
        <v>448</v>
      </c>
      <c r="D25" s="13" t="s">
        <v>449</v>
      </c>
      <c r="E25" s="14" t="s">
        <v>763</v>
      </c>
      <c r="F25" s="13" t="s">
        <v>64</v>
      </c>
      <c r="G25" s="33" t="s">
        <v>88</v>
      </c>
      <c r="H25" s="33" t="s">
        <v>74</v>
      </c>
      <c r="I25" s="34" t="s">
        <v>122</v>
      </c>
      <c r="J25" s="35"/>
      <c r="K25" s="33" t="s">
        <v>28</v>
      </c>
      <c r="L25" s="33" t="s">
        <v>13</v>
      </c>
      <c r="M25" s="33" t="s">
        <v>14</v>
      </c>
      <c r="N25" s="35"/>
      <c r="O25" s="15" t="str">
        <f>"275,0"</f>
        <v>275,0</v>
      </c>
      <c r="P25" s="15" t="str">
        <f>"242,7084"</f>
        <v>242,7084</v>
      </c>
      <c r="Q25" s="13" t="s">
        <v>20</v>
      </c>
    </row>
    <row r="27" spans="1:17" ht="16">
      <c r="A27" s="53" t="s">
        <v>288</v>
      </c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7">
      <c r="A28" s="28" t="s">
        <v>60</v>
      </c>
      <c r="B28" s="7" t="s">
        <v>644</v>
      </c>
      <c r="C28" s="7" t="s">
        <v>576</v>
      </c>
      <c r="D28" s="7" t="s">
        <v>577</v>
      </c>
      <c r="E28" s="8" t="s">
        <v>757</v>
      </c>
      <c r="F28" s="7" t="s">
        <v>542</v>
      </c>
      <c r="G28" s="27" t="s">
        <v>89</v>
      </c>
      <c r="H28" s="27" t="s">
        <v>76</v>
      </c>
      <c r="I28" s="27" t="s">
        <v>16</v>
      </c>
      <c r="J28" s="28"/>
      <c r="K28" s="27" t="s">
        <v>15</v>
      </c>
      <c r="L28" s="27" t="s">
        <v>19</v>
      </c>
      <c r="M28" s="29" t="s">
        <v>26</v>
      </c>
      <c r="N28" s="28"/>
      <c r="O28" s="9" t="str">
        <f>"310,0"</f>
        <v>310,0</v>
      </c>
      <c r="P28" s="9" t="str">
        <f>"180,0480"</f>
        <v>180,0480</v>
      </c>
      <c r="Q28" s="7" t="s">
        <v>578</v>
      </c>
    </row>
  </sheetData>
  <mergeCells count="20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27:N27"/>
    <mergeCell ref="B3:B4"/>
    <mergeCell ref="A8:N8"/>
    <mergeCell ref="A11:N11"/>
    <mergeCell ref="A14:N14"/>
    <mergeCell ref="A17:N17"/>
    <mergeCell ref="A20:N20"/>
    <mergeCell ref="A23:N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8"/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5.832031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5" width="7.83203125" style="6" bestFit="1" customWidth="1"/>
    <col min="16" max="16" width="8.5" style="6" bestFit="1" customWidth="1"/>
    <col min="17" max="17" width="17.6640625" style="5" bestFit="1" customWidth="1"/>
    <col min="18" max="16384" width="9.1640625" style="3"/>
  </cols>
  <sheetData>
    <row r="1" spans="1:17" s="2" customFormat="1" ht="29" customHeight="1">
      <c r="A1" s="55" t="s">
        <v>731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8</v>
      </c>
      <c r="H3" s="69"/>
      <c r="I3" s="69"/>
      <c r="J3" s="69"/>
      <c r="K3" s="69" t="s">
        <v>9</v>
      </c>
      <c r="L3" s="69"/>
      <c r="M3" s="69"/>
      <c r="N3" s="69"/>
      <c r="O3" s="67" t="s">
        <v>1</v>
      </c>
      <c r="P3" s="67" t="s">
        <v>3</v>
      </c>
      <c r="Q3" s="70" t="s">
        <v>2</v>
      </c>
    </row>
    <row r="4" spans="1:17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8"/>
      <c r="P4" s="68"/>
      <c r="Q4" s="71"/>
    </row>
    <row r="5" spans="1:17" ht="16">
      <c r="A5" s="49" t="s">
        <v>68</v>
      </c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7">
      <c r="A6" s="28" t="s">
        <v>60</v>
      </c>
      <c r="B6" s="7" t="s">
        <v>69</v>
      </c>
      <c r="C6" s="7" t="s">
        <v>70</v>
      </c>
      <c r="D6" s="7" t="s">
        <v>71</v>
      </c>
      <c r="E6" s="8" t="s">
        <v>757</v>
      </c>
      <c r="F6" s="7" t="s">
        <v>64</v>
      </c>
      <c r="G6" s="27" t="s">
        <v>74</v>
      </c>
      <c r="H6" s="27" t="s">
        <v>75</v>
      </c>
      <c r="I6" s="29" t="s">
        <v>76</v>
      </c>
      <c r="J6" s="28"/>
      <c r="K6" s="27" t="s">
        <v>77</v>
      </c>
      <c r="L6" s="29" t="s">
        <v>78</v>
      </c>
      <c r="M6" s="27" t="s">
        <v>78</v>
      </c>
      <c r="N6" s="28"/>
      <c r="O6" s="9" t="str">
        <f>"291,0"</f>
        <v>291,0</v>
      </c>
      <c r="P6" s="9" t="str">
        <f>"368,7843"</f>
        <v>368,7843</v>
      </c>
      <c r="Q6" s="7" t="s">
        <v>615</v>
      </c>
    </row>
    <row r="8" spans="1:17" ht="16">
      <c r="A8" s="53" t="s">
        <v>189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7">
      <c r="A9" s="28" t="s">
        <v>60</v>
      </c>
      <c r="B9" s="7" t="s">
        <v>638</v>
      </c>
      <c r="C9" s="7" t="s">
        <v>571</v>
      </c>
      <c r="D9" s="7" t="s">
        <v>549</v>
      </c>
      <c r="E9" s="8" t="s">
        <v>757</v>
      </c>
      <c r="F9" s="7" t="s">
        <v>64</v>
      </c>
      <c r="G9" s="27" t="s">
        <v>83</v>
      </c>
      <c r="H9" s="27" t="s">
        <v>193</v>
      </c>
      <c r="I9" s="29" t="s">
        <v>84</v>
      </c>
      <c r="J9" s="28"/>
      <c r="K9" s="27" t="s">
        <v>18</v>
      </c>
      <c r="L9" s="27" t="s">
        <v>102</v>
      </c>
      <c r="M9" s="27" t="s">
        <v>121</v>
      </c>
      <c r="N9" s="28"/>
      <c r="O9" s="9" t="str">
        <f>"240,0"</f>
        <v>240,0</v>
      </c>
      <c r="P9" s="9" t="str">
        <f>"245,2080"</f>
        <v>245,2080</v>
      </c>
      <c r="Q9" s="7" t="s">
        <v>572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5"/>
  <dimension ref="A1:M104"/>
  <sheetViews>
    <sheetView topLeftCell="A60" workbookViewId="0">
      <selection activeCell="E80" sqref="E80"/>
    </sheetView>
  </sheetViews>
  <sheetFormatPr baseColWidth="10" defaultColWidth="9.1640625" defaultRowHeight="13"/>
  <cols>
    <col min="1" max="1" width="7.5" style="5" bestFit="1" customWidth="1"/>
    <col min="2" max="2" width="25.33203125" style="5" bestFit="1" customWidth="1"/>
    <col min="3" max="3" width="27.83203125" style="5" customWidth="1"/>
    <col min="4" max="4" width="21.5" style="5" bestFit="1" customWidth="1"/>
    <col min="5" max="5" width="10.5" style="16" bestFit="1" customWidth="1"/>
    <col min="6" max="6" width="34.5" style="5" bestFit="1" customWidth="1"/>
    <col min="7" max="10" width="5.5" style="25" customWidth="1"/>
    <col min="11" max="11" width="10.5" style="26" bestFit="1" customWidth="1"/>
    <col min="12" max="12" width="8.5" style="6" bestFit="1" customWidth="1"/>
    <col min="13" max="13" width="28.6640625" style="5" bestFit="1" customWidth="1"/>
    <col min="14" max="16384" width="9.1640625" style="3"/>
  </cols>
  <sheetData>
    <row r="1" spans="1:13" s="2" customFormat="1" ht="29" customHeight="1">
      <c r="A1" s="55" t="s">
        <v>732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8</v>
      </c>
      <c r="H3" s="69"/>
      <c r="I3" s="69"/>
      <c r="J3" s="69"/>
      <c r="K3" s="72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73"/>
      <c r="L4" s="68"/>
      <c r="M4" s="71"/>
    </row>
    <row r="5" spans="1:13" ht="16">
      <c r="A5" s="49" t="s">
        <v>342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32" t="s">
        <v>60</v>
      </c>
      <c r="B6" s="10" t="s">
        <v>675</v>
      </c>
      <c r="C6" s="10" t="s">
        <v>343</v>
      </c>
      <c r="D6" s="10" t="s">
        <v>344</v>
      </c>
      <c r="E6" s="11" t="s">
        <v>761</v>
      </c>
      <c r="F6" s="10" t="s">
        <v>64</v>
      </c>
      <c r="G6" s="30" t="s">
        <v>85</v>
      </c>
      <c r="H6" s="30" t="s">
        <v>86</v>
      </c>
      <c r="I6" s="31" t="s">
        <v>186</v>
      </c>
      <c r="J6" s="32"/>
      <c r="K6" s="43" t="str">
        <f>"45,0"</f>
        <v>45,0</v>
      </c>
      <c r="L6" s="12" t="str">
        <f>"67,2120"</f>
        <v>67,2120</v>
      </c>
      <c r="M6" s="10" t="s">
        <v>345</v>
      </c>
    </row>
    <row r="7" spans="1:13">
      <c r="A7" s="41" t="s">
        <v>60</v>
      </c>
      <c r="B7" s="36" t="s">
        <v>676</v>
      </c>
      <c r="C7" s="36" t="s">
        <v>347</v>
      </c>
      <c r="D7" s="36" t="s">
        <v>348</v>
      </c>
      <c r="E7" s="37" t="s">
        <v>760</v>
      </c>
      <c r="F7" s="36" t="s">
        <v>64</v>
      </c>
      <c r="G7" s="39" t="s">
        <v>186</v>
      </c>
      <c r="H7" s="40" t="s">
        <v>192</v>
      </c>
      <c r="I7" s="40" t="s">
        <v>192</v>
      </c>
      <c r="J7" s="41"/>
      <c r="K7" s="45" t="str">
        <f>"47,5"</f>
        <v>47,5</v>
      </c>
      <c r="L7" s="38" t="str">
        <f>"63,6880"</f>
        <v>63,6880</v>
      </c>
      <c r="M7" s="36"/>
    </row>
    <row r="8" spans="1:13">
      <c r="A8" s="41" t="s">
        <v>60</v>
      </c>
      <c r="B8" s="36" t="s">
        <v>677</v>
      </c>
      <c r="C8" s="36" t="s">
        <v>350</v>
      </c>
      <c r="D8" s="36" t="s">
        <v>351</v>
      </c>
      <c r="E8" s="37" t="s">
        <v>757</v>
      </c>
      <c r="F8" s="36" t="s">
        <v>64</v>
      </c>
      <c r="G8" s="39" t="s">
        <v>87</v>
      </c>
      <c r="H8" s="39" t="s">
        <v>158</v>
      </c>
      <c r="I8" s="40" t="s">
        <v>92</v>
      </c>
      <c r="J8" s="41"/>
      <c r="K8" s="45" t="str">
        <f>"55,0"</f>
        <v>55,0</v>
      </c>
      <c r="L8" s="38" t="str">
        <f>"82,1480"</f>
        <v>82,1480</v>
      </c>
      <c r="M8" s="36" t="s">
        <v>352</v>
      </c>
    </row>
    <row r="9" spans="1:13">
      <c r="A9" s="35" t="s">
        <v>150</v>
      </c>
      <c r="B9" s="13" t="s">
        <v>346</v>
      </c>
      <c r="C9" s="13" t="s">
        <v>353</v>
      </c>
      <c r="D9" s="13" t="s">
        <v>348</v>
      </c>
      <c r="E9" s="14" t="s">
        <v>757</v>
      </c>
      <c r="F9" s="13" t="s">
        <v>64</v>
      </c>
      <c r="G9" s="33" t="s">
        <v>186</v>
      </c>
      <c r="H9" s="34" t="s">
        <v>192</v>
      </c>
      <c r="I9" s="34" t="s">
        <v>192</v>
      </c>
      <c r="J9" s="35"/>
      <c r="K9" s="44" t="str">
        <f>"47,5"</f>
        <v>47,5</v>
      </c>
      <c r="L9" s="15" t="str">
        <f>"63,6880"</f>
        <v>63,6880</v>
      </c>
      <c r="M9" s="13"/>
    </row>
    <row r="11" spans="1:13" ht="16">
      <c r="A11" s="53" t="s">
        <v>68</v>
      </c>
      <c r="B11" s="53"/>
      <c r="C11" s="54"/>
      <c r="D11" s="54"/>
      <c r="E11" s="54"/>
      <c r="F11" s="54"/>
      <c r="G11" s="54"/>
      <c r="H11" s="54"/>
      <c r="I11" s="54"/>
      <c r="J11" s="54"/>
    </row>
    <row r="12" spans="1:13">
      <c r="A12" s="32" t="s">
        <v>60</v>
      </c>
      <c r="B12" s="10" t="s">
        <v>678</v>
      </c>
      <c r="C12" s="10" t="s">
        <v>354</v>
      </c>
      <c r="D12" s="10" t="s">
        <v>355</v>
      </c>
      <c r="E12" s="11" t="s">
        <v>761</v>
      </c>
      <c r="F12" s="10" t="s">
        <v>356</v>
      </c>
      <c r="G12" s="31" t="s">
        <v>168</v>
      </c>
      <c r="H12" s="30" t="s">
        <v>168</v>
      </c>
      <c r="I12" s="30" t="s">
        <v>85</v>
      </c>
      <c r="J12" s="32"/>
      <c r="K12" s="43" t="str">
        <f>"40,0"</f>
        <v>40,0</v>
      </c>
      <c r="L12" s="12" t="str">
        <f>"51,7760"</f>
        <v>51,7760</v>
      </c>
      <c r="M12" s="10" t="s">
        <v>345</v>
      </c>
    </row>
    <row r="13" spans="1:13">
      <c r="A13" s="41" t="s">
        <v>60</v>
      </c>
      <c r="B13" s="36" t="s">
        <v>679</v>
      </c>
      <c r="C13" s="36" t="s">
        <v>357</v>
      </c>
      <c r="D13" s="36" t="s">
        <v>358</v>
      </c>
      <c r="E13" s="37" t="s">
        <v>758</v>
      </c>
      <c r="F13" s="36" t="s">
        <v>309</v>
      </c>
      <c r="G13" s="39" t="s">
        <v>168</v>
      </c>
      <c r="H13" s="39" t="s">
        <v>85</v>
      </c>
      <c r="I13" s="40" t="s">
        <v>86</v>
      </c>
      <c r="J13" s="41"/>
      <c r="K13" s="45" t="str">
        <f>"40,0"</f>
        <v>40,0</v>
      </c>
      <c r="L13" s="38" t="str">
        <f>"50,2400"</f>
        <v>50,2400</v>
      </c>
      <c r="M13" s="36" t="s">
        <v>345</v>
      </c>
    </row>
    <row r="14" spans="1:13">
      <c r="A14" s="41" t="s">
        <v>60</v>
      </c>
      <c r="B14" s="36" t="s">
        <v>359</v>
      </c>
      <c r="C14" s="36" t="s">
        <v>360</v>
      </c>
      <c r="D14" s="36" t="s">
        <v>361</v>
      </c>
      <c r="E14" s="37" t="s">
        <v>757</v>
      </c>
      <c r="F14" s="36" t="s">
        <v>64</v>
      </c>
      <c r="G14" s="39" t="s">
        <v>87</v>
      </c>
      <c r="H14" s="39" t="s">
        <v>158</v>
      </c>
      <c r="I14" s="39" t="s">
        <v>92</v>
      </c>
      <c r="J14" s="41"/>
      <c r="K14" s="45" t="str">
        <f>"60,0"</f>
        <v>60,0</v>
      </c>
      <c r="L14" s="38" t="str">
        <f>"75,1320"</f>
        <v>75,1320</v>
      </c>
      <c r="M14" s="36" t="s">
        <v>362</v>
      </c>
    </row>
    <row r="15" spans="1:13">
      <c r="A15" s="35" t="s">
        <v>150</v>
      </c>
      <c r="B15" s="13" t="s">
        <v>680</v>
      </c>
      <c r="C15" s="13" t="s">
        <v>363</v>
      </c>
      <c r="D15" s="13" t="s">
        <v>364</v>
      </c>
      <c r="E15" s="14" t="s">
        <v>757</v>
      </c>
      <c r="F15" s="13" t="s">
        <v>335</v>
      </c>
      <c r="G15" s="33" t="s">
        <v>192</v>
      </c>
      <c r="H15" s="34" t="s">
        <v>365</v>
      </c>
      <c r="I15" s="34" t="s">
        <v>365</v>
      </c>
      <c r="J15" s="35"/>
      <c r="K15" s="44" t="str">
        <f>"52,5"</f>
        <v>52,5</v>
      </c>
      <c r="L15" s="15" t="str">
        <f>"66,8325"</f>
        <v>66,8325</v>
      </c>
      <c r="M15" s="13" t="s">
        <v>366</v>
      </c>
    </row>
    <row r="17" spans="1:13" ht="16">
      <c r="A17" s="53" t="s">
        <v>163</v>
      </c>
      <c r="B17" s="53"/>
      <c r="C17" s="54"/>
      <c r="D17" s="54"/>
      <c r="E17" s="54"/>
      <c r="F17" s="54"/>
      <c r="G17" s="54"/>
      <c r="H17" s="54"/>
      <c r="I17" s="54"/>
      <c r="J17" s="54"/>
    </row>
    <row r="18" spans="1:13">
      <c r="A18" s="32" t="s">
        <v>60</v>
      </c>
      <c r="B18" s="10" t="s">
        <v>681</v>
      </c>
      <c r="C18" s="10" t="s">
        <v>367</v>
      </c>
      <c r="D18" s="10" t="s">
        <v>368</v>
      </c>
      <c r="E18" s="11" t="s">
        <v>758</v>
      </c>
      <c r="F18" s="10" t="s">
        <v>64</v>
      </c>
      <c r="G18" s="30" t="s">
        <v>85</v>
      </c>
      <c r="H18" s="30" t="s">
        <v>86</v>
      </c>
      <c r="I18" s="30" t="s">
        <v>186</v>
      </c>
      <c r="J18" s="32"/>
      <c r="K18" s="43" t="str">
        <f>"47,5"</f>
        <v>47,5</v>
      </c>
      <c r="L18" s="12" t="str">
        <f>"56,9288"</f>
        <v>56,9288</v>
      </c>
      <c r="M18" s="10" t="s">
        <v>345</v>
      </c>
    </row>
    <row r="19" spans="1:13">
      <c r="A19" s="41" t="s">
        <v>60</v>
      </c>
      <c r="B19" s="36" t="s">
        <v>369</v>
      </c>
      <c r="C19" s="36" t="s">
        <v>370</v>
      </c>
      <c r="D19" s="36" t="s">
        <v>371</v>
      </c>
      <c r="E19" s="37" t="s">
        <v>757</v>
      </c>
      <c r="F19" s="36" t="s">
        <v>64</v>
      </c>
      <c r="G19" s="39" t="s">
        <v>159</v>
      </c>
      <c r="H19" s="40" t="s">
        <v>160</v>
      </c>
      <c r="I19" s="40" t="s">
        <v>160</v>
      </c>
      <c r="J19" s="41"/>
      <c r="K19" s="45" t="str">
        <f>"65,0"</f>
        <v>65,0</v>
      </c>
      <c r="L19" s="38" t="str">
        <f>"77,7855"</f>
        <v>77,7855</v>
      </c>
      <c r="M19" s="36" t="s">
        <v>199</v>
      </c>
    </row>
    <row r="20" spans="1:13">
      <c r="A20" s="35" t="s">
        <v>150</v>
      </c>
      <c r="B20" s="13" t="s">
        <v>174</v>
      </c>
      <c r="C20" s="13" t="s">
        <v>175</v>
      </c>
      <c r="D20" s="13" t="s">
        <v>171</v>
      </c>
      <c r="E20" s="14" t="s">
        <v>757</v>
      </c>
      <c r="F20" s="13" t="s">
        <v>176</v>
      </c>
      <c r="G20" s="33" t="s">
        <v>158</v>
      </c>
      <c r="H20" s="33" t="s">
        <v>92</v>
      </c>
      <c r="I20" s="34" t="s">
        <v>178</v>
      </c>
      <c r="J20" s="35"/>
      <c r="K20" s="44" t="str">
        <f>"60,0"</f>
        <v>60,0</v>
      </c>
      <c r="L20" s="15" t="str">
        <f>"70,5960"</f>
        <v>70,5960</v>
      </c>
      <c r="M20" s="13"/>
    </row>
    <row r="22" spans="1:13" ht="16">
      <c r="A22" s="53" t="s">
        <v>79</v>
      </c>
      <c r="B22" s="53"/>
      <c r="C22" s="54"/>
      <c r="D22" s="54"/>
      <c r="E22" s="54"/>
      <c r="F22" s="54"/>
      <c r="G22" s="54"/>
      <c r="H22" s="54"/>
      <c r="I22" s="54"/>
      <c r="J22" s="54"/>
    </row>
    <row r="23" spans="1:13">
      <c r="A23" s="32" t="s">
        <v>60</v>
      </c>
      <c r="B23" s="10" t="s">
        <v>372</v>
      </c>
      <c r="C23" s="10" t="s">
        <v>373</v>
      </c>
      <c r="D23" s="10" t="s">
        <v>374</v>
      </c>
      <c r="E23" s="11" t="s">
        <v>758</v>
      </c>
      <c r="F23" s="10" t="s">
        <v>64</v>
      </c>
      <c r="G23" s="30" t="s">
        <v>375</v>
      </c>
      <c r="H23" s="30" t="s">
        <v>167</v>
      </c>
      <c r="I23" s="31" t="s">
        <v>168</v>
      </c>
      <c r="J23" s="32"/>
      <c r="K23" s="43" t="str">
        <f>"30,0"</f>
        <v>30,0</v>
      </c>
      <c r="L23" s="12" t="str">
        <f>"33,7530"</f>
        <v>33,7530</v>
      </c>
      <c r="M23" s="10" t="s">
        <v>345</v>
      </c>
    </row>
    <row r="24" spans="1:13">
      <c r="A24" s="41" t="s">
        <v>60</v>
      </c>
      <c r="B24" s="36" t="s">
        <v>682</v>
      </c>
      <c r="C24" s="36" t="s">
        <v>376</v>
      </c>
      <c r="D24" s="36" t="s">
        <v>377</v>
      </c>
      <c r="E24" s="37" t="s">
        <v>760</v>
      </c>
      <c r="F24" s="36" t="s">
        <v>254</v>
      </c>
      <c r="G24" s="39" t="s">
        <v>87</v>
      </c>
      <c r="H24" s="40" t="s">
        <v>158</v>
      </c>
      <c r="I24" s="40" t="s">
        <v>158</v>
      </c>
      <c r="J24" s="41"/>
      <c r="K24" s="45" t="str">
        <f>"50,0"</f>
        <v>50,0</v>
      </c>
      <c r="L24" s="38" t="str">
        <f>"57,0800"</f>
        <v>57,0800</v>
      </c>
      <c r="M24" s="36" t="s">
        <v>255</v>
      </c>
    </row>
    <row r="25" spans="1:13">
      <c r="A25" s="41" t="s">
        <v>60</v>
      </c>
      <c r="B25" s="36" t="s">
        <v>683</v>
      </c>
      <c r="C25" s="36" t="s">
        <v>379</v>
      </c>
      <c r="D25" s="36" t="s">
        <v>380</v>
      </c>
      <c r="E25" s="37" t="s">
        <v>757</v>
      </c>
      <c r="F25" s="36" t="s">
        <v>64</v>
      </c>
      <c r="G25" s="39" t="s">
        <v>178</v>
      </c>
      <c r="H25" s="39" t="s">
        <v>381</v>
      </c>
      <c r="I25" s="39" t="s">
        <v>82</v>
      </c>
      <c r="J25" s="41"/>
      <c r="K25" s="45" t="str">
        <f>"70,0"</f>
        <v>70,0</v>
      </c>
      <c r="L25" s="38" t="str">
        <f>"80,2410"</f>
        <v>80,2410</v>
      </c>
      <c r="M25" s="36"/>
    </row>
    <row r="26" spans="1:13">
      <c r="A26" s="41" t="s">
        <v>150</v>
      </c>
      <c r="B26" s="36" t="s">
        <v>684</v>
      </c>
      <c r="C26" s="36" t="s">
        <v>382</v>
      </c>
      <c r="D26" s="36" t="s">
        <v>383</v>
      </c>
      <c r="E26" s="37" t="s">
        <v>757</v>
      </c>
      <c r="F26" s="36" t="s">
        <v>64</v>
      </c>
      <c r="G26" s="39" t="s">
        <v>87</v>
      </c>
      <c r="H26" s="39" t="s">
        <v>192</v>
      </c>
      <c r="I26" s="40" t="s">
        <v>365</v>
      </c>
      <c r="J26" s="41"/>
      <c r="K26" s="45" t="str">
        <f>"52,5"</f>
        <v>52,5</v>
      </c>
      <c r="L26" s="38" t="str">
        <f>"59,2988"</f>
        <v>59,2988</v>
      </c>
      <c r="M26" s="36" t="s">
        <v>384</v>
      </c>
    </row>
    <row r="27" spans="1:13">
      <c r="A27" s="41" t="s">
        <v>151</v>
      </c>
      <c r="B27" s="36" t="s">
        <v>182</v>
      </c>
      <c r="C27" s="36" t="s">
        <v>183</v>
      </c>
      <c r="D27" s="36" t="s">
        <v>184</v>
      </c>
      <c r="E27" s="37" t="s">
        <v>757</v>
      </c>
      <c r="F27" s="36" t="s">
        <v>185</v>
      </c>
      <c r="G27" s="39" t="s">
        <v>85</v>
      </c>
      <c r="H27" s="39" t="s">
        <v>86</v>
      </c>
      <c r="I27" s="39" t="s">
        <v>186</v>
      </c>
      <c r="J27" s="41"/>
      <c r="K27" s="45" t="str">
        <f>"47,5"</f>
        <v>47,5</v>
      </c>
      <c r="L27" s="38" t="str">
        <f>"53,0955"</f>
        <v>53,0955</v>
      </c>
      <c r="M27" s="36" t="s">
        <v>187</v>
      </c>
    </row>
    <row r="28" spans="1:13">
      <c r="A28" s="41" t="s">
        <v>60</v>
      </c>
      <c r="B28" s="36" t="s">
        <v>685</v>
      </c>
      <c r="C28" s="36" t="s">
        <v>385</v>
      </c>
      <c r="D28" s="36" t="s">
        <v>377</v>
      </c>
      <c r="E28" s="37" t="s">
        <v>762</v>
      </c>
      <c r="F28" s="36" t="s">
        <v>64</v>
      </c>
      <c r="G28" s="39" t="s">
        <v>85</v>
      </c>
      <c r="H28" s="39" t="s">
        <v>86</v>
      </c>
      <c r="I28" s="40" t="s">
        <v>87</v>
      </c>
      <c r="J28" s="41"/>
      <c r="K28" s="45" t="str">
        <f>"45,0"</f>
        <v>45,0</v>
      </c>
      <c r="L28" s="38" t="str">
        <f>"55,3790"</f>
        <v>55,3790</v>
      </c>
      <c r="M28" s="36" t="s">
        <v>362</v>
      </c>
    </row>
    <row r="29" spans="1:13">
      <c r="A29" s="35" t="s">
        <v>60</v>
      </c>
      <c r="B29" s="13" t="s">
        <v>630</v>
      </c>
      <c r="C29" s="13" t="s">
        <v>188</v>
      </c>
      <c r="D29" s="13" t="s">
        <v>184</v>
      </c>
      <c r="E29" s="14" t="s">
        <v>759</v>
      </c>
      <c r="F29" s="13" t="s">
        <v>185</v>
      </c>
      <c r="G29" s="33" t="s">
        <v>85</v>
      </c>
      <c r="H29" s="33" t="s">
        <v>86</v>
      </c>
      <c r="I29" s="33" t="s">
        <v>186</v>
      </c>
      <c r="J29" s="35"/>
      <c r="K29" s="44" t="str">
        <f>"47,5"</f>
        <v>47,5</v>
      </c>
      <c r="L29" s="15" t="str">
        <f>"70,1923"</f>
        <v>70,1923</v>
      </c>
      <c r="M29" s="13" t="s">
        <v>187</v>
      </c>
    </row>
    <row r="31" spans="1:13" ht="16">
      <c r="A31" s="53" t="s">
        <v>189</v>
      </c>
      <c r="B31" s="53"/>
      <c r="C31" s="54"/>
      <c r="D31" s="54"/>
      <c r="E31" s="54"/>
      <c r="F31" s="54"/>
      <c r="G31" s="54"/>
      <c r="H31" s="54"/>
      <c r="I31" s="54"/>
      <c r="J31" s="54"/>
    </row>
    <row r="32" spans="1:13">
      <c r="A32" s="32" t="s">
        <v>60</v>
      </c>
      <c r="B32" s="10" t="s">
        <v>686</v>
      </c>
      <c r="C32" s="10" t="s">
        <v>386</v>
      </c>
      <c r="D32" s="10" t="s">
        <v>387</v>
      </c>
      <c r="E32" s="11" t="s">
        <v>758</v>
      </c>
      <c r="F32" s="10" t="s">
        <v>64</v>
      </c>
      <c r="G32" s="30" t="s">
        <v>87</v>
      </c>
      <c r="H32" s="30" t="s">
        <v>158</v>
      </c>
      <c r="I32" s="31" t="s">
        <v>92</v>
      </c>
      <c r="J32" s="32"/>
      <c r="K32" s="43" t="str">
        <f>"55,0"</f>
        <v>55,0</v>
      </c>
      <c r="L32" s="46" t="str">
        <f>"57,2440"</f>
        <v>57,2440</v>
      </c>
      <c r="M32" s="10" t="s">
        <v>345</v>
      </c>
    </row>
    <row r="33" spans="1:13">
      <c r="A33" s="41" t="s">
        <v>60</v>
      </c>
      <c r="B33" s="36" t="s">
        <v>668</v>
      </c>
      <c r="C33" s="36" t="s">
        <v>389</v>
      </c>
      <c r="D33" s="36" t="s">
        <v>390</v>
      </c>
      <c r="E33" s="37" t="s">
        <v>757</v>
      </c>
      <c r="F33" s="36" t="s">
        <v>64</v>
      </c>
      <c r="G33" s="39" t="s">
        <v>178</v>
      </c>
      <c r="H33" s="39" t="s">
        <v>82</v>
      </c>
      <c r="I33" s="40" t="s">
        <v>161</v>
      </c>
      <c r="J33" s="41"/>
      <c r="K33" s="45" t="str">
        <f>"70,0"</f>
        <v>70,0</v>
      </c>
      <c r="L33" s="47" t="str">
        <f>"72,6180"</f>
        <v>72,6180</v>
      </c>
      <c r="M33" s="36" t="s">
        <v>391</v>
      </c>
    </row>
    <row r="34" spans="1:13">
      <c r="A34" s="41" t="s">
        <v>150</v>
      </c>
      <c r="B34" s="36" t="s">
        <v>195</v>
      </c>
      <c r="C34" s="36" t="s">
        <v>196</v>
      </c>
      <c r="D34" s="36" t="s">
        <v>197</v>
      </c>
      <c r="E34" s="37" t="s">
        <v>757</v>
      </c>
      <c r="F34" s="36" t="s">
        <v>64</v>
      </c>
      <c r="G34" s="39" t="s">
        <v>87</v>
      </c>
      <c r="H34" s="39" t="s">
        <v>192</v>
      </c>
      <c r="I34" s="39" t="s">
        <v>158</v>
      </c>
      <c r="J34" s="41"/>
      <c r="K34" s="45" t="str">
        <f>"55,0"</f>
        <v>55,0</v>
      </c>
      <c r="L34" s="47" t="str">
        <f>"56,6170"</f>
        <v>56,6170</v>
      </c>
      <c r="M34" s="36" t="s">
        <v>199</v>
      </c>
    </row>
    <row r="35" spans="1:13">
      <c r="A35" s="35" t="s">
        <v>60</v>
      </c>
      <c r="B35" s="13" t="s">
        <v>392</v>
      </c>
      <c r="C35" s="13" t="s">
        <v>393</v>
      </c>
      <c r="D35" s="13" t="s">
        <v>394</v>
      </c>
      <c r="E35" s="14" t="s">
        <v>762</v>
      </c>
      <c r="F35" s="13" t="s">
        <v>64</v>
      </c>
      <c r="G35" s="33" t="s">
        <v>168</v>
      </c>
      <c r="H35" s="33" t="s">
        <v>85</v>
      </c>
      <c r="I35" s="34" t="s">
        <v>86</v>
      </c>
      <c r="J35" s="35"/>
      <c r="K35" s="44" t="str">
        <f>"40,0"</f>
        <v>40,0</v>
      </c>
      <c r="L35" s="48" t="str">
        <f>"42,2635"</f>
        <v>42,2635</v>
      </c>
      <c r="M35" s="13" t="s">
        <v>345</v>
      </c>
    </row>
    <row r="37" spans="1:13" ht="16">
      <c r="A37" s="53" t="s">
        <v>163</v>
      </c>
      <c r="B37" s="53"/>
      <c r="C37" s="54"/>
      <c r="D37" s="54"/>
      <c r="E37" s="54"/>
      <c r="F37" s="54"/>
      <c r="G37" s="54"/>
      <c r="H37" s="54"/>
      <c r="I37" s="54"/>
      <c r="J37" s="54"/>
    </row>
    <row r="38" spans="1:13">
      <c r="A38" s="28" t="s">
        <v>60</v>
      </c>
      <c r="B38" s="7" t="s">
        <v>395</v>
      </c>
      <c r="C38" s="7" t="s">
        <v>396</v>
      </c>
      <c r="D38" s="7" t="s">
        <v>397</v>
      </c>
      <c r="E38" s="8" t="s">
        <v>761</v>
      </c>
      <c r="F38" s="7" t="s">
        <v>64</v>
      </c>
      <c r="G38" s="27" t="s">
        <v>86</v>
      </c>
      <c r="H38" s="27" t="s">
        <v>87</v>
      </c>
      <c r="I38" s="27" t="s">
        <v>158</v>
      </c>
      <c r="J38" s="28"/>
      <c r="K38" s="42" t="str">
        <f>"55,0"</f>
        <v>55,0</v>
      </c>
      <c r="L38" s="9" t="str">
        <f>"52,7065"</f>
        <v>52,7065</v>
      </c>
      <c r="M38" s="7"/>
    </row>
    <row r="40" spans="1:13" ht="16">
      <c r="A40" s="53" t="s">
        <v>79</v>
      </c>
      <c r="B40" s="53"/>
      <c r="C40" s="54"/>
      <c r="D40" s="54"/>
      <c r="E40" s="54"/>
      <c r="F40" s="54"/>
      <c r="G40" s="54"/>
      <c r="H40" s="54"/>
      <c r="I40" s="54"/>
      <c r="J40" s="54"/>
    </row>
    <row r="41" spans="1:13">
      <c r="A41" s="32" t="s">
        <v>60</v>
      </c>
      <c r="B41" s="10" t="s">
        <v>687</v>
      </c>
      <c r="C41" s="10" t="s">
        <v>398</v>
      </c>
      <c r="D41" s="10" t="s">
        <v>399</v>
      </c>
      <c r="E41" s="11" t="s">
        <v>761</v>
      </c>
      <c r="F41" s="10" t="s">
        <v>64</v>
      </c>
      <c r="G41" s="31" t="s">
        <v>161</v>
      </c>
      <c r="H41" s="30" t="s">
        <v>83</v>
      </c>
      <c r="I41" s="31" t="s">
        <v>213</v>
      </c>
      <c r="J41" s="32"/>
      <c r="K41" s="43" t="str">
        <f>"80,0"</f>
        <v>80,0</v>
      </c>
      <c r="L41" s="12" t="str">
        <f>"71,3520"</f>
        <v>71,3520</v>
      </c>
      <c r="M41" s="10" t="s">
        <v>345</v>
      </c>
    </row>
    <row r="42" spans="1:13">
      <c r="A42" s="35" t="s">
        <v>60</v>
      </c>
      <c r="B42" s="13" t="s">
        <v>688</v>
      </c>
      <c r="C42" s="13" t="s">
        <v>401</v>
      </c>
      <c r="D42" s="13" t="s">
        <v>184</v>
      </c>
      <c r="E42" s="14" t="s">
        <v>758</v>
      </c>
      <c r="F42" s="13" t="s">
        <v>402</v>
      </c>
      <c r="G42" s="33" t="s">
        <v>88</v>
      </c>
      <c r="H42" s="34" t="s">
        <v>74</v>
      </c>
      <c r="I42" s="34" t="s">
        <v>74</v>
      </c>
      <c r="J42" s="35"/>
      <c r="K42" s="44" t="str">
        <f>"100,0"</f>
        <v>100,0</v>
      </c>
      <c r="L42" s="15" t="str">
        <f>"85,5500"</f>
        <v>85,5500</v>
      </c>
      <c r="M42" s="13"/>
    </row>
    <row r="44" spans="1:13" ht="16">
      <c r="A44" s="53" t="s">
        <v>189</v>
      </c>
      <c r="B44" s="53"/>
      <c r="C44" s="54"/>
      <c r="D44" s="54"/>
      <c r="E44" s="54"/>
      <c r="F44" s="54"/>
      <c r="G44" s="54"/>
      <c r="H44" s="54"/>
      <c r="I44" s="54"/>
      <c r="J44" s="54"/>
    </row>
    <row r="45" spans="1:13">
      <c r="A45" s="32" t="s">
        <v>60</v>
      </c>
      <c r="B45" s="10" t="s">
        <v>689</v>
      </c>
      <c r="C45" s="10" t="s">
        <v>403</v>
      </c>
      <c r="D45" s="10" t="s">
        <v>404</v>
      </c>
      <c r="E45" s="11" t="s">
        <v>761</v>
      </c>
      <c r="F45" s="10" t="s">
        <v>64</v>
      </c>
      <c r="G45" s="30" t="s">
        <v>161</v>
      </c>
      <c r="H45" s="30" t="s">
        <v>83</v>
      </c>
      <c r="I45" s="30" t="s">
        <v>193</v>
      </c>
      <c r="J45" s="32"/>
      <c r="K45" s="43" t="str">
        <f>"85,0"</f>
        <v>85,0</v>
      </c>
      <c r="L45" s="12" t="str">
        <f>"67,4220"</f>
        <v>67,4220</v>
      </c>
      <c r="M45" s="10" t="s">
        <v>621</v>
      </c>
    </row>
    <row r="46" spans="1:13">
      <c r="A46" s="41" t="s">
        <v>150</v>
      </c>
      <c r="B46" s="36" t="s">
        <v>405</v>
      </c>
      <c r="C46" s="36" t="s">
        <v>406</v>
      </c>
      <c r="D46" s="36" t="s">
        <v>407</v>
      </c>
      <c r="E46" s="37" t="s">
        <v>761</v>
      </c>
      <c r="F46" s="36" t="s">
        <v>64</v>
      </c>
      <c r="G46" s="40" t="s">
        <v>168</v>
      </c>
      <c r="H46" s="39" t="s">
        <v>168</v>
      </c>
      <c r="I46" s="39" t="s">
        <v>85</v>
      </c>
      <c r="J46" s="41"/>
      <c r="K46" s="45" t="str">
        <f>"40,0"</f>
        <v>40,0</v>
      </c>
      <c r="L46" s="38" t="str">
        <f>"32,8000"</f>
        <v>32,8000</v>
      </c>
      <c r="M46" s="36" t="s">
        <v>230</v>
      </c>
    </row>
    <row r="47" spans="1:13">
      <c r="A47" s="41" t="s">
        <v>151</v>
      </c>
      <c r="B47" s="36" t="s">
        <v>408</v>
      </c>
      <c r="C47" s="36" t="s">
        <v>409</v>
      </c>
      <c r="D47" s="36" t="s">
        <v>410</v>
      </c>
      <c r="E47" s="37" t="s">
        <v>761</v>
      </c>
      <c r="F47" s="36" t="s">
        <v>64</v>
      </c>
      <c r="G47" s="39" t="s">
        <v>167</v>
      </c>
      <c r="H47" s="39" t="s">
        <v>168</v>
      </c>
      <c r="I47" s="40" t="s">
        <v>411</v>
      </c>
      <c r="J47" s="41"/>
      <c r="K47" s="45" t="str">
        <f>"35,0"</f>
        <v>35,0</v>
      </c>
      <c r="L47" s="38" t="str">
        <f>"29,5365"</f>
        <v>29,5365</v>
      </c>
      <c r="M47" s="36" t="s">
        <v>230</v>
      </c>
    </row>
    <row r="48" spans="1:13">
      <c r="A48" s="35" t="s">
        <v>60</v>
      </c>
      <c r="B48" s="13" t="s">
        <v>643</v>
      </c>
      <c r="C48" s="13" t="s">
        <v>221</v>
      </c>
      <c r="D48" s="13" t="s">
        <v>222</v>
      </c>
      <c r="E48" s="14" t="s">
        <v>757</v>
      </c>
      <c r="F48" s="13" t="s">
        <v>64</v>
      </c>
      <c r="G48" s="33" t="s">
        <v>159</v>
      </c>
      <c r="H48" s="33" t="s">
        <v>161</v>
      </c>
      <c r="I48" s="33" t="s">
        <v>193</v>
      </c>
      <c r="J48" s="35"/>
      <c r="K48" s="44" t="str">
        <f>"85,0"</f>
        <v>85,0</v>
      </c>
      <c r="L48" s="15" t="str">
        <f>"66,0110"</f>
        <v>66,0110</v>
      </c>
      <c r="M48" s="13" t="s">
        <v>108</v>
      </c>
    </row>
    <row r="50" spans="1:13" ht="16">
      <c r="A50" s="53" t="s">
        <v>200</v>
      </c>
      <c r="B50" s="53"/>
      <c r="C50" s="54"/>
      <c r="D50" s="54"/>
      <c r="E50" s="54"/>
      <c r="F50" s="54"/>
      <c r="G50" s="54"/>
      <c r="H50" s="54"/>
      <c r="I50" s="54"/>
      <c r="J50" s="54"/>
    </row>
    <row r="51" spans="1:13">
      <c r="A51" s="32" t="s">
        <v>60</v>
      </c>
      <c r="B51" s="10" t="s">
        <v>690</v>
      </c>
      <c r="C51" s="10" t="s">
        <v>413</v>
      </c>
      <c r="D51" s="10" t="s">
        <v>414</v>
      </c>
      <c r="E51" s="11" t="s">
        <v>761</v>
      </c>
      <c r="F51" s="10" t="s">
        <v>64</v>
      </c>
      <c r="G51" s="30" t="s">
        <v>88</v>
      </c>
      <c r="H51" s="30" t="s">
        <v>212</v>
      </c>
      <c r="I51" s="30" t="s">
        <v>122</v>
      </c>
      <c r="J51" s="32"/>
      <c r="K51" s="43" t="str">
        <f>"112,5"</f>
        <v>112,5</v>
      </c>
      <c r="L51" s="12" t="str">
        <f>"82,7100"</f>
        <v>82,7100</v>
      </c>
      <c r="M51" s="10" t="s">
        <v>345</v>
      </c>
    </row>
    <row r="52" spans="1:13">
      <c r="A52" s="41" t="s">
        <v>150</v>
      </c>
      <c r="B52" s="36" t="s">
        <v>691</v>
      </c>
      <c r="C52" s="36" t="s">
        <v>415</v>
      </c>
      <c r="D52" s="36" t="s">
        <v>416</v>
      </c>
      <c r="E52" s="37" t="s">
        <v>761</v>
      </c>
      <c r="F52" s="36" t="s">
        <v>64</v>
      </c>
      <c r="G52" s="39" t="s">
        <v>212</v>
      </c>
      <c r="H52" s="39" t="s">
        <v>122</v>
      </c>
      <c r="I52" s="40" t="s">
        <v>123</v>
      </c>
      <c r="J52" s="41"/>
      <c r="K52" s="45" t="str">
        <f>"112,5"</f>
        <v>112,5</v>
      </c>
      <c r="L52" s="38" t="str">
        <f>"81,3150"</f>
        <v>81,3150</v>
      </c>
      <c r="M52" s="36" t="s">
        <v>622</v>
      </c>
    </row>
    <row r="53" spans="1:13">
      <c r="A53" s="35" t="s">
        <v>60</v>
      </c>
      <c r="B53" s="13" t="s">
        <v>692</v>
      </c>
      <c r="C53" s="13" t="s">
        <v>417</v>
      </c>
      <c r="D53" s="13" t="s">
        <v>418</v>
      </c>
      <c r="E53" s="14" t="s">
        <v>757</v>
      </c>
      <c r="F53" s="13" t="s">
        <v>64</v>
      </c>
      <c r="G53" s="33" t="s">
        <v>89</v>
      </c>
      <c r="H53" s="33" t="s">
        <v>123</v>
      </c>
      <c r="I53" s="33" t="s">
        <v>198</v>
      </c>
      <c r="J53" s="35"/>
      <c r="K53" s="44" t="str">
        <f>"122,5"</f>
        <v>122,5</v>
      </c>
      <c r="L53" s="15" t="str">
        <f>"88,7145"</f>
        <v>88,7145</v>
      </c>
      <c r="M53" s="13"/>
    </row>
    <row r="55" spans="1:13" ht="16">
      <c r="A55" s="53" t="s">
        <v>10</v>
      </c>
      <c r="B55" s="53"/>
      <c r="C55" s="54"/>
      <c r="D55" s="54"/>
      <c r="E55" s="54"/>
      <c r="F55" s="54"/>
      <c r="G55" s="54"/>
      <c r="H55" s="54"/>
      <c r="I55" s="54"/>
      <c r="J55" s="54"/>
    </row>
    <row r="56" spans="1:13">
      <c r="A56" s="32" t="s">
        <v>60</v>
      </c>
      <c r="B56" s="10" t="s">
        <v>693</v>
      </c>
      <c r="C56" s="10" t="s">
        <v>419</v>
      </c>
      <c r="D56" s="10" t="s">
        <v>420</v>
      </c>
      <c r="E56" s="11" t="s">
        <v>758</v>
      </c>
      <c r="F56" s="10" t="s">
        <v>309</v>
      </c>
      <c r="G56" s="30" t="s">
        <v>74</v>
      </c>
      <c r="H56" s="30" t="s">
        <v>76</v>
      </c>
      <c r="I56" s="31" t="s">
        <v>16</v>
      </c>
      <c r="J56" s="32"/>
      <c r="K56" s="43" t="str">
        <f>"115,0"</f>
        <v>115,0</v>
      </c>
      <c r="L56" s="12" t="str">
        <f>"78,5680"</f>
        <v>78,5680</v>
      </c>
      <c r="M56" s="10" t="s">
        <v>345</v>
      </c>
    </row>
    <row r="57" spans="1:13">
      <c r="A57" s="41" t="s">
        <v>150</v>
      </c>
      <c r="B57" s="36" t="s">
        <v>694</v>
      </c>
      <c r="C57" s="36" t="s">
        <v>421</v>
      </c>
      <c r="D57" s="36" t="s">
        <v>422</v>
      </c>
      <c r="E57" s="37" t="s">
        <v>758</v>
      </c>
      <c r="F57" s="36" t="s">
        <v>64</v>
      </c>
      <c r="G57" s="39" t="s">
        <v>84</v>
      </c>
      <c r="H57" s="39" t="s">
        <v>177</v>
      </c>
      <c r="I57" s="39" t="s">
        <v>88</v>
      </c>
      <c r="J57" s="41"/>
      <c r="K57" s="45" t="str">
        <f>"100,0"</f>
        <v>100,0</v>
      </c>
      <c r="L57" s="38" t="str">
        <f>"70,6100"</f>
        <v>70,6100</v>
      </c>
      <c r="M57" s="36" t="s">
        <v>345</v>
      </c>
    </row>
    <row r="58" spans="1:13">
      <c r="A58" s="41" t="s">
        <v>60</v>
      </c>
      <c r="B58" s="36" t="s">
        <v>695</v>
      </c>
      <c r="C58" s="36" t="s">
        <v>423</v>
      </c>
      <c r="D58" s="36" t="s">
        <v>424</v>
      </c>
      <c r="E58" s="37" t="s">
        <v>757</v>
      </c>
      <c r="F58" s="36" t="s">
        <v>64</v>
      </c>
      <c r="G58" s="39" t="s">
        <v>88</v>
      </c>
      <c r="H58" s="40" t="s">
        <v>212</v>
      </c>
      <c r="I58" s="40" t="s">
        <v>212</v>
      </c>
      <c r="J58" s="41"/>
      <c r="K58" s="45" t="str">
        <f>"100,0"</f>
        <v>100,0</v>
      </c>
      <c r="L58" s="38" t="str">
        <f>"68,0000"</f>
        <v>68,0000</v>
      </c>
      <c r="M58" s="36" t="s">
        <v>425</v>
      </c>
    </row>
    <row r="59" spans="1:13">
      <c r="A59" s="41" t="s">
        <v>154</v>
      </c>
      <c r="B59" s="36" t="s">
        <v>426</v>
      </c>
      <c r="C59" s="36" t="s">
        <v>427</v>
      </c>
      <c r="D59" s="36" t="s">
        <v>428</v>
      </c>
      <c r="E59" s="37" t="s">
        <v>757</v>
      </c>
      <c r="F59" s="36" t="s">
        <v>64</v>
      </c>
      <c r="G59" s="40" t="s">
        <v>77</v>
      </c>
      <c r="H59" s="40" t="s">
        <v>77</v>
      </c>
      <c r="I59" s="40" t="s">
        <v>77</v>
      </c>
      <c r="J59" s="41"/>
      <c r="K59" s="45">
        <v>0</v>
      </c>
      <c r="L59" s="38" t="str">
        <f>"0,0000"</f>
        <v>0,0000</v>
      </c>
      <c r="M59" s="36" t="s">
        <v>429</v>
      </c>
    </row>
    <row r="60" spans="1:13">
      <c r="A60" s="41" t="s">
        <v>154</v>
      </c>
      <c r="B60" s="36" t="s">
        <v>426</v>
      </c>
      <c r="C60" s="36" t="s">
        <v>430</v>
      </c>
      <c r="D60" s="36" t="s">
        <v>428</v>
      </c>
      <c r="E60" s="37" t="s">
        <v>762</v>
      </c>
      <c r="F60" s="36" t="s">
        <v>64</v>
      </c>
      <c r="G60" s="40" t="s">
        <v>77</v>
      </c>
      <c r="H60" s="40" t="s">
        <v>77</v>
      </c>
      <c r="I60" s="40" t="s">
        <v>77</v>
      </c>
      <c r="J60" s="41"/>
      <c r="K60" s="45">
        <v>0</v>
      </c>
      <c r="L60" s="38" t="str">
        <f>"0,0000"</f>
        <v>0,0000</v>
      </c>
      <c r="M60" s="36" t="s">
        <v>429</v>
      </c>
    </row>
    <row r="61" spans="1:13">
      <c r="A61" s="35" t="s">
        <v>60</v>
      </c>
      <c r="B61" s="13" t="s">
        <v>696</v>
      </c>
      <c r="C61" s="13" t="s">
        <v>431</v>
      </c>
      <c r="D61" s="13" t="s">
        <v>432</v>
      </c>
      <c r="E61" s="14" t="s">
        <v>759</v>
      </c>
      <c r="F61" s="13" t="s">
        <v>64</v>
      </c>
      <c r="G61" s="33" t="s">
        <v>212</v>
      </c>
      <c r="H61" s="33" t="s">
        <v>122</v>
      </c>
      <c r="I61" s="34" t="s">
        <v>76</v>
      </c>
      <c r="J61" s="35"/>
      <c r="K61" s="44" t="str">
        <f>"112,5"</f>
        <v>112,5</v>
      </c>
      <c r="L61" s="15" t="str">
        <f>"102,0997"</f>
        <v>102,0997</v>
      </c>
      <c r="M61" s="13"/>
    </row>
    <row r="63" spans="1:13" ht="16">
      <c r="A63" s="53" t="s">
        <v>21</v>
      </c>
      <c r="B63" s="53"/>
      <c r="C63" s="54"/>
      <c r="D63" s="54"/>
      <c r="E63" s="54"/>
      <c r="F63" s="54"/>
      <c r="G63" s="54"/>
      <c r="H63" s="54"/>
      <c r="I63" s="54"/>
      <c r="J63" s="54"/>
    </row>
    <row r="64" spans="1:13">
      <c r="A64" s="32" t="s">
        <v>60</v>
      </c>
      <c r="B64" s="10" t="s">
        <v>697</v>
      </c>
      <c r="C64" s="10" t="s">
        <v>433</v>
      </c>
      <c r="D64" s="10" t="s">
        <v>434</v>
      </c>
      <c r="E64" s="11" t="s">
        <v>758</v>
      </c>
      <c r="F64" s="10" t="s">
        <v>435</v>
      </c>
      <c r="G64" s="30" t="s">
        <v>76</v>
      </c>
      <c r="H64" s="31" t="s">
        <v>17</v>
      </c>
      <c r="I64" s="31" t="s">
        <v>246</v>
      </c>
      <c r="J64" s="32"/>
      <c r="K64" s="43" t="str">
        <f>"115,0"</f>
        <v>115,0</v>
      </c>
      <c r="L64" s="12" t="str">
        <f>"75,1640"</f>
        <v>75,1640</v>
      </c>
      <c r="M64" s="10" t="s">
        <v>345</v>
      </c>
    </row>
    <row r="65" spans="1:13">
      <c r="A65" s="41" t="s">
        <v>60</v>
      </c>
      <c r="B65" s="36" t="s">
        <v>698</v>
      </c>
      <c r="C65" s="36" t="s">
        <v>437</v>
      </c>
      <c r="D65" s="36" t="s">
        <v>438</v>
      </c>
      <c r="E65" s="37" t="s">
        <v>757</v>
      </c>
      <c r="F65" s="36" t="s">
        <v>64</v>
      </c>
      <c r="G65" s="39" t="s">
        <v>13</v>
      </c>
      <c r="H65" s="39" t="s">
        <v>14</v>
      </c>
      <c r="I65" s="39" t="s">
        <v>38</v>
      </c>
      <c r="J65" s="39" t="s">
        <v>15</v>
      </c>
      <c r="K65" s="45" t="str">
        <f>"175,0"</f>
        <v>175,0</v>
      </c>
      <c r="L65" s="38" t="str">
        <f>"112,5600"</f>
        <v>112,5600</v>
      </c>
      <c r="M65" s="36"/>
    </row>
    <row r="66" spans="1:13">
      <c r="A66" s="41" t="s">
        <v>150</v>
      </c>
      <c r="B66" s="36" t="s">
        <v>637</v>
      </c>
      <c r="C66" s="36" t="s">
        <v>440</v>
      </c>
      <c r="D66" s="36" t="s">
        <v>441</v>
      </c>
      <c r="E66" s="37" t="s">
        <v>757</v>
      </c>
      <c r="F66" s="36" t="s">
        <v>64</v>
      </c>
      <c r="G66" s="39" t="s">
        <v>246</v>
      </c>
      <c r="H66" s="39" t="s">
        <v>102</v>
      </c>
      <c r="I66" s="39" t="s">
        <v>118</v>
      </c>
      <c r="J66" s="41"/>
      <c r="K66" s="45" t="str">
        <f>"145,0"</f>
        <v>145,0</v>
      </c>
      <c r="L66" s="38" t="str">
        <f>"93,7715"</f>
        <v>93,7715</v>
      </c>
      <c r="M66" s="36" t="s">
        <v>487</v>
      </c>
    </row>
    <row r="67" spans="1:13">
      <c r="A67" s="41" t="s">
        <v>151</v>
      </c>
      <c r="B67" s="36" t="s">
        <v>251</v>
      </c>
      <c r="C67" s="36" t="s">
        <v>252</v>
      </c>
      <c r="D67" s="36" t="s">
        <v>253</v>
      </c>
      <c r="E67" s="37" t="s">
        <v>757</v>
      </c>
      <c r="F67" s="36" t="s">
        <v>254</v>
      </c>
      <c r="G67" s="39" t="s">
        <v>74</v>
      </c>
      <c r="H67" s="39" t="s">
        <v>89</v>
      </c>
      <c r="I67" s="40" t="s">
        <v>76</v>
      </c>
      <c r="J67" s="41"/>
      <c r="K67" s="45" t="str">
        <f>"110,0"</f>
        <v>110,0</v>
      </c>
      <c r="L67" s="38" t="str">
        <f>"72,4130"</f>
        <v>72,4130</v>
      </c>
      <c r="M67" s="36" t="s">
        <v>255</v>
      </c>
    </row>
    <row r="68" spans="1:13">
      <c r="A68" s="41" t="s">
        <v>60</v>
      </c>
      <c r="B68" s="36" t="s">
        <v>439</v>
      </c>
      <c r="C68" s="36" t="s">
        <v>443</v>
      </c>
      <c r="D68" s="36" t="s">
        <v>441</v>
      </c>
      <c r="E68" s="37" t="s">
        <v>762</v>
      </c>
      <c r="F68" s="36" t="s">
        <v>64</v>
      </c>
      <c r="G68" s="39" t="s">
        <v>246</v>
      </c>
      <c r="H68" s="39" t="s">
        <v>102</v>
      </c>
      <c r="I68" s="39" t="s">
        <v>118</v>
      </c>
      <c r="J68" s="41"/>
      <c r="K68" s="45" t="str">
        <f>"145,0"</f>
        <v>145,0</v>
      </c>
      <c r="L68" s="38" t="str">
        <f>"93,7715"</f>
        <v>93,7715</v>
      </c>
      <c r="M68" s="36" t="s">
        <v>487</v>
      </c>
    </row>
    <row r="69" spans="1:13">
      <c r="A69" s="35" t="s">
        <v>60</v>
      </c>
      <c r="B69" s="13" t="s">
        <v>699</v>
      </c>
      <c r="C69" s="13" t="s">
        <v>444</v>
      </c>
      <c r="D69" s="13" t="s">
        <v>445</v>
      </c>
      <c r="E69" s="14" t="s">
        <v>759</v>
      </c>
      <c r="F69" s="13" t="s">
        <v>64</v>
      </c>
      <c r="G69" s="33" t="s">
        <v>72</v>
      </c>
      <c r="H69" s="33" t="s">
        <v>118</v>
      </c>
      <c r="I69" s="34" t="s">
        <v>204</v>
      </c>
      <c r="J69" s="35"/>
      <c r="K69" s="44" t="str">
        <f>"145,0"</f>
        <v>145,0</v>
      </c>
      <c r="L69" s="15" t="str">
        <f>"108,5598"</f>
        <v>108,5598</v>
      </c>
      <c r="M69" s="13" t="s">
        <v>446</v>
      </c>
    </row>
    <row r="71" spans="1:13" ht="16">
      <c r="A71" s="53" t="s">
        <v>31</v>
      </c>
      <c r="B71" s="53"/>
      <c r="C71" s="54"/>
      <c r="D71" s="54"/>
      <c r="E71" s="54"/>
      <c r="F71" s="54"/>
      <c r="G71" s="54"/>
      <c r="H71" s="54"/>
      <c r="I71" s="54"/>
      <c r="J71" s="54"/>
    </row>
    <row r="72" spans="1:13">
      <c r="A72" s="28" t="s">
        <v>60</v>
      </c>
      <c r="B72" s="7" t="s">
        <v>447</v>
      </c>
      <c r="C72" s="7" t="s">
        <v>448</v>
      </c>
      <c r="D72" s="7" t="s">
        <v>449</v>
      </c>
      <c r="E72" s="8" t="s">
        <v>763</v>
      </c>
      <c r="F72" s="7" t="s">
        <v>64</v>
      </c>
      <c r="G72" s="27" t="s">
        <v>88</v>
      </c>
      <c r="H72" s="27" t="s">
        <v>74</v>
      </c>
      <c r="I72" s="29" t="s">
        <v>122</v>
      </c>
      <c r="J72" s="28"/>
      <c r="K72" s="42" t="str">
        <f>"105,0"</f>
        <v>105,0</v>
      </c>
      <c r="L72" s="9" t="str">
        <f>"92,6705"</f>
        <v>92,6705</v>
      </c>
      <c r="M72" s="7" t="s">
        <v>20</v>
      </c>
    </row>
    <row r="74" spans="1:13" ht="16">
      <c r="A74" s="53" t="s">
        <v>41</v>
      </c>
      <c r="B74" s="53"/>
      <c r="C74" s="54"/>
      <c r="D74" s="54"/>
      <c r="E74" s="54"/>
      <c r="F74" s="54"/>
      <c r="G74" s="54"/>
      <c r="H74" s="54"/>
      <c r="I74" s="54"/>
      <c r="J74" s="54"/>
    </row>
    <row r="75" spans="1:13">
      <c r="A75" s="32" t="s">
        <v>60</v>
      </c>
      <c r="B75" s="10" t="s">
        <v>700</v>
      </c>
      <c r="C75" s="10" t="s">
        <v>451</v>
      </c>
      <c r="D75" s="10" t="s">
        <v>452</v>
      </c>
      <c r="E75" s="11" t="s">
        <v>758</v>
      </c>
      <c r="F75" s="10" t="s">
        <v>64</v>
      </c>
      <c r="G75" s="30" t="s">
        <v>102</v>
      </c>
      <c r="H75" s="31" t="s">
        <v>204</v>
      </c>
      <c r="I75" s="31" t="s">
        <v>204</v>
      </c>
      <c r="J75" s="32"/>
      <c r="K75" s="43" t="str">
        <f>"140,0"</f>
        <v>140,0</v>
      </c>
      <c r="L75" s="12" t="str">
        <f>"83,7200"</f>
        <v>83,7200</v>
      </c>
      <c r="M75" s="10"/>
    </row>
    <row r="76" spans="1:13">
      <c r="A76" s="35" t="s">
        <v>60</v>
      </c>
      <c r="B76" s="13" t="s">
        <v>701</v>
      </c>
      <c r="C76" s="13" t="s">
        <v>453</v>
      </c>
      <c r="D76" s="13" t="s">
        <v>454</v>
      </c>
      <c r="E76" s="14" t="s">
        <v>757</v>
      </c>
      <c r="F76" s="13" t="s">
        <v>64</v>
      </c>
      <c r="G76" s="33" t="s">
        <v>28</v>
      </c>
      <c r="H76" s="33" t="s">
        <v>77</v>
      </c>
      <c r="I76" s="34" t="s">
        <v>129</v>
      </c>
      <c r="J76" s="35"/>
      <c r="K76" s="44" t="str">
        <f>"157,5"</f>
        <v>157,5</v>
      </c>
      <c r="L76" s="15" t="str">
        <f>"92,6888"</f>
        <v>92,6888</v>
      </c>
      <c r="M76" s="13" t="s">
        <v>230</v>
      </c>
    </row>
    <row r="78" spans="1:13" ht="16">
      <c r="A78" s="53" t="s">
        <v>288</v>
      </c>
      <c r="B78" s="53"/>
      <c r="C78" s="54"/>
      <c r="D78" s="54"/>
      <c r="E78" s="54"/>
      <c r="F78" s="54"/>
      <c r="G78" s="54"/>
      <c r="H78" s="54"/>
      <c r="I78" s="54"/>
      <c r="J78" s="54"/>
    </row>
    <row r="79" spans="1:13">
      <c r="A79" s="28" t="s">
        <v>60</v>
      </c>
      <c r="B79" s="7" t="s">
        <v>455</v>
      </c>
      <c r="C79" s="7" t="s">
        <v>456</v>
      </c>
      <c r="D79" s="7" t="s">
        <v>457</v>
      </c>
      <c r="E79" s="8" t="s">
        <v>757</v>
      </c>
      <c r="F79" s="7" t="s">
        <v>64</v>
      </c>
      <c r="G79" s="27" t="s">
        <v>47</v>
      </c>
      <c r="H79" s="27" t="s">
        <v>14</v>
      </c>
      <c r="I79" s="29" t="s">
        <v>130</v>
      </c>
      <c r="J79" s="28"/>
      <c r="K79" s="42" t="str">
        <f>"170,0"</f>
        <v>170,0</v>
      </c>
      <c r="L79" s="9" t="str">
        <f>"98,0560"</f>
        <v>98,0560</v>
      </c>
      <c r="M79" s="7" t="s">
        <v>623</v>
      </c>
    </row>
    <row r="81" spans="2:13" ht="16">
      <c r="F81" s="17"/>
      <c r="G81" s="5"/>
      <c r="M81" s="6"/>
    </row>
    <row r="82" spans="2:13">
      <c r="G82" s="5"/>
      <c r="M82" s="6"/>
    </row>
    <row r="83" spans="2:13" ht="18">
      <c r="B83" s="18" t="s">
        <v>49</v>
      </c>
      <c r="C83" s="18"/>
      <c r="M83" s="6"/>
    </row>
    <row r="84" spans="2:13" ht="16">
      <c r="B84" s="19" t="s">
        <v>147</v>
      </c>
      <c r="C84" s="19"/>
      <c r="M84" s="6"/>
    </row>
    <row r="85" spans="2:13">
      <c r="M85" s="6"/>
    </row>
    <row r="86" spans="2:13" ht="14">
      <c r="B86" s="20"/>
      <c r="C86" s="21" t="s">
        <v>51</v>
      </c>
      <c r="M86" s="6"/>
    </row>
    <row r="87" spans="2:13" ht="14">
      <c r="B87" s="22" t="s">
        <v>52</v>
      </c>
      <c r="C87" s="22" t="s">
        <v>53</v>
      </c>
      <c r="D87" s="22" t="s">
        <v>725</v>
      </c>
      <c r="E87" s="23" t="s">
        <v>283</v>
      </c>
      <c r="F87" s="22" t="s">
        <v>56</v>
      </c>
      <c r="M87" s="6"/>
    </row>
    <row r="88" spans="2:13">
      <c r="B88" s="5" t="s">
        <v>349</v>
      </c>
      <c r="C88" s="5" t="s">
        <v>51</v>
      </c>
      <c r="D88" s="25" t="s">
        <v>458</v>
      </c>
      <c r="E88" s="26">
        <v>55</v>
      </c>
      <c r="F88" s="24">
        <v>82.148000597953796</v>
      </c>
      <c r="M88" s="6"/>
    </row>
    <row r="89" spans="2:13">
      <c r="B89" s="5" t="s">
        <v>378</v>
      </c>
      <c r="C89" s="5" t="s">
        <v>51</v>
      </c>
      <c r="D89" s="25" t="s">
        <v>148</v>
      </c>
      <c r="E89" s="26">
        <v>70</v>
      </c>
      <c r="F89" s="24">
        <v>80.240997076034503</v>
      </c>
      <c r="M89" s="6"/>
    </row>
    <row r="90" spans="2:13">
      <c r="B90" s="5" t="s">
        <v>369</v>
      </c>
      <c r="C90" s="5" t="s">
        <v>51</v>
      </c>
      <c r="D90" s="25" t="s">
        <v>265</v>
      </c>
      <c r="E90" s="26">
        <v>65</v>
      </c>
      <c r="F90" s="24">
        <v>77.7854984998703</v>
      </c>
      <c r="M90" s="6"/>
    </row>
    <row r="91" spans="2:13">
      <c r="M91" s="6"/>
    </row>
    <row r="92" spans="2:13" ht="16">
      <c r="B92" s="19" t="s">
        <v>50</v>
      </c>
      <c r="C92" s="19"/>
      <c r="M92" s="6"/>
    </row>
    <row r="93" spans="2:13" ht="14">
      <c r="B93" s="20"/>
      <c r="C93" s="21" t="s">
        <v>267</v>
      </c>
      <c r="M93" s="6"/>
    </row>
    <row r="94" spans="2:13" ht="14">
      <c r="B94" s="22" t="s">
        <v>52</v>
      </c>
      <c r="C94" s="22" t="s">
        <v>53</v>
      </c>
      <c r="D94" s="22" t="s">
        <v>725</v>
      </c>
      <c r="E94" s="23" t="s">
        <v>283</v>
      </c>
      <c r="F94" s="22" t="s">
        <v>56</v>
      </c>
      <c r="M94" s="6"/>
    </row>
    <row r="95" spans="2:13">
      <c r="B95" s="5" t="s">
        <v>400</v>
      </c>
      <c r="C95" s="5" t="s">
        <v>263</v>
      </c>
      <c r="D95" s="25" t="s">
        <v>148</v>
      </c>
      <c r="E95" s="26">
        <v>100</v>
      </c>
      <c r="F95" s="24">
        <v>85.549998283386202</v>
      </c>
      <c r="M95" s="6"/>
    </row>
    <row r="96" spans="2:13">
      <c r="B96" s="5" t="s">
        <v>450</v>
      </c>
      <c r="C96" s="5" t="s">
        <v>263</v>
      </c>
      <c r="D96" s="25" t="s">
        <v>58</v>
      </c>
      <c r="E96" s="26">
        <v>140</v>
      </c>
      <c r="F96" s="24">
        <v>83.719998598098798</v>
      </c>
      <c r="M96" s="6"/>
    </row>
    <row r="97" spans="2:13">
      <c r="B97" s="5" t="s">
        <v>412</v>
      </c>
      <c r="C97" s="5" t="s">
        <v>268</v>
      </c>
      <c r="D97" s="25" t="s">
        <v>266</v>
      </c>
      <c r="E97" s="26">
        <v>112.5</v>
      </c>
      <c r="F97" s="24">
        <v>82.709998637437806</v>
      </c>
      <c r="M97" s="6"/>
    </row>
    <row r="98" spans="2:13">
      <c r="M98" s="6"/>
    </row>
    <row r="99" spans="2:13" ht="14">
      <c r="B99" s="20"/>
      <c r="C99" s="21" t="s">
        <v>51</v>
      </c>
      <c r="M99" s="6"/>
    </row>
    <row r="100" spans="2:13" ht="14">
      <c r="B100" s="22" t="s">
        <v>52</v>
      </c>
      <c r="C100" s="22" t="s">
        <v>53</v>
      </c>
      <c r="D100" s="22" t="s">
        <v>725</v>
      </c>
      <c r="E100" s="23" t="s">
        <v>283</v>
      </c>
      <c r="F100" s="22" t="s">
        <v>56</v>
      </c>
      <c r="M100" s="6"/>
    </row>
    <row r="101" spans="2:13">
      <c r="B101" s="5" t="s">
        <v>436</v>
      </c>
      <c r="C101" s="5" t="s">
        <v>51</v>
      </c>
      <c r="D101" s="25" t="s">
        <v>59</v>
      </c>
      <c r="E101" s="26">
        <v>175</v>
      </c>
      <c r="F101" s="24">
        <v>112.559996545315</v>
      </c>
      <c r="M101" s="6"/>
    </row>
    <row r="102" spans="2:13">
      <c r="B102" s="5" t="s">
        <v>455</v>
      </c>
      <c r="C102" s="5" t="s">
        <v>51</v>
      </c>
      <c r="D102" s="25" t="s">
        <v>292</v>
      </c>
      <c r="E102" s="26">
        <v>170</v>
      </c>
      <c r="F102" s="24">
        <v>98.055998086929307</v>
      </c>
      <c r="M102" s="6"/>
    </row>
    <row r="103" spans="2:13">
      <c r="B103" s="5" t="s">
        <v>439</v>
      </c>
      <c r="C103" s="5" t="s">
        <v>51</v>
      </c>
      <c r="D103" s="25" t="s">
        <v>59</v>
      </c>
      <c r="E103" s="26">
        <v>145</v>
      </c>
      <c r="F103" s="24">
        <v>93.771503567695603</v>
      </c>
      <c r="M103" s="6"/>
    </row>
    <row r="104" spans="2:13">
      <c r="E104" s="5"/>
      <c r="F104" s="16"/>
      <c r="G104" s="5"/>
      <c r="M104" s="6"/>
    </row>
  </sheetData>
  <mergeCells count="25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78:J78"/>
    <mergeCell ref="B3:B4"/>
    <mergeCell ref="A44:J44"/>
    <mergeCell ref="A50:J50"/>
    <mergeCell ref="A55:J55"/>
    <mergeCell ref="A63:J63"/>
    <mergeCell ref="A71:J71"/>
    <mergeCell ref="A74:J74"/>
    <mergeCell ref="A11:J11"/>
    <mergeCell ref="A17:J17"/>
    <mergeCell ref="A22:J22"/>
    <mergeCell ref="A31:J31"/>
    <mergeCell ref="A37:J37"/>
    <mergeCell ref="A40:J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6"/>
  <dimension ref="A1:M50"/>
  <sheetViews>
    <sheetView topLeftCell="A13" workbookViewId="0">
      <selection activeCell="E41" sqref="E41"/>
    </sheetView>
  </sheetViews>
  <sheetFormatPr baseColWidth="10" defaultColWidth="9.1640625" defaultRowHeight="13"/>
  <cols>
    <col min="1" max="1" width="7.5" style="5" bestFit="1" customWidth="1"/>
    <col min="2" max="2" width="30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7" style="5" bestFit="1" customWidth="1"/>
    <col min="14" max="16384" width="9.1640625" style="3"/>
  </cols>
  <sheetData>
    <row r="1" spans="1:13" s="2" customFormat="1" ht="29" customHeight="1">
      <c r="A1" s="55" t="s">
        <v>733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8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68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69</v>
      </c>
      <c r="C6" s="7" t="s">
        <v>70</v>
      </c>
      <c r="D6" s="7" t="s">
        <v>71</v>
      </c>
      <c r="E6" s="8" t="s">
        <v>757</v>
      </c>
      <c r="F6" s="7" t="s">
        <v>64</v>
      </c>
      <c r="G6" s="27" t="s">
        <v>74</v>
      </c>
      <c r="H6" s="27" t="s">
        <v>75</v>
      </c>
      <c r="I6" s="29" t="s">
        <v>76</v>
      </c>
      <c r="J6" s="28"/>
      <c r="K6" s="9" t="str">
        <f>"113,0"</f>
        <v>113,0</v>
      </c>
      <c r="L6" s="9" t="str">
        <f>"143,2049"</f>
        <v>143,2049</v>
      </c>
      <c r="M6" s="7" t="s">
        <v>615</v>
      </c>
    </row>
    <row r="8" spans="1:13" ht="16">
      <c r="A8" s="53" t="s">
        <v>189</v>
      </c>
      <c r="B8" s="53"/>
      <c r="C8" s="54"/>
      <c r="D8" s="54"/>
      <c r="E8" s="54"/>
      <c r="F8" s="54"/>
      <c r="G8" s="54"/>
      <c r="H8" s="54"/>
      <c r="I8" s="54"/>
      <c r="J8" s="54"/>
    </row>
    <row r="9" spans="1:13">
      <c r="A9" s="28" t="s">
        <v>60</v>
      </c>
      <c r="B9" s="7" t="s">
        <v>702</v>
      </c>
      <c r="C9" s="7" t="s">
        <v>293</v>
      </c>
      <c r="D9" s="7" t="s">
        <v>294</v>
      </c>
      <c r="E9" s="8" t="s">
        <v>758</v>
      </c>
      <c r="F9" s="7" t="s">
        <v>64</v>
      </c>
      <c r="G9" s="27" t="s">
        <v>193</v>
      </c>
      <c r="H9" s="27" t="s">
        <v>84</v>
      </c>
      <c r="I9" s="29" t="s">
        <v>177</v>
      </c>
      <c r="J9" s="28"/>
      <c r="K9" s="9" t="str">
        <f>"90,0"</f>
        <v>90,0</v>
      </c>
      <c r="L9" s="9" t="str">
        <f>"73,2960"</f>
        <v>73,2960</v>
      </c>
      <c r="M9" s="7" t="s">
        <v>295</v>
      </c>
    </row>
    <row r="11" spans="1:13" ht="16">
      <c r="A11" s="53" t="s">
        <v>200</v>
      </c>
      <c r="B11" s="53"/>
      <c r="C11" s="54"/>
      <c r="D11" s="54"/>
      <c r="E11" s="54"/>
      <c r="F11" s="54"/>
      <c r="G11" s="54"/>
      <c r="H11" s="54"/>
      <c r="I11" s="54"/>
      <c r="J11" s="54"/>
    </row>
    <row r="12" spans="1:13">
      <c r="A12" s="28" t="s">
        <v>60</v>
      </c>
      <c r="B12" s="7" t="s">
        <v>296</v>
      </c>
      <c r="C12" s="7" t="s">
        <v>297</v>
      </c>
      <c r="D12" s="7" t="s">
        <v>298</v>
      </c>
      <c r="E12" s="8" t="s">
        <v>757</v>
      </c>
      <c r="F12" s="7" t="s">
        <v>64</v>
      </c>
      <c r="G12" s="29" t="s">
        <v>18</v>
      </c>
      <c r="H12" s="29" t="s">
        <v>18</v>
      </c>
      <c r="I12" s="27" t="s">
        <v>18</v>
      </c>
      <c r="J12" s="28"/>
      <c r="K12" s="9" t="str">
        <f>"130,0"</f>
        <v>130,0</v>
      </c>
      <c r="L12" s="9" t="str">
        <f>"94,4320"</f>
        <v>94,4320</v>
      </c>
      <c r="M12" s="7"/>
    </row>
    <row r="14" spans="1:13" ht="16">
      <c r="A14" s="53" t="s">
        <v>10</v>
      </c>
      <c r="B14" s="53"/>
      <c r="C14" s="54"/>
      <c r="D14" s="54"/>
      <c r="E14" s="54"/>
      <c r="F14" s="54"/>
      <c r="G14" s="54"/>
      <c r="H14" s="54"/>
      <c r="I14" s="54"/>
      <c r="J14" s="54"/>
    </row>
    <row r="15" spans="1:13">
      <c r="A15" s="32" t="s">
        <v>60</v>
      </c>
      <c r="B15" s="10" t="s">
        <v>94</v>
      </c>
      <c r="C15" s="10" t="s">
        <v>95</v>
      </c>
      <c r="D15" s="10" t="s">
        <v>96</v>
      </c>
      <c r="E15" s="11" t="s">
        <v>757</v>
      </c>
      <c r="F15" s="10" t="s">
        <v>64</v>
      </c>
      <c r="G15" s="30" t="s">
        <v>14</v>
      </c>
      <c r="H15" s="30" t="s">
        <v>15</v>
      </c>
      <c r="I15" s="30" t="s">
        <v>19</v>
      </c>
      <c r="J15" s="32"/>
      <c r="K15" s="12" t="str">
        <f>"190,0"</f>
        <v>190,0</v>
      </c>
      <c r="L15" s="12" t="str">
        <f>"127,6610"</f>
        <v>127,6610</v>
      </c>
      <c r="M15" s="10"/>
    </row>
    <row r="16" spans="1:13">
      <c r="A16" s="35" t="s">
        <v>150</v>
      </c>
      <c r="B16" s="13" t="s">
        <v>299</v>
      </c>
      <c r="C16" s="13" t="s">
        <v>300</v>
      </c>
      <c r="D16" s="13" t="s">
        <v>301</v>
      </c>
      <c r="E16" s="14" t="s">
        <v>757</v>
      </c>
      <c r="F16" s="13" t="s">
        <v>64</v>
      </c>
      <c r="G16" s="34" t="s">
        <v>16</v>
      </c>
      <c r="H16" s="33" t="s">
        <v>16</v>
      </c>
      <c r="I16" s="34" t="s">
        <v>18</v>
      </c>
      <c r="J16" s="35"/>
      <c r="K16" s="15" t="str">
        <f>"120,0"</f>
        <v>120,0</v>
      </c>
      <c r="L16" s="15" t="str">
        <f>"81,8640"</f>
        <v>81,8640</v>
      </c>
      <c r="M16" s="13" t="s">
        <v>295</v>
      </c>
    </row>
    <row r="18" spans="1:13" ht="16">
      <c r="A18" s="53" t="s">
        <v>21</v>
      </c>
      <c r="B18" s="53"/>
      <c r="C18" s="54"/>
      <c r="D18" s="54"/>
      <c r="E18" s="54"/>
      <c r="F18" s="54"/>
      <c r="G18" s="54"/>
      <c r="H18" s="54"/>
      <c r="I18" s="54"/>
      <c r="J18" s="54"/>
    </row>
    <row r="19" spans="1:13">
      <c r="A19" s="32" t="s">
        <v>60</v>
      </c>
      <c r="B19" s="10" t="s">
        <v>302</v>
      </c>
      <c r="C19" s="10" t="s">
        <v>303</v>
      </c>
      <c r="D19" s="10" t="s">
        <v>304</v>
      </c>
      <c r="E19" s="11" t="s">
        <v>757</v>
      </c>
      <c r="F19" s="10" t="s">
        <v>64</v>
      </c>
      <c r="G19" s="30" t="s">
        <v>225</v>
      </c>
      <c r="H19" s="30" t="s">
        <v>305</v>
      </c>
      <c r="I19" s="30" t="s">
        <v>233</v>
      </c>
      <c r="J19" s="32"/>
      <c r="K19" s="12" t="str">
        <f>"192,5"</f>
        <v>192,5</v>
      </c>
      <c r="L19" s="12" t="str">
        <f>"123,5273"</f>
        <v>123,5273</v>
      </c>
      <c r="M19" s="10" t="s">
        <v>391</v>
      </c>
    </row>
    <row r="20" spans="1:13">
      <c r="A20" s="41" t="s">
        <v>150</v>
      </c>
      <c r="B20" s="36" t="s">
        <v>703</v>
      </c>
      <c r="C20" s="36" t="s">
        <v>110</v>
      </c>
      <c r="D20" s="36" t="s">
        <v>111</v>
      </c>
      <c r="E20" s="37" t="s">
        <v>757</v>
      </c>
      <c r="F20" s="36" t="s">
        <v>64</v>
      </c>
      <c r="G20" s="39" t="s">
        <v>47</v>
      </c>
      <c r="H20" s="39" t="s">
        <v>14</v>
      </c>
      <c r="I20" s="40" t="s">
        <v>38</v>
      </c>
      <c r="J20" s="41"/>
      <c r="K20" s="38" t="str">
        <f>"170,0"</f>
        <v>170,0</v>
      </c>
      <c r="L20" s="38" t="str">
        <f>"108,5280"</f>
        <v>108,5280</v>
      </c>
      <c r="M20" s="36" t="s">
        <v>624</v>
      </c>
    </row>
    <row r="21" spans="1:13">
      <c r="A21" s="41" t="s">
        <v>151</v>
      </c>
      <c r="B21" s="36" t="s">
        <v>704</v>
      </c>
      <c r="C21" s="36" t="s">
        <v>23</v>
      </c>
      <c r="D21" s="36" t="s">
        <v>24</v>
      </c>
      <c r="E21" s="37" t="s">
        <v>757</v>
      </c>
      <c r="F21" s="36" t="s">
        <v>64</v>
      </c>
      <c r="G21" s="39" t="s">
        <v>28</v>
      </c>
      <c r="H21" s="39" t="s">
        <v>13</v>
      </c>
      <c r="I21" s="40" t="s">
        <v>14</v>
      </c>
      <c r="J21" s="41"/>
      <c r="K21" s="38" t="str">
        <f>"160,0"</f>
        <v>160,0</v>
      </c>
      <c r="L21" s="38" t="str">
        <f>"102,7360"</f>
        <v>102,7360</v>
      </c>
      <c r="M21" s="36" t="s">
        <v>20</v>
      </c>
    </row>
    <row r="22" spans="1:13">
      <c r="A22" s="41" t="s">
        <v>152</v>
      </c>
      <c r="B22" s="36" t="s">
        <v>306</v>
      </c>
      <c r="C22" s="36" t="s">
        <v>307</v>
      </c>
      <c r="D22" s="36" t="s">
        <v>308</v>
      </c>
      <c r="E22" s="37" t="s">
        <v>757</v>
      </c>
      <c r="F22" s="36" t="s">
        <v>309</v>
      </c>
      <c r="G22" s="39" t="s">
        <v>13</v>
      </c>
      <c r="H22" s="40" t="s">
        <v>67</v>
      </c>
      <c r="I22" s="40" t="s">
        <v>38</v>
      </c>
      <c r="J22" s="41"/>
      <c r="K22" s="38" t="str">
        <f>"160,0"</f>
        <v>160,0</v>
      </c>
      <c r="L22" s="38" t="str">
        <f>"102,3680"</f>
        <v>102,3680</v>
      </c>
      <c r="M22" s="36" t="s">
        <v>310</v>
      </c>
    </row>
    <row r="23" spans="1:13">
      <c r="A23" s="35" t="s">
        <v>60</v>
      </c>
      <c r="B23" s="13" t="s">
        <v>22</v>
      </c>
      <c r="C23" s="13" t="s">
        <v>30</v>
      </c>
      <c r="D23" s="13" t="s">
        <v>24</v>
      </c>
      <c r="E23" s="14" t="s">
        <v>762</v>
      </c>
      <c r="F23" s="13" t="s">
        <v>64</v>
      </c>
      <c r="G23" s="33" t="s">
        <v>28</v>
      </c>
      <c r="H23" s="33" t="s">
        <v>13</v>
      </c>
      <c r="I23" s="34" t="s">
        <v>14</v>
      </c>
      <c r="J23" s="35"/>
      <c r="K23" s="15" t="str">
        <f>"160,0"</f>
        <v>160,0</v>
      </c>
      <c r="L23" s="15" t="str">
        <f>"102,7360"</f>
        <v>102,7360</v>
      </c>
      <c r="M23" s="13" t="s">
        <v>20</v>
      </c>
    </row>
    <row r="25" spans="1:13" ht="16">
      <c r="A25" s="53" t="s">
        <v>31</v>
      </c>
      <c r="B25" s="53"/>
      <c r="C25" s="54"/>
      <c r="D25" s="54"/>
      <c r="E25" s="54"/>
      <c r="F25" s="54"/>
      <c r="G25" s="54"/>
      <c r="H25" s="54"/>
      <c r="I25" s="54"/>
      <c r="J25" s="54"/>
    </row>
    <row r="26" spans="1:13">
      <c r="A26" s="32" t="s">
        <v>60</v>
      </c>
      <c r="B26" s="10" t="s">
        <v>628</v>
      </c>
      <c r="C26" s="10" t="s">
        <v>311</v>
      </c>
      <c r="D26" s="10" t="s">
        <v>312</v>
      </c>
      <c r="E26" s="11" t="s">
        <v>757</v>
      </c>
      <c r="F26" s="10" t="s">
        <v>64</v>
      </c>
      <c r="G26" s="30" t="s">
        <v>19</v>
      </c>
      <c r="H26" s="30" t="s">
        <v>236</v>
      </c>
      <c r="I26" s="31" t="s">
        <v>26</v>
      </c>
      <c r="J26" s="32"/>
      <c r="K26" s="12" t="str">
        <f>"197,5"</f>
        <v>197,5</v>
      </c>
      <c r="L26" s="12" t="str">
        <f>"120,4947"</f>
        <v>120,4947</v>
      </c>
      <c r="M26" s="10" t="s">
        <v>340</v>
      </c>
    </row>
    <row r="27" spans="1:13">
      <c r="A27" s="41" t="s">
        <v>150</v>
      </c>
      <c r="B27" s="36" t="s">
        <v>705</v>
      </c>
      <c r="C27" s="36" t="s">
        <v>313</v>
      </c>
      <c r="D27" s="36" t="s">
        <v>314</v>
      </c>
      <c r="E27" s="37" t="s">
        <v>757</v>
      </c>
      <c r="F27" s="36" t="s">
        <v>64</v>
      </c>
      <c r="G27" s="39" t="s">
        <v>19</v>
      </c>
      <c r="H27" s="40" t="s">
        <v>315</v>
      </c>
      <c r="I27" s="40" t="s">
        <v>315</v>
      </c>
      <c r="J27" s="41"/>
      <c r="K27" s="38" t="str">
        <f>"190,0"</f>
        <v>190,0</v>
      </c>
      <c r="L27" s="38" t="str">
        <f>"119,4150"</f>
        <v>119,4150</v>
      </c>
      <c r="M27" s="36"/>
    </row>
    <row r="28" spans="1:13">
      <c r="A28" s="35" t="s">
        <v>151</v>
      </c>
      <c r="B28" s="13" t="s">
        <v>706</v>
      </c>
      <c r="C28" s="13" t="s">
        <v>316</v>
      </c>
      <c r="D28" s="13" t="s">
        <v>258</v>
      </c>
      <c r="E28" s="14" t="s">
        <v>757</v>
      </c>
      <c r="F28" s="13" t="s">
        <v>64</v>
      </c>
      <c r="G28" s="33" t="s">
        <v>38</v>
      </c>
      <c r="H28" s="33" t="s">
        <v>15</v>
      </c>
      <c r="I28" s="33" t="s">
        <v>25</v>
      </c>
      <c r="J28" s="35"/>
      <c r="K28" s="15" t="str">
        <f>"185,0"</f>
        <v>185,0</v>
      </c>
      <c r="L28" s="15" t="str">
        <f>"113,5715"</f>
        <v>113,5715</v>
      </c>
      <c r="M28" s="13"/>
    </row>
    <row r="30" spans="1:13" ht="16">
      <c r="A30" s="53" t="s">
        <v>41</v>
      </c>
      <c r="B30" s="53"/>
      <c r="C30" s="54"/>
      <c r="D30" s="54"/>
      <c r="E30" s="54"/>
      <c r="F30" s="54"/>
      <c r="G30" s="54"/>
      <c r="H30" s="54"/>
      <c r="I30" s="54"/>
      <c r="J30" s="54"/>
    </row>
    <row r="31" spans="1:13">
      <c r="A31" s="32" t="s">
        <v>60</v>
      </c>
      <c r="B31" s="10" t="s">
        <v>391</v>
      </c>
      <c r="C31" s="10" t="s">
        <v>318</v>
      </c>
      <c r="D31" s="10" t="s">
        <v>319</v>
      </c>
      <c r="E31" s="11" t="s">
        <v>757</v>
      </c>
      <c r="F31" s="10" t="s">
        <v>64</v>
      </c>
      <c r="G31" s="30" t="s">
        <v>112</v>
      </c>
      <c r="H31" s="30" t="s">
        <v>44</v>
      </c>
      <c r="I31" s="31" t="s">
        <v>113</v>
      </c>
      <c r="J31" s="32"/>
      <c r="K31" s="12" t="str">
        <f>"230,0"</f>
        <v>230,0</v>
      </c>
      <c r="L31" s="12" t="str">
        <f>"136,0220"</f>
        <v>136,0220</v>
      </c>
      <c r="M31" s="10" t="s">
        <v>230</v>
      </c>
    </row>
    <row r="32" spans="1:13">
      <c r="A32" s="41" t="s">
        <v>150</v>
      </c>
      <c r="B32" s="36" t="s">
        <v>707</v>
      </c>
      <c r="C32" s="36" t="s">
        <v>321</v>
      </c>
      <c r="D32" s="36" t="s">
        <v>322</v>
      </c>
      <c r="E32" s="37" t="s">
        <v>757</v>
      </c>
      <c r="F32" s="36" t="s">
        <v>64</v>
      </c>
      <c r="G32" s="39" t="s">
        <v>112</v>
      </c>
      <c r="H32" s="40" t="s">
        <v>323</v>
      </c>
      <c r="I32" s="39" t="s">
        <v>323</v>
      </c>
      <c r="J32" s="41"/>
      <c r="K32" s="38" t="str">
        <f>"227,5"</f>
        <v>227,5</v>
      </c>
      <c r="L32" s="38" t="str">
        <f>"136,9778"</f>
        <v>136,9778</v>
      </c>
      <c r="M32" s="36" t="s">
        <v>324</v>
      </c>
    </row>
    <row r="33" spans="1:13">
      <c r="A33" s="41" t="s">
        <v>151</v>
      </c>
      <c r="B33" s="36" t="s">
        <v>325</v>
      </c>
      <c r="C33" s="36" t="s">
        <v>326</v>
      </c>
      <c r="D33" s="36" t="s">
        <v>327</v>
      </c>
      <c r="E33" s="37" t="s">
        <v>757</v>
      </c>
      <c r="F33" s="36" t="s">
        <v>139</v>
      </c>
      <c r="G33" s="39" t="s">
        <v>26</v>
      </c>
      <c r="H33" s="39" t="s">
        <v>107</v>
      </c>
      <c r="I33" s="39" t="s">
        <v>241</v>
      </c>
      <c r="J33" s="41"/>
      <c r="K33" s="38" t="str">
        <f>"225,0"</f>
        <v>225,0</v>
      </c>
      <c r="L33" s="38" t="str">
        <f>"134,9100"</f>
        <v>134,9100</v>
      </c>
      <c r="M33" s="36"/>
    </row>
    <row r="34" spans="1:13">
      <c r="A34" s="35" t="s">
        <v>152</v>
      </c>
      <c r="B34" s="13" t="s">
        <v>328</v>
      </c>
      <c r="C34" s="13" t="s">
        <v>329</v>
      </c>
      <c r="D34" s="13" t="s">
        <v>330</v>
      </c>
      <c r="E34" s="14" t="s">
        <v>757</v>
      </c>
      <c r="F34" s="13" t="s">
        <v>309</v>
      </c>
      <c r="G34" s="33" t="s">
        <v>26</v>
      </c>
      <c r="H34" s="33" t="s">
        <v>27</v>
      </c>
      <c r="I34" s="33" t="s">
        <v>331</v>
      </c>
      <c r="J34" s="35"/>
      <c r="K34" s="15" t="str">
        <f>"217,5"</f>
        <v>217,5</v>
      </c>
      <c r="L34" s="15" t="str">
        <f>"129,4560"</f>
        <v>129,4560</v>
      </c>
      <c r="M34" s="13"/>
    </row>
    <row r="36" spans="1:13" ht="16">
      <c r="A36" s="53" t="s">
        <v>288</v>
      </c>
      <c r="B36" s="53"/>
      <c r="C36" s="54"/>
      <c r="D36" s="54"/>
      <c r="E36" s="54"/>
      <c r="F36" s="54"/>
      <c r="G36" s="54"/>
      <c r="H36" s="54"/>
      <c r="I36" s="54"/>
      <c r="J36" s="54"/>
    </row>
    <row r="37" spans="1:13">
      <c r="A37" s="32" t="s">
        <v>60</v>
      </c>
      <c r="B37" s="10" t="s">
        <v>332</v>
      </c>
      <c r="C37" s="10" t="s">
        <v>333</v>
      </c>
      <c r="D37" s="10" t="s">
        <v>334</v>
      </c>
      <c r="E37" s="11" t="s">
        <v>757</v>
      </c>
      <c r="F37" s="10" t="s">
        <v>335</v>
      </c>
      <c r="G37" s="30" t="s">
        <v>336</v>
      </c>
      <c r="H37" s="30" t="s">
        <v>27</v>
      </c>
      <c r="I37" s="30" t="s">
        <v>331</v>
      </c>
      <c r="J37" s="32"/>
      <c r="K37" s="12" t="str">
        <f>"217,5"</f>
        <v>217,5</v>
      </c>
      <c r="L37" s="12" t="str">
        <f>"126,0847"</f>
        <v>126,0847</v>
      </c>
      <c r="M37" s="10" t="s">
        <v>337</v>
      </c>
    </row>
    <row r="38" spans="1:13">
      <c r="A38" s="41" t="s">
        <v>150</v>
      </c>
      <c r="B38" s="36" t="s">
        <v>310</v>
      </c>
      <c r="C38" s="36" t="s">
        <v>338</v>
      </c>
      <c r="D38" s="36" t="s">
        <v>339</v>
      </c>
      <c r="E38" s="37" t="s">
        <v>757</v>
      </c>
      <c r="F38" s="36" t="s">
        <v>309</v>
      </c>
      <c r="G38" s="39" t="s">
        <v>146</v>
      </c>
      <c r="H38" s="39" t="s">
        <v>107</v>
      </c>
      <c r="I38" s="40" t="s">
        <v>29</v>
      </c>
      <c r="J38" s="41"/>
      <c r="K38" s="38" t="str">
        <f>"215,0"</f>
        <v>215,0</v>
      </c>
      <c r="L38" s="38" t="str">
        <f>"123,6465"</f>
        <v>123,6465</v>
      </c>
      <c r="M38" s="36" t="s">
        <v>340</v>
      </c>
    </row>
    <row r="39" spans="1:13">
      <c r="A39" s="41" t="s">
        <v>154</v>
      </c>
      <c r="B39" s="36" t="s">
        <v>289</v>
      </c>
      <c r="C39" s="36" t="s">
        <v>290</v>
      </c>
      <c r="D39" s="36" t="s">
        <v>291</v>
      </c>
      <c r="E39" s="37" t="s">
        <v>757</v>
      </c>
      <c r="F39" s="36" t="s">
        <v>64</v>
      </c>
      <c r="G39" s="40" t="s">
        <v>336</v>
      </c>
      <c r="H39" s="40" t="s">
        <v>336</v>
      </c>
      <c r="I39" s="40" t="s">
        <v>336</v>
      </c>
      <c r="J39" s="41"/>
      <c r="K39" s="38" t="str">
        <f>"0.00"</f>
        <v>0.00</v>
      </c>
      <c r="L39" s="38" t="str">
        <f>"0,0000"</f>
        <v>0,0000</v>
      </c>
      <c r="M39" s="36" t="s">
        <v>317</v>
      </c>
    </row>
    <row r="40" spans="1:13">
      <c r="A40" s="35" t="s">
        <v>60</v>
      </c>
      <c r="B40" s="13" t="s">
        <v>366</v>
      </c>
      <c r="C40" s="13" t="s">
        <v>341</v>
      </c>
      <c r="D40" s="13" t="s">
        <v>334</v>
      </c>
      <c r="E40" s="14" t="s">
        <v>762</v>
      </c>
      <c r="F40" s="13" t="s">
        <v>335</v>
      </c>
      <c r="G40" s="33" t="s">
        <v>336</v>
      </c>
      <c r="H40" s="33" t="s">
        <v>27</v>
      </c>
      <c r="I40" s="33" t="s">
        <v>331</v>
      </c>
      <c r="J40" s="35"/>
      <c r="K40" s="15" t="str">
        <f>"217,5"</f>
        <v>217,5</v>
      </c>
      <c r="L40" s="15" t="str">
        <f>"133,6498"</f>
        <v>133,6498</v>
      </c>
      <c r="M40" s="13" t="s">
        <v>337</v>
      </c>
    </row>
    <row r="42" spans="1:13">
      <c r="G42" s="5"/>
      <c r="K42" s="25"/>
      <c r="M42" s="6"/>
    </row>
    <row r="43" spans="1:13">
      <c r="K43" s="25"/>
      <c r="M43" s="6"/>
    </row>
    <row r="44" spans="1:13" ht="18">
      <c r="B44" s="18" t="s">
        <v>49</v>
      </c>
      <c r="C44" s="18"/>
      <c r="K44" s="25"/>
      <c r="M44" s="6"/>
    </row>
    <row r="45" spans="1:13" ht="16">
      <c r="B45" s="19" t="s">
        <v>50</v>
      </c>
      <c r="C45" s="19"/>
      <c r="K45" s="25"/>
      <c r="M45" s="6"/>
    </row>
    <row r="46" spans="1:13" ht="14">
      <c r="B46" s="20"/>
      <c r="C46" s="21" t="s">
        <v>51</v>
      </c>
      <c r="K46" s="25"/>
      <c r="M46" s="6"/>
    </row>
    <row r="47" spans="1:13" ht="14">
      <c r="B47" s="22" t="s">
        <v>52</v>
      </c>
      <c r="C47" s="22" t="s">
        <v>53</v>
      </c>
      <c r="D47" s="22" t="s">
        <v>725</v>
      </c>
      <c r="E47" s="23" t="s">
        <v>283</v>
      </c>
      <c r="F47" s="22" t="s">
        <v>56</v>
      </c>
      <c r="K47" s="25"/>
      <c r="M47" s="6"/>
    </row>
    <row r="48" spans="1:13">
      <c r="B48" s="5" t="s">
        <v>320</v>
      </c>
      <c r="C48" s="5" t="s">
        <v>51</v>
      </c>
      <c r="D48" s="25" t="s">
        <v>58</v>
      </c>
      <c r="E48" s="26">
        <v>227.5</v>
      </c>
      <c r="F48" s="24">
        <v>136.977753341198</v>
      </c>
      <c r="K48" s="25"/>
      <c r="M48" s="6"/>
    </row>
    <row r="49" spans="2:13">
      <c r="B49" s="5" t="s">
        <v>317</v>
      </c>
      <c r="C49" s="5" t="s">
        <v>51</v>
      </c>
      <c r="D49" s="25" t="s">
        <v>58</v>
      </c>
      <c r="E49" s="26">
        <v>230</v>
      </c>
      <c r="F49" s="24">
        <v>136.02200627326999</v>
      </c>
      <c r="K49" s="25"/>
      <c r="M49" s="6"/>
    </row>
    <row r="50" spans="2:13">
      <c r="B50" s="5" t="s">
        <v>325</v>
      </c>
      <c r="C50" s="5" t="s">
        <v>51</v>
      </c>
      <c r="D50" s="25" t="s">
        <v>58</v>
      </c>
      <c r="E50" s="26">
        <v>225</v>
      </c>
      <c r="F50" s="24">
        <v>134.910003840923</v>
      </c>
      <c r="G50" s="5"/>
      <c r="K50" s="25"/>
      <c r="M50" s="6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6:J36"/>
    <mergeCell ref="B3:B4"/>
    <mergeCell ref="A8:J8"/>
    <mergeCell ref="A11:J11"/>
    <mergeCell ref="A14:J14"/>
    <mergeCell ref="A18:J18"/>
    <mergeCell ref="A25:J25"/>
    <mergeCell ref="A30:J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4"/>
  <dimension ref="A1:M16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3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55" t="s">
        <v>734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754</v>
      </c>
      <c r="B3" s="51" t="s">
        <v>0</v>
      </c>
      <c r="C3" s="65" t="s">
        <v>755</v>
      </c>
      <c r="D3" s="65" t="s">
        <v>6</v>
      </c>
      <c r="E3" s="67" t="s">
        <v>756</v>
      </c>
      <c r="F3" s="69" t="s">
        <v>5</v>
      </c>
      <c r="G3" s="69" t="s">
        <v>8</v>
      </c>
      <c r="H3" s="69"/>
      <c r="I3" s="69"/>
      <c r="J3" s="69"/>
      <c r="K3" s="67" t="s">
        <v>285</v>
      </c>
      <c r="L3" s="67" t="s">
        <v>3</v>
      </c>
      <c r="M3" s="70" t="s">
        <v>2</v>
      </c>
    </row>
    <row r="4" spans="1:13" s="1" customFormat="1" ht="21" customHeight="1" thickBot="1">
      <c r="A4" s="64"/>
      <c r="B4" s="52"/>
      <c r="C4" s="66"/>
      <c r="D4" s="66"/>
      <c r="E4" s="68"/>
      <c r="F4" s="66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1"/>
    </row>
    <row r="5" spans="1:13" ht="16">
      <c r="A5" s="49" t="s">
        <v>189</v>
      </c>
      <c r="B5" s="49"/>
      <c r="C5" s="50"/>
      <c r="D5" s="50"/>
      <c r="E5" s="50"/>
      <c r="F5" s="50"/>
      <c r="G5" s="50"/>
      <c r="H5" s="50"/>
      <c r="I5" s="50"/>
      <c r="J5" s="50"/>
    </row>
    <row r="6" spans="1:13">
      <c r="A6" s="28" t="s">
        <v>60</v>
      </c>
      <c r="B6" s="7" t="s">
        <v>674</v>
      </c>
      <c r="C6" s="7" t="s">
        <v>459</v>
      </c>
      <c r="D6" s="7" t="s">
        <v>460</v>
      </c>
      <c r="E6" s="8" t="s">
        <v>757</v>
      </c>
      <c r="F6" s="7" t="s">
        <v>64</v>
      </c>
      <c r="G6" s="27" t="s">
        <v>14</v>
      </c>
      <c r="H6" s="29" t="s">
        <v>15</v>
      </c>
      <c r="I6" s="29" t="s">
        <v>15</v>
      </c>
      <c r="J6" s="28"/>
      <c r="K6" s="9" t="str">
        <f>"170,0"</f>
        <v>170,0</v>
      </c>
      <c r="L6" s="9" t="str">
        <f>"127,2280"</f>
        <v>127,2280</v>
      </c>
      <c r="M6" s="7" t="s">
        <v>461</v>
      </c>
    </row>
    <row r="8" spans="1:13" ht="16">
      <c r="A8" s="53" t="s">
        <v>10</v>
      </c>
      <c r="B8" s="53"/>
      <c r="C8" s="54"/>
      <c r="D8" s="54"/>
      <c r="E8" s="54"/>
      <c r="F8" s="54"/>
      <c r="G8" s="54"/>
      <c r="H8" s="54"/>
      <c r="I8" s="54"/>
      <c r="J8" s="54"/>
    </row>
    <row r="9" spans="1:13">
      <c r="A9" s="28" t="s">
        <v>60</v>
      </c>
      <c r="B9" s="7" t="s">
        <v>462</v>
      </c>
      <c r="C9" s="7" t="s">
        <v>463</v>
      </c>
      <c r="D9" s="7" t="s">
        <v>464</v>
      </c>
      <c r="E9" s="8" t="s">
        <v>757</v>
      </c>
      <c r="F9" s="7" t="s">
        <v>64</v>
      </c>
      <c r="G9" s="27" t="s">
        <v>336</v>
      </c>
      <c r="H9" s="29" t="s">
        <v>112</v>
      </c>
      <c r="I9" s="29" t="s">
        <v>112</v>
      </c>
      <c r="J9" s="28"/>
      <c r="K9" s="9" t="str">
        <f>"202,5"</f>
        <v>202,5</v>
      </c>
      <c r="L9" s="9" t="str">
        <f>"130,7340"</f>
        <v>130,7340</v>
      </c>
      <c r="M9" s="7" t="s">
        <v>108</v>
      </c>
    </row>
    <row r="11" spans="1:13" ht="16">
      <c r="A11" s="53" t="s">
        <v>31</v>
      </c>
      <c r="B11" s="53"/>
      <c r="C11" s="54"/>
      <c r="D11" s="54"/>
      <c r="E11" s="54"/>
      <c r="F11" s="54"/>
      <c r="G11" s="54"/>
      <c r="H11" s="54"/>
      <c r="I11" s="54"/>
      <c r="J11" s="54"/>
    </row>
    <row r="12" spans="1:13">
      <c r="A12" s="28" t="s">
        <v>60</v>
      </c>
      <c r="B12" s="7" t="s">
        <v>465</v>
      </c>
      <c r="C12" s="7" t="s">
        <v>466</v>
      </c>
      <c r="D12" s="7" t="s">
        <v>467</v>
      </c>
      <c r="E12" s="8" t="s">
        <v>762</v>
      </c>
      <c r="F12" s="7" t="s">
        <v>64</v>
      </c>
      <c r="G12" s="27" t="s">
        <v>14</v>
      </c>
      <c r="H12" s="29" t="s">
        <v>15</v>
      </c>
      <c r="I12" s="29" t="s">
        <v>15</v>
      </c>
      <c r="J12" s="28"/>
      <c r="K12" s="9" t="str">
        <f>"170,0"</f>
        <v>170,0</v>
      </c>
      <c r="L12" s="9" t="str">
        <f>"106,0997"</f>
        <v>106,0997</v>
      </c>
      <c r="M12" s="7" t="s">
        <v>468</v>
      </c>
    </row>
    <row r="14" spans="1:13" ht="16">
      <c r="A14" s="53" t="s">
        <v>288</v>
      </c>
      <c r="B14" s="53"/>
      <c r="C14" s="54"/>
      <c r="D14" s="54"/>
      <c r="E14" s="54"/>
      <c r="F14" s="54"/>
      <c r="G14" s="54"/>
      <c r="H14" s="54"/>
      <c r="I14" s="54"/>
      <c r="J14" s="54"/>
    </row>
    <row r="15" spans="1:13">
      <c r="A15" s="32" t="s">
        <v>60</v>
      </c>
      <c r="B15" s="10" t="s">
        <v>469</v>
      </c>
      <c r="C15" s="10" t="s">
        <v>470</v>
      </c>
      <c r="D15" s="10" t="s">
        <v>471</v>
      </c>
      <c r="E15" s="11" t="s">
        <v>757</v>
      </c>
      <c r="F15" s="10" t="s">
        <v>64</v>
      </c>
      <c r="G15" s="30" t="s">
        <v>29</v>
      </c>
      <c r="H15" s="31" t="s">
        <v>44</v>
      </c>
      <c r="I15" s="31" t="s">
        <v>44</v>
      </c>
      <c r="J15" s="32"/>
      <c r="K15" s="12" t="str">
        <f>"220,0"</f>
        <v>220,0</v>
      </c>
      <c r="L15" s="46" t="str">
        <f>"122,0120"</f>
        <v>122,0120</v>
      </c>
      <c r="M15" s="10" t="s">
        <v>108</v>
      </c>
    </row>
    <row r="16" spans="1:13">
      <c r="A16" s="35" t="s">
        <v>60</v>
      </c>
      <c r="B16" s="13" t="s">
        <v>469</v>
      </c>
      <c r="C16" s="13" t="s">
        <v>472</v>
      </c>
      <c r="D16" s="13" t="s">
        <v>471</v>
      </c>
      <c r="E16" s="14" t="s">
        <v>763</v>
      </c>
      <c r="F16" s="13" t="s">
        <v>64</v>
      </c>
      <c r="G16" s="33" t="s">
        <v>29</v>
      </c>
      <c r="H16" s="34" t="s">
        <v>44</v>
      </c>
      <c r="I16" s="34" t="s">
        <v>44</v>
      </c>
      <c r="J16" s="35"/>
      <c r="K16" s="15" t="str">
        <f>"220,0"</f>
        <v>220,0</v>
      </c>
      <c r="L16" s="48" t="str">
        <f>"173,3791"</f>
        <v>173,3791</v>
      </c>
      <c r="M16" s="13" t="s">
        <v>108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WRPF ПЛ без экипировки ДК</vt:lpstr>
      <vt:lpstr>WRPF ПЛ без экипировки</vt:lpstr>
      <vt:lpstr>WRPF ПЛ в бинтах</vt:lpstr>
      <vt:lpstr>WEPF ПЛ однослой ДК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</vt:lpstr>
      <vt:lpstr>WRPF Военный жим ДК</vt:lpstr>
      <vt:lpstr>WRPF Военный жим</vt:lpstr>
      <vt:lpstr>WRPF Тяга без экипировки ДК</vt:lpstr>
      <vt:lpstr>WRPF Тяга без экипировки</vt:lpstr>
      <vt:lpstr>WEPF Тяга экип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2022-11-14T19:31:05Z</dcterms:modified>
</cp:coreProperties>
</file>