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0D7DDEA0-51AC-2242-9D4A-E8BF14CB2443}" xr6:coauthVersionLast="45" xr6:coauthVersionMax="45" xr10:uidLastSave="{00000000-0000-0000-0000-000000000000}"/>
  <bookViews>
    <workbookView xWindow="480" yWindow="460" windowWidth="28000" windowHeight="15980" firstSheet="13" activeTab="18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18" r:id="rId5"/>
    <sheet name="WRPF Двоеборье без экип" sheetId="17" r:id="rId6"/>
    <sheet name="WRPF Жим лежа без экип ДК" sheetId="12" r:id="rId7"/>
    <sheet name="WRPF Жим лежа без экип" sheetId="11" r:id="rId8"/>
    <sheet name="WEPF Жим софт однопетельная ДК" sheetId="13" r:id="rId9"/>
    <sheet name="WEPF Жим софт однопетельная" sheetId="9" r:id="rId10"/>
    <sheet name="WRPF Военный жим ДК" sheetId="14" r:id="rId11"/>
    <sheet name="WRPF Военный жим" sheetId="10" r:id="rId12"/>
    <sheet name="WRPF Тяга без экипировки ДК" sheetId="16" r:id="rId13"/>
    <sheet name="WRPF Тяга без экипировки" sheetId="15" r:id="rId14"/>
    <sheet name="WRPF Подъем на бицепс ДК" sheetId="29" r:id="rId15"/>
    <sheet name="WRPF Подъем на бицепс" sheetId="28" r:id="rId16"/>
    <sheet name="СПР Пауэрспорт" sheetId="22" r:id="rId17"/>
    <sheet name="СПР Подъем на бицепс ДК" sheetId="21" r:id="rId18"/>
    <sheet name="СПР Подъем на бицепс" sheetId="20" r:id="rId19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29" l="1"/>
  <c r="K12" i="29"/>
  <c r="L9" i="29"/>
  <c r="K9" i="29"/>
  <c r="L6" i="29"/>
  <c r="K6" i="29"/>
  <c r="L6" i="28"/>
  <c r="K6" i="28"/>
  <c r="P6" i="22"/>
  <c r="O6" i="22"/>
  <c r="L12" i="21"/>
  <c r="K12" i="21"/>
  <c r="L9" i="21"/>
  <c r="K9" i="21"/>
  <c r="L6" i="21"/>
  <c r="L9" i="20"/>
  <c r="K9" i="20"/>
  <c r="L6" i="20"/>
  <c r="K6" i="20"/>
  <c r="P10" i="18"/>
  <c r="O10" i="18"/>
  <c r="P7" i="18"/>
  <c r="O7" i="18"/>
  <c r="P6" i="18"/>
  <c r="O6" i="18"/>
  <c r="P9" i="17"/>
  <c r="O9" i="17"/>
  <c r="P6" i="17"/>
  <c r="O6" i="17"/>
  <c r="L23" i="16"/>
  <c r="K23" i="16"/>
  <c r="L22" i="16"/>
  <c r="K22" i="16"/>
  <c r="L19" i="16"/>
  <c r="K19" i="16"/>
  <c r="L16" i="16"/>
  <c r="K16" i="16"/>
  <c r="L13" i="16"/>
  <c r="K13" i="16"/>
  <c r="L12" i="16"/>
  <c r="K12" i="16"/>
  <c r="L9" i="16"/>
  <c r="K9" i="16"/>
  <c r="L6" i="16"/>
  <c r="K6" i="16"/>
  <c r="L21" i="15"/>
  <c r="K21" i="15"/>
  <c r="L18" i="15"/>
  <c r="K18" i="15"/>
  <c r="L17" i="15"/>
  <c r="K17" i="15"/>
  <c r="L16" i="15"/>
  <c r="K16" i="15"/>
  <c r="L15" i="15"/>
  <c r="K15" i="15"/>
  <c r="L12" i="15"/>
  <c r="K12" i="15"/>
  <c r="L9" i="15"/>
  <c r="K9" i="15"/>
  <c r="L6" i="15"/>
  <c r="K6" i="15"/>
  <c r="L24" i="14"/>
  <c r="K24" i="14"/>
  <c r="L21" i="14"/>
  <c r="L20" i="14"/>
  <c r="K20" i="14"/>
  <c r="L19" i="14"/>
  <c r="K19" i="14"/>
  <c r="L18" i="14"/>
  <c r="K18" i="14"/>
  <c r="L15" i="14"/>
  <c r="K15" i="14"/>
  <c r="L14" i="14"/>
  <c r="K14" i="14"/>
  <c r="L13" i="14"/>
  <c r="K13" i="14"/>
  <c r="L10" i="14"/>
  <c r="K10" i="14"/>
  <c r="L7" i="14"/>
  <c r="K7" i="14"/>
  <c r="L6" i="14"/>
  <c r="K6" i="14"/>
  <c r="L9" i="13"/>
  <c r="L6" i="13"/>
  <c r="K6" i="13"/>
  <c r="L42" i="12"/>
  <c r="K42" i="12"/>
  <c r="L41" i="12"/>
  <c r="K41" i="12"/>
  <c r="L38" i="12"/>
  <c r="K38" i="12"/>
  <c r="L37" i="12"/>
  <c r="K37" i="12"/>
  <c r="L34" i="12"/>
  <c r="K34" i="12"/>
  <c r="L33" i="12"/>
  <c r="K33" i="12"/>
  <c r="L32" i="12"/>
  <c r="K32" i="12"/>
  <c r="L31" i="12"/>
  <c r="K31" i="12"/>
  <c r="L30" i="12"/>
  <c r="K30" i="12"/>
  <c r="L27" i="12"/>
  <c r="K27" i="12"/>
  <c r="L24" i="12"/>
  <c r="K24" i="12"/>
  <c r="L23" i="12"/>
  <c r="K23" i="12"/>
  <c r="L22" i="12"/>
  <c r="K22" i="12"/>
  <c r="L19" i="12"/>
  <c r="K19" i="12"/>
  <c r="L18" i="12"/>
  <c r="K18" i="12"/>
  <c r="L17" i="12"/>
  <c r="L16" i="12"/>
  <c r="K16" i="12"/>
  <c r="L13" i="12"/>
  <c r="K13" i="12"/>
  <c r="L12" i="12"/>
  <c r="L11" i="12"/>
  <c r="K11" i="12"/>
  <c r="L8" i="12"/>
  <c r="L7" i="12"/>
  <c r="K7" i="12"/>
  <c r="L6" i="12"/>
  <c r="K6" i="12"/>
  <c r="L25" i="11"/>
  <c r="K25" i="11"/>
  <c r="L24" i="11"/>
  <c r="K24" i="11"/>
  <c r="L23" i="11"/>
  <c r="K23" i="11"/>
  <c r="L22" i="11"/>
  <c r="K22" i="11"/>
  <c r="L19" i="11"/>
  <c r="L18" i="11"/>
  <c r="K18" i="11"/>
  <c r="L15" i="11"/>
  <c r="K15" i="11"/>
  <c r="L14" i="11"/>
  <c r="K14" i="11"/>
  <c r="L13" i="11"/>
  <c r="K13" i="11"/>
  <c r="L12" i="11"/>
  <c r="K12" i="11"/>
  <c r="L9" i="11"/>
  <c r="K9" i="11"/>
  <c r="L8" i="11"/>
  <c r="K8" i="11"/>
  <c r="L7" i="11"/>
  <c r="K7" i="11"/>
  <c r="L6" i="11"/>
  <c r="K6" i="11"/>
  <c r="L10" i="10"/>
  <c r="K10" i="10"/>
  <c r="L9" i="10"/>
  <c r="K9" i="10"/>
  <c r="L6" i="10"/>
  <c r="K6" i="10"/>
  <c r="L9" i="9"/>
  <c r="K9" i="9"/>
  <c r="L6" i="9"/>
  <c r="K6" i="9"/>
  <c r="T28" i="8"/>
  <c r="S28" i="8"/>
  <c r="T27" i="8"/>
  <c r="S27" i="8"/>
  <c r="T24" i="8"/>
  <c r="S24" i="8"/>
  <c r="T21" i="8"/>
  <c r="S21" i="8"/>
  <c r="T18" i="8"/>
  <c r="S18" i="8"/>
  <c r="T17" i="8"/>
  <c r="S17" i="8"/>
  <c r="T14" i="8"/>
  <c r="S14" i="8"/>
  <c r="T13" i="8"/>
  <c r="S13" i="8"/>
  <c r="T10" i="8"/>
  <c r="S10" i="8"/>
  <c r="T7" i="8"/>
  <c r="S7" i="8"/>
  <c r="T6" i="8"/>
  <c r="S6" i="8"/>
  <c r="T28" i="7"/>
  <c r="S28" i="7"/>
  <c r="T25" i="7"/>
  <c r="S25" i="7"/>
  <c r="T24" i="7"/>
  <c r="S24" i="7"/>
  <c r="T23" i="7"/>
  <c r="S23" i="7"/>
  <c r="T22" i="7"/>
  <c r="S22" i="7"/>
  <c r="T19" i="7"/>
  <c r="T18" i="7"/>
  <c r="S18" i="7"/>
  <c r="T15" i="7"/>
  <c r="S15" i="7"/>
  <c r="T12" i="7"/>
  <c r="S12" i="7"/>
  <c r="T9" i="7"/>
  <c r="S9" i="7"/>
  <c r="T6" i="7"/>
  <c r="S6" i="7"/>
  <c r="T6" i="6"/>
  <c r="T6" i="5"/>
  <c r="S6" i="5"/>
</calcChain>
</file>

<file path=xl/sharedStrings.xml><?xml version="1.0" encoding="utf-8"?>
<sst xmlns="http://schemas.openxmlformats.org/spreadsheetml/2006/main" count="1636" uniqueCount="457">
  <si>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</si>
  <si>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</si>
  <si>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</si>
  <si>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</si>
  <si>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</si>
  <si>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</si>
  <si>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</si>
  <si>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</si>
  <si>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</si>
  <si>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</si>
  <si>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67.5</t>
  </si>
  <si>
    <t>Лапин Егор</t>
  </si>
  <si>
    <t>Юноши 14-16 (07.04.2008)/14</t>
  </si>
  <si>
    <t>64,60</t>
  </si>
  <si>
    <t>115,0</t>
  </si>
  <si>
    <t>125,0</t>
  </si>
  <si>
    <t>132,5</t>
  </si>
  <si>
    <t>57,5</t>
  </si>
  <si>
    <t>65,0</t>
  </si>
  <si>
    <t>120,0</t>
  </si>
  <si>
    <t>130,0</t>
  </si>
  <si>
    <t>140,0</t>
  </si>
  <si>
    <t xml:space="preserve">Чепурин Максим 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</si>
  <si>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</si>
  <si>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</si>
  <si>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</si>
  <si>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</si>
  <si>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Сумма </t>
  </si>
  <si>
    <t xml:space="preserve">Wilks </t>
  </si>
  <si>
    <t>67.5</t>
  </si>
  <si>
    <t>1</t>
  </si>
  <si>
    <t>ВЕСОВАЯ КАТЕГОРИЯ   82.5</t>
  </si>
  <si>
    <t>Шумаков Александр</t>
  </si>
  <si>
    <t>Юниоры (16.01.1999)/23</t>
  </si>
  <si>
    <t>78,50</t>
  </si>
  <si>
    <t xml:space="preserve">Иланский/Красноярский край </t>
  </si>
  <si>
    <t>170,0</t>
  </si>
  <si>
    <t>100,0</t>
  </si>
  <si>
    <t>150,0</t>
  </si>
  <si>
    <t>-</t>
  </si>
  <si>
    <t>ВЕСОВАЯ КАТЕГОРИЯ   52</t>
  </si>
  <si>
    <t>Олимова Елизавета</t>
  </si>
  <si>
    <t>Открытая (03.03.1999)/23</t>
  </si>
  <si>
    <t>51,20</t>
  </si>
  <si>
    <t xml:space="preserve">Красноярск/Красноярский край </t>
  </si>
  <si>
    <t>75,0</t>
  </si>
  <si>
    <t>80,0</t>
  </si>
  <si>
    <t>35,0</t>
  </si>
  <si>
    <t>37,5</t>
  </si>
  <si>
    <t>40,0</t>
  </si>
  <si>
    <t>85,0</t>
  </si>
  <si>
    <t>90,0</t>
  </si>
  <si>
    <t>ВЕСОВАЯ КАТЕГОРИЯ   60</t>
  </si>
  <si>
    <t>Стасюк Ирина</t>
  </si>
  <si>
    <t>Открытая (16.05.1993)/29</t>
  </si>
  <si>
    <t>59,60</t>
  </si>
  <si>
    <t>55,0</t>
  </si>
  <si>
    <t>60,0</t>
  </si>
  <si>
    <t>70,0</t>
  </si>
  <si>
    <t>42,5</t>
  </si>
  <si>
    <t>95,0</t>
  </si>
  <si>
    <t>ВЕСОВАЯ КАТЕГОРИЯ   56</t>
  </si>
  <si>
    <t>Лапин Захар</t>
  </si>
  <si>
    <t>Открытая (23.08.2009)/13</t>
  </si>
  <si>
    <t>52,20</t>
  </si>
  <si>
    <t>87,5</t>
  </si>
  <si>
    <t>45,0</t>
  </si>
  <si>
    <t>47,5</t>
  </si>
  <si>
    <t>50,0</t>
  </si>
  <si>
    <t>105,0</t>
  </si>
  <si>
    <t>ВЕСОВАЯ КАТЕГОРИЯ   75</t>
  </si>
  <si>
    <t>Костин Максим</t>
  </si>
  <si>
    <t>Открытая (16.10.1997)/25</t>
  </si>
  <si>
    <t>73,70</t>
  </si>
  <si>
    <t>155,0</t>
  </si>
  <si>
    <t>160,0</t>
  </si>
  <si>
    <t>165,0</t>
  </si>
  <si>
    <t>Шмидт Федор</t>
  </si>
  <si>
    <t>Открытая (14.02.1986)/36</t>
  </si>
  <si>
    <t>79,10</t>
  </si>
  <si>
    <t>97,5</t>
  </si>
  <si>
    <t>77,5</t>
  </si>
  <si>
    <t>82,5</t>
  </si>
  <si>
    <t>Абраменко Николай</t>
  </si>
  <si>
    <t>Открытая (08.08.1991)/31</t>
  </si>
  <si>
    <t>78,10</t>
  </si>
  <si>
    <t>ВЕСОВАЯ КАТЕГОРИЯ   100</t>
  </si>
  <si>
    <t>Фетисов Лев</t>
  </si>
  <si>
    <t>Юноши 14-16 (13.10.2008)/14</t>
  </si>
  <si>
    <t>92,90</t>
  </si>
  <si>
    <t>62,5</t>
  </si>
  <si>
    <t>110,0</t>
  </si>
  <si>
    <t>Науменко Роман</t>
  </si>
  <si>
    <t>Открытая (01.10.1990)/32</t>
  </si>
  <si>
    <t>97,00</t>
  </si>
  <si>
    <t>247,5</t>
  </si>
  <si>
    <t>260,0</t>
  </si>
  <si>
    <t>267,5</t>
  </si>
  <si>
    <t>177,5</t>
  </si>
  <si>
    <t>185,0</t>
  </si>
  <si>
    <t>190,0</t>
  </si>
  <si>
    <t>305,0</t>
  </si>
  <si>
    <t>320,0</t>
  </si>
  <si>
    <t>330,0</t>
  </si>
  <si>
    <t>Бертов Кирилл</t>
  </si>
  <si>
    <t>Открытая (17.05.2000)/22</t>
  </si>
  <si>
    <t>97,50</t>
  </si>
  <si>
    <t xml:space="preserve">Саянск/Иркутская область </t>
  </si>
  <si>
    <t>205,0</t>
  </si>
  <si>
    <t>215,0</t>
  </si>
  <si>
    <t>225,0</t>
  </si>
  <si>
    <t>175,0</t>
  </si>
  <si>
    <t>250,0</t>
  </si>
  <si>
    <t>265,0</t>
  </si>
  <si>
    <t>282,5</t>
  </si>
  <si>
    <t>Дудкин Ярослав</t>
  </si>
  <si>
    <t>Открытая (26.08.1997)/25</t>
  </si>
  <si>
    <t>96,20</t>
  </si>
  <si>
    <t>220,0</t>
  </si>
  <si>
    <t>230,0</t>
  </si>
  <si>
    <t>235,0</t>
  </si>
  <si>
    <t>255,0</t>
  </si>
  <si>
    <t>272,5</t>
  </si>
  <si>
    <t>ВЕСОВАЯ КАТЕГОРИЯ   125</t>
  </si>
  <si>
    <t>Мещеряков Владислав</t>
  </si>
  <si>
    <t>Открытая (23.10.1996)/26</t>
  </si>
  <si>
    <t>119,20</t>
  </si>
  <si>
    <t>245,0</t>
  </si>
  <si>
    <t>157,5</t>
  </si>
  <si>
    <t>162,5</t>
  </si>
  <si>
    <t>240,0</t>
  </si>
  <si>
    <t xml:space="preserve">Женщины </t>
  </si>
  <si>
    <t xml:space="preserve">Открытая </t>
  </si>
  <si>
    <t>60</t>
  </si>
  <si>
    <t>100</t>
  </si>
  <si>
    <t>2</t>
  </si>
  <si>
    <t>3</t>
  </si>
  <si>
    <t>Большакова Дарья</t>
  </si>
  <si>
    <t>Открытая (04.02.1998)/24</t>
  </si>
  <si>
    <t>59,70</t>
  </si>
  <si>
    <t>107,5</t>
  </si>
  <si>
    <t>127,5</t>
  </si>
  <si>
    <t xml:space="preserve">Савинов Филипп </t>
  </si>
  <si>
    <t>Бойду Инна</t>
  </si>
  <si>
    <t>Открытая (30.07.1987)/35</t>
  </si>
  <si>
    <t>52,5</t>
  </si>
  <si>
    <t xml:space="preserve">Григорьев Илья </t>
  </si>
  <si>
    <t>Куликова Ирина</t>
  </si>
  <si>
    <t>Открытая (28.02.1992)/30</t>
  </si>
  <si>
    <t>64,80</t>
  </si>
  <si>
    <t>135,0</t>
  </si>
  <si>
    <t>145,0</t>
  </si>
  <si>
    <t>Андреева Мария</t>
  </si>
  <si>
    <t>Открытая (20.03.2007)/15</t>
  </si>
  <si>
    <t>71,40</t>
  </si>
  <si>
    <t>Савош Наталья</t>
  </si>
  <si>
    <t>Мастера 40-49 (04.02.1982)/40</t>
  </si>
  <si>
    <t>67,60</t>
  </si>
  <si>
    <t>67,5</t>
  </si>
  <si>
    <t>Сибогатов Никита</t>
  </si>
  <si>
    <t>Открытая (31.05.2006)/16</t>
  </si>
  <si>
    <t>67,00</t>
  </si>
  <si>
    <t>Гасанов Асиф</t>
  </si>
  <si>
    <t>Открытая (26.04.1990)/32</t>
  </si>
  <si>
    <t>66,60</t>
  </si>
  <si>
    <t xml:space="preserve">Циванюк Александр </t>
  </si>
  <si>
    <t>Чалов Даниил</t>
  </si>
  <si>
    <t>Юноши 17-19 (09.12.2004)/17</t>
  </si>
  <si>
    <t>73,40</t>
  </si>
  <si>
    <t>102,5</t>
  </si>
  <si>
    <t>180,0</t>
  </si>
  <si>
    <t>202,5</t>
  </si>
  <si>
    <t>Борисенко Денис</t>
  </si>
  <si>
    <t>Юниоры (23.12.1999)/22</t>
  </si>
  <si>
    <t>81,40</t>
  </si>
  <si>
    <t xml:space="preserve">Зеленогорск/Красноярский край </t>
  </si>
  <si>
    <t>117,5</t>
  </si>
  <si>
    <t xml:space="preserve">Иванова Марина </t>
  </si>
  <si>
    <t>ВЕСОВАЯ КАТЕГОРИЯ   90</t>
  </si>
  <si>
    <t>Шурмин Евгений</t>
  </si>
  <si>
    <t>Открытая (21.10.1990)/32</t>
  </si>
  <si>
    <t>89,00</t>
  </si>
  <si>
    <t>172,5</t>
  </si>
  <si>
    <t>147,5</t>
  </si>
  <si>
    <t>227,5</t>
  </si>
  <si>
    <t>232,5</t>
  </si>
  <si>
    <t>Валута Андрей</t>
  </si>
  <si>
    <t>Открытая (13.04.1994)/28</t>
  </si>
  <si>
    <t>210,0</t>
  </si>
  <si>
    <t>82.5</t>
  </si>
  <si>
    <t>90</t>
  </si>
  <si>
    <t>Кислянский Алексей</t>
  </si>
  <si>
    <t>Мастера 40-49 (20.07.1976)/46</t>
  </si>
  <si>
    <t>88,70</t>
  </si>
  <si>
    <t>200,0</t>
  </si>
  <si>
    <t>222,5</t>
  </si>
  <si>
    <t xml:space="preserve">Логинов Александр </t>
  </si>
  <si>
    <t>Григорьев Илья</t>
  </si>
  <si>
    <t>Открытая (12.01.1993)/29</t>
  </si>
  <si>
    <t>96,00</t>
  </si>
  <si>
    <t xml:space="preserve">Беловал Евгений </t>
  </si>
  <si>
    <t xml:space="preserve">Результат </t>
  </si>
  <si>
    <t>Результат</t>
  </si>
  <si>
    <t>Миронов Павел</t>
  </si>
  <si>
    <t>Открытая (05.03.1983)/39</t>
  </si>
  <si>
    <t>68,20</t>
  </si>
  <si>
    <t>Ловцов Илья</t>
  </si>
  <si>
    <t>Открытая (02.08.1994)/28</t>
  </si>
  <si>
    <t>120,90</t>
  </si>
  <si>
    <t xml:space="preserve">Чита/Забайкальский край </t>
  </si>
  <si>
    <t>Бабаев Самир</t>
  </si>
  <si>
    <t>Открытая (21.01.1987)/35</t>
  </si>
  <si>
    <t>122,50</t>
  </si>
  <si>
    <t>125</t>
  </si>
  <si>
    <t>Семин Виталий</t>
  </si>
  <si>
    <t>Открытая (02.12.1990)/31</t>
  </si>
  <si>
    <t>88,50</t>
  </si>
  <si>
    <t>195,0</t>
  </si>
  <si>
    <t>Шлыков Юрий</t>
  </si>
  <si>
    <t>Открытая (22.05.1983)/39</t>
  </si>
  <si>
    <t>88,10</t>
  </si>
  <si>
    <t>152,5</t>
  </si>
  <si>
    <t>Илюшин Владимир</t>
  </si>
  <si>
    <t>Мастера 70-79 (21.10.1951)/71</t>
  </si>
  <si>
    <t>89,70</t>
  </si>
  <si>
    <t>112,5</t>
  </si>
  <si>
    <t>122,5</t>
  </si>
  <si>
    <t>Архипенко Иван</t>
  </si>
  <si>
    <t>Открытая (10.07.1979)/43</t>
  </si>
  <si>
    <t>98,50</t>
  </si>
  <si>
    <t>Мастера 40-49 (10.07.1979)/43</t>
  </si>
  <si>
    <t>ВЕСОВАЯ КАТЕГОРИЯ   110</t>
  </si>
  <si>
    <t>Алексеев Павел</t>
  </si>
  <si>
    <t>Открытая (20.05.1963)/59</t>
  </si>
  <si>
    <t>110,00</t>
  </si>
  <si>
    <t xml:space="preserve">Балаганский Дмитрий </t>
  </si>
  <si>
    <t>Симаранов Владимир</t>
  </si>
  <si>
    <t>Открытая (03.07.1985)/37</t>
  </si>
  <si>
    <t>104,90</t>
  </si>
  <si>
    <t xml:space="preserve">Корчагин Дмитрий </t>
  </si>
  <si>
    <t>Борисов Александр</t>
  </si>
  <si>
    <t>Открытая (15.07.1991)/31</t>
  </si>
  <si>
    <t>117,40</t>
  </si>
  <si>
    <t>Журавлев Евгений</t>
  </si>
  <si>
    <t>Открытая (19.09.1991)/31</t>
  </si>
  <si>
    <t>118,80</t>
  </si>
  <si>
    <t>212,5</t>
  </si>
  <si>
    <t>4</t>
  </si>
  <si>
    <t>Романова Евгения</t>
  </si>
  <si>
    <t>Открытая (01.05.1994)/28</t>
  </si>
  <si>
    <t>58,60</t>
  </si>
  <si>
    <t>Аверина Ольга</t>
  </si>
  <si>
    <t>Открытая (28.03.1986)/36</t>
  </si>
  <si>
    <t>57,90</t>
  </si>
  <si>
    <t>Мошкина Лиза</t>
  </si>
  <si>
    <t>Девушки 17-19 (10.03.2005)/17</t>
  </si>
  <si>
    <t>66,20</t>
  </si>
  <si>
    <t>Крохалева Лидия</t>
  </si>
  <si>
    <t>Девушки 17-19 (29.03.2003)/19</t>
  </si>
  <si>
    <t>66,80</t>
  </si>
  <si>
    <t>Иванова Марина</t>
  </si>
  <si>
    <t>Открытая (04.07.1989)/33</t>
  </si>
  <si>
    <t>67,30</t>
  </si>
  <si>
    <t xml:space="preserve">Харитонов Сергей </t>
  </si>
  <si>
    <t>Проскурдин Евгений</t>
  </si>
  <si>
    <t>Юноши 14-16 (23.06.2006)/16</t>
  </si>
  <si>
    <t>67,50</t>
  </si>
  <si>
    <t>Рязанцев Степан</t>
  </si>
  <si>
    <t>Юноши 14-16 (29.09.2008)/14</t>
  </si>
  <si>
    <t>65,70</t>
  </si>
  <si>
    <t>Гурбанов Марк</t>
  </si>
  <si>
    <t>Открытая (19.07.1993)/29</t>
  </si>
  <si>
    <t>Егоров Максим</t>
  </si>
  <si>
    <t>Открытая (18.05.1991)/31</t>
  </si>
  <si>
    <t>67,20</t>
  </si>
  <si>
    <t>Хасанович Михаил</t>
  </si>
  <si>
    <t>Юниоры (10.07.1999)/23</t>
  </si>
  <si>
    <t>74,60</t>
  </si>
  <si>
    <t>Рычков Виталий</t>
  </si>
  <si>
    <t>Открытая (25.08.1989)/33</t>
  </si>
  <si>
    <t>Чудинов Семен</t>
  </si>
  <si>
    <t>Открытая (14.04.1987)/35</t>
  </si>
  <si>
    <t>74,10</t>
  </si>
  <si>
    <t>Зорченко Денис</t>
  </si>
  <si>
    <t>Открытая (24.05.1989)/33</t>
  </si>
  <si>
    <t>82,50</t>
  </si>
  <si>
    <t>167,5</t>
  </si>
  <si>
    <t>Савенков Иван</t>
  </si>
  <si>
    <t>Открытая (08.11.1994)/28</t>
  </si>
  <si>
    <t>86,60</t>
  </si>
  <si>
    <t>142,5</t>
  </si>
  <si>
    <t>Сморгунов Юрий</t>
  </si>
  <si>
    <t>Открытая (24.07.1990)/32</t>
  </si>
  <si>
    <t>89,90</t>
  </si>
  <si>
    <t>Балчугов Антон</t>
  </si>
  <si>
    <t>Открытая (19.04.1988)/34</t>
  </si>
  <si>
    <t>86,00</t>
  </si>
  <si>
    <t>Фроленко Денис</t>
  </si>
  <si>
    <t>Открытая (05.02.1987)/35</t>
  </si>
  <si>
    <t>86,20</t>
  </si>
  <si>
    <t>Циванюк Александр</t>
  </si>
  <si>
    <t>Открытая (23.11.1981)/40</t>
  </si>
  <si>
    <t>Головин Алексей</t>
  </si>
  <si>
    <t>Открытая (01.03.1986)/36</t>
  </si>
  <si>
    <t>105,80</t>
  </si>
  <si>
    <t>Малышкин Антон</t>
  </si>
  <si>
    <t>Открытая (28.10.2004)/18</t>
  </si>
  <si>
    <t>114,60</t>
  </si>
  <si>
    <t>182,5</t>
  </si>
  <si>
    <t>Анипер Анатолий</t>
  </si>
  <si>
    <t>Мастера 40-49 (23.08.1978)/44</t>
  </si>
  <si>
    <t>116,80</t>
  </si>
  <si>
    <t>110</t>
  </si>
  <si>
    <t>5</t>
  </si>
  <si>
    <t>ВЕСОВАЯ КАТЕГОРИЯ   44</t>
  </si>
  <si>
    <t>Кеслер Жанна</t>
  </si>
  <si>
    <t>Открытая (25.09.1998)/24</t>
  </si>
  <si>
    <t>43,30</t>
  </si>
  <si>
    <t>72,5</t>
  </si>
  <si>
    <t>Глумов Андрей</t>
  </si>
  <si>
    <t>Открытая (19.03.1989)/33</t>
  </si>
  <si>
    <t>99,30</t>
  </si>
  <si>
    <t>275,0</t>
  </si>
  <si>
    <t>Проскурдина Любовь</t>
  </si>
  <si>
    <t>Открытая (03.12.1983)/38</t>
  </si>
  <si>
    <t>59,50</t>
  </si>
  <si>
    <t xml:space="preserve">Николаев Виталий </t>
  </si>
  <si>
    <t>78,00</t>
  </si>
  <si>
    <t>Валута Олег</t>
  </si>
  <si>
    <t>Открытая (25.09.1988)/34</t>
  </si>
  <si>
    <t>82,20</t>
  </si>
  <si>
    <t>Байков Алексей</t>
  </si>
  <si>
    <t>Мастера 60-69 (22.03.1953)/69</t>
  </si>
  <si>
    <t>82,10</t>
  </si>
  <si>
    <t xml:space="preserve">Дрыков Владимир </t>
  </si>
  <si>
    <t>137,5</t>
  </si>
  <si>
    <t>Доржукай Отчугаш</t>
  </si>
  <si>
    <t>Открытая (22.05.1985)/37</t>
  </si>
  <si>
    <t>90,00</t>
  </si>
  <si>
    <t>Толпыго Сергей</t>
  </si>
  <si>
    <t>Открытая (14.12.1988)/33</t>
  </si>
  <si>
    <t>94,40</t>
  </si>
  <si>
    <t>Умнова Златослава</t>
  </si>
  <si>
    <t>Девушки 14-16 (04.08.2010)/12</t>
  </si>
  <si>
    <t>39,10</t>
  </si>
  <si>
    <t xml:space="preserve">Умнов Дмитрий </t>
  </si>
  <si>
    <t>Стручкова Наталья</t>
  </si>
  <si>
    <t>Мастера 40-49 (05.12.1978)/43</t>
  </si>
  <si>
    <t>81,00</t>
  </si>
  <si>
    <t xml:space="preserve">Спиридонова Ирина </t>
  </si>
  <si>
    <t>Приходский Николай</t>
  </si>
  <si>
    <t>Юниоры (22.01.2000)/22</t>
  </si>
  <si>
    <t>Галеев Дмитрий</t>
  </si>
  <si>
    <t>Юниоры (04.09.2000)/22</t>
  </si>
  <si>
    <t>87,20</t>
  </si>
  <si>
    <t>280,0</t>
  </si>
  <si>
    <t>290,0</t>
  </si>
  <si>
    <t xml:space="preserve">Суслов Николай </t>
  </si>
  <si>
    <t>Понибрашин Андрей</t>
  </si>
  <si>
    <t>Открытая (08.01.1991)/31</t>
  </si>
  <si>
    <t>89,30</t>
  </si>
  <si>
    <t>Лапин Михаил</t>
  </si>
  <si>
    <t>Мастера 50-59 (06.08.1972)/50</t>
  </si>
  <si>
    <t>87,00</t>
  </si>
  <si>
    <t>Тарских Олеся</t>
  </si>
  <si>
    <t>Открытая (27.09.1990)/32</t>
  </si>
  <si>
    <t>53,20</t>
  </si>
  <si>
    <t>Грибов Сергей</t>
  </si>
  <si>
    <t>Юноши 17-19 (19.01.2003)/19</t>
  </si>
  <si>
    <t>73,80</t>
  </si>
  <si>
    <t>Аун Олег</t>
  </si>
  <si>
    <t>Открытая (16.05.1983)/39</t>
  </si>
  <si>
    <t>Пасечник Александр</t>
  </si>
  <si>
    <t>Юниоры (01.12.1999)/22</t>
  </si>
  <si>
    <t>123,60</t>
  </si>
  <si>
    <t xml:space="preserve">Антон Булава </t>
  </si>
  <si>
    <t>Открытая (01.12.1999)/22</t>
  </si>
  <si>
    <t>Гундарев Сергей</t>
  </si>
  <si>
    <t>Открытая (06.05.1994)/28</t>
  </si>
  <si>
    <t>ВЕСОВАЯ КАТЕГОРИЯ   140</t>
  </si>
  <si>
    <t>Чепурин Максим</t>
  </si>
  <si>
    <t>Мастера 40-49 (05.04.1979)/43</t>
  </si>
  <si>
    <t>130,50</t>
  </si>
  <si>
    <t xml:space="preserve">Богучаны/Красноярский край </t>
  </si>
  <si>
    <t>285,0</t>
  </si>
  <si>
    <t>300,0</t>
  </si>
  <si>
    <t>310,0</t>
  </si>
  <si>
    <t>Росляков Сергей</t>
  </si>
  <si>
    <t>Открытая (08.12.1986)/35</t>
  </si>
  <si>
    <t>Галимзянов Руслан</t>
  </si>
  <si>
    <t>Открытая (10.02.1997)/25</t>
  </si>
  <si>
    <t>99,70</t>
  </si>
  <si>
    <t>Май Андрей</t>
  </si>
  <si>
    <t>65,60</t>
  </si>
  <si>
    <t>Белоусов Анатолий</t>
  </si>
  <si>
    <t>70,70</t>
  </si>
  <si>
    <t xml:space="preserve">Канск/Красноярский край </t>
  </si>
  <si>
    <t>Анкудинов Сергей</t>
  </si>
  <si>
    <t>Открытая (14.04.1983)/39</t>
  </si>
  <si>
    <t>94,00</t>
  </si>
  <si>
    <t>25,0</t>
  </si>
  <si>
    <t>30,0</t>
  </si>
  <si>
    <t>Тяга</t>
  </si>
  <si>
    <t>Шакин Дмитрий</t>
  </si>
  <si>
    <t>69,70</t>
  </si>
  <si>
    <t>Весовая категория</t>
  </si>
  <si>
    <t>Харитонов Сергей</t>
  </si>
  <si>
    <t>Егорова Алина</t>
  </si>
  <si>
    <t>Всероссийский турнир «Yenisei Power Fest II»
WRPF Пауэрлифтинг без экипировки ДК
Красноярск/Красноярский край, 12-13 ноября 2022 года</t>
  </si>
  <si>
    <t>Всероссийский турнир «Yenisei Power Fest II»
WRPF Пауэрлифтинг без экипировки
Красноярск/Красноярский край, 12-13 ноября 2022 года</t>
  </si>
  <si>
    <t>Всероссийский турнир «Yenisei Power Fest II»
WRPF Пауэрлифтинг классический в бинтах ДК
Красноярск/Красноярский край, 12-13 ноября 2022 года</t>
  </si>
  <si>
    <t>Всероссийский турнир «Yenisei Power Fest II»
WRPF Пауэрлифтинг классический в бинтах
Красноярск/Красноярский край, 12-13 ноября 2022 года</t>
  </si>
  <si>
    <t>Всероссийский турнир «Yenisei Power Fest II»
WRPF Силовое двоеборье без экипировки ДК
Красноярск/Красноярский край, 12-13 ноября 2022 года</t>
  </si>
  <si>
    <t>Всероссийский турнир «Yenisei Power Fest II»
WRPF Силовое двоеборье без экипировки
Красноярск/Красноярский край, 12-13 ноября 2022 года</t>
  </si>
  <si>
    <t>Всероссийский турнир «Yenisei Power Fest II»
WRPF Жим лежа без экипировки ДК
Красноярск/Красноярский край, 12-13 ноября 2022 года</t>
  </si>
  <si>
    <t>Всероссийский турнир «Yenisei Power Fest II»
WRPF Жим лежа без экипировки
Красноярск/Красноярский край, 12-13 ноября 2022 года</t>
  </si>
  <si>
    <t>Всероссийский турнир «Yenisei Power Fest II»
WEPF Жим лежа в однопетельной софт экипировке ДК
Красноярск/Красноярский край, 12-13 ноября 2022 года</t>
  </si>
  <si>
    <t>Всероссийский турнир «Yenisei Power Fest II»
WEPF Жим лежа в однопетельной софт экипировке
Красноярск/Красноярский край, 12-13 ноября 2022 года</t>
  </si>
  <si>
    <t>Всероссийский турнир «Yenisei Power Fest II»
WRPF Военный жим лежа с ДК
Красноярск/Красноярский край, 12-13 ноября 2022 года</t>
  </si>
  <si>
    <t>Всероссийский турнир «Yenisei Power Fest II»
WRPF Военный жим лежа
Красноярск/Красноярский край, 12-13 ноября 2022 года</t>
  </si>
  <si>
    <t>Всероссийский турнир «Yenisei Power Fest II»
WRPF Становая тяга без экипировки ДК
Красноярск/Красноярский край, 12-13 ноября 2022 года</t>
  </si>
  <si>
    <t>Всероссийский турнир «Yenisei Power Fest II»
WRPF Становая тяга без экипировки
Красноярск/Красноярский край, 12-13 ноября 2022 года</t>
  </si>
  <si>
    <t>Всероссийский турнир «Yenisei Power Fest II»
WRPF Строгий подъем штанги на бицепс ДК
Красноярск/Красноярский край, 12-13 ноября 2022 года</t>
  </si>
  <si>
    <t>Всероссийский турнир «Yenisei Power Fest II»
WRPF Строгий подъем штанги на бицепс
Красноярск/Красноярский край, 12-13 ноября 2022 года</t>
  </si>
  <si>
    <t>Всероссийский турнир «Yenisei Power Fest II»
СПР Пауэрспорт
Красноярск/Красноярский край, 12-13 ноября 2022 года</t>
  </si>
  <si>
    <t>Всероссийский турнир «Yenisei Power Fest II»
СПР Строгий подъем штанги на бицепс ДК
Красноярск/Красноярский край, 12-13 ноября 2022 года</t>
  </si>
  <si>
    <t>Всероссийский турнир «Yenisei Power Fest II»
СПР Строгий подъем штанги на бицепс
Красноярск/Красноярский край, 12-13 ноября 2022 года</t>
  </si>
  <si>
    <t xml:space="preserve">Кызыл/Республика Тыва </t>
  </si>
  <si>
    <t xml:space="preserve">Мокин Сергей </t>
  </si>
  <si>
    <t>Суслов Николай</t>
  </si>
  <si>
    <t>Таежный/Красноярский край</t>
  </si>
  <si>
    <t xml:space="preserve">Абакан/Республика Хакасия </t>
  </si>
  <si>
    <t xml:space="preserve">Кожуховский Кирилл </t>
  </si>
  <si>
    <t xml:space="preserve">Коченков Андрей </t>
  </si>
  <si>
    <t xml:space="preserve">Пашин Евгений </t>
  </si>
  <si>
    <t xml:space="preserve">Алексеев Павел </t>
  </si>
  <si>
    <t>Савин Дмитрий</t>
  </si>
  <si>
    <t xml:space="preserve">Березовка/Красноярский край </t>
  </si>
  <si>
    <t>Мастера 40-49 (26.02.1976)/46</t>
  </si>
  <si>
    <t>Юноши 13-19 (02.05.2004)/18</t>
  </si>
  <si>
    <t>Юноши 13-19 (14.11.2004)/17</t>
  </si>
  <si>
    <t xml:space="preserve">Щукин Дмитрий </t>
  </si>
  <si>
    <t xml:space="preserve">Светлолобово/Красноярский край </t>
  </si>
  <si>
    <t xml:space="preserve">Гришечко Руслан </t>
  </si>
  <si>
    <t>Жим</t>
  </si>
  <si>
    <t>№</t>
  </si>
  <si>
    <t xml:space="preserve">
Дата рождения/Возраст</t>
  </si>
  <si>
    <t>Возрастная группа</t>
  </si>
  <si>
    <t>O</t>
  </si>
  <si>
    <t>M1</t>
  </si>
  <si>
    <t>T2</t>
  </si>
  <si>
    <t>J</t>
  </si>
  <si>
    <t>T1</t>
  </si>
  <si>
    <t>M4</t>
  </si>
  <si>
    <t>M3</t>
  </si>
  <si>
    <t>M2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</si>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</sst>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63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0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19.5" style="5" bestFit="1" customWidth="1"/>
    <col min="22" max="16384" width="9.1640625" style="3"/>
  </cols>
  <sheetData>
    <row r="1" spans="1:21" s="2" customFormat="1" ht="29" customHeight="1">
      <c r="A1" s="47" t="s">
        <v>408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7</v>
      </c>
      <c r="H3" s="61"/>
      <c r="I3" s="61"/>
      <c r="J3" s="61"/>
      <c r="K3" s="61" t="s">
        <v>8</v>
      </c>
      <c r="L3" s="61"/>
      <c r="M3" s="61"/>
      <c r="N3" s="61"/>
      <c r="O3" s="61" t="s">
        <v>9</v>
      </c>
      <c r="P3" s="61"/>
      <c r="Q3" s="61"/>
      <c r="R3" s="61"/>
      <c r="S3" s="59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60"/>
      <c r="U4" s="65"/>
    </row>
    <row r="5" spans="1:21" ht="16">
      <c r="A5" s="66" t="s">
        <v>52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35" t="s">
        <v>30</v>
      </c>
      <c r="B6" s="24" t="s">
        <v>137</v>
      </c>
      <c r="C6" s="24" t="s">
        <v>138</v>
      </c>
      <c r="D6" s="24" t="s">
        <v>139</v>
      </c>
      <c r="E6" s="25" t="s">
        <v>448</v>
      </c>
      <c r="F6" s="24" t="s">
        <v>44</v>
      </c>
      <c r="G6" s="34" t="s">
        <v>37</v>
      </c>
      <c r="H6" s="33" t="s">
        <v>140</v>
      </c>
      <c r="I6" s="33" t="s">
        <v>140</v>
      </c>
      <c r="J6" s="35"/>
      <c r="K6" s="34" t="s">
        <v>57</v>
      </c>
      <c r="L6" s="34" t="s">
        <v>90</v>
      </c>
      <c r="M6" s="33" t="s">
        <v>18</v>
      </c>
      <c r="N6" s="35"/>
      <c r="O6" s="34" t="s">
        <v>19</v>
      </c>
      <c r="P6" s="34" t="s">
        <v>141</v>
      </c>
      <c r="Q6" s="34" t="s">
        <v>16</v>
      </c>
      <c r="R6" s="35"/>
      <c r="S6" s="26" t="str">
        <f>"295,0"</f>
        <v>295,0</v>
      </c>
      <c r="T6" s="26" t="str">
        <f>"330,1640"</f>
        <v>330,1640</v>
      </c>
      <c r="U6" s="24" t="s">
        <v>142</v>
      </c>
    </row>
    <row r="7" spans="1:21">
      <c r="A7" s="37" t="s">
        <v>135</v>
      </c>
      <c r="B7" s="27" t="s">
        <v>143</v>
      </c>
      <c r="C7" s="27" t="s">
        <v>144</v>
      </c>
      <c r="D7" s="27" t="s">
        <v>139</v>
      </c>
      <c r="E7" s="28" t="s">
        <v>448</v>
      </c>
      <c r="F7" s="27" t="s">
        <v>427</v>
      </c>
      <c r="G7" s="36" t="s">
        <v>51</v>
      </c>
      <c r="H7" s="41" t="s">
        <v>60</v>
      </c>
      <c r="I7" s="37"/>
      <c r="J7" s="37"/>
      <c r="K7" s="41" t="s">
        <v>145</v>
      </c>
      <c r="L7" s="41" t="s">
        <v>56</v>
      </c>
      <c r="M7" s="41" t="s">
        <v>17</v>
      </c>
      <c r="N7" s="37"/>
      <c r="O7" s="41" t="s">
        <v>37</v>
      </c>
      <c r="P7" s="36" t="s">
        <v>91</v>
      </c>
      <c r="Q7" s="41" t="s">
        <v>91</v>
      </c>
      <c r="R7" s="37"/>
      <c r="S7" s="29" t="str">
        <f>"262,5"</f>
        <v>262,5</v>
      </c>
      <c r="T7" s="29" t="str">
        <f>"293,7900"</f>
        <v>293,7900</v>
      </c>
      <c r="U7" s="27" t="s">
        <v>146</v>
      </c>
    </row>
    <row r="9" spans="1:21" ht="16">
      <c r="A9" s="62" t="s">
        <v>10</v>
      </c>
      <c r="B9" s="62"/>
      <c r="C9" s="62"/>
      <c r="D9" s="62"/>
      <c r="E9" s="63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21">
      <c r="A10" s="22" t="s">
        <v>30</v>
      </c>
      <c r="B10" s="7" t="s">
        <v>147</v>
      </c>
      <c r="C10" s="7" t="s">
        <v>148</v>
      </c>
      <c r="D10" s="7" t="s">
        <v>149</v>
      </c>
      <c r="E10" s="8" t="s">
        <v>448</v>
      </c>
      <c r="F10" s="7" t="s">
        <v>107</v>
      </c>
      <c r="G10" s="21" t="s">
        <v>19</v>
      </c>
      <c r="H10" s="21" t="s">
        <v>15</v>
      </c>
      <c r="I10" s="21" t="s">
        <v>20</v>
      </c>
      <c r="J10" s="22"/>
      <c r="K10" s="21" t="s">
        <v>82</v>
      </c>
      <c r="L10" s="21" t="s">
        <v>65</v>
      </c>
      <c r="M10" s="21" t="s">
        <v>51</v>
      </c>
      <c r="N10" s="22"/>
      <c r="O10" s="21" t="s">
        <v>150</v>
      </c>
      <c r="P10" s="21" t="s">
        <v>151</v>
      </c>
      <c r="Q10" s="21" t="s">
        <v>74</v>
      </c>
      <c r="R10" s="22"/>
      <c r="S10" s="9" t="str">
        <f>"375,0"</f>
        <v>375,0</v>
      </c>
      <c r="T10" s="9" t="str">
        <f>"394,3125"</f>
        <v>394,3125</v>
      </c>
      <c r="U10" s="7" t="s">
        <v>406</v>
      </c>
    </row>
    <row r="12" spans="1:21" ht="16">
      <c r="A12" s="62" t="s">
        <v>70</v>
      </c>
      <c r="B12" s="62"/>
      <c r="C12" s="62"/>
      <c r="D12" s="62"/>
      <c r="E12" s="63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21">
      <c r="A13" s="35" t="s">
        <v>30</v>
      </c>
      <c r="B13" s="24" t="s">
        <v>152</v>
      </c>
      <c r="C13" s="24" t="s">
        <v>153</v>
      </c>
      <c r="D13" s="24" t="s">
        <v>154</v>
      </c>
      <c r="E13" s="25" t="s">
        <v>448</v>
      </c>
      <c r="F13" s="24" t="s">
        <v>107</v>
      </c>
      <c r="G13" s="34" t="s">
        <v>50</v>
      </c>
      <c r="H13" s="34" t="s">
        <v>51</v>
      </c>
      <c r="I13" s="34" t="s">
        <v>60</v>
      </c>
      <c r="J13" s="35"/>
      <c r="K13" s="34" t="s">
        <v>66</v>
      </c>
      <c r="L13" s="34" t="s">
        <v>68</v>
      </c>
      <c r="M13" s="34" t="s">
        <v>145</v>
      </c>
      <c r="N13" s="35"/>
      <c r="O13" s="34" t="s">
        <v>37</v>
      </c>
      <c r="P13" s="34" t="s">
        <v>91</v>
      </c>
      <c r="Q13" s="34" t="s">
        <v>19</v>
      </c>
      <c r="R13" s="35"/>
      <c r="S13" s="26" t="str">
        <f>"267,5"</f>
        <v>267,5</v>
      </c>
      <c r="T13" s="26" t="str">
        <f>"262,5513"</f>
        <v>262,5513</v>
      </c>
      <c r="U13" s="24" t="s">
        <v>263</v>
      </c>
    </row>
    <row r="14" spans="1:21">
      <c r="A14" s="37" t="s">
        <v>30</v>
      </c>
      <c r="B14" s="27" t="s">
        <v>155</v>
      </c>
      <c r="C14" s="27" t="s">
        <v>156</v>
      </c>
      <c r="D14" s="27" t="s">
        <v>157</v>
      </c>
      <c r="E14" s="28" t="s">
        <v>449</v>
      </c>
      <c r="F14" s="27" t="s">
        <v>107</v>
      </c>
      <c r="G14" s="41" t="s">
        <v>14</v>
      </c>
      <c r="H14" s="41" t="s">
        <v>15</v>
      </c>
      <c r="I14" s="41" t="s">
        <v>150</v>
      </c>
      <c r="J14" s="37"/>
      <c r="K14" s="41" t="s">
        <v>90</v>
      </c>
      <c r="L14" s="41" t="s">
        <v>158</v>
      </c>
      <c r="M14" s="41" t="s">
        <v>58</v>
      </c>
      <c r="N14" s="37"/>
      <c r="O14" s="41" t="s">
        <v>19</v>
      </c>
      <c r="P14" s="41" t="s">
        <v>150</v>
      </c>
      <c r="Q14" s="36" t="s">
        <v>151</v>
      </c>
      <c r="R14" s="37"/>
      <c r="S14" s="29" t="str">
        <f>"340,0"</f>
        <v>340,0</v>
      </c>
      <c r="T14" s="29" t="str">
        <f>"346,6300"</f>
        <v>346,6300</v>
      </c>
      <c r="U14" s="27" t="s">
        <v>263</v>
      </c>
    </row>
    <row r="16" spans="1:21" ht="16">
      <c r="A16" s="62" t="s">
        <v>10</v>
      </c>
      <c r="B16" s="62"/>
      <c r="C16" s="62"/>
      <c r="D16" s="62"/>
      <c r="E16" s="63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</row>
    <row r="17" spans="1:21">
      <c r="A17" s="35" t="s">
        <v>30</v>
      </c>
      <c r="B17" s="24" t="s">
        <v>159</v>
      </c>
      <c r="C17" s="24" t="s">
        <v>160</v>
      </c>
      <c r="D17" s="24" t="s">
        <v>161</v>
      </c>
      <c r="E17" s="25" t="s">
        <v>448</v>
      </c>
      <c r="F17" s="24" t="s">
        <v>107</v>
      </c>
      <c r="G17" s="34" t="s">
        <v>19</v>
      </c>
      <c r="H17" s="34" t="s">
        <v>20</v>
      </c>
      <c r="I17" s="33" t="s">
        <v>150</v>
      </c>
      <c r="J17" s="35"/>
      <c r="K17" s="34" t="s">
        <v>50</v>
      </c>
      <c r="L17" s="34" t="s">
        <v>51</v>
      </c>
      <c r="M17" s="34" t="s">
        <v>80</v>
      </c>
      <c r="N17" s="35"/>
      <c r="O17" s="34" t="s">
        <v>150</v>
      </c>
      <c r="P17" s="34" t="s">
        <v>151</v>
      </c>
      <c r="Q17" s="34" t="s">
        <v>74</v>
      </c>
      <c r="R17" s="35"/>
      <c r="S17" s="26" t="str">
        <f>"382,5"</f>
        <v>382,5</v>
      </c>
      <c r="T17" s="26" t="str">
        <f>"296,6670"</f>
        <v>296,6670</v>
      </c>
      <c r="U17" s="24" t="s">
        <v>263</v>
      </c>
    </row>
    <row r="18" spans="1:21">
      <c r="A18" s="37" t="s">
        <v>135</v>
      </c>
      <c r="B18" s="27" t="s">
        <v>162</v>
      </c>
      <c r="C18" s="27" t="s">
        <v>163</v>
      </c>
      <c r="D18" s="27" t="s">
        <v>164</v>
      </c>
      <c r="E18" s="28" t="s">
        <v>448</v>
      </c>
      <c r="F18" s="27" t="s">
        <v>44</v>
      </c>
      <c r="G18" s="41" t="s">
        <v>58</v>
      </c>
      <c r="H18" s="41" t="s">
        <v>46</v>
      </c>
      <c r="I18" s="36" t="s">
        <v>51</v>
      </c>
      <c r="J18" s="37"/>
      <c r="K18" s="41" t="s">
        <v>45</v>
      </c>
      <c r="L18" s="36" t="s">
        <v>46</v>
      </c>
      <c r="M18" s="36" t="s">
        <v>46</v>
      </c>
      <c r="N18" s="37"/>
      <c r="O18" s="41" t="s">
        <v>91</v>
      </c>
      <c r="P18" s="41" t="s">
        <v>19</v>
      </c>
      <c r="Q18" s="41" t="s">
        <v>20</v>
      </c>
      <c r="R18" s="37"/>
      <c r="S18" s="29" t="str">
        <f>"285,0"</f>
        <v>285,0</v>
      </c>
      <c r="T18" s="29" t="str">
        <f>"222,1290"</f>
        <v>222,1290</v>
      </c>
      <c r="U18" s="27" t="s">
        <v>165</v>
      </c>
    </row>
    <row r="20" spans="1:21" ht="16">
      <c r="A20" s="62" t="s">
        <v>70</v>
      </c>
      <c r="B20" s="62"/>
      <c r="C20" s="62"/>
      <c r="D20" s="62"/>
      <c r="E20" s="63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</row>
    <row r="21" spans="1:21">
      <c r="A21" s="22" t="s">
        <v>30</v>
      </c>
      <c r="B21" s="7" t="s">
        <v>166</v>
      </c>
      <c r="C21" s="7" t="s">
        <v>167</v>
      </c>
      <c r="D21" s="7" t="s">
        <v>168</v>
      </c>
      <c r="E21" s="8" t="s">
        <v>450</v>
      </c>
      <c r="F21" s="7" t="s">
        <v>107</v>
      </c>
      <c r="G21" s="21" t="s">
        <v>150</v>
      </c>
      <c r="H21" s="21" t="s">
        <v>151</v>
      </c>
      <c r="I21" s="21" t="s">
        <v>38</v>
      </c>
      <c r="J21" s="22"/>
      <c r="K21" s="21" t="s">
        <v>51</v>
      </c>
      <c r="L21" s="21" t="s">
        <v>80</v>
      </c>
      <c r="M21" s="23" t="s">
        <v>169</v>
      </c>
      <c r="N21" s="22"/>
      <c r="O21" s="23" t="s">
        <v>75</v>
      </c>
      <c r="P21" s="21" t="s">
        <v>170</v>
      </c>
      <c r="Q21" s="23" t="s">
        <v>171</v>
      </c>
      <c r="R21" s="22"/>
      <c r="S21" s="9" t="str">
        <f>"427,5"</f>
        <v>427,5</v>
      </c>
      <c r="T21" s="9" t="str">
        <f>"309,2963"</f>
        <v>309,2963</v>
      </c>
      <c r="U21" s="7" t="s">
        <v>124</v>
      </c>
    </row>
    <row r="23" spans="1:21" ht="16">
      <c r="A23" s="62" t="s">
        <v>31</v>
      </c>
      <c r="B23" s="62"/>
      <c r="C23" s="62"/>
      <c r="D23" s="62"/>
      <c r="E23" s="63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</row>
    <row r="24" spans="1:21">
      <c r="A24" s="22" t="s">
        <v>30</v>
      </c>
      <c r="B24" s="7" t="s">
        <v>172</v>
      </c>
      <c r="C24" s="7" t="s">
        <v>173</v>
      </c>
      <c r="D24" s="7" t="s">
        <v>174</v>
      </c>
      <c r="E24" s="8" t="s">
        <v>451</v>
      </c>
      <c r="F24" s="7" t="s">
        <v>175</v>
      </c>
      <c r="G24" s="23" t="s">
        <v>36</v>
      </c>
      <c r="H24" s="21" t="s">
        <v>36</v>
      </c>
      <c r="I24" s="21" t="s">
        <v>170</v>
      </c>
      <c r="J24" s="22"/>
      <c r="K24" s="21" t="s">
        <v>140</v>
      </c>
      <c r="L24" s="21" t="s">
        <v>14</v>
      </c>
      <c r="M24" s="21" t="s">
        <v>176</v>
      </c>
      <c r="N24" s="22"/>
      <c r="O24" s="21" t="s">
        <v>75</v>
      </c>
      <c r="P24" s="23" t="s">
        <v>36</v>
      </c>
      <c r="Q24" s="21" t="s">
        <v>111</v>
      </c>
      <c r="R24" s="22"/>
      <c r="S24" s="9" t="str">
        <f>"472,5"</f>
        <v>472,5</v>
      </c>
      <c r="T24" s="9" t="str">
        <f>"319,1265"</f>
        <v>319,1265</v>
      </c>
      <c r="U24" s="7" t="s">
        <v>177</v>
      </c>
    </row>
    <row r="26" spans="1:21" ht="16">
      <c r="A26" s="62" t="s">
        <v>178</v>
      </c>
      <c r="B26" s="62"/>
      <c r="C26" s="62"/>
      <c r="D26" s="62"/>
      <c r="E26" s="63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</row>
    <row r="27" spans="1:21">
      <c r="A27" s="35" t="s">
        <v>30</v>
      </c>
      <c r="B27" s="24" t="s">
        <v>179</v>
      </c>
      <c r="C27" s="24" t="s">
        <v>180</v>
      </c>
      <c r="D27" s="24" t="s">
        <v>181</v>
      </c>
      <c r="E27" s="25" t="s">
        <v>448</v>
      </c>
      <c r="F27" s="24" t="s">
        <v>44</v>
      </c>
      <c r="G27" s="34" t="s">
        <v>182</v>
      </c>
      <c r="H27" s="34" t="s">
        <v>170</v>
      </c>
      <c r="I27" s="34" t="s">
        <v>99</v>
      </c>
      <c r="J27" s="35"/>
      <c r="K27" s="34" t="s">
        <v>183</v>
      </c>
      <c r="L27" s="34" t="s">
        <v>74</v>
      </c>
      <c r="M27" s="34" t="s">
        <v>75</v>
      </c>
      <c r="N27" s="35"/>
      <c r="O27" s="34" t="s">
        <v>109</v>
      </c>
      <c r="P27" s="34" t="s">
        <v>184</v>
      </c>
      <c r="Q27" s="34" t="s">
        <v>185</v>
      </c>
      <c r="R27" s="35"/>
      <c r="S27" s="26" t="str">
        <f>"577,5"</f>
        <v>577,5</v>
      </c>
      <c r="T27" s="26" t="str">
        <f>"370,8127"</f>
        <v>370,8127</v>
      </c>
      <c r="U27" s="24" t="s">
        <v>407</v>
      </c>
    </row>
    <row r="28" spans="1:21">
      <c r="A28" s="37" t="s">
        <v>135</v>
      </c>
      <c r="B28" s="27" t="s">
        <v>186</v>
      </c>
      <c r="C28" s="27" t="s">
        <v>187</v>
      </c>
      <c r="D28" s="27" t="s">
        <v>181</v>
      </c>
      <c r="E28" s="28" t="s">
        <v>448</v>
      </c>
      <c r="F28" s="27" t="s">
        <v>44</v>
      </c>
      <c r="G28" s="41" t="s">
        <v>36</v>
      </c>
      <c r="H28" s="41" t="s">
        <v>170</v>
      </c>
      <c r="I28" s="36" t="s">
        <v>99</v>
      </c>
      <c r="J28" s="37"/>
      <c r="K28" s="41" t="s">
        <v>150</v>
      </c>
      <c r="L28" s="36" t="s">
        <v>21</v>
      </c>
      <c r="M28" s="41" t="s">
        <v>21</v>
      </c>
      <c r="N28" s="37"/>
      <c r="O28" s="41" t="s">
        <v>188</v>
      </c>
      <c r="P28" s="41" t="s">
        <v>118</v>
      </c>
      <c r="Q28" s="41" t="s">
        <v>184</v>
      </c>
      <c r="R28" s="37"/>
      <c r="S28" s="29" t="str">
        <f>"547,5"</f>
        <v>547,5</v>
      </c>
      <c r="T28" s="29" t="str">
        <f>"351,5497"</f>
        <v>351,5497</v>
      </c>
      <c r="U28" s="27"/>
    </row>
    <row r="30" spans="1:21" ht="16">
      <c r="F30" s="11"/>
      <c r="G30" s="5"/>
    </row>
    <row r="31" spans="1:21" ht="16">
      <c r="F31" s="11"/>
      <c r="G31" s="5"/>
    </row>
    <row r="32" spans="1:21" ht="18">
      <c r="B32" s="12" t="s">
        <v>23</v>
      </c>
      <c r="C32" s="12"/>
    </row>
    <row r="33" spans="2:7" ht="16">
      <c r="B33" s="13" t="s">
        <v>131</v>
      </c>
      <c r="C33" s="13"/>
    </row>
    <row r="34" spans="2:7" ht="14">
      <c r="B34" s="14"/>
      <c r="C34" s="15" t="s">
        <v>132</v>
      </c>
    </row>
    <row r="35" spans="2:7" ht="14">
      <c r="B35" s="16" t="s">
        <v>25</v>
      </c>
      <c r="C35" s="16" t="s">
        <v>26</v>
      </c>
      <c r="D35" s="16" t="s">
        <v>405</v>
      </c>
      <c r="E35" s="17" t="s">
        <v>27</v>
      </c>
      <c r="F35" s="16" t="s">
        <v>28</v>
      </c>
    </row>
    <row r="36" spans="2:7">
      <c r="B36" s="5" t="s">
        <v>147</v>
      </c>
      <c r="C36" s="5" t="s">
        <v>132</v>
      </c>
      <c r="D36" s="19" t="s">
        <v>29</v>
      </c>
      <c r="E36" s="20">
        <v>375</v>
      </c>
      <c r="F36" s="18">
        <v>394.31248605251301</v>
      </c>
    </row>
    <row r="37" spans="2:7">
      <c r="B37" s="5" t="s">
        <v>137</v>
      </c>
      <c r="C37" s="5" t="s">
        <v>132</v>
      </c>
      <c r="D37" s="19" t="s">
        <v>133</v>
      </c>
      <c r="E37" s="20">
        <v>295</v>
      </c>
      <c r="F37" s="18">
        <v>330.16399741172802</v>
      </c>
    </row>
    <row r="38" spans="2:7">
      <c r="B38" s="5" t="s">
        <v>143</v>
      </c>
      <c r="C38" s="5" t="s">
        <v>132</v>
      </c>
      <c r="D38" s="19" t="s">
        <v>133</v>
      </c>
      <c r="E38" s="20">
        <v>262.5</v>
      </c>
      <c r="F38" s="18">
        <v>293.78999769687698</v>
      </c>
    </row>
    <row r="40" spans="2:7" ht="16">
      <c r="B40" s="13" t="s">
        <v>24</v>
      </c>
      <c r="D40" s="10"/>
      <c r="E40" s="5"/>
      <c r="F40" s="19"/>
      <c r="G40" s="3"/>
    </row>
    <row r="41" spans="2:7" ht="14">
      <c r="B41" s="14"/>
      <c r="C41" s="15" t="s">
        <v>132</v>
      </c>
      <c r="G41" s="3"/>
    </row>
    <row r="42" spans="2:7" ht="14">
      <c r="B42" s="16" t="s">
        <v>25</v>
      </c>
      <c r="C42" s="16" t="s">
        <v>26</v>
      </c>
      <c r="D42" s="16" t="s">
        <v>405</v>
      </c>
      <c r="E42" s="17" t="s">
        <v>27</v>
      </c>
      <c r="F42" s="16" t="s">
        <v>28</v>
      </c>
      <c r="G42" s="3"/>
    </row>
    <row r="43" spans="2:7">
      <c r="B43" s="5" t="s">
        <v>179</v>
      </c>
      <c r="C43" s="5" t="s">
        <v>132</v>
      </c>
      <c r="D43" s="19" t="s">
        <v>190</v>
      </c>
      <c r="E43" s="20">
        <v>577.5</v>
      </c>
      <c r="F43" s="18">
        <v>370.81273645162599</v>
      </c>
      <c r="G43" s="3"/>
    </row>
    <row r="44" spans="2:7">
      <c r="B44" s="5" t="s">
        <v>186</v>
      </c>
      <c r="C44" s="5" t="s">
        <v>132</v>
      </c>
      <c r="D44" s="19" t="s">
        <v>190</v>
      </c>
      <c r="E44" s="20">
        <v>547.5</v>
      </c>
      <c r="F44" s="18">
        <v>351.54973715543701</v>
      </c>
      <c r="G44" s="3"/>
    </row>
    <row r="45" spans="2:7">
      <c r="B45" s="5" t="s">
        <v>159</v>
      </c>
      <c r="C45" s="5" t="s">
        <v>132</v>
      </c>
      <c r="D45" s="19" t="s">
        <v>29</v>
      </c>
      <c r="E45" s="20">
        <v>382.5</v>
      </c>
      <c r="F45" s="18">
        <v>296.66700616478897</v>
      </c>
      <c r="G45" s="3"/>
    </row>
    <row r="46" spans="2:7">
      <c r="E46" s="19"/>
      <c r="F46" s="20"/>
      <c r="G46" s="18"/>
    </row>
    <row r="47" spans="2:7">
      <c r="E47" s="5"/>
      <c r="F47" s="10"/>
      <c r="G47" s="5"/>
    </row>
    <row r="48" spans="2:7">
      <c r="E48" s="5"/>
      <c r="F48" s="10"/>
      <c r="G48" s="5"/>
    </row>
    <row r="49" spans="3:7" ht="16">
      <c r="D49" s="13"/>
      <c r="E49" s="5"/>
      <c r="F49" s="10"/>
      <c r="G49" s="5"/>
    </row>
    <row r="50" spans="3:7" ht="14">
      <c r="C50" s="14"/>
      <c r="D50" s="15"/>
      <c r="E50" s="5"/>
      <c r="F50" s="10"/>
      <c r="G50" s="5"/>
    </row>
    <row r="51" spans="3:7" ht="14">
      <c r="C51" s="1"/>
      <c r="D51" s="1"/>
      <c r="E51" s="1"/>
      <c r="F51" s="42"/>
      <c r="G51" s="1"/>
    </row>
    <row r="52" spans="3:7">
      <c r="E52" s="19"/>
      <c r="F52" s="20"/>
      <c r="G52" s="18"/>
    </row>
    <row r="53" spans="3:7">
      <c r="E53" s="5"/>
      <c r="F53" s="10"/>
      <c r="G53" s="5"/>
    </row>
    <row r="54" spans="3:7" ht="14">
      <c r="C54" s="14"/>
      <c r="D54" s="15"/>
      <c r="E54" s="5"/>
      <c r="F54" s="10"/>
      <c r="G54" s="5"/>
    </row>
    <row r="55" spans="3:7" ht="14">
      <c r="C55" s="1"/>
      <c r="D55" s="1"/>
      <c r="E55" s="1"/>
      <c r="F55" s="42"/>
      <c r="G55" s="1"/>
    </row>
    <row r="56" spans="3:7">
      <c r="E56" s="19"/>
      <c r="F56" s="20"/>
      <c r="G56" s="18"/>
    </row>
    <row r="57" spans="3:7">
      <c r="E57" s="5"/>
      <c r="F57" s="10"/>
      <c r="G57" s="5"/>
    </row>
    <row r="63" spans="3:7">
      <c r="E63" s="5"/>
      <c r="F63" s="10"/>
      <c r="G63" s="5"/>
    </row>
  </sheetData>
  <mergeCells count="20">
    <mergeCell ref="A26:R26"/>
    <mergeCell ref="S3:S4"/>
    <mergeCell ref="T3:T4"/>
    <mergeCell ref="U3:U4"/>
    <mergeCell ref="A5:R5"/>
    <mergeCell ref="B3:B4"/>
    <mergeCell ref="A9:R9"/>
    <mergeCell ref="A12:R12"/>
    <mergeCell ref="A16:R16"/>
    <mergeCell ref="A20:R20"/>
    <mergeCell ref="A23:R23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28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8.6640625" style="5" bestFit="1" customWidth="1"/>
    <col min="14" max="16384" width="9.1640625" style="3"/>
  </cols>
  <sheetData>
    <row r="1" spans="1:13" s="2" customFormat="1" ht="29" customHeight="1">
      <c r="A1" s="47" t="s">
        <v>417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8</v>
      </c>
      <c r="H3" s="61"/>
      <c r="I3" s="61"/>
      <c r="J3" s="61"/>
      <c r="K3" s="59" t="s">
        <v>202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178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7" t="s">
        <v>191</v>
      </c>
      <c r="C6" s="7" t="s">
        <v>192</v>
      </c>
      <c r="D6" s="7" t="s">
        <v>193</v>
      </c>
      <c r="E6" s="8" t="s">
        <v>449</v>
      </c>
      <c r="F6" s="7" t="s">
        <v>44</v>
      </c>
      <c r="G6" s="21" t="s">
        <v>194</v>
      </c>
      <c r="H6" s="21" t="s">
        <v>188</v>
      </c>
      <c r="I6" s="23" t="s">
        <v>195</v>
      </c>
      <c r="J6" s="22"/>
      <c r="K6" s="9" t="str">
        <f>"210,0"</f>
        <v>210,0</v>
      </c>
      <c r="L6" s="9" t="str">
        <f>"138,3471"</f>
        <v>138,3471</v>
      </c>
      <c r="M6" s="7" t="s">
        <v>196</v>
      </c>
    </row>
    <row r="8" spans="1:13" ht="16">
      <c r="A8" s="62" t="s">
        <v>86</v>
      </c>
      <c r="B8" s="62"/>
      <c r="C8" s="62"/>
      <c r="D8" s="62"/>
      <c r="E8" s="63"/>
      <c r="F8" s="62"/>
      <c r="G8" s="62"/>
      <c r="H8" s="62"/>
      <c r="I8" s="62"/>
      <c r="J8" s="62"/>
    </row>
    <row r="9" spans="1:13">
      <c r="A9" s="22" t="s">
        <v>30</v>
      </c>
      <c r="B9" s="7" t="s">
        <v>197</v>
      </c>
      <c r="C9" s="7" t="s">
        <v>198</v>
      </c>
      <c r="D9" s="7" t="s">
        <v>199</v>
      </c>
      <c r="E9" s="8" t="s">
        <v>448</v>
      </c>
      <c r="F9" s="7" t="s">
        <v>427</v>
      </c>
      <c r="G9" s="21" t="s">
        <v>119</v>
      </c>
      <c r="H9" s="21" t="s">
        <v>130</v>
      </c>
      <c r="I9" s="23" t="s">
        <v>112</v>
      </c>
      <c r="J9" s="22"/>
      <c r="K9" s="9" t="str">
        <f>"240,0"</f>
        <v>240,0</v>
      </c>
      <c r="L9" s="9" t="str">
        <f>"142,0680"</f>
        <v>142,0680</v>
      </c>
      <c r="M9" s="7" t="s">
        <v>200</v>
      </c>
    </row>
    <row r="11" spans="1:13" ht="16">
      <c r="F11" s="11"/>
      <c r="G11" s="5"/>
      <c r="K11" s="19"/>
      <c r="M11" s="6"/>
    </row>
    <row r="12" spans="1:13" ht="16">
      <c r="F12" s="11"/>
      <c r="G12" s="5"/>
      <c r="K12" s="19"/>
      <c r="M12" s="6"/>
    </row>
    <row r="13" spans="1:13" ht="16">
      <c r="F13" s="11"/>
      <c r="G13" s="5"/>
      <c r="K13" s="19"/>
      <c r="M13" s="6"/>
    </row>
    <row r="14" spans="1:13" ht="16">
      <c r="F14" s="11"/>
      <c r="G14" s="5"/>
      <c r="K14" s="19"/>
      <c r="M14" s="6"/>
    </row>
    <row r="15" spans="1:13" ht="16">
      <c r="F15" s="11"/>
      <c r="G15" s="5"/>
      <c r="K15" s="19"/>
      <c r="M15" s="6"/>
    </row>
    <row r="16" spans="1:13" ht="16">
      <c r="F16" s="11"/>
      <c r="G16" s="5"/>
      <c r="K16" s="19"/>
      <c r="M16" s="6"/>
    </row>
    <row r="17" spans="3:13" ht="16">
      <c r="F17" s="11"/>
      <c r="G17" s="5"/>
      <c r="K17" s="19"/>
      <c r="M17" s="6"/>
    </row>
    <row r="18" spans="3:13">
      <c r="G18" s="5"/>
      <c r="K18" s="19"/>
      <c r="M18" s="6"/>
    </row>
    <row r="19" spans="3:13" ht="18">
      <c r="C19" s="12"/>
      <c r="D19" s="12"/>
      <c r="E19" s="5"/>
      <c r="F19" s="10"/>
      <c r="G19" s="5"/>
      <c r="K19" s="19"/>
      <c r="M19" s="6"/>
    </row>
    <row r="20" spans="3:13" ht="16">
      <c r="C20" s="13"/>
      <c r="D20" s="13"/>
      <c r="E20" s="5"/>
      <c r="F20" s="10"/>
      <c r="G20" s="5"/>
      <c r="K20" s="19"/>
      <c r="M20" s="6"/>
    </row>
    <row r="21" spans="3:13" ht="14">
      <c r="C21" s="14"/>
      <c r="D21" s="15"/>
      <c r="E21" s="5"/>
      <c r="F21" s="10"/>
      <c r="G21" s="5"/>
      <c r="K21" s="19"/>
      <c r="M21" s="6"/>
    </row>
    <row r="22" spans="3:13" ht="14">
      <c r="C22" s="1"/>
      <c r="D22" s="1"/>
      <c r="E22" s="1"/>
      <c r="F22" s="42"/>
      <c r="G22" s="1"/>
      <c r="K22" s="19"/>
      <c r="M22" s="6"/>
    </row>
    <row r="23" spans="3:13">
      <c r="E23" s="19"/>
      <c r="F23" s="20"/>
      <c r="G23" s="18"/>
      <c r="K23" s="19"/>
      <c r="M23" s="6"/>
    </row>
    <row r="24" spans="3:13">
      <c r="E24" s="5"/>
      <c r="F24" s="10"/>
      <c r="G24" s="5"/>
      <c r="K24" s="19"/>
      <c r="M24" s="6"/>
    </row>
    <row r="25" spans="3:13" ht="14">
      <c r="C25" s="14"/>
      <c r="D25" s="15"/>
      <c r="E25" s="5"/>
      <c r="F25" s="10"/>
      <c r="G25" s="5"/>
      <c r="K25" s="19"/>
      <c r="M25" s="6"/>
    </row>
    <row r="26" spans="3:13" ht="14">
      <c r="C26" s="1"/>
      <c r="D26" s="1"/>
      <c r="E26" s="1"/>
      <c r="F26" s="42"/>
      <c r="G26" s="1"/>
      <c r="K26" s="19"/>
      <c r="M26" s="6"/>
    </row>
    <row r="27" spans="3:13">
      <c r="E27" s="19"/>
      <c r="F27" s="20"/>
      <c r="G27" s="18"/>
      <c r="K27" s="19"/>
      <c r="M27" s="6"/>
    </row>
    <row r="28" spans="3:13">
      <c r="E28" s="5"/>
      <c r="F28" s="10"/>
      <c r="G28" s="5"/>
      <c r="K28" s="19"/>
      <c r="M28" s="6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56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10" width="5.5" style="19" customWidth="1"/>
    <col min="11" max="11" width="10.5" style="20" bestFit="1" customWidth="1"/>
    <col min="12" max="12" width="8.5" style="6" bestFit="1" customWidth="1"/>
    <col min="13" max="13" width="26.33203125" style="5" bestFit="1" customWidth="1"/>
    <col min="14" max="16384" width="9.1640625" style="3"/>
  </cols>
  <sheetData>
    <row r="1" spans="1:13" s="2" customFormat="1" ht="29" customHeight="1">
      <c r="A1" s="47" t="s">
        <v>418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8</v>
      </c>
      <c r="H3" s="61"/>
      <c r="I3" s="61"/>
      <c r="J3" s="61"/>
      <c r="K3" s="70" t="s">
        <v>202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71"/>
      <c r="L4" s="60"/>
      <c r="M4" s="65"/>
    </row>
    <row r="5" spans="1:13" ht="16">
      <c r="A5" s="66" t="s">
        <v>52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5" t="s">
        <v>30</v>
      </c>
      <c r="B6" s="24" t="s">
        <v>323</v>
      </c>
      <c r="C6" s="24" t="s">
        <v>324</v>
      </c>
      <c r="D6" s="24" t="s">
        <v>325</v>
      </c>
      <c r="E6" s="25" t="s">
        <v>448</v>
      </c>
      <c r="F6" s="24" t="s">
        <v>44</v>
      </c>
      <c r="G6" s="34" t="s">
        <v>17</v>
      </c>
      <c r="H6" s="33" t="s">
        <v>90</v>
      </c>
      <c r="I6" s="33" t="s">
        <v>90</v>
      </c>
      <c r="J6" s="35"/>
      <c r="K6" s="44" t="str">
        <f>"57,5"</f>
        <v>57,5</v>
      </c>
      <c r="L6" s="26" t="str">
        <f>"64,5207"</f>
        <v>64,5207</v>
      </c>
      <c r="M6" s="24" t="s">
        <v>326</v>
      </c>
    </row>
    <row r="7" spans="1:13">
      <c r="A7" s="37" t="s">
        <v>135</v>
      </c>
      <c r="B7" s="27" t="s">
        <v>248</v>
      </c>
      <c r="C7" s="27" t="s">
        <v>249</v>
      </c>
      <c r="D7" s="27" t="s">
        <v>250</v>
      </c>
      <c r="E7" s="28" t="s">
        <v>448</v>
      </c>
      <c r="F7" s="27" t="s">
        <v>427</v>
      </c>
      <c r="G7" s="41" t="s">
        <v>145</v>
      </c>
      <c r="H7" s="41" t="s">
        <v>56</v>
      </c>
      <c r="I7" s="36" t="s">
        <v>17</v>
      </c>
      <c r="J7" s="37"/>
      <c r="K7" s="45" t="str">
        <f>"55,0"</f>
        <v>55,0</v>
      </c>
      <c r="L7" s="29" t="str">
        <f>"62,4525"</f>
        <v>62,4525</v>
      </c>
      <c r="M7" s="27" t="s">
        <v>146</v>
      </c>
    </row>
    <row r="9" spans="1:13" ht="16">
      <c r="A9" s="62" t="s">
        <v>10</v>
      </c>
      <c r="B9" s="62"/>
      <c r="C9" s="62"/>
      <c r="D9" s="62"/>
      <c r="E9" s="63"/>
      <c r="F9" s="62"/>
      <c r="G9" s="62"/>
      <c r="H9" s="62"/>
      <c r="I9" s="62"/>
      <c r="J9" s="62"/>
    </row>
    <row r="10" spans="1:13">
      <c r="A10" s="22" t="s">
        <v>30</v>
      </c>
      <c r="B10" s="7" t="s">
        <v>272</v>
      </c>
      <c r="C10" s="7" t="s">
        <v>273</v>
      </c>
      <c r="D10" s="7" t="s">
        <v>274</v>
      </c>
      <c r="E10" s="8" t="s">
        <v>448</v>
      </c>
      <c r="F10" s="7" t="s">
        <v>427</v>
      </c>
      <c r="G10" s="21" t="s">
        <v>51</v>
      </c>
      <c r="H10" s="21" t="s">
        <v>60</v>
      </c>
      <c r="I10" s="21" t="s">
        <v>37</v>
      </c>
      <c r="J10" s="22"/>
      <c r="K10" s="43" t="str">
        <f>"100,0"</f>
        <v>100,0</v>
      </c>
      <c r="L10" s="9" t="str">
        <f>"77,3800"</f>
        <v>77,3800</v>
      </c>
      <c r="M10" s="7" t="s">
        <v>146</v>
      </c>
    </row>
    <row r="12" spans="1:13" ht="16">
      <c r="A12" s="62" t="s">
        <v>31</v>
      </c>
      <c r="B12" s="62"/>
      <c r="C12" s="62"/>
      <c r="D12" s="62"/>
      <c r="E12" s="63"/>
      <c r="F12" s="62"/>
      <c r="G12" s="62"/>
      <c r="H12" s="62"/>
      <c r="I12" s="62"/>
      <c r="J12" s="62"/>
    </row>
    <row r="13" spans="1:13">
      <c r="A13" s="35" t="s">
        <v>30</v>
      </c>
      <c r="B13" s="24" t="s">
        <v>32</v>
      </c>
      <c r="C13" s="24" t="s">
        <v>33</v>
      </c>
      <c r="D13" s="24" t="s">
        <v>327</v>
      </c>
      <c r="E13" s="25" t="s">
        <v>451</v>
      </c>
      <c r="F13" s="24" t="s">
        <v>35</v>
      </c>
      <c r="G13" s="34" t="s">
        <v>37</v>
      </c>
      <c r="H13" s="34" t="s">
        <v>91</v>
      </c>
      <c r="I13" s="34" t="s">
        <v>14</v>
      </c>
      <c r="J13" s="35"/>
      <c r="K13" s="44" t="str">
        <f>"115,0"</f>
        <v>115,0</v>
      </c>
      <c r="L13" s="26" t="str">
        <f>"79,7985"</f>
        <v>79,7985</v>
      </c>
      <c r="M13" s="24"/>
    </row>
    <row r="14" spans="1:13">
      <c r="A14" s="39" t="s">
        <v>30</v>
      </c>
      <c r="B14" s="30" t="s">
        <v>328</v>
      </c>
      <c r="C14" s="30" t="s">
        <v>329</v>
      </c>
      <c r="D14" s="30" t="s">
        <v>330</v>
      </c>
      <c r="E14" s="31" t="s">
        <v>448</v>
      </c>
      <c r="F14" s="30" t="s">
        <v>44</v>
      </c>
      <c r="G14" s="38" t="s">
        <v>60</v>
      </c>
      <c r="H14" s="40" t="s">
        <v>80</v>
      </c>
      <c r="I14" s="38" t="s">
        <v>80</v>
      </c>
      <c r="J14" s="39"/>
      <c r="K14" s="46" t="str">
        <f>"97,5"</f>
        <v>97,5</v>
      </c>
      <c r="L14" s="32" t="str">
        <f>"65,4615"</f>
        <v>65,4615</v>
      </c>
      <c r="M14" s="30"/>
    </row>
    <row r="15" spans="1:13">
      <c r="A15" s="37" t="s">
        <v>30</v>
      </c>
      <c r="B15" s="27" t="s">
        <v>331</v>
      </c>
      <c r="C15" s="27" t="s">
        <v>332</v>
      </c>
      <c r="D15" s="27" t="s">
        <v>333</v>
      </c>
      <c r="E15" s="28" t="s">
        <v>454</v>
      </c>
      <c r="F15" s="27" t="s">
        <v>44</v>
      </c>
      <c r="G15" s="41" t="s">
        <v>91</v>
      </c>
      <c r="H15" s="41" t="s">
        <v>14</v>
      </c>
      <c r="I15" s="41" t="s">
        <v>19</v>
      </c>
      <c r="J15" s="41" t="s">
        <v>15</v>
      </c>
      <c r="K15" s="45" t="str">
        <f>"120,0"</f>
        <v>120,0</v>
      </c>
      <c r="L15" s="29" t="str">
        <f>"134,1650"</f>
        <v>134,1650</v>
      </c>
      <c r="M15" s="27" t="s">
        <v>334</v>
      </c>
    </row>
    <row r="17" spans="1:13" ht="16">
      <c r="A17" s="62" t="s">
        <v>178</v>
      </c>
      <c r="B17" s="62"/>
      <c r="C17" s="62"/>
      <c r="D17" s="62"/>
      <c r="E17" s="63"/>
      <c r="F17" s="62"/>
      <c r="G17" s="62"/>
      <c r="H17" s="62"/>
      <c r="I17" s="62"/>
      <c r="J17" s="62"/>
    </row>
    <row r="18" spans="1:13">
      <c r="A18" s="35" t="s">
        <v>30</v>
      </c>
      <c r="B18" s="24" t="s">
        <v>291</v>
      </c>
      <c r="C18" s="24" t="s">
        <v>292</v>
      </c>
      <c r="D18" s="24" t="s">
        <v>293</v>
      </c>
      <c r="E18" s="25" t="s">
        <v>448</v>
      </c>
      <c r="F18" s="24" t="s">
        <v>427</v>
      </c>
      <c r="G18" s="34" t="s">
        <v>19</v>
      </c>
      <c r="H18" s="34" t="s">
        <v>20</v>
      </c>
      <c r="I18" s="34" t="s">
        <v>335</v>
      </c>
      <c r="J18" s="35"/>
      <c r="K18" s="44" t="str">
        <f>"137,5"</f>
        <v>137,5</v>
      </c>
      <c r="L18" s="26" t="str">
        <f>"87,8350"</f>
        <v>87,8350</v>
      </c>
      <c r="M18" s="24" t="s">
        <v>146</v>
      </c>
    </row>
    <row r="19" spans="1:13">
      <c r="A19" s="39" t="s">
        <v>135</v>
      </c>
      <c r="B19" s="30" t="s">
        <v>336</v>
      </c>
      <c r="C19" s="30" t="s">
        <v>337</v>
      </c>
      <c r="D19" s="30" t="s">
        <v>338</v>
      </c>
      <c r="E19" s="31" t="s">
        <v>448</v>
      </c>
      <c r="F19" s="30" t="s">
        <v>427</v>
      </c>
      <c r="G19" s="40" t="s">
        <v>20</v>
      </c>
      <c r="H19" s="38" t="s">
        <v>16</v>
      </c>
      <c r="I19" s="38" t="s">
        <v>335</v>
      </c>
      <c r="J19" s="39"/>
      <c r="K19" s="46" t="str">
        <f>"137,5"</f>
        <v>137,5</v>
      </c>
      <c r="L19" s="32" t="str">
        <f>"87,7800"</f>
        <v>87,7800</v>
      </c>
      <c r="M19" s="30"/>
    </row>
    <row r="20" spans="1:13">
      <c r="A20" s="39" t="s">
        <v>136</v>
      </c>
      <c r="B20" s="30" t="s">
        <v>186</v>
      </c>
      <c r="C20" s="30" t="s">
        <v>187</v>
      </c>
      <c r="D20" s="30" t="s">
        <v>181</v>
      </c>
      <c r="E20" s="31" t="s">
        <v>448</v>
      </c>
      <c r="F20" s="30" t="s">
        <v>44</v>
      </c>
      <c r="G20" s="38" t="s">
        <v>150</v>
      </c>
      <c r="H20" s="40" t="s">
        <v>335</v>
      </c>
      <c r="I20" s="40" t="s">
        <v>335</v>
      </c>
      <c r="J20" s="39"/>
      <c r="K20" s="46" t="str">
        <f>"135,0"</f>
        <v>135,0</v>
      </c>
      <c r="L20" s="32" t="str">
        <f>"86,6835"</f>
        <v>86,6835</v>
      </c>
      <c r="M20" s="30"/>
    </row>
    <row r="21" spans="1:13">
      <c r="A21" s="37" t="s">
        <v>39</v>
      </c>
      <c r="B21" s="27" t="s">
        <v>294</v>
      </c>
      <c r="C21" s="27" t="s">
        <v>295</v>
      </c>
      <c r="D21" s="27" t="s">
        <v>296</v>
      </c>
      <c r="E21" s="28" t="s">
        <v>448</v>
      </c>
      <c r="F21" s="27" t="s">
        <v>44</v>
      </c>
      <c r="G21" s="36" t="s">
        <v>16</v>
      </c>
      <c r="H21" s="36" t="s">
        <v>16</v>
      </c>
      <c r="I21" s="36" t="s">
        <v>16</v>
      </c>
      <c r="J21" s="37"/>
      <c r="K21" s="45">
        <v>0</v>
      </c>
      <c r="L21" s="29" t="str">
        <f>"0,0000"</f>
        <v>0,0000</v>
      </c>
      <c r="M21" s="27"/>
    </row>
    <row r="23" spans="1:13" ht="16">
      <c r="A23" s="62" t="s">
        <v>86</v>
      </c>
      <c r="B23" s="62"/>
      <c r="C23" s="62"/>
      <c r="D23" s="62"/>
      <c r="E23" s="63"/>
      <c r="F23" s="62"/>
      <c r="G23" s="62"/>
      <c r="H23" s="62"/>
      <c r="I23" s="62"/>
      <c r="J23" s="62"/>
    </row>
    <row r="24" spans="1:13">
      <c r="A24" s="22" t="s">
        <v>30</v>
      </c>
      <c r="B24" s="7" t="s">
        <v>339</v>
      </c>
      <c r="C24" s="7" t="s">
        <v>340</v>
      </c>
      <c r="D24" s="7" t="s">
        <v>341</v>
      </c>
      <c r="E24" s="8" t="s">
        <v>448</v>
      </c>
      <c r="F24" s="7" t="s">
        <v>427</v>
      </c>
      <c r="G24" s="21" t="s">
        <v>19</v>
      </c>
      <c r="H24" s="21" t="s">
        <v>15</v>
      </c>
      <c r="I24" s="22"/>
      <c r="J24" s="22"/>
      <c r="K24" s="43" t="str">
        <f>"125,0"</f>
        <v>125,0</v>
      </c>
      <c r="L24" s="9" t="str">
        <f>"77,9750"</f>
        <v>77,9750</v>
      </c>
      <c r="M24" s="7" t="s">
        <v>146</v>
      </c>
    </row>
    <row r="26" spans="1:13" ht="16">
      <c r="F26" s="11"/>
      <c r="G26" s="5"/>
      <c r="M26" s="6"/>
    </row>
    <row r="27" spans="1:13" ht="16">
      <c r="F27" s="11"/>
      <c r="G27" s="5"/>
      <c r="M27" s="6"/>
    </row>
    <row r="28" spans="1:13" ht="18">
      <c r="B28" s="12" t="s">
        <v>23</v>
      </c>
      <c r="C28" s="13"/>
      <c r="M28" s="6"/>
    </row>
    <row r="29" spans="1:13" ht="16">
      <c r="B29" s="13" t="s">
        <v>24</v>
      </c>
      <c r="C29" s="15"/>
      <c r="M29" s="6"/>
    </row>
    <row r="30" spans="1:13" ht="14">
      <c r="B30" s="14"/>
      <c r="C30" s="15" t="s">
        <v>132</v>
      </c>
      <c r="M30" s="6"/>
    </row>
    <row r="31" spans="1:13" ht="14">
      <c r="B31" s="16" t="s">
        <v>25</v>
      </c>
      <c r="C31" s="16" t="s">
        <v>26</v>
      </c>
      <c r="D31" s="16" t="s">
        <v>405</v>
      </c>
      <c r="E31" s="17" t="s">
        <v>201</v>
      </c>
      <c r="F31" s="16" t="s">
        <v>28</v>
      </c>
      <c r="M31" s="6"/>
    </row>
    <row r="32" spans="1:13">
      <c r="B32" s="5" t="s">
        <v>291</v>
      </c>
      <c r="C32" s="5" t="s">
        <v>132</v>
      </c>
      <c r="D32" s="19" t="s">
        <v>190</v>
      </c>
      <c r="E32" s="20">
        <v>137.5</v>
      </c>
      <c r="F32" s="18">
        <v>87.835003435611696</v>
      </c>
      <c r="M32" s="6"/>
    </row>
    <row r="33" spans="2:13">
      <c r="B33" s="5" t="s">
        <v>336</v>
      </c>
      <c r="C33" s="5" t="s">
        <v>132</v>
      </c>
      <c r="D33" s="19" t="s">
        <v>190</v>
      </c>
      <c r="E33" s="20">
        <v>137.5</v>
      </c>
      <c r="F33" s="18">
        <v>87.780002504587202</v>
      </c>
      <c r="M33" s="6"/>
    </row>
    <row r="34" spans="2:13">
      <c r="B34" s="5" t="s">
        <v>186</v>
      </c>
      <c r="C34" s="5" t="s">
        <v>132</v>
      </c>
      <c r="D34" s="19" t="s">
        <v>190</v>
      </c>
      <c r="E34" s="20">
        <v>135</v>
      </c>
      <c r="F34" s="18">
        <v>86.683496832847595</v>
      </c>
      <c r="M34" s="6"/>
    </row>
    <row r="35" spans="2:13">
      <c r="E35" s="5"/>
      <c r="F35" s="10"/>
      <c r="G35" s="5"/>
      <c r="M35" s="6"/>
    </row>
    <row r="36" spans="2:13">
      <c r="M36" s="6"/>
    </row>
    <row r="37" spans="2:13">
      <c r="M37" s="6"/>
    </row>
    <row r="38" spans="2:13">
      <c r="M38" s="6"/>
    </row>
    <row r="39" spans="2:13">
      <c r="M39" s="6"/>
    </row>
    <row r="40" spans="2:13">
      <c r="M40" s="6"/>
    </row>
    <row r="41" spans="2:13">
      <c r="M41" s="6"/>
    </row>
    <row r="42" spans="2:13">
      <c r="M42" s="6"/>
    </row>
    <row r="43" spans="2:13" ht="14">
      <c r="C43" s="14"/>
      <c r="D43" s="15"/>
      <c r="E43" s="5"/>
      <c r="F43" s="10"/>
      <c r="G43" s="5"/>
      <c r="M43" s="6"/>
    </row>
    <row r="44" spans="2:13" ht="14">
      <c r="C44" s="1"/>
      <c r="D44" s="1"/>
      <c r="E44" s="1"/>
      <c r="F44" s="42"/>
      <c r="G44" s="1"/>
      <c r="M44" s="6"/>
    </row>
    <row r="45" spans="2:13">
      <c r="E45" s="19"/>
      <c r="F45" s="20"/>
      <c r="G45" s="18"/>
      <c r="M45" s="6"/>
    </row>
    <row r="46" spans="2:13">
      <c r="E46" s="5"/>
      <c r="F46" s="10"/>
      <c r="G46" s="5"/>
      <c r="M46" s="6"/>
    </row>
    <row r="47" spans="2:13">
      <c r="M47" s="6"/>
    </row>
    <row r="48" spans="2:13">
      <c r="M48" s="6"/>
    </row>
    <row r="49" spans="3:13">
      <c r="M49" s="6"/>
    </row>
    <row r="50" spans="3:13">
      <c r="M50" s="6"/>
    </row>
    <row r="51" spans="3:13">
      <c r="M51" s="6"/>
    </row>
    <row r="52" spans="3:13">
      <c r="M52" s="6"/>
    </row>
    <row r="53" spans="3:13" ht="14">
      <c r="C53" s="14"/>
      <c r="D53" s="15"/>
      <c r="E53" s="5"/>
      <c r="F53" s="10"/>
      <c r="G53" s="5"/>
      <c r="M53" s="6"/>
    </row>
    <row r="54" spans="3:13" ht="14">
      <c r="C54" s="1"/>
      <c r="D54" s="1"/>
      <c r="E54" s="1"/>
      <c r="F54" s="42"/>
      <c r="G54" s="1"/>
      <c r="M54" s="6"/>
    </row>
    <row r="55" spans="3:13">
      <c r="E55" s="19"/>
      <c r="F55" s="20"/>
      <c r="G55" s="18"/>
      <c r="M55" s="6"/>
    </row>
    <row r="56" spans="3:13">
      <c r="E56" s="5"/>
      <c r="F56" s="10"/>
      <c r="G56" s="5"/>
      <c r="M56" s="6"/>
    </row>
  </sheetData>
  <mergeCells count="16">
    <mergeCell ref="A9:J9"/>
    <mergeCell ref="A12:J12"/>
    <mergeCell ref="A17:J17"/>
    <mergeCell ref="A23:J2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7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47" t="s">
        <v>419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8</v>
      </c>
      <c r="H3" s="61"/>
      <c r="I3" s="61"/>
      <c r="J3" s="61"/>
      <c r="K3" s="59" t="s">
        <v>202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70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7" t="s">
        <v>203</v>
      </c>
      <c r="C6" s="7" t="s">
        <v>204</v>
      </c>
      <c r="D6" s="7" t="s">
        <v>205</v>
      </c>
      <c r="E6" s="8" t="s">
        <v>448</v>
      </c>
      <c r="F6" s="7" t="s">
        <v>44</v>
      </c>
      <c r="G6" s="21" t="s">
        <v>14</v>
      </c>
      <c r="H6" s="23" t="s">
        <v>15</v>
      </c>
      <c r="I6" s="23" t="s">
        <v>15</v>
      </c>
      <c r="J6" s="22"/>
      <c r="K6" s="9" t="str">
        <f>"115,0"</f>
        <v>115,0</v>
      </c>
      <c r="L6" s="9" t="str">
        <f>"87,9405"</f>
        <v>87,9405</v>
      </c>
      <c r="M6" s="7" t="s">
        <v>239</v>
      </c>
    </row>
    <row r="8" spans="1:13" ht="16">
      <c r="A8" s="62" t="s">
        <v>123</v>
      </c>
      <c r="B8" s="62"/>
      <c r="C8" s="62"/>
      <c r="D8" s="62"/>
      <c r="E8" s="63"/>
      <c r="F8" s="62"/>
      <c r="G8" s="62"/>
      <c r="H8" s="62"/>
      <c r="I8" s="62"/>
      <c r="J8" s="62"/>
    </row>
    <row r="9" spans="1:13">
      <c r="A9" s="35" t="s">
        <v>30</v>
      </c>
      <c r="B9" s="24" t="s">
        <v>206</v>
      </c>
      <c r="C9" s="24" t="s">
        <v>207</v>
      </c>
      <c r="D9" s="24" t="s">
        <v>208</v>
      </c>
      <c r="E9" s="25" t="s">
        <v>448</v>
      </c>
      <c r="F9" s="24" t="s">
        <v>209</v>
      </c>
      <c r="G9" s="34" t="s">
        <v>194</v>
      </c>
      <c r="H9" s="34" t="s">
        <v>188</v>
      </c>
      <c r="I9" s="35"/>
      <c r="J9" s="35"/>
      <c r="K9" s="26" t="str">
        <f>"210,0"</f>
        <v>210,0</v>
      </c>
      <c r="L9" s="26" t="str">
        <f>"120,5190"</f>
        <v>120,5190</v>
      </c>
      <c r="M9" s="24" t="s">
        <v>357</v>
      </c>
    </row>
    <row r="10" spans="1:13">
      <c r="A10" s="37" t="s">
        <v>135</v>
      </c>
      <c r="B10" s="27" t="s">
        <v>210</v>
      </c>
      <c r="C10" s="27" t="s">
        <v>211</v>
      </c>
      <c r="D10" s="27" t="s">
        <v>212</v>
      </c>
      <c r="E10" s="28" t="s">
        <v>448</v>
      </c>
      <c r="F10" s="27" t="s">
        <v>44</v>
      </c>
      <c r="G10" s="41" t="s">
        <v>36</v>
      </c>
      <c r="H10" s="41" t="s">
        <v>170</v>
      </c>
      <c r="I10" s="41" t="s">
        <v>100</v>
      </c>
      <c r="J10" s="37"/>
      <c r="K10" s="29" t="str">
        <f>"190,0"</f>
        <v>190,0</v>
      </c>
      <c r="L10" s="29" t="str">
        <f>"108,7370"</f>
        <v>108,7370</v>
      </c>
      <c r="M10" s="27"/>
    </row>
    <row r="12" spans="1:13" ht="16">
      <c r="F12" s="11"/>
      <c r="G12" s="5"/>
      <c r="K12" s="19"/>
      <c r="M12" s="6"/>
    </row>
    <row r="13" spans="1:13" ht="16">
      <c r="F13" s="11"/>
      <c r="G13" s="5"/>
      <c r="K13" s="19"/>
      <c r="M13" s="6"/>
    </row>
    <row r="14" spans="1:13" ht="16">
      <c r="F14" s="11"/>
      <c r="G14" s="5"/>
      <c r="K14" s="19"/>
      <c r="M14" s="6"/>
    </row>
    <row r="15" spans="1:13" ht="16">
      <c r="F15" s="11"/>
      <c r="G15" s="5"/>
      <c r="K15" s="19"/>
      <c r="M15" s="6"/>
    </row>
    <row r="16" spans="1:13" ht="16">
      <c r="F16" s="11"/>
      <c r="G16" s="5"/>
      <c r="K16" s="19"/>
      <c r="M16" s="6"/>
    </row>
    <row r="17" spans="3:13" ht="16">
      <c r="F17" s="11"/>
      <c r="G17" s="5"/>
      <c r="K17" s="19"/>
      <c r="M17" s="6"/>
    </row>
    <row r="18" spans="3:13" ht="16">
      <c r="F18" s="11"/>
      <c r="G18" s="5"/>
      <c r="K18" s="19"/>
      <c r="M18" s="6"/>
    </row>
    <row r="19" spans="3:13">
      <c r="G19" s="5"/>
      <c r="K19" s="19"/>
      <c r="M19" s="6"/>
    </row>
    <row r="20" spans="3:13" ht="18">
      <c r="C20" s="12"/>
      <c r="D20" s="12"/>
      <c r="E20" s="5"/>
      <c r="F20" s="10"/>
      <c r="G20" s="5"/>
      <c r="K20" s="19"/>
      <c r="M20" s="6"/>
    </row>
    <row r="21" spans="3:13" ht="16">
      <c r="C21" s="13"/>
      <c r="D21" s="13"/>
      <c r="E21" s="5"/>
      <c r="F21" s="10"/>
      <c r="G21" s="5"/>
      <c r="K21" s="19"/>
      <c r="M21" s="6"/>
    </row>
    <row r="22" spans="3:13" ht="14">
      <c r="C22" s="14"/>
      <c r="D22" s="15"/>
      <c r="E22" s="5"/>
      <c r="F22" s="10"/>
      <c r="G22" s="5"/>
      <c r="K22" s="19"/>
      <c r="M22" s="6"/>
    </row>
    <row r="23" spans="3:13" ht="14">
      <c r="C23" s="1"/>
      <c r="D23" s="1"/>
      <c r="E23" s="1"/>
      <c r="F23" s="42"/>
      <c r="G23" s="1"/>
      <c r="K23" s="19"/>
      <c r="M23" s="6"/>
    </row>
    <row r="24" spans="3:13">
      <c r="E24" s="19"/>
      <c r="F24" s="20"/>
      <c r="G24" s="18"/>
      <c r="K24" s="19"/>
      <c r="M24" s="6"/>
    </row>
    <row r="25" spans="3:13">
      <c r="E25" s="19"/>
      <c r="F25" s="20"/>
      <c r="G25" s="18"/>
      <c r="K25" s="19"/>
      <c r="M25" s="6"/>
    </row>
    <row r="26" spans="3:13">
      <c r="E26" s="19"/>
      <c r="F26" s="20"/>
      <c r="G26" s="18"/>
      <c r="K26" s="19"/>
      <c r="M26" s="6"/>
    </row>
    <row r="27" spans="3:13">
      <c r="E27" s="5"/>
      <c r="F27" s="10"/>
      <c r="G27" s="5"/>
      <c r="K27" s="19"/>
      <c r="M27" s="6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56"/>
  <sheetViews>
    <sheetView workbookViewId="0">
      <selection activeCell="E24" sqref="E24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26.33203125" style="5" bestFit="1" customWidth="1"/>
    <col min="14" max="16384" width="9.1640625" style="3"/>
  </cols>
  <sheetData>
    <row r="1" spans="1:13" s="2" customFormat="1" ht="29" customHeight="1">
      <c r="A1" s="47" t="s">
        <v>420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9</v>
      </c>
      <c r="H3" s="61"/>
      <c r="I3" s="61"/>
      <c r="J3" s="61"/>
      <c r="K3" s="59" t="s">
        <v>202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61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7" t="s">
        <v>364</v>
      </c>
      <c r="C6" s="7" t="s">
        <v>365</v>
      </c>
      <c r="D6" s="7" t="s">
        <v>366</v>
      </c>
      <c r="E6" s="8" t="s">
        <v>448</v>
      </c>
      <c r="F6" s="7" t="s">
        <v>44</v>
      </c>
      <c r="G6" s="21" t="s">
        <v>176</v>
      </c>
      <c r="H6" s="21" t="s">
        <v>15</v>
      </c>
      <c r="I6" s="22"/>
      <c r="J6" s="22"/>
      <c r="K6" s="9" t="str">
        <f>"125,0"</f>
        <v>125,0</v>
      </c>
      <c r="L6" s="9" t="str">
        <f>"153,1000"</f>
        <v>153,1000</v>
      </c>
      <c r="M6" s="7" t="s">
        <v>142</v>
      </c>
    </row>
    <row r="8" spans="1:13" ht="16">
      <c r="A8" s="62" t="s">
        <v>52</v>
      </c>
      <c r="B8" s="62"/>
      <c r="C8" s="62"/>
      <c r="D8" s="62"/>
      <c r="E8" s="63"/>
      <c r="F8" s="62"/>
      <c r="G8" s="62"/>
      <c r="H8" s="62"/>
      <c r="I8" s="62"/>
      <c r="J8" s="62"/>
    </row>
    <row r="9" spans="1:13">
      <c r="A9" s="22" t="s">
        <v>30</v>
      </c>
      <c r="B9" s="7" t="s">
        <v>137</v>
      </c>
      <c r="C9" s="7" t="s">
        <v>138</v>
      </c>
      <c r="D9" s="7" t="s">
        <v>139</v>
      </c>
      <c r="E9" s="8" t="s">
        <v>448</v>
      </c>
      <c r="F9" s="7" t="s">
        <v>44</v>
      </c>
      <c r="G9" s="21" t="s">
        <v>19</v>
      </c>
      <c r="H9" s="21" t="s">
        <v>141</v>
      </c>
      <c r="I9" s="21" t="s">
        <v>16</v>
      </c>
      <c r="J9" s="22"/>
      <c r="K9" s="9" t="str">
        <f>"132,5"</f>
        <v>132,5</v>
      </c>
      <c r="L9" s="9" t="str">
        <f>"148,2940"</f>
        <v>148,2940</v>
      </c>
      <c r="M9" s="7" t="s">
        <v>142</v>
      </c>
    </row>
    <row r="11" spans="1:13" ht="16">
      <c r="A11" s="62" t="s">
        <v>70</v>
      </c>
      <c r="B11" s="62"/>
      <c r="C11" s="62"/>
      <c r="D11" s="62"/>
      <c r="E11" s="63"/>
      <c r="F11" s="62"/>
      <c r="G11" s="62"/>
      <c r="H11" s="62"/>
      <c r="I11" s="62"/>
      <c r="J11" s="62"/>
    </row>
    <row r="12" spans="1:13">
      <c r="A12" s="35" t="s">
        <v>30</v>
      </c>
      <c r="B12" s="24" t="s">
        <v>367</v>
      </c>
      <c r="C12" s="24" t="s">
        <v>368</v>
      </c>
      <c r="D12" s="24" t="s">
        <v>369</v>
      </c>
      <c r="E12" s="25" t="s">
        <v>450</v>
      </c>
      <c r="F12" s="24" t="s">
        <v>44</v>
      </c>
      <c r="G12" s="34" t="s">
        <v>76</v>
      </c>
      <c r="H12" s="33" t="s">
        <v>98</v>
      </c>
      <c r="I12" s="34" t="s">
        <v>308</v>
      </c>
      <c r="J12" s="35"/>
      <c r="K12" s="26" t="str">
        <f>"182,5"</f>
        <v>182,5</v>
      </c>
      <c r="L12" s="26" t="str">
        <f>"131,5278"</f>
        <v>131,5278</v>
      </c>
      <c r="M12" s="24"/>
    </row>
    <row r="13" spans="1:13">
      <c r="A13" s="37" t="s">
        <v>30</v>
      </c>
      <c r="B13" s="27" t="s">
        <v>275</v>
      </c>
      <c r="C13" s="27" t="s">
        <v>276</v>
      </c>
      <c r="D13" s="27" t="s">
        <v>277</v>
      </c>
      <c r="E13" s="28" t="s">
        <v>451</v>
      </c>
      <c r="F13" s="27" t="s">
        <v>427</v>
      </c>
      <c r="G13" s="41" t="s">
        <v>75</v>
      </c>
      <c r="H13" s="36" t="s">
        <v>308</v>
      </c>
      <c r="I13" s="36" t="s">
        <v>308</v>
      </c>
      <c r="J13" s="37"/>
      <c r="K13" s="29" t="str">
        <f>"160,0"</f>
        <v>160,0</v>
      </c>
      <c r="L13" s="29" t="str">
        <f>"114,4320"</f>
        <v>114,4320</v>
      </c>
      <c r="M13" s="27" t="s">
        <v>146</v>
      </c>
    </row>
    <row r="15" spans="1:13" ht="16">
      <c r="A15" s="62" t="s">
        <v>31</v>
      </c>
      <c r="B15" s="62"/>
      <c r="C15" s="62"/>
      <c r="D15" s="62"/>
      <c r="E15" s="63"/>
      <c r="F15" s="62"/>
      <c r="G15" s="62"/>
      <c r="H15" s="62"/>
      <c r="I15" s="62"/>
      <c r="J15" s="62"/>
    </row>
    <row r="16" spans="1:13">
      <c r="A16" s="22" t="s">
        <v>30</v>
      </c>
      <c r="B16" s="7" t="s">
        <v>32</v>
      </c>
      <c r="C16" s="7" t="s">
        <v>33</v>
      </c>
      <c r="D16" s="7" t="s">
        <v>348</v>
      </c>
      <c r="E16" s="8" t="s">
        <v>451</v>
      </c>
      <c r="F16" s="7" t="s">
        <v>35</v>
      </c>
      <c r="G16" s="21" t="s">
        <v>38</v>
      </c>
      <c r="H16" s="21" t="s">
        <v>75</v>
      </c>
      <c r="I16" s="21" t="s">
        <v>36</v>
      </c>
      <c r="J16" s="22"/>
      <c r="K16" s="9" t="str">
        <f>"170,0"</f>
        <v>170,0</v>
      </c>
      <c r="L16" s="9" t="str">
        <f>"115,1580"</f>
        <v>115,1580</v>
      </c>
      <c r="M16" s="7"/>
    </row>
    <row r="18" spans="1:13" ht="16">
      <c r="A18" s="62" t="s">
        <v>178</v>
      </c>
      <c r="B18" s="62"/>
      <c r="C18" s="62"/>
      <c r="D18" s="62"/>
      <c r="E18" s="63"/>
      <c r="F18" s="62"/>
      <c r="G18" s="62"/>
      <c r="H18" s="62"/>
      <c r="I18" s="62"/>
      <c r="J18" s="62"/>
    </row>
    <row r="19" spans="1:13">
      <c r="A19" s="22" t="s">
        <v>30</v>
      </c>
      <c r="B19" s="7" t="s">
        <v>370</v>
      </c>
      <c r="C19" s="7" t="s">
        <v>371</v>
      </c>
      <c r="D19" s="7" t="s">
        <v>193</v>
      </c>
      <c r="E19" s="8" t="s">
        <v>448</v>
      </c>
      <c r="F19" s="7" t="s">
        <v>44</v>
      </c>
      <c r="G19" s="21" t="s">
        <v>188</v>
      </c>
      <c r="H19" s="21" t="s">
        <v>118</v>
      </c>
      <c r="I19" s="21" t="s">
        <v>185</v>
      </c>
      <c r="J19" s="22"/>
      <c r="K19" s="9" t="str">
        <f>"232,5"</f>
        <v>232,5</v>
      </c>
      <c r="L19" s="9" t="str">
        <f>"149,5440"</f>
        <v>149,5440</v>
      </c>
      <c r="M19" s="7" t="s">
        <v>326</v>
      </c>
    </row>
    <row r="21" spans="1:13" ht="16">
      <c r="A21" s="62" t="s">
        <v>123</v>
      </c>
      <c r="B21" s="62"/>
      <c r="C21" s="62"/>
      <c r="D21" s="62"/>
      <c r="E21" s="63"/>
      <c r="F21" s="62"/>
      <c r="G21" s="62"/>
      <c r="H21" s="62"/>
      <c r="I21" s="62"/>
      <c r="J21" s="62"/>
    </row>
    <row r="22" spans="1:13">
      <c r="A22" s="35" t="s">
        <v>30</v>
      </c>
      <c r="B22" s="24" t="s">
        <v>372</v>
      </c>
      <c r="C22" s="24" t="s">
        <v>373</v>
      </c>
      <c r="D22" s="24" t="s">
        <v>374</v>
      </c>
      <c r="E22" s="25" t="s">
        <v>451</v>
      </c>
      <c r="F22" s="24" t="s">
        <v>44</v>
      </c>
      <c r="G22" s="34" t="s">
        <v>110</v>
      </c>
      <c r="H22" s="33" t="s">
        <v>130</v>
      </c>
      <c r="I22" s="33" t="s">
        <v>130</v>
      </c>
      <c r="J22" s="35"/>
      <c r="K22" s="26" t="str">
        <f>"225,0"</f>
        <v>225,0</v>
      </c>
      <c r="L22" s="26" t="str">
        <f>"128,5200"</f>
        <v>128,5200</v>
      </c>
      <c r="M22" s="24" t="s">
        <v>375</v>
      </c>
    </row>
    <row r="23" spans="1:13">
      <c r="A23" s="37" t="s">
        <v>30</v>
      </c>
      <c r="B23" s="27" t="s">
        <v>372</v>
      </c>
      <c r="C23" s="27" t="s">
        <v>376</v>
      </c>
      <c r="D23" s="27" t="s">
        <v>374</v>
      </c>
      <c r="E23" s="28" t="s">
        <v>448</v>
      </c>
      <c r="F23" s="27" t="s">
        <v>44</v>
      </c>
      <c r="G23" s="41" t="s">
        <v>110</v>
      </c>
      <c r="H23" s="36" t="s">
        <v>130</v>
      </c>
      <c r="I23" s="36" t="s">
        <v>130</v>
      </c>
      <c r="J23" s="37"/>
      <c r="K23" s="29" t="str">
        <f>"225,0"</f>
        <v>225,0</v>
      </c>
      <c r="L23" s="29" t="str">
        <f>"128,5200"</f>
        <v>128,5200</v>
      </c>
      <c r="M23" s="27" t="s">
        <v>375</v>
      </c>
    </row>
    <row r="25" spans="1:13" ht="16">
      <c r="F25" s="11"/>
      <c r="G25" s="5"/>
      <c r="K25" s="19"/>
      <c r="M25" s="6"/>
    </row>
    <row r="26" spans="1:13" ht="16">
      <c r="F26" s="11"/>
      <c r="G26" s="5"/>
      <c r="K26" s="19"/>
      <c r="M26" s="6"/>
    </row>
    <row r="27" spans="1:13" ht="16">
      <c r="F27" s="11"/>
      <c r="G27" s="5"/>
      <c r="K27" s="19"/>
      <c r="M27" s="6"/>
    </row>
    <row r="28" spans="1:13" ht="16">
      <c r="F28" s="11"/>
      <c r="G28" s="5"/>
      <c r="K28" s="19"/>
      <c r="M28" s="6"/>
    </row>
    <row r="29" spans="1:13" ht="16">
      <c r="F29" s="11"/>
      <c r="G29" s="5"/>
      <c r="K29" s="19"/>
      <c r="M29" s="6"/>
    </row>
    <row r="30" spans="1:13" ht="16">
      <c r="F30" s="11"/>
      <c r="G30" s="5"/>
      <c r="K30" s="19"/>
      <c r="M30" s="6"/>
    </row>
    <row r="31" spans="1:13" ht="16">
      <c r="F31" s="11"/>
      <c r="G31" s="5"/>
      <c r="K31" s="19"/>
      <c r="M31" s="6"/>
    </row>
    <row r="32" spans="1:13">
      <c r="G32" s="5"/>
      <c r="K32" s="19"/>
      <c r="M32" s="6"/>
    </row>
    <row r="33" spans="3:13" ht="18">
      <c r="C33" s="12"/>
      <c r="D33" s="12"/>
      <c r="E33" s="5"/>
      <c r="F33" s="10"/>
      <c r="G33" s="5"/>
      <c r="K33" s="19"/>
      <c r="M33" s="6"/>
    </row>
    <row r="34" spans="3:13" ht="16">
      <c r="C34" s="13"/>
      <c r="D34" s="13"/>
      <c r="E34" s="5"/>
      <c r="F34" s="10"/>
      <c r="G34" s="5"/>
      <c r="K34" s="19"/>
      <c r="M34" s="6"/>
    </row>
    <row r="35" spans="3:13" ht="14">
      <c r="C35" s="14"/>
      <c r="D35" s="15"/>
      <c r="E35" s="5"/>
      <c r="F35" s="10"/>
      <c r="G35" s="5"/>
      <c r="K35" s="19"/>
      <c r="M35" s="6"/>
    </row>
    <row r="36" spans="3:13" ht="14">
      <c r="C36" s="1"/>
      <c r="D36" s="1"/>
      <c r="E36" s="1"/>
      <c r="F36" s="42"/>
      <c r="G36" s="1"/>
      <c r="K36" s="19"/>
      <c r="M36" s="6"/>
    </row>
    <row r="37" spans="3:13">
      <c r="E37" s="19"/>
      <c r="F37" s="20"/>
      <c r="G37" s="18"/>
      <c r="K37" s="19"/>
      <c r="M37" s="6"/>
    </row>
    <row r="38" spans="3:13">
      <c r="E38" s="19"/>
      <c r="F38" s="20"/>
      <c r="G38" s="18"/>
      <c r="K38" s="19"/>
      <c r="M38" s="6"/>
    </row>
    <row r="39" spans="3:13">
      <c r="E39" s="5"/>
      <c r="F39" s="10"/>
      <c r="G39" s="5"/>
      <c r="K39" s="19"/>
      <c r="M39" s="6"/>
    </row>
    <row r="40" spans="3:13">
      <c r="E40" s="5"/>
      <c r="F40" s="10"/>
      <c r="G40" s="5"/>
      <c r="K40" s="19"/>
      <c r="M40" s="6"/>
    </row>
    <row r="41" spans="3:13" ht="16">
      <c r="C41" s="13"/>
      <c r="D41" s="13"/>
      <c r="E41" s="5"/>
      <c r="F41" s="10"/>
      <c r="G41" s="5"/>
      <c r="K41" s="19"/>
      <c r="M41" s="6"/>
    </row>
    <row r="42" spans="3:13" ht="14">
      <c r="C42" s="14"/>
      <c r="D42" s="15"/>
      <c r="E42" s="5"/>
      <c r="F42" s="10"/>
      <c r="G42" s="5"/>
      <c r="K42" s="19"/>
      <c r="M42" s="6"/>
    </row>
    <row r="43" spans="3:13" ht="14">
      <c r="C43" s="1"/>
      <c r="D43" s="1"/>
      <c r="E43" s="1"/>
      <c r="F43" s="42"/>
      <c r="G43" s="1"/>
      <c r="K43" s="19"/>
      <c r="M43" s="6"/>
    </row>
    <row r="44" spans="3:13">
      <c r="E44" s="19"/>
      <c r="F44" s="20"/>
      <c r="G44" s="18"/>
      <c r="K44" s="19"/>
      <c r="M44" s="6"/>
    </row>
    <row r="45" spans="3:13">
      <c r="E45" s="5"/>
      <c r="F45" s="10"/>
      <c r="G45" s="5"/>
      <c r="K45" s="19"/>
      <c r="M45" s="6"/>
    </row>
    <row r="46" spans="3:13" ht="14">
      <c r="C46" s="14"/>
      <c r="D46" s="15"/>
      <c r="E46" s="5"/>
      <c r="F46" s="10"/>
      <c r="G46" s="5"/>
      <c r="K46" s="19"/>
      <c r="M46" s="6"/>
    </row>
    <row r="47" spans="3:13" ht="14">
      <c r="C47" s="1"/>
      <c r="D47" s="1"/>
      <c r="E47" s="1"/>
      <c r="F47" s="42"/>
      <c r="G47" s="1"/>
      <c r="K47" s="19"/>
      <c r="M47" s="6"/>
    </row>
    <row r="48" spans="3:13">
      <c r="E48" s="19"/>
      <c r="F48" s="20"/>
      <c r="G48" s="18"/>
      <c r="K48" s="19"/>
      <c r="M48" s="6"/>
    </row>
    <row r="49" spans="3:13">
      <c r="E49" s="19"/>
      <c r="F49" s="20"/>
      <c r="G49" s="18"/>
      <c r="K49" s="19"/>
      <c r="M49" s="6"/>
    </row>
    <row r="50" spans="3:13">
      <c r="E50" s="19"/>
      <c r="F50" s="20"/>
      <c r="G50" s="18"/>
      <c r="K50" s="19"/>
      <c r="M50" s="6"/>
    </row>
    <row r="51" spans="3:13">
      <c r="E51" s="5"/>
      <c r="F51" s="10"/>
      <c r="G51" s="5"/>
      <c r="K51" s="19"/>
      <c r="M51" s="6"/>
    </row>
    <row r="52" spans="3:13" ht="14">
      <c r="C52" s="14"/>
      <c r="D52" s="15"/>
      <c r="E52" s="5"/>
      <c r="F52" s="10"/>
      <c r="G52" s="5"/>
      <c r="K52" s="19"/>
      <c r="M52" s="6"/>
    </row>
    <row r="53" spans="3:13" ht="14">
      <c r="C53" s="1"/>
      <c r="D53" s="1"/>
      <c r="E53" s="1"/>
      <c r="F53" s="42"/>
      <c r="G53" s="1"/>
      <c r="K53" s="19"/>
      <c r="M53" s="6"/>
    </row>
    <row r="54" spans="3:13">
      <c r="E54" s="19"/>
      <c r="F54" s="20"/>
      <c r="G54" s="18"/>
      <c r="K54" s="19"/>
      <c r="M54" s="6"/>
    </row>
    <row r="55" spans="3:13">
      <c r="E55" s="19"/>
      <c r="F55" s="20"/>
      <c r="G55" s="18"/>
      <c r="K55" s="19"/>
      <c r="M55" s="6"/>
    </row>
    <row r="56" spans="3:13">
      <c r="E56" s="5"/>
      <c r="F56" s="10"/>
      <c r="G56" s="5"/>
      <c r="K56" s="19"/>
      <c r="M56" s="6"/>
    </row>
  </sheetData>
  <mergeCells count="17">
    <mergeCell ref="A21:J21"/>
    <mergeCell ref="A5:J5"/>
    <mergeCell ref="A8:J8"/>
    <mergeCell ref="A11:J11"/>
    <mergeCell ref="A15:J15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57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7.83203125" style="5" customWidth="1"/>
    <col min="4" max="4" width="21.5" style="5" bestFit="1" customWidth="1"/>
    <col min="5" max="5" width="10.5" style="10" bestFit="1" customWidth="1"/>
    <col min="6" max="6" width="31.332031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5" style="6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47" t="s">
        <v>421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9</v>
      </c>
      <c r="H3" s="61"/>
      <c r="I3" s="61"/>
      <c r="J3" s="61"/>
      <c r="K3" s="59" t="s">
        <v>202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314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7" t="s">
        <v>342</v>
      </c>
      <c r="C6" s="7" t="s">
        <v>343</v>
      </c>
      <c r="D6" s="7" t="s">
        <v>344</v>
      </c>
      <c r="E6" s="8" t="s">
        <v>452</v>
      </c>
      <c r="F6" s="7" t="s">
        <v>44</v>
      </c>
      <c r="G6" s="21" t="s">
        <v>56</v>
      </c>
      <c r="H6" s="21" t="s">
        <v>57</v>
      </c>
      <c r="I6" s="21" t="s">
        <v>90</v>
      </c>
      <c r="J6" s="22"/>
      <c r="K6" s="9" t="str">
        <f>"62,5"</f>
        <v>62,5</v>
      </c>
      <c r="L6" s="9" t="str">
        <f>"93,3500"</f>
        <v>93,3500</v>
      </c>
      <c r="M6" s="7" t="s">
        <v>345</v>
      </c>
    </row>
    <row r="8" spans="1:13" ht="16">
      <c r="A8" s="62" t="s">
        <v>31</v>
      </c>
      <c r="B8" s="62"/>
      <c r="C8" s="62"/>
      <c r="D8" s="62"/>
      <c r="E8" s="63"/>
      <c r="F8" s="62"/>
      <c r="G8" s="62"/>
      <c r="H8" s="62"/>
      <c r="I8" s="62"/>
      <c r="J8" s="62"/>
    </row>
    <row r="9" spans="1:13">
      <c r="A9" s="22" t="s">
        <v>30</v>
      </c>
      <c r="B9" s="7" t="s">
        <v>346</v>
      </c>
      <c r="C9" s="7" t="s">
        <v>347</v>
      </c>
      <c r="D9" s="7" t="s">
        <v>348</v>
      </c>
      <c r="E9" s="8" t="s">
        <v>449</v>
      </c>
      <c r="F9" s="7" t="s">
        <v>44</v>
      </c>
      <c r="G9" s="21" t="s">
        <v>169</v>
      </c>
      <c r="H9" s="21" t="s">
        <v>225</v>
      </c>
      <c r="I9" s="21" t="s">
        <v>226</v>
      </c>
      <c r="J9" s="22"/>
      <c r="K9" s="9" t="str">
        <f>"122,5"</f>
        <v>122,5</v>
      </c>
      <c r="L9" s="9" t="str">
        <f>"114,4452"</f>
        <v>114,4452</v>
      </c>
      <c r="M9" s="7" t="s">
        <v>349</v>
      </c>
    </row>
    <row r="11" spans="1:13" ht="16">
      <c r="A11" s="62" t="s">
        <v>31</v>
      </c>
      <c r="B11" s="62"/>
      <c r="C11" s="62"/>
      <c r="D11" s="62"/>
      <c r="E11" s="63"/>
      <c r="F11" s="62"/>
      <c r="G11" s="62"/>
      <c r="H11" s="62"/>
      <c r="I11" s="62"/>
      <c r="J11" s="62"/>
    </row>
    <row r="12" spans="1:13">
      <c r="A12" s="22" t="s">
        <v>30</v>
      </c>
      <c r="B12" s="7" t="s">
        <v>350</v>
      </c>
      <c r="C12" s="7" t="s">
        <v>351</v>
      </c>
      <c r="D12" s="7" t="s">
        <v>330</v>
      </c>
      <c r="E12" s="8" t="s">
        <v>451</v>
      </c>
      <c r="F12" s="7" t="s">
        <v>44</v>
      </c>
      <c r="G12" s="21" t="s">
        <v>194</v>
      </c>
      <c r="H12" s="21" t="s">
        <v>118</v>
      </c>
      <c r="I12" s="21" t="s">
        <v>130</v>
      </c>
      <c r="J12" s="22"/>
      <c r="K12" s="9" t="str">
        <f>"240,0"</f>
        <v>240,0</v>
      </c>
      <c r="L12" s="9" t="str">
        <f>"161,1360"</f>
        <v>161,1360</v>
      </c>
      <c r="M12" s="7" t="s">
        <v>165</v>
      </c>
    </row>
    <row r="14" spans="1:13" ht="16">
      <c r="A14" s="62" t="s">
        <v>178</v>
      </c>
      <c r="B14" s="62"/>
      <c r="C14" s="62"/>
      <c r="D14" s="62"/>
      <c r="E14" s="63"/>
      <c r="F14" s="62"/>
      <c r="G14" s="62"/>
      <c r="H14" s="62"/>
      <c r="I14" s="62"/>
      <c r="J14" s="62"/>
    </row>
    <row r="15" spans="1:13">
      <c r="A15" s="35" t="s">
        <v>30</v>
      </c>
      <c r="B15" s="24" t="s">
        <v>352</v>
      </c>
      <c r="C15" s="24" t="s">
        <v>353</v>
      </c>
      <c r="D15" s="24" t="s">
        <v>354</v>
      </c>
      <c r="E15" s="25" t="s">
        <v>451</v>
      </c>
      <c r="F15" s="24" t="s">
        <v>44</v>
      </c>
      <c r="G15" s="34" t="s">
        <v>96</v>
      </c>
      <c r="H15" s="34" t="s">
        <v>355</v>
      </c>
      <c r="I15" s="33" t="s">
        <v>356</v>
      </c>
      <c r="J15" s="35"/>
      <c r="K15" s="26" t="str">
        <f>"280,0"</f>
        <v>280,0</v>
      </c>
      <c r="L15" s="26" t="str">
        <f>"181,7480"</f>
        <v>181,7480</v>
      </c>
      <c r="M15" s="24" t="s">
        <v>357</v>
      </c>
    </row>
    <row r="16" spans="1:13">
      <c r="A16" s="39" t="s">
        <v>30</v>
      </c>
      <c r="B16" s="30" t="s">
        <v>218</v>
      </c>
      <c r="C16" s="30" t="s">
        <v>219</v>
      </c>
      <c r="D16" s="30" t="s">
        <v>220</v>
      </c>
      <c r="E16" s="31" t="s">
        <v>448</v>
      </c>
      <c r="F16" s="30" t="s">
        <v>107</v>
      </c>
      <c r="G16" s="38" t="s">
        <v>100</v>
      </c>
      <c r="H16" s="38" t="s">
        <v>194</v>
      </c>
      <c r="I16" s="38" t="s">
        <v>188</v>
      </c>
      <c r="J16" s="39"/>
      <c r="K16" s="32" t="str">
        <f>"210,0"</f>
        <v>210,0</v>
      </c>
      <c r="L16" s="32" t="str">
        <f>"135,5550"</f>
        <v>135,5550</v>
      </c>
      <c r="M16" s="30" t="s">
        <v>263</v>
      </c>
    </row>
    <row r="17" spans="1:13">
      <c r="A17" s="39" t="s">
        <v>135</v>
      </c>
      <c r="B17" s="30" t="s">
        <v>358</v>
      </c>
      <c r="C17" s="30" t="s">
        <v>359</v>
      </c>
      <c r="D17" s="30" t="s">
        <v>360</v>
      </c>
      <c r="E17" s="31" t="s">
        <v>448</v>
      </c>
      <c r="F17" s="30" t="s">
        <v>44</v>
      </c>
      <c r="G17" s="38" t="s">
        <v>170</v>
      </c>
      <c r="H17" s="38" t="s">
        <v>217</v>
      </c>
      <c r="I17" s="38" t="s">
        <v>108</v>
      </c>
      <c r="J17" s="39"/>
      <c r="K17" s="32" t="str">
        <f>"205,0"</f>
        <v>205,0</v>
      </c>
      <c r="L17" s="32" t="str">
        <f>"131,4050"</f>
        <v>131,4050</v>
      </c>
      <c r="M17" s="30" t="s">
        <v>441</v>
      </c>
    </row>
    <row r="18" spans="1:13">
      <c r="A18" s="37" t="s">
        <v>30</v>
      </c>
      <c r="B18" s="27" t="s">
        <v>361</v>
      </c>
      <c r="C18" s="27" t="s">
        <v>362</v>
      </c>
      <c r="D18" s="27" t="s">
        <v>363</v>
      </c>
      <c r="E18" s="28" t="s">
        <v>455</v>
      </c>
      <c r="F18" s="27" t="s">
        <v>430</v>
      </c>
      <c r="G18" s="41" t="s">
        <v>36</v>
      </c>
      <c r="H18" s="41" t="s">
        <v>99</v>
      </c>
      <c r="I18" s="36" t="s">
        <v>194</v>
      </c>
      <c r="J18" s="37"/>
      <c r="K18" s="29" t="str">
        <f>"185,0"</f>
        <v>185,0</v>
      </c>
      <c r="L18" s="29" t="str">
        <f>"138,2662"</f>
        <v>138,2662</v>
      </c>
      <c r="M18" s="27"/>
    </row>
    <row r="20" spans="1:13" ht="16">
      <c r="A20" s="62" t="s">
        <v>86</v>
      </c>
      <c r="B20" s="62"/>
      <c r="C20" s="62"/>
      <c r="D20" s="62"/>
      <c r="E20" s="63"/>
      <c r="F20" s="62"/>
      <c r="G20" s="62"/>
      <c r="H20" s="62"/>
      <c r="I20" s="62"/>
      <c r="J20" s="62"/>
    </row>
    <row r="21" spans="1:13">
      <c r="A21" s="22" t="s">
        <v>30</v>
      </c>
      <c r="B21" s="7" t="s">
        <v>92</v>
      </c>
      <c r="C21" s="7" t="s">
        <v>93</v>
      </c>
      <c r="D21" s="7" t="s">
        <v>94</v>
      </c>
      <c r="E21" s="8" t="s">
        <v>448</v>
      </c>
      <c r="F21" s="7" t="s">
        <v>44</v>
      </c>
      <c r="G21" s="21" t="s">
        <v>101</v>
      </c>
      <c r="H21" s="21" t="s">
        <v>102</v>
      </c>
      <c r="I21" s="21" t="s">
        <v>103</v>
      </c>
      <c r="J21" s="22"/>
      <c r="K21" s="9" t="str">
        <f>"330,0"</f>
        <v>330,0</v>
      </c>
      <c r="L21" s="9" t="str">
        <f>"203,3790"</f>
        <v>203,3790</v>
      </c>
      <c r="M21" s="7"/>
    </row>
    <row r="23" spans="1:13" ht="16">
      <c r="F23" s="11"/>
      <c r="G23" s="5"/>
      <c r="K23" s="19"/>
      <c r="M23" s="6"/>
    </row>
    <row r="24" spans="1:13" ht="16">
      <c r="F24" s="11"/>
      <c r="G24" s="5"/>
      <c r="K24" s="19"/>
      <c r="M24" s="6"/>
    </row>
    <row r="25" spans="1:13" ht="16">
      <c r="F25" s="11"/>
      <c r="G25" s="5"/>
      <c r="K25" s="19"/>
      <c r="M25" s="6"/>
    </row>
    <row r="26" spans="1:13" ht="16">
      <c r="F26" s="11"/>
      <c r="G26" s="5"/>
      <c r="K26" s="19"/>
      <c r="M26" s="6"/>
    </row>
    <row r="27" spans="1:13" ht="16">
      <c r="F27" s="11"/>
      <c r="G27" s="5"/>
      <c r="K27" s="19"/>
      <c r="M27" s="6"/>
    </row>
    <row r="28" spans="1:13" ht="16">
      <c r="F28" s="11"/>
      <c r="G28" s="5"/>
      <c r="K28" s="19"/>
      <c r="M28" s="6"/>
    </row>
    <row r="29" spans="1:13" ht="16">
      <c r="F29" s="11"/>
      <c r="G29" s="5"/>
      <c r="K29" s="19"/>
      <c r="M29" s="6"/>
    </row>
    <row r="30" spans="1:13">
      <c r="G30" s="5"/>
      <c r="K30" s="19"/>
      <c r="M30" s="6"/>
    </row>
    <row r="31" spans="1:13" ht="18">
      <c r="C31" s="12"/>
      <c r="D31" s="12"/>
      <c r="E31" s="5"/>
      <c r="F31" s="10"/>
      <c r="G31" s="5"/>
      <c r="K31" s="19"/>
      <c r="M31" s="6"/>
    </row>
    <row r="32" spans="1:13" ht="16">
      <c r="C32" s="13"/>
      <c r="D32" s="13"/>
      <c r="E32" s="5"/>
      <c r="F32" s="10"/>
      <c r="G32" s="5"/>
      <c r="K32" s="19"/>
      <c r="M32" s="6"/>
    </row>
    <row r="33" spans="3:13" ht="14">
      <c r="C33" s="14"/>
      <c r="D33" s="15"/>
      <c r="E33" s="5"/>
      <c r="F33" s="10"/>
      <c r="G33" s="5"/>
      <c r="K33" s="19"/>
      <c r="M33" s="6"/>
    </row>
    <row r="34" spans="3:13" ht="14">
      <c r="C34" s="1"/>
      <c r="D34" s="1"/>
      <c r="E34" s="1"/>
      <c r="F34" s="42"/>
      <c r="G34" s="1"/>
      <c r="K34" s="19"/>
      <c r="M34" s="6"/>
    </row>
    <row r="35" spans="3:13">
      <c r="E35" s="19"/>
      <c r="F35" s="20"/>
      <c r="G35" s="18"/>
      <c r="K35" s="19"/>
      <c r="M35" s="6"/>
    </row>
    <row r="36" spans="3:13">
      <c r="E36" s="5"/>
      <c r="F36" s="10"/>
      <c r="G36" s="5"/>
      <c r="K36" s="19"/>
      <c r="M36" s="6"/>
    </row>
    <row r="37" spans="3:13" ht="14">
      <c r="C37" s="14"/>
      <c r="D37" s="15"/>
      <c r="E37" s="5"/>
      <c r="F37" s="10"/>
      <c r="G37" s="5"/>
      <c r="K37" s="19"/>
      <c r="M37" s="6"/>
    </row>
    <row r="38" spans="3:13" ht="14">
      <c r="C38" s="1"/>
      <c r="D38" s="1"/>
      <c r="E38" s="1"/>
      <c r="F38" s="42"/>
      <c r="G38" s="1"/>
      <c r="K38" s="19"/>
      <c r="M38" s="6"/>
    </row>
    <row r="39" spans="3:13">
      <c r="E39" s="19"/>
      <c r="F39" s="20"/>
      <c r="G39" s="18"/>
      <c r="K39" s="19"/>
      <c r="M39" s="6"/>
    </row>
    <row r="40" spans="3:13">
      <c r="E40" s="5"/>
      <c r="F40" s="10"/>
      <c r="G40" s="5"/>
      <c r="K40" s="19"/>
      <c r="M40" s="6"/>
    </row>
    <row r="41" spans="3:13">
      <c r="E41" s="5"/>
      <c r="F41" s="10"/>
      <c r="G41" s="5"/>
      <c r="K41" s="19"/>
      <c r="M41" s="6"/>
    </row>
    <row r="42" spans="3:13" ht="16">
      <c r="C42" s="13"/>
      <c r="D42" s="13"/>
      <c r="E42" s="5"/>
      <c r="F42" s="10"/>
      <c r="G42" s="5"/>
      <c r="K42" s="19"/>
      <c r="M42" s="6"/>
    </row>
    <row r="43" spans="3:13" ht="14">
      <c r="C43" s="14"/>
      <c r="D43" s="15"/>
      <c r="E43" s="5"/>
      <c r="F43" s="10"/>
      <c r="G43" s="5"/>
      <c r="K43" s="19"/>
      <c r="M43" s="6"/>
    </row>
    <row r="44" spans="3:13" ht="14">
      <c r="C44" s="1"/>
      <c r="D44" s="1"/>
      <c r="E44" s="1"/>
      <c r="F44" s="42"/>
      <c r="G44" s="1"/>
      <c r="K44" s="19"/>
      <c r="M44" s="6"/>
    </row>
    <row r="45" spans="3:13">
      <c r="E45" s="19"/>
      <c r="F45" s="20"/>
      <c r="G45" s="18"/>
      <c r="K45" s="19"/>
      <c r="M45" s="6"/>
    </row>
    <row r="46" spans="3:13">
      <c r="E46" s="19"/>
      <c r="F46" s="20"/>
      <c r="G46" s="18"/>
      <c r="K46" s="19"/>
      <c r="M46" s="6"/>
    </row>
    <row r="47" spans="3:13">
      <c r="E47" s="5"/>
      <c r="F47" s="10"/>
      <c r="G47" s="5"/>
      <c r="K47" s="19"/>
      <c r="M47" s="6"/>
    </row>
    <row r="48" spans="3:13" ht="14">
      <c r="C48" s="14"/>
      <c r="D48" s="15"/>
      <c r="E48" s="5"/>
      <c r="F48" s="10"/>
      <c r="G48" s="5"/>
      <c r="K48" s="19"/>
      <c r="M48" s="6"/>
    </row>
    <row r="49" spans="3:13" ht="14">
      <c r="C49" s="1"/>
      <c r="D49" s="1"/>
      <c r="E49" s="1"/>
      <c r="F49" s="42"/>
      <c r="G49" s="1"/>
      <c r="K49" s="19"/>
      <c r="M49" s="6"/>
    </row>
    <row r="50" spans="3:13">
      <c r="E50" s="19"/>
      <c r="F50" s="20"/>
      <c r="G50" s="18"/>
      <c r="K50" s="19"/>
      <c r="M50" s="6"/>
    </row>
    <row r="51" spans="3:13">
      <c r="E51" s="19"/>
      <c r="F51" s="20"/>
      <c r="G51" s="18"/>
      <c r="K51" s="19"/>
      <c r="M51" s="6"/>
    </row>
    <row r="52" spans="3:13">
      <c r="E52" s="19"/>
      <c r="F52" s="20"/>
      <c r="G52" s="18"/>
      <c r="K52" s="19"/>
      <c r="M52" s="6"/>
    </row>
    <row r="53" spans="3:13">
      <c r="E53" s="5"/>
      <c r="F53" s="10"/>
      <c r="G53" s="5"/>
      <c r="K53" s="19"/>
      <c r="M53" s="6"/>
    </row>
    <row r="54" spans="3:13" ht="14">
      <c r="C54" s="14"/>
      <c r="D54" s="15"/>
      <c r="E54" s="5"/>
      <c r="F54" s="10"/>
      <c r="G54" s="5"/>
      <c r="K54" s="19"/>
      <c r="M54" s="6"/>
    </row>
    <row r="55" spans="3:13" ht="14">
      <c r="C55" s="1"/>
      <c r="D55" s="1"/>
      <c r="E55" s="1"/>
      <c r="F55" s="42"/>
      <c r="G55" s="1"/>
      <c r="K55" s="19"/>
      <c r="M55" s="6"/>
    </row>
    <row r="56" spans="3:13">
      <c r="E56" s="19"/>
      <c r="F56" s="20"/>
      <c r="G56" s="18"/>
      <c r="K56" s="19"/>
      <c r="M56" s="6"/>
    </row>
    <row r="57" spans="3:13">
      <c r="E57" s="5"/>
      <c r="F57" s="10"/>
      <c r="G57" s="5"/>
      <c r="K57" s="19"/>
      <c r="M57" s="6"/>
    </row>
  </sheetData>
  <mergeCells count="16">
    <mergeCell ref="A8:J8"/>
    <mergeCell ref="A11:J11"/>
    <mergeCell ref="A14:J14"/>
    <mergeCell ref="A20:J2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8.33203125" style="6" customWidth="1"/>
    <col min="13" max="13" width="17.6640625" style="5" customWidth="1"/>
    <col min="14" max="16384" width="9.1640625" style="3"/>
  </cols>
  <sheetData>
    <row r="1" spans="1:13" s="2" customFormat="1" ht="29" customHeight="1">
      <c r="A1" s="47" t="s">
        <v>422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444</v>
      </c>
      <c r="H3" s="61"/>
      <c r="I3" s="61"/>
      <c r="J3" s="61"/>
      <c r="K3" s="59" t="s">
        <v>202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70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7" t="s">
        <v>403</v>
      </c>
      <c r="C6" s="7" t="s">
        <v>438</v>
      </c>
      <c r="D6" s="7" t="s">
        <v>404</v>
      </c>
      <c r="E6" s="8" t="s">
        <v>449</v>
      </c>
      <c r="F6" s="7" t="s">
        <v>44</v>
      </c>
      <c r="G6" s="21" t="s">
        <v>49</v>
      </c>
      <c r="H6" s="21" t="s">
        <v>66</v>
      </c>
      <c r="I6" s="23" t="s">
        <v>67</v>
      </c>
      <c r="J6" s="22"/>
      <c r="K6" s="9" t="str">
        <f>"45,0"</f>
        <v>45,0</v>
      </c>
      <c r="L6" s="9" t="str">
        <f>"35,0261"</f>
        <v>35,0261</v>
      </c>
      <c r="M6" s="7"/>
    </row>
    <row r="8" spans="1:13" ht="16">
      <c r="A8" s="62" t="s">
        <v>178</v>
      </c>
      <c r="B8" s="62"/>
      <c r="C8" s="62"/>
      <c r="D8" s="62"/>
      <c r="E8" s="63"/>
      <c r="F8" s="62"/>
      <c r="G8" s="62"/>
      <c r="H8" s="62"/>
      <c r="I8" s="62"/>
      <c r="J8" s="62"/>
    </row>
    <row r="9" spans="1:13">
      <c r="A9" s="22" t="s">
        <v>30</v>
      </c>
      <c r="B9" s="7" t="s">
        <v>287</v>
      </c>
      <c r="C9" s="7" t="s">
        <v>288</v>
      </c>
      <c r="D9" s="7" t="s">
        <v>289</v>
      </c>
      <c r="E9" s="8" t="s">
        <v>448</v>
      </c>
      <c r="F9" s="7" t="s">
        <v>44</v>
      </c>
      <c r="G9" s="23" t="s">
        <v>56</v>
      </c>
      <c r="H9" s="21" t="s">
        <v>57</v>
      </c>
      <c r="I9" s="21" t="s">
        <v>18</v>
      </c>
      <c r="J9" s="22"/>
      <c r="K9" s="9" t="str">
        <f>"65,0"</f>
        <v>65,0</v>
      </c>
      <c r="L9" s="9" t="str">
        <f>"40,6575"</f>
        <v>40,6575</v>
      </c>
      <c r="M9" s="7"/>
    </row>
    <row r="11" spans="1:13" ht="16">
      <c r="A11" s="62" t="s">
        <v>86</v>
      </c>
      <c r="B11" s="62"/>
      <c r="C11" s="62"/>
      <c r="D11" s="62"/>
      <c r="E11" s="63"/>
      <c r="F11" s="62"/>
      <c r="G11" s="62"/>
      <c r="H11" s="62"/>
      <c r="I11" s="62"/>
      <c r="J11" s="62"/>
    </row>
    <row r="12" spans="1:13">
      <c r="A12" s="22" t="s">
        <v>30</v>
      </c>
      <c r="B12" s="7" t="s">
        <v>397</v>
      </c>
      <c r="C12" s="7" t="s">
        <v>398</v>
      </c>
      <c r="D12" s="7" t="s">
        <v>399</v>
      </c>
      <c r="E12" s="8" t="s">
        <v>448</v>
      </c>
      <c r="F12" s="7" t="s">
        <v>44</v>
      </c>
      <c r="G12" s="21" t="s">
        <v>18</v>
      </c>
      <c r="H12" s="23" t="s">
        <v>58</v>
      </c>
      <c r="I12" s="21" t="s">
        <v>58</v>
      </c>
      <c r="J12" s="22"/>
      <c r="K12" s="9" t="str">
        <f>"70,0"</f>
        <v>70,0</v>
      </c>
      <c r="L12" s="9" t="str">
        <f>"41,8600"</f>
        <v>41,8600</v>
      </c>
      <c r="M12" s="7"/>
    </row>
    <row r="14" spans="1:13" ht="16">
      <c r="F14" s="11"/>
      <c r="G14" s="5"/>
      <c r="K14" s="19"/>
      <c r="M14" s="6"/>
    </row>
    <row r="15" spans="1:13" ht="16">
      <c r="F15" s="11"/>
      <c r="G15" s="5"/>
      <c r="K15" s="19"/>
      <c r="M15" s="6"/>
    </row>
    <row r="16" spans="1:13" ht="16">
      <c r="F16" s="11"/>
      <c r="G16" s="5"/>
      <c r="K16" s="19"/>
      <c r="M16" s="6"/>
    </row>
    <row r="17" spans="3:13" ht="16">
      <c r="F17" s="11"/>
      <c r="G17" s="5"/>
      <c r="K17" s="19"/>
      <c r="M17" s="6"/>
    </row>
    <row r="18" spans="3:13" ht="16">
      <c r="F18" s="11"/>
      <c r="G18" s="5"/>
      <c r="K18" s="19"/>
      <c r="M18" s="6"/>
    </row>
    <row r="19" spans="3:13" ht="16">
      <c r="F19" s="11"/>
      <c r="G19" s="5"/>
      <c r="K19" s="19"/>
      <c r="M19" s="6"/>
    </row>
    <row r="20" spans="3:13" ht="16">
      <c r="F20" s="11"/>
      <c r="G20" s="5"/>
      <c r="K20" s="19"/>
      <c r="M20" s="6"/>
    </row>
    <row r="21" spans="3:13">
      <c r="G21" s="5"/>
      <c r="K21" s="19"/>
      <c r="M21" s="6"/>
    </row>
    <row r="22" spans="3:13" ht="18">
      <c r="C22" s="12"/>
      <c r="D22" s="12"/>
      <c r="E22" s="5"/>
      <c r="F22" s="10"/>
      <c r="G22" s="5"/>
      <c r="K22" s="19"/>
      <c r="M22" s="6"/>
    </row>
    <row r="23" spans="3:13" ht="16">
      <c r="C23" s="13"/>
      <c r="D23" s="13"/>
      <c r="E23" s="5"/>
      <c r="F23" s="10"/>
      <c r="G23" s="5"/>
      <c r="K23" s="19"/>
      <c r="M23" s="6"/>
    </row>
    <row r="24" spans="3:13" ht="14">
      <c r="C24" s="14"/>
      <c r="D24" s="15"/>
      <c r="E24" s="5"/>
      <c r="F24" s="10"/>
      <c r="G24" s="5"/>
      <c r="K24" s="19"/>
      <c r="M24" s="6"/>
    </row>
    <row r="25" spans="3:13" ht="14">
      <c r="C25" s="1"/>
      <c r="D25" s="1"/>
      <c r="E25" s="1"/>
      <c r="F25" s="42"/>
      <c r="G25" s="1"/>
      <c r="K25" s="19"/>
      <c r="M25" s="6"/>
    </row>
    <row r="26" spans="3:13">
      <c r="E26" s="19"/>
      <c r="F26" s="20"/>
      <c r="G26" s="18"/>
      <c r="K26" s="19"/>
      <c r="M26" s="6"/>
    </row>
    <row r="27" spans="3:13">
      <c r="E27" s="19"/>
      <c r="F27" s="20"/>
      <c r="G27" s="18"/>
      <c r="K27" s="19"/>
      <c r="M27" s="6"/>
    </row>
    <row r="28" spans="3:13">
      <c r="E28" s="5"/>
      <c r="F28" s="10"/>
      <c r="G28" s="5"/>
      <c r="K28" s="19"/>
      <c r="M28" s="6"/>
    </row>
    <row r="29" spans="3:13" ht="14">
      <c r="C29" s="14"/>
      <c r="D29" s="15"/>
      <c r="E29" s="5"/>
      <c r="F29" s="10"/>
      <c r="G29" s="5"/>
      <c r="K29" s="19"/>
      <c r="M29" s="6"/>
    </row>
    <row r="30" spans="3:13" ht="14">
      <c r="C30" s="1"/>
      <c r="D30" s="1"/>
      <c r="E30" s="1"/>
      <c r="F30" s="42"/>
      <c r="G30" s="1"/>
      <c r="K30" s="19"/>
      <c r="M30" s="6"/>
    </row>
    <row r="31" spans="3:13">
      <c r="E31" s="19"/>
      <c r="F31" s="20"/>
      <c r="G31" s="18"/>
      <c r="K31" s="19"/>
      <c r="M31" s="6"/>
    </row>
    <row r="32" spans="3:13">
      <c r="E32" s="5"/>
      <c r="F32" s="10"/>
      <c r="G32" s="5"/>
      <c r="K32" s="19"/>
      <c r="M32" s="6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164062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6.6640625" style="5" customWidth="1"/>
    <col min="7" max="9" width="5.5" style="19" customWidth="1"/>
    <col min="10" max="10" width="4.83203125" style="19" customWidth="1"/>
    <col min="11" max="11" width="10.5" style="6" bestFit="1" customWidth="1"/>
    <col min="12" max="12" width="9.5" style="6" customWidth="1"/>
    <col min="13" max="13" width="17" style="5" customWidth="1"/>
    <col min="14" max="16384" width="9.1640625" style="3"/>
  </cols>
  <sheetData>
    <row r="1" spans="1:13" s="2" customFormat="1" ht="29" customHeight="1">
      <c r="A1" s="47" t="s">
        <v>423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444</v>
      </c>
      <c r="H3" s="61"/>
      <c r="I3" s="61"/>
      <c r="J3" s="61"/>
      <c r="K3" s="59" t="s">
        <v>202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123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7" t="s">
        <v>206</v>
      </c>
      <c r="C6" s="7" t="s">
        <v>207</v>
      </c>
      <c r="D6" s="7" t="s">
        <v>208</v>
      </c>
      <c r="E6" s="8" t="s">
        <v>448</v>
      </c>
      <c r="F6" s="7" t="s">
        <v>209</v>
      </c>
      <c r="G6" s="21" t="s">
        <v>46</v>
      </c>
      <c r="H6" s="23" t="s">
        <v>50</v>
      </c>
      <c r="I6" s="22"/>
      <c r="J6" s="22"/>
      <c r="K6" s="9" t="str">
        <f>"80,0"</f>
        <v>80,0</v>
      </c>
      <c r="L6" s="9" t="str">
        <f>"44,0000"</f>
        <v>44,0000</v>
      </c>
      <c r="M6" s="7" t="s">
        <v>429</v>
      </c>
    </row>
    <row r="8" spans="1:13" ht="16">
      <c r="F8" s="11"/>
      <c r="G8" s="5"/>
      <c r="K8" s="19"/>
      <c r="M8" s="6"/>
    </row>
    <row r="9" spans="1:13" ht="16">
      <c r="F9" s="11"/>
      <c r="G9" s="5"/>
      <c r="K9" s="19"/>
      <c r="M9" s="6"/>
    </row>
    <row r="10" spans="1:13" ht="16">
      <c r="F10" s="11"/>
      <c r="G10" s="5"/>
      <c r="K10" s="19"/>
      <c r="M10" s="6"/>
    </row>
    <row r="11" spans="1:13" ht="16">
      <c r="F11" s="11"/>
      <c r="G11" s="5"/>
      <c r="K11" s="19"/>
      <c r="M11" s="6"/>
    </row>
    <row r="12" spans="1:13" ht="16">
      <c r="F12" s="11"/>
      <c r="G12" s="5"/>
      <c r="K12" s="19"/>
      <c r="M12" s="6"/>
    </row>
    <row r="13" spans="1:13" ht="16">
      <c r="F13" s="11"/>
      <c r="G13" s="5"/>
      <c r="K13" s="19"/>
      <c r="M13" s="6"/>
    </row>
    <row r="14" spans="1:13" ht="16">
      <c r="F14" s="11"/>
      <c r="G14" s="5"/>
      <c r="K14" s="19"/>
      <c r="M14" s="6"/>
    </row>
    <row r="15" spans="1:13">
      <c r="G15" s="5"/>
      <c r="K15" s="19"/>
      <c r="M15" s="6"/>
    </row>
    <row r="16" spans="1:13" ht="18">
      <c r="C16" s="12"/>
      <c r="D16" s="12"/>
      <c r="E16" s="5"/>
      <c r="F16" s="10"/>
      <c r="G16" s="5"/>
      <c r="K16" s="19"/>
      <c r="M16" s="6"/>
    </row>
    <row r="17" spans="3:13" ht="16">
      <c r="C17" s="13"/>
      <c r="D17" s="13"/>
      <c r="E17" s="5"/>
      <c r="F17" s="10"/>
      <c r="G17" s="5"/>
      <c r="K17" s="19"/>
      <c r="M17" s="6"/>
    </row>
    <row r="18" spans="3:13" ht="14">
      <c r="C18" s="14"/>
      <c r="D18" s="15"/>
      <c r="E18" s="5"/>
      <c r="F18" s="10"/>
      <c r="G18" s="5"/>
      <c r="K18" s="19"/>
      <c r="M18" s="6"/>
    </row>
    <row r="19" spans="3:13" ht="14">
      <c r="C19" s="1"/>
      <c r="D19" s="1"/>
      <c r="E19" s="1"/>
      <c r="F19" s="42"/>
      <c r="G19" s="1"/>
      <c r="K19" s="19"/>
      <c r="M19" s="6"/>
    </row>
    <row r="20" spans="3:13">
      <c r="E20" s="19"/>
      <c r="F20" s="20"/>
      <c r="G20" s="18"/>
      <c r="K20" s="19"/>
      <c r="M20" s="6"/>
    </row>
    <row r="21" spans="3:13">
      <c r="E21" s="5"/>
      <c r="F21" s="10"/>
      <c r="G21" s="5"/>
      <c r="K21" s="19"/>
      <c r="M21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7.5" style="6" bestFit="1" customWidth="1"/>
    <col min="17" max="17" width="15.5" style="5" bestFit="1" customWidth="1"/>
    <col min="18" max="16384" width="9.1640625" style="3"/>
  </cols>
  <sheetData>
    <row r="1" spans="1:17" s="2" customFormat="1" ht="29" customHeight="1">
      <c r="A1" s="47" t="s">
        <v>424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444</v>
      </c>
      <c r="H3" s="61"/>
      <c r="I3" s="61"/>
      <c r="J3" s="61"/>
      <c r="K3" s="61" t="s">
        <v>402</v>
      </c>
      <c r="L3" s="61"/>
      <c r="M3" s="61"/>
      <c r="N3" s="61"/>
      <c r="O3" s="59" t="s">
        <v>1</v>
      </c>
      <c r="P3" s="59" t="s">
        <v>3</v>
      </c>
      <c r="Q3" s="64" t="s">
        <v>2</v>
      </c>
    </row>
    <row r="4" spans="1:17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0"/>
      <c r="P4" s="60"/>
      <c r="Q4" s="65"/>
    </row>
    <row r="5" spans="1:17" ht="16">
      <c r="A5" s="66" t="s">
        <v>31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22" t="s">
        <v>30</v>
      </c>
      <c r="B6" s="7" t="s">
        <v>77</v>
      </c>
      <c r="C6" s="7" t="s">
        <v>78</v>
      </c>
      <c r="D6" s="7" t="s">
        <v>79</v>
      </c>
      <c r="E6" s="8" t="s">
        <v>448</v>
      </c>
      <c r="F6" s="7" t="s">
        <v>44</v>
      </c>
      <c r="G6" s="21" t="s">
        <v>400</v>
      </c>
      <c r="H6" s="21" t="s">
        <v>47</v>
      </c>
      <c r="I6" s="21" t="s">
        <v>49</v>
      </c>
      <c r="J6" s="22"/>
      <c r="K6" s="21" t="s">
        <v>400</v>
      </c>
      <c r="L6" s="21" t="s">
        <v>401</v>
      </c>
      <c r="M6" s="21" t="s">
        <v>47</v>
      </c>
      <c r="N6" s="22"/>
      <c r="O6" s="9" t="str">
        <f>"75,0"</f>
        <v>75,0</v>
      </c>
      <c r="P6" s="9" t="str">
        <f>"49,7175"</f>
        <v>49,7175</v>
      </c>
      <c r="Q6" s="7"/>
    </row>
    <row r="8" spans="1:17" ht="16">
      <c r="F8" s="11"/>
      <c r="G8" s="5"/>
    </row>
    <row r="9" spans="1:17" ht="16">
      <c r="F9" s="11"/>
      <c r="G9" s="5"/>
    </row>
    <row r="10" spans="1:17" ht="16">
      <c r="F10" s="11"/>
      <c r="G10" s="5"/>
    </row>
    <row r="11" spans="1:17" ht="16">
      <c r="F11" s="11"/>
      <c r="G11" s="5"/>
    </row>
    <row r="12" spans="1:17" ht="16">
      <c r="F12" s="11"/>
      <c r="G12" s="5"/>
    </row>
    <row r="13" spans="1:17" ht="16">
      <c r="F13" s="11"/>
      <c r="G13" s="5"/>
    </row>
    <row r="14" spans="1:17" ht="16">
      <c r="F14" s="11"/>
      <c r="G14" s="5"/>
    </row>
    <row r="15" spans="1:17">
      <c r="G15" s="5"/>
    </row>
    <row r="16" spans="1:17" ht="18">
      <c r="C16" s="12"/>
      <c r="D16" s="12"/>
      <c r="E16" s="5"/>
      <c r="F16" s="10"/>
      <c r="G16" s="5"/>
    </row>
    <row r="17" spans="3:7" ht="16">
      <c r="C17" s="13"/>
      <c r="D17" s="13"/>
      <c r="E17" s="5"/>
      <c r="F17" s="10"/>
      <c r="G17" s="5"/>
    </row>
    <row r="18" spans="3:7" ht="14">
      <c r="C18" s="14"/>
      <c r="D18" s="15"/>
      <c r="E18" s="5"/>
      <c r="F18" s="10"/>
      <c r="G18" s="5"/>
    </row>
    <row r="19" spans="3:7" ht="14">
      <c r="C19" s="1"/>
      <c r="D19" s="1"/>
      <c r="E19" s="1"/>
      <c r="F19" s="42"/>
      <c r="G19" s="1"/>
    </row>
    <row r="20" spans="3:7">
      <c r="E20" s="19"/>
      <c r="F20" s="20"/>
      <c r="G20" s="18"/>
    </row>
    <row r="21" spans="3:7">
      <c r="E21" s="5"/>
      <c r="F21" s="10"/>
      <c r="G21" s="5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1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6640625" style="5" bestFit="1" customWidth="1"/>
    <col min="4" max="4" width="21.5" style="5" bestFit="1" customWidth="1"/>
    <col min="5" max="5" width="10.5" style="10" bestFit="1" customWidth="1"/>
    <col min="6" max="6" width="31.6640625" style="5" bestFit="1" customWidth="1"/>
    <col min="7" max="9" width="5.5" style="19" customWidth="1"/>
    <col min="10" max="10" width="4.83203125" style="19" customWidth="1"/>
    <col min="11" max="11" width="10.5" style="20" bestFit="1" customWidth="1"/>
    <col min="12" max="12" width="8.5" style="6" customWidth="1"/>
    <col min="13" max="13" width="21.33203125" style="5" customWidth="1"/>
    <col min="14" max="16384" width="9.1640625" style="3"/>
  </cols>
  <sheetData>
    <row r="1" spans="1:13" s="2" customFormat="1" ht="29" customHeight="1">
      <c r="A1" s="47" t="s">
        <v>425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444</v>
      </c>
      <c r="H3" s="61"/>
      <c r="I3" s="61"/>
      <c r="J3" s="61"/>
      <c r="K3" s="70" t="s">
        <v>202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71"/>
      <c r="L4" s="60"/>
      <c r="M4" s="65"/>
    </row>
    <row r="5" spans="1:13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39</v>
      </c>
      <c r="B6" s="7" t="s">
        <v>392</v>
      </c>
      <c r="C6" s="7" t="s">
        <v>439</v>
      </c>
      <c r="D6" s="7" t="s">
        <v>393</v>
      </c>
      <c r="E6" s="8" t="s">
        <v>456</v>
      </c>
      <c r="F6" s="7" t="s">
        <v>442</v>
      </c>
      <c r="G6" s="23" t="s">
        <v>56</v>
      </c>
      <c r="H6" s="23" t="s">
        <v>17</v>
      </c>
      <c r="I6" s="23" t="s">
        <v>17</v>
      </c>
      <c r="J6" s="22"/>
      <c r="K6" s="43">
        <v>0</v>
      </c>
      <c r="L6" s="9" t="str">
        <f>"0,0000"</f>
        <v>0,0000</v>
      </c>
      <c r="M6" s="7"/>
    </row>
    <row r="8" spans="1:13" ht="16">
      <c r="A8" s="62" t="s">
        <v>70</v>
      </c>
      <c r="B8" s="62"/>
      <c r="C8" s="62"/>
      <c r="D8" s="62"/>
      <c r="E8" s="63"/>
      <c r="F8" s="62"/>
      <c r="G8" s="62"/>
      <c r="H8" s="62"/>
      <c r="I8" s="62"/>
      <c r="J8" s="62"/>
    </row>
    <row r="9" spans="1:13">
      <c r="A9" s="22" t="s">
        <v>30</v>
      </c>
      <c r="B9" s="7" t="s">
        <v>394</v>
      </c>
      <c r="C9" s="7" t="s">
        <v>440</v>
      </c>
      <c r="D9" s="7" t="s">
        <v>395</v>
      </c>
      <c r="E9" s="8" t="s">
        <v>456</v>
      </c>
      <c r="F9" s="7" t="s">
        <v>396</v>
      </c>
      <c r="G9" s="23" t="s">
        <v>68</v>
      </c>
      <c r="H9" s="21" t="s">
        <v>17</v>
      </c>
      <c r="I9" s="21" t="s">
        <v>90</v>
      </c>
      <c r="J9" s="22"/>
      <c r="K9" s="43" t="str">
        <f>"62,5"</f>
        <v>62,5</v>
      </c>
      <c r="L9" s="9" t="str">
        <f>"45,0281"</f>
        <v>45,0281</v>
      </c>
      <c r="M9" s="7"/>
    </row>
    <row r="11" spans="1:13" ht="16">
      <c r="A11" s="62" t="s">
        <v>86</v>
      </c>
      <c r="B11" s="62"/>
      <c r="C11" s="62"/>
      <c r="D11" s="62"/>
      <c r="E11" s="63"/>
      <c r="F11" s="62"/>
      <c r="G11" s="62"/>
      <c r="H11" s="62"/>
      <c r="I11" s="62"/>
      <c r="J11" s="62"/>
    </row>
    <row r="12" spans="1:13">
      <c r="A12" s="22" t="s">
        <v>30</v>
      </c>
      <c r="B12" s="7" t="s">
        <v>397</v>
      </c>
      <c r="C12" s="7" t="s">
        <v>398</v>
      </c>
      <c r="D12" s="7" t="s">
        <v>399</v>
      </c>
      <c r="E12" s="8" t="s">
        <v>448</v>
      </c>
      <c r="F12" s="7" t="s">
        <v>44</v>
      </c>
      <c r="G12" s="21" t="s">
        <v>58</v>
      </c>
      <c r="H12" s="21" t="s">
        <v>45</v>
      </c>
      <c r="I12" s="22"/>
      <c r="J12" s="22"/>
      <c r="K12" s="43" t="str">
        <f>"75,0"</f>
        <v>75,0</v>
      </c>
      <c r="L12" s="9" t="str">
        <f>"44,8500"</f>
        <v>44,8500</v>
      </c>
      <c r="M12" s="7"/>
    </row>
    <row r="14" spans="1:13" ht="16">
      <c r="F14" s="11"/>
      <c r="G14" s="5"/>
      <c r="M14" s="6"/>
    </row>
    <row r="15" spans="1:13" ht="16">
      <c r="F15" s="11"/>
      <c r="G15" s="5"/>
      <c r="M15" s="6"/>
    </row>
    <row r="16" spans="1:13" ht="16">
      <c r="F16" s="11"/>
      <c r="G16" s="5"/>
      <c r="M16" s="6"/>
    </row>
    <row r="17" spans="3:13" ht="16">
      <c r="F17" s="11"/>
      <c r="G17" s="5"/>
      <c r="M17" s="6"/>
    </row>
    <row r="18" spans="3:13" ht="16">
      <c r="F18" s="11"/>
      <c r="G18" s="5"/>
      <c r="M18" s="6"/>
    </row>
    <row r="19" spans="3:13" ht="16">
      <c r="F19" s="11"/>
      <c r="G19" s="5"/>
      <c r="M19" s="6"/>
    </row>
    <row r="20" spans="3:13" ht="16">
      <c r="F20" s="11"/>
      <c r="G20" s="5"/>
      <c r="M20" s="6"/>
    </row>
    <row r="21" spans="3:13">
      <c r="G21" s="5"/>
      <c r="M21" s="6"/>
    </row>
    <row r="22" spans="3:13" ht="18">
      <c r="C22" s="12"/>
      <c r="D22" s="12"/>
      <c r="E22" s="5"/>
      <c r="F22" s="10"/>
      <c r="G22" s="5"/>
      <c r="M22" s="6"/>
    </row>
    <row r="23" spans="3:13" ht="16">
      <c r="C23" s="13"/>
      <c r="D23" s="13"/>
      <c r="E23" s="5"/>
      <c r="F23" s="10"/>
      <c r="G23" s="5"/>
      <c r="M23" s="6"/>
    </row>
    <row r="24" spans="3:13" ht="14">
      <c r="C24" s="14"/>
      <c r="D24" s="15"/>
      <c r="E24" s="5"/>
      <c r="F24" s="10"/>
      <c r="G24" s="5"/>
      <c r="M24" s="6"/>
    </row>
    <row r="25" spans="3:13" ht="14">
      <c r="C25" s="1"/>
      <c r="D25" s="1"/>
      <c r="E25" s="1"/>
      <c r="F25" s="42"/>
      <c r="G25" s="1"/>
      <c r="M25" s="6"/>
    </row>
    <row r="26" spans="3:13">
      <c r="E26" s="19"/>
      <c r="F26" s="20"/>
      <c r="G26" s="18"/>
      <c r="M26" s="6"/>
    </row>
    <row r="27" spans="3:13">
      <c r="E27" s="5"/>
      <c r="F27" s="10"/>
      <c r="G27" s="5"/>
      <c r="M27" s="6"/>
    </row>
    <row r="28" spans="3:13" ht="14">
      <c r="C28" s="14"/>
      <c r="D28" s="15"/>
      <c r="E28" s="5"/>
      <c r="F28" s="10"/>
      <c r="G28" s="5"/>
      <c r="M28" s="6"/>
    </row>
    <row r="29" spans="3:13" ht="14">
      <c r="C29" s="1"/>
      <c r="D29" s="1"/>
      <c r="E29" s="1"/>
      <c r="F29" s="42"/>
      <c r="G29" s="1"/>
      <c r="M29" s="6"/>
    </row>
    <row r="30" spans="3:13">
      <c r="E30" s="19"/>
      <c r="F30" s="20"/>
      <c r="G30" s="18"/>
      <c r="M30" s="6"/>
    </row>
    <row r="31" spans="3:13">
      <c r="E31" s="5"/>
      <c r="F31" s="10"/>
      <c r="G31" s="5"/>
      <c r="M31" s="6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5"/>
  <sheetViews>
    <sheetView tabSelected="1"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10.6640625" style="6" customWidth="1"/>
    <col min="13" max="13" width="22.6640625" style="5" customWidth="1"/>
    <col min="14" max="16384" width="9.1640625" style="3"/>
  </cols>
  <sheetData>
    <row r="1" spans="1:13" s="2" customFormat="1" ht="29" customHeight="1">
      <c r="A1" s="47" t="s">
        <v>426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444</v>
      </c>
      <c r="H3" s="61"/>
      <c r="I3" s="61"/>
      <c r="J3" s="61"/>
      <c r="K3" s="59" t="s">
        <v>202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178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7" t="s">
        <v>387</v>
      </c>
      <c r="C6" s="7" t="s">
        <v>388</v>
      </c>
      <c r="D6" s="7" t="s">
        <v>293</v>
      </c>
      <c r="E6" s="8" t="s">
        <v>448</v>
      </c>
      <c r="F6" s="7" t="s">
        <v>44</v>
      </c>
      <c r="G6" s="21" t="s">
        <v>45</v>
      </c>
      <c r="H6" s="21" t="s">
        <v>46</v>
      </c>
      <c r="I6" s="23" t="s">
        <v>50</v>
      </c>
      <c r="J6" s="22"/>
      <c r="K6" s="9" t="str">
        <f>"80,0"</f>
        <v>80,0</v>
      </c>
      <c r="L6" s="9" t="str">
        <f>"48,9800"</f>
        <v>48,9800</v>
      </c>
      <c r="M6" s="7" t="s">
        <v>443</v>
      </c>
    </row>
    <row r="8" spans="1:13" ht="16">
      <c r="A8" s="62" t="s">
        <v>86</v>
      </c>
      <c r="B8" s="62"/>
      <c r="C8" s="62"/>
      <c r="D8" s="62"/>
      <c r="E8" s="63"/>
      <c r="F8" s="62"/>
      <c r="G8" s="62"/>
      <c r="H8" s="62"/>
      <c r="I8" s="62"/>
      <c r="J8" s="62"/>
    </row>
    <row r="9" spans="1:13">
      <c r="A9" s="22" t="s">
        <v>30</v>
      </c>
      <c r="B9" s="7" t="s">
        <v>389</v>
      </c>
      <c r="C9" s="7" t="s">
        <v>390</v>
      </c>
      <c r="D9" s="7" t="s">
        <v>391</v>
      </c>
      <c r="E9" s="8" t="s">
        <v>448</v>
      </c>
      <c r="F9" s="7" t="s">
        <v>44</v>
      </c>
      <c r="G9" s="21" t="s">
        <v>68</v>
      </c>
      <c r="H9" s="21" t="s">
        <v>57</v>
      </c>
      <c r="I9" s="23" t="s">
        <v>18</v>
      </c>
      <c r="J9" s="22"/>
      <c r="K9" s="9" t="str">
        <f>"60,0"</f>
        <v>60,0</v>
      </c>
      <c r="L9" s="9" t="str">
        <f>"34,9230"</f>
        <v>34,9230</v>
      </c>
      <c r="M9" s="7" t="s">
        <v>239</v>
      </c>
    </row>
    <row r="11" spans="1:13" ht="16">
      <c r="F11" s="11"/>
      <c r="G11" s="5"/>
      <c r="K11" s="19"/>
      <c r="M11" s="6"/>
    </row>
    <row r="12" spans="1:13" ht="16">
      <c r="F12" s="11"/>
      <c r="G12" s="5"/>
      <c r="K12" s="19"/>
      <c r="M12" s="6"/>
    </row>
    <row r="13" spans="1:13" ht="16">
      <c r="F13" s="11"/>
      <c r="G13" s="5"/>
      <c r="K13" s="19"/>
      <c r="M13" s="6"/>
    </row>
    <row r="14" spans="1:13" ht="16">
      <c r="F14" s="11"/>
      <c r="G14" s="5"/>
      <c r="K14" s="19"/>
      <c r="M14" s="6"/>
    </row>
    <row r="15" spans="1:13" ht="16">
      <c r="F15" s="11"/>
      <c r="G15" s="5"/>
      <c r="K15" s="19"/>
      <c r="M15" s="6"/>
    </row>
    <row r="16" spans="1:13" ht="16">
      <c r="F16" s="11"/>
      <c r="G16" s="5"/>
      <c r="K16" s="19"/>
      <c r="M16" s="6"/>
    </row>
    <row r="17" spans="3:13" ht="16">
      <c r="F17" s="11"/>
      <c r="G17" s="5"/>
      <c r="K17" s="19"/>
      <c r="M17" s="6"/>
    </row>
    <row r="18" spans="3:13">
      <c r="G18" s="5"/>
      <c r="K18" s="19"/>
      <c r="M18" s="6"/>
    </row>
    <row r="19" spans="3:13" ht="18">
      <c r="C19" s="12"/>
      <c r="D19" s="12"/>
      <c r="E19" s="5"/>
      <c r="F19" s="10"/>
      <c r="G19" s="5"/>
      <c r="K19" s="19"/>
      <c r="M19" s="6"/>
    </row>
    <row r="20" spans="3:13" ht="16">
      <c r="C20" s="13"/>
      <c r="D20" s="13"/>
      <c r="E20" s="5"/>
      <c r="F20" s="10"/>
      <c r="G20" s="5"/>
      <c r="K20" s="19"/>
      <c r="M20" s="6"/>
    </row>
    <row r="21" spans="3:13" ht="14">
      <c r="C21" s="14"/>
      <c r="D21" s="15"/>
      <c r="E21" s="5"/>
      <c r="F21" s="10"/>
      <c r="G21" s="5"/>
      <c r="K21" s="19"/>
      <c r="M21" s="6"/>
    </row>
    <row r="22" spans="3:13" ht="14">
      <c r="C22" s="1"/>
      <c r="D22" s="1"/>
      <c r="E22" s="1"/>
      <c r="F22" s="42"/>
      <c r="G22" s="1"/>
      <c r="K22" s="19"/>
      <c r="M22" s="6"/>
    </row>
    <row r="23" spans="3:13">
      <c r="E23" s="19"/>
      <c r="F23" s="20"/>
      <c r="G23" s="18"/>
      <c r="K23" s="19"/>
      <c r="M23" s="6"/>
    </row>
    <row r="24" spans="3:13">
      <c r="E24" s="19"/>
      <c r="F24" s="20"/>
      <c r="G24" s="18"/>
      <c r="K24" s="19"/>
      <c r="M24" s="6"/>
    </row>
    <row r="25" spans="3:13">
      <c r="E25" s="5"/>
      <c r="F25" s="10"/>
      <c r="G25" s="5"/>
      <c r="K25" s="19"/>
      <c r="M25" s="6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50"/>
  <sheetViews>
    <sheetView workbookViewId="0">
      <selection activeCell="E29" sqref="E29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31.332031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20" bestFit="1" customWidth="1"/>
    <col min="20" max="20" width="8.5" style="6" bestFit="1" customWidth="1"/>
    <col min="21" max="21" width="27.5" style="5" bestFit="1" customWidth="1"/>
    <col min="22" max="16384" width="9.1640625" style="3"/>
  </cols>
  <sheetData>
    <row r="1" spans="1:21" s="2" customFormat="1" ht="29" customHeight="1">
      <c r="A1" s="47" t="s">
        <v>409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7</v>
      </c>
      <c r="H3" s="61"/>
      <c r="I3" s="61"/>
      <c r="J3" s="61"/>
      <c r="K3" s="61" t="s">
        <v>8</v>
      </c>
      <c r="L3" s="61"/>
      <c r="M3" s="61"/>
      <c r="N3" s="61"/>
      <c r="O3" s="61" t="s">
        <v>9</v>
      </c>
      <c r="P3" s="61"/>
      <c r="Q3" s="61"/>
      <c r="R3" s="61"/>
      <c r="S3" s="70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1"/>
      <c r="T4" s="60"/>
      <c r="U4" s="65"/>
    </row>
    <row r="5" spans="1:21" ht="16">
      <c r="A5" s="66" t="s">
        <v>40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22" t="s">
        <v>30</v>
      </c>
      <c r="B6" s="7" t="s">
        <v>41</v>
      </c>
      <c r="C6" s="7" t="s">
        <v>42</v>
      </c>
      <c r="D6" s="7" t="s">
        <v>43</v>
      </c>
      <c r="E6" s="8" t="s">
        <v>448</v>
      </c>
      <c r="F6" s="7" t="s">
        <v>44</v>
      </c>
      <c r="G6" s="21" t="s">
        <v>45</v>
      </c>
      <c r="H6" s="23" t="s">
        <v>46</v>
      </c>
      <c r="I6" s="23" t="s">
        <v>46</v>
      </c>
      <c r="J6" s="22"/>
      <c r="K6" s="21" t="s">
        <v>47</v>
      </c>
      <c r="L6" s="21" t="s">
        <v>48</v>
      </c>
      <c r="M6" s="23" t="s">
        <v>49</v>
      </c>
      <c r="N6" s="22"/>
      <c r="O6" s="21" t="s">
        <v>46</v>
      </c>
      <c r="P6" s="21" t="s">
        <v>50</v>
      </c>
      <c r="Q6" s="21" t="s">
        <v>51</v>
      </c>
      <c r="R6" s="22"/>
      <c r="S6" s="43" t="str">
        <f>"202,5"</f>
        <v>202,5</v>
      </c>
      <c r="T6" s="9" t="str">
        <f>"255,4740"</f>
        <v>255,4740</v>
      </c>
      <c r="U6" s="7" t="s">
        <v>428</v>
      </c>
    </row>
    <row r="8" spans="1:21" ht="16">
      <c r="A8" s="62" t="s">
        <v>52</v>
      </c>
      <c r="B8" s="62"/>
      <c r="C8" s="62"/>
      <c r="D8" s="62"/>
      <c r="E8" s="63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21">
      <c r="A9" s="22" t="s">
        <v>30</v>
      </c>
      <c r="B9" s="7" t="s">
        <v>53</v>
      </c>
      <c r="C9" s="7" t="s">
        <v>54</v>
      </c>
      <c r="D9" s="7" t="s">
        <v>55</v>
      </c>
      <c r="E9" s="8" t="s">
        <v>448</v>
      </c>
      <c r="F9" s="7" t="s">
        <v>430</v>
      </c>
      <c r="G9" s="21" t="s">
        <v>56</v>
      </c>
      <c r="H9" s="21" t="s">
        <v>57</v>
      </c>
      <c r="I9" s="21" t="s">
        <v>58</v>
      </c>
      <c r="J9" s="22"/>
      <c r="K9" s="23" t="s">
        <v>49</v>
      </c>
      <c r="L9" s="21" t="s">
        <v>49</v>
      </c>
      <c r="M9" s="23" t="s">
        <v>59</v>
      </c>
      <c r="N9" s="22"/>
      <c r="O9" s="21" t="s">
        <v>45</v>
      </c>
      <c r="P9" s="21" t="s">
        <v>50</v>
      </c>
      <c r="Q9" s="21" t="s">
        <v>60</v>
      </c>
      <c r="R9" s="22"/>
      <c r="S9" s="43" t="str">
        <f>"205,0"</f>
        <v>205,0</v>
      </c>
      <c r="T9" s="9" t="str">
        <f>"229,7435"</f>
        <v>229,7435</v>
      </c>
      <c r="U9" s="7" t="s">
        <v>22</v>
      </c>
    </row>
    <row r="11" spans="1:21" ht="16">
      <c r="A11" s="62" t="s">
        <v>61</v>
      </c>
      <c r="B11" s="62"/>
      <c r="C11" s="62"/>
      <c r="D11" s="62"/>
      <c r="E11" s="63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1:21">
      <c r="A12" s="22" t="s">
        <v>30</v>
      </c>
      <c r="B12" s="7" t="s">
        <v>62</v>
      </c>
      <c r="C12" s="7" t="s">
        <v>63</v>
      </c>
      <c r="D12" s="7" t="s">
        <v>64</v>
      </c>
      <c r="E12" s="8" t="s">
        <v>448</v>
      </c>
      <c r="F12" s="7" t="s">
        <v>430</v>
      </c>
      <c r="G12" s="21" t="s">
        <v>45</v>
      </c>
      <c r="H12" s="21" t="s">
        <v>46</v>
      </c>
      <c r="I12" s="21" t="s">
        <v>65</v>
      </c>
      <c r="J12" s="22"/>
      <c r="K12" s="21" t="s">
        <v>66</v>
      </c>
      <c r="L12" s="21" t="s">
        <v>67</v>
      </c>
      <c r="M12" s="21" t="s">
        <v>68</v>
      </c>
      <c r="N12" s="22"/>
      <c r="O12" s="21" t="s">
        <v>50</v>
      </c>
      <c r="P12" s="21" t="s">
        <v>60</v>
      </c>
      <c r="Q12" s="21" t="s">
        <v>69</v>
      </c>
      <c r="R12" s="22"/>
      <c r="S12" s="43" t="str">
        <f>"242,5"</f>
        <v>242,5</v>
      </c>
      <c r="T12" s="9" t="str">
        <f>"236,9952"</f>
        <v>236,9952</v>
      </c>
      <c r="U12" s="7" t="s">
        <v>22</v>
      </c>
    </row>
    <row r="14" spans="1:21" ht="16">
      <c r="A14" s="62" t="s">
        <v>70</v>
      </c>
      <c r="B14" s="62"/>
      <c r="C14" s="62"/>
      <c r="D14" s="62"/>
      <c r="E14" s="63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21">
      <c r="A15" s="22" t="s">
        <v>30</v>
      </c>
      <c r="B15" s="7" t="s">
        <v>71</v>
      </c>
      <c r="C15" s="7" t="s">
        <v>72</v>
      </c>
      <c r="D15" s="7" t="s">
        <v>73</v>
      </c>
      <c r="E15" s="8" t="s">
        <v>448</v>
      </c>
      <c r="F15" s="7" t="s">
        <v>431</v>
      </c>
      <c r="G15" s="23" t="s">
        <v>74</v>
      </c>
      <c r="H15" s="21" t="s">
        <v>75</v>
      </c>
      <c r="I15" s="23" t="s">
        <v>36</v>
      </c>
      <c r="J15" s="22"/>
      <c r="K15" s="21" t="s">
        <v>19</v>
      </c>
      <c r="L15" s="21" t="s">
        <v>15</v>
      </c>
      <c r="M15" s="21" t="s">
        <v>20</v>
      </c>
      <c r="N15" s="22"/>
      <c r="O15" s="21" t="s">
        <v>75</v>
      </c>
      <c r="P15" s="21" t="s">
        <v>76</v>
      </c>
      <c r="Q15" s="21" t="s">
        <v>36</v>
      </c>
      <c r="R15" s="22"/>
      <c r="S15" s="43" t="str">
        <f>"460,0"</f>
        <v>460,0</v>
      </c>
      <c r="T15" s="9" t="str">
        <f>"331,8440"</f>
        <v>331,8440</v>
      </c>
      <c r="U15" s="7"/>
    </row>
    <row r="17" spans="1:21" ht="16">
      <c r="A17" s="62" t="s">
        <v>31</v>
      </c>
      <c r="B17" s="62"/>
      <c r="C17" s="62"/>
      <c r="D17" s="62"/>
      <c r="E17" s="63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21">
      <c r="A18" s="35" t="s">
        <v>30</v>
      </c>
      <c r="B18" s="24" t="s">
        <v>77</v>
      </c>
      <c r="C18" s="24" t="s">
        <v>78</v>
      </c>
      <c r="D18" s="24" t="s">
        <v>79</v>
      </c>
      <c r="E18" s="25" t="s">
        <v>448</v>
      </c>
      <c r="F18" s="24" t="s">
        <v>44</v>
      </c>
      <c r="G18" s="33" t="s">
        <v>46</v>
      </c>
      <c r="H18" s="34" t="s">
        <v>46</v>
      </c>
      <c r="I18" s="33" t="s">
        <v>80</v>
      </c>
      <c r="J18" s="35"/>
      <c r="K18" s="34" t="s">
        <v>58</v>
      </c>
      <c r="L18" s="34" t="s">
        <v>81</v>
      </c>
      <c r="M18" s="33" t="s">
        <v>82</v>
      </c>
      <c r="N18" s="35"/>
      <c r="O18" s="34" t="s">
        <v>46</v>
      </c>
      <c r="P18" s="34" t="s">
        <v>60</v>
      </c>
      <c r="Q18" s="34" t="s">
        <v>69</v>
      </c>
      <c r="R18" s="35"/>
      <c r="S18" s="44" t="str">
        <f>"262,5"</f>
        <v>262,5</v>
      </c>
      <c r="T18" s="26" t="str">
        <f>"180,4950"</f>
        <v>180,4950</v>
      </c>
      <c r="U18" s="24"/>
    </row>
    <row r="19" spans="1:21">
      <c r="A19" s="37" t="s">
        <v>39</v>
      </c>
      <c r="B19" s="27" t="s">
        <v>83</v>
      </c>
      <c r="C19" s="27" t="s">
        <v>84</v>
      </c>
      <c r="D19" s="27" t="s">
        <v>85</v>
      </c>
      <c r="E19" s="28" t="s">
        <v>448</v>
      </c>
      <c r="F19" s="27" t="s">
        <v>44</v>
      </c>
      <c r="G19" s="36" t="s">
        <v>14</v>
      </c>
      <c r="H19" s="36" t="s">
        <v>14</v>
      </c>
      <c r="I19" s="36" t="s">
        <v>14</v>
      </c>
      <c r="J19" s="37"/>
      <c r="K19" s="36"/>
      <c r="L19" s="37"/>
      <c r="M19" s="37"/>
      <c r="N19" s="37"/>
      <c r="O19" s="36"/>
      <c r="P19" s="37"/>
      <c r="Q19" s="37"/>
      <c r="R19" s="37"/>
      <c r="S19" s="45">
        <v>0</v>
      </c>
      <c r="T19" s="29" t="str">
        <f>"0,0000"</f>
        <v>0,0000</v>
      </c>
      <c r="U19" s="27"/>
    </row>
    <row r="21" spans="1:21" ht="16">
      <c r="A21" s="62" t="s">
        <v>86</v>
      </c>
      <c r="B21" s="62"/>
      <c r="C21" s="62"/>
      <c r="D21" s="62"/>
      <c r="E21" s="63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</row>
    <row r="22" spans="1:21">
      <c r="A22" s="35" t="s">
        <v>30</v>
      </c>
      <c r="B22" s="24" t="s">
        <v>87</v>
      </c>
      <c r="C22" s="24" t="s">
        <v>88</v>
      </c>
      <c r="D22" s="24" t="s">
        <v>89</v>
      </c>
      <c r="E22" s="25" t="s">
        <v>452</v>
      </c>
      <c r="F22" s="24" t="s">
        <v>430</v>
      </c>
      <c r="G22" s="34" t="s">
        <v>46</v>
      </c>
      <c r="H22" s="34" t="s">
        <v>51</v>
      </c>
      <c r="I22" s="34" t="s">
        <v>60</v>
      </c>
      <c r="J22" s="35"/>
      <c r="K22" s="34" t="s">
        <v>56</v>
      </c>
      <c r="L22" s="33" t="s">
        <v>90</v>
      </c>
      <c r="M22" s="33" t="s">
        <v>90</v>
      </c>
      <c r="N22" s="35"/>
      <c r="O22" s="34" t="s">
        <v>51</v>
      </c>
      <c r="P22" s="34" t="s">
        <v>37</v>
      </c>
      <c r="Q22" s="34" t="s">
        <v>91</v>
      </c>
      <c r="R22" s="35"/>
      <c r="S22" s="44" t="str">
        <f>"260,0"</f>
        <v>260,0</v>
      </c>
      <c r="T22" s="26" t="str">
        <f>"163,4100"</f>
        <v>163,4100</v>
      </c>
      <c r="U22" s="24" t="s">
        <v>22</v>
      </c>
    </row>
    <row r="23" spans="1:21">
      <c r="A23" s="39" t="s">
        <v>30</v>
      </c>
      <c r="B23" s="30" t="s">
        <v>92</v>
      </c>
      <c r="C23" s="30" t="s">
        <v>93</v>
      </c>
      <c r="D23" s="30" t="s">
        <v>94</v>
      </c>
      <c r="E23" s="31" t="s">
        <v>448</v>
      </c>
      <c r="F23" s="30" t="s">
        <v>44</v>
      </c>
      <c r="G23" s="38" t="s">
        <v>95</v>
      </c>
      <c r="H23" s="38" t="s">
        <v>96</v>
      </c>
      <c r="I23" s="38" t="s">
        <v>97</v>
      </c>
      <c r="J23" s="39"/>
      <c r="K23" s="38" t="s">
        <v>98</v>
      </c>
      <c r="L23" s="38" t="s">
        <v>99</v>
      </c>
      <c r="M23" s="38" t="s">
        <v>100</v>
      </c>
      <c r="N23" s="39"/>
      <c r="O23" s="38" t="s">
        <v>101</v>
      </c>
      <c r="P23" s="38" t="s">
        <v>102</v>
      </c>
      <c r="Q23" s="38" t="s">
        <v>103</v>
      </c>
      <c r="R23" s="39"/>
      <c r="S23" s="46" t="str">
        <f>"787,5"</f>
        <v>787,5</v>
      </c>
      <c r="T23" s="32" t="str">
        <f>"485,3362"</f>
        <v>485,3362</v>
      </c>
      <c r="U23" s="30"/>
    </row>
    <row r="24" spans="1:21">
      <c r="A24" s="39" t="s">
        <v>135</v>
      </c>
      <c r="B24" s="30" t="s">
        <v>104</v>
      </c>
      <c r="C24" s="30" t="s">
        <v>105</v>
      </c>
      <c r="D24" s="30" t="s">
        <v>106</v>
      </c>
      <c r="E24" s="31" t="s">
        <v>448</v>
      </c>
      <c r="F24" s="30" t="s">
        <v>107</v>
      </c>
      <c r="G24" s="40" t="s">
        <v>108</v>
      </c>
      <c r="H24" s="38" t="s">
        <v>109</v>
      </c>
      <c r="I24" s="38" t="s">
        <v>110</v>
      </c>
      <c r="J24" s="39"/>
      <c r="K24" s="38" t="s">
        <v>75</v>
      </c>
      <c r="L24" s="38" t="s">
        <v>36</v>
      </c>
      <c r="M24" s="38" t="s">
        <v>111</v>
      </c>
      <c r="N24" s="39"/>
      <c r="O24" s="38" t="s">
        <v>112</v>
      </c>
      <c r="P24" s="38" t="s">
        <v>113</v>
      </c>
      <c r="Q24" s="40" t="s">
        <v>114</v>
      </c>
      <c r="R24" s="39"/>
      <c r="S24" s="46" t="str">
        <f>"665,0"</f>
        <v>665,0</v>
      </c>
      <c r="T24" s="32" t="str">
        <f>"408,9750"</f>
        <v>408,9750</v>
      </c>
      <c r="U24" s="30" t="s">
        <v>406</v>
      </c>
    </row>
    <row r="25" spans="1:21">
      <c r="A25" s="37" t="s">
        <v>136</v>
      </c>
      <c r="B25" s="27" t="s">
        <v>115</v>
      </c>
      <c r="C25" s="27" t="s">
        <v>116</v>
      </c>
      <c r="D25" s="27" t="s">
        <v>117</v>
      </c>
      <c r="E25" s="28" t="s">
        <v>448</v>
      </c>
      <c r="F25" s="27" t="s">
        <v>44</v>
      </c>
      <c r="G25" s="41" t="s">
        <v>118</v>
      </c>
      <c r="H25" s="41" t="s">
        <v>119</v>
      </c>
      <c r="I25" s="36" t="s">
        <v>120</v>
      </c>
      <c r="J25" s="37"/>
      <c r="K25" s="36" t="s">
        <v>74</v>
      </c>
      <c r="L25" s="36" t="s">
        <v>74</v>
      </c>
      <c r="M25" s="41" t="s">
        <v>74</v>
      </c>
      <c r="N25" s="37"/>
      <c r="O25" s="41" t="s">
        <v>121</v>
      </c>
      <c r="P25" s="41" t="s">
        <v>113</v>
      </c>
      <c r="Q25" s="36" t="s">
        <v>122</v>
      </c>
      <c r="R25" s="37"/>
      <c r="S25" s="45" t="str">
        <f>"650,0"</f>
        <v>650,0</v>
      </c>
      <c r="T25" s="29" t="str">
        <f>"402,0900"</f>
        <v>402,0900</v>
      </c>
      <c r="U25" s="27"/>
    </row>
    <row r="27" spans="1:21" ht="16">
      <c r="A27" s="62" t="s">
        <v>123</v>
      </c>
      <c r="B27" s="62"/>
      <c r="C27" s="62"/>
      <c r="D27" s="62"/>
      <c r="E27" s="63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</row>
    <row r="28" spans="1:21">
      <c r="A28" s="22" t="s">
        <v>30</v>
      </c>
      <c r="B28" s="7" t="s">
        <v>124</v>
      </c>
      <c r="C28" s="7" t="s">
        <v>125</v>
      </c>
      <c r="D28" s="7" t="s">
        <v>126</v>
      </c>
      <c r="E28" s="8" t="s">
        <v>448</v>
      </c>
      <c r="F28" s="7" t="s">
        <v>107</v>
      </c>
      <c r="G28" s="23" t="s">
        <v>127</v>
      </c>
      <c r="H28" s="21" t="s">
        <v>127</v>
      </c>
      <c r="I28" s="23" t="s">
        <v>121</v>
      </c>
      <c r="J28" s="22"/>
      <c r="K28" s="21" t="s">
        <v>38</v>
      </c>
      <c r="L28" s="21" t="s">
        <v>128</v>
      </c>
      <c r="M28" s="23" t="s">
        <v>129</v>
      </c>
      <c r="N28" s="22"/>
      <c r="O28" s="21" t="s">
        <v>130</v>
      </c>
      <c r="P28" s="23" t="s">
        <v>112</v>
      </c>
      <c r="Q28" s="22"/>
      <c r="R28" s="22"/>
      <c r="S28" s="43" t="str">
        <f>"642,5"</f>
        <v>642,5</v>
      </c>
      <c r="T28" s="9" t="str">
        <f>"369,9515"</f>
        <v>369,9515</v>
      </c>
      <c r="U28" s="7" t="s">
        <v>429</v>
      </c>
    </row>
    <row r="30" spans="1:21" ht="16">
      <c r="F30" s="11"/>
      <c r="G30" s="5"/>
    </row>
    <row r="31" spans="1:21" ht="16">
      <c r="F31" s="11"/>
      <c r="G31" s="5"/>
    </row>
    <row r="32" spans="1:21" ht="18">
      <c r="B32" s="12" t="s">
        <v>23</v>
      </c>
      <c r="D32" s="10"/>
      <c r="E32" s="11"/>
    </row>
    <row r="33" spans="2:7" ht="16">
      <c r="B33" s="13" t="s">
        <v>24</v>
      </c>
      <c r="D33" s="10"/>
      <c r="E33" s="11"/>
    </row>
    <row r="34" spans="2:7" ht="14">
      <c r="B34" s="14"/>
      <c r="C34" s="15" t="s">
        <v>132</v>
      </c>
    </row>
    <row r="35" spans="2:7" ht="14">
      <c r="B35" s="16" t="s">
        <v>25</v>
      </c>
      <c r="C35" s="16" t="s">
        <v>26</v>
      </c>
      <c r="D35" s="16" t="s">
        <v>405</v>
      </c>
      <c r="E35" s="17" t="s">
        <v>27</v>
      </c>
      <c r="F35" s="16" t="s">
        <v>28</v>
      </c>
    </row>
    <row r="36" spans="2:7">
      <c r="B36" s="5" t="s">
        <v>92</v>
      </c>
      <c r="C36" s="5" t="s">
        <v>132</v>
      </c>
      <c r="D36" s="19" t="s">
        <v>134</v>
      </c>
      <c r="E36" s="20">
        <v>787.5</v>
      </c>
      <c r="F36" s="18">
        <v>485.33623963594403</v>
      </c>
    </row>
    <row r="37" spans="2:7">
      <c r="B37" s="5" t="s">
        <v>104</v>
      </c>
      <c r="C37" s="5" t="s">
        <v>132</v>
      </c>
      <c r="D37" s="19" t="s">
        <v>134</v>
      </c>
      <c r="E37" s="20">
        <v>665</v>
      </c>
      <c r="F37" s="18">
        <v>408.97500634193398</v>
      </c>
    </row>
    <row r="38" spans="2:7">
      <c r="B38" s="5" t="s">
        <v>115</v>
      </c>
      <c r="C38" s="5" t="s">
        <v>132</v>
      </c>
      <c r="D38" s="19" t="s">
        <v>134</v>
      </c>
      <c r="E38" s="20">
        <v>650</v>
      </c>
      <c r="F38" s="18">
        <v>402.09000706672703</v>
      </c>
    </row>
    <row r="39" spans="2:7">
      <c r="E39" s="5"/>
      <c r="F39" s="10"/>
      <c r="G39" s="5"/>
    </row>
    <row r="40" spans="2:7" ht="14">
      <c r="C40" s="14"/>
      <c r="D40" s="15"/>
      <c r="E40" s="5"/>
      <c r="F40" s="10"/>
      <c r="G40" s="5"/>
    </row>
    <row r="41" spans="2:7" ht="14">
      <c r="C41" s="1"/>
      <c r="D41" s="1"/>
      <c r="E41" s="1"/>
      <c r="F41" s="42"/>
      <c r="G41" s="1"/>
    </row>
    <row r="42" spans="2:7">
      <c r="E42" s="19"/>
      <c r="F42" s="20"/>
      <c r="G42" s="18"/>
    </row>
    <row r="43" spans="2:7">
      <c r="E43" s="19"/>
      <c r="F43" s="20"/>
      <c r="G43" s="18"/>
    </row>
    <row r="44" spans="2:7">
      <c r="E44" s="5"/>
      <c r="F44" s="10"/>
      <c r="G44" s="5"/>
    </row>
    <row r="45" spans="2:7">
      <c r="E45" s="5"/>
      <c r="F45" s="10"/>
      <c r="G45" s="5"/>
    </row>
    <row r="46" spans="2:7" ht="16">
      <c r="D46" s="13"/>
      <c r="E46" s="5"/>
      <c r="F46" s="10"/>
      <c r="G46" s="5"/>
    </row>
    <row r="47" spans="2:7" ht="14">
      <c r="C47" s="14"/>
      <c r="D47" s="15"/>
      <c r="E47" s="5"/>
      <c r="F47" s="10"/>
      <c r="G47" s="5"/>
    </row>
    <row r="48" spans="2:7" ht="14">
      <c r="C48" s="1"/>
      <c r="D48" s="1"/>
      <c r="E48" s="1"/>
      <c r="F48" s="42"/>
      <c r="G48" s="1"/>
    </row>
    <row r="49" spans="5:7">
      <c r="E49" s="19"/>
      <c r="F49" s="20"/>
      <c r="G49" s="18"/>
    </row>
    <row r="50" spans="5:7">
      <c r="E50" s="5"/>
      <c r="F50" s="10"/>
      <c r="G50" s="5"/>
    </row>
  </sheetData>
  <mergeCells count="20">
    <mergeCell ref="A27:R27"/>
    <mergeCell ref="S3:S4"/>
    <mergeCell ref="T3:T4"/>
    <mergeCell ref="U3:U4"/>
    <mergeCell ref="A5:R5"/>
    <mergeCell ref="B3:B4"/>
    <mergeCell ref="A8:R8"/>
    <mergeCell ref="A11:R11"/>
    <mergeCell ref="A14:R14"/>
    <mergeCell ref="A17:R17"/>
    <mergeCell ref="A21:R21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1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33203125" style="5" bestFit="1" customWidth="1"/>
    <col min="4" max="4" width="15.5" style="5" bestFit="1" customWidth="1"/>
    <col min="5" max="5" width="11.1640625" style="10" customWidth="1"/>
    <col min="6" max="6" width="27.332031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6.5" style="6" bestFit="1" customWidth="1"/>
    <col min="21" max="21" width="19.1640625" style="5" customWidth="1"/>
    <col min="22" max="16384" width="9.1640625" style="3"/>
  </cols>
  <sheetData>
    <row r="1" spans="1:21" s="2" customFormat="1" ht="29" customHeight="1">
      <c r="A1" s="47" t="s">
        <v>410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7</v>
      </c>
      <c r="H3" s="61"/>
      <c r="I3" s="61"/>
      <c r="J3" s="61"/>
      <c r="K3" s="61" t="s">
        <v>8</v>
      </c>
      <c r="L3" s="61"/>
      <c r="M3" s="61"/>
      <c r="N3" s="61"/>
      <c r="O3" s="61" t="s">
        <v>9</v>
      </c>
      <c r="P3" s="61"/>
      <c r="Q3" s="61"/>
      <c r="R3" s="61"/>
      <c r="S3" s="59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60"/>
      <c r="U4" s="65"/>
    </row>
    <row r="5" spans="1:21" ht="16">
      <c r="A5" s="66" t="s">
        <v>31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22" t="s">
        <v>39</v>
      </c>
      <c r="B6" s="7" t="s">
        <v>32</v>
      </c>
      <c r="C6" s="7" t="s">
        <v>33</v>
      </c>
      <c r="D6" s="7" t="s">
        <v>34</v>
      </c>
      <c r="E6" s="8" t="s">
        <v>451</v>
      </c>
      <c r="F6" s="7" t="s">
        <v>35</v>
      </c>
      <c r="G6" s="23" t="s">
        <v>36</v>
      </c>
      <c r="H6" s="23" t="s">
        <v>36</v>
      </c>
      <c r="I6" s="23" t="s">
        <v>36</v>
      </c>
      <c r="J6" s="22"/>
      <c r="K6" s="23"/>
      <c r="L6" s="22"/>
      <c r="M6" s="22"/>
      <c r="N6" s="22"/>
      <c r="O6" s="23"/>
      <c r="P6" s="22"/>
      <c r="Q6" s="22"/>
      <c r="R6" s="22"/>
      <c r="S6" s="43">
        <v>0</v>
      </c>
      <c r="T6" s="9" t="str">
        <f>"0,0000"</f>
        <v>0,0000</v>
      </c>
      <c r="U6" s="7"/>
    </row>
    <row r="8" spans="1:21" ht="16">
      <c r="F8" s="11"/>
      <c r="G8" s="5"/>
    </row>
    <row r="9" spans="1:21" ht="16">
      <c r="F9" s="11"/>
      <c r="G9" s="5"/>
    </row>
    <row r="10" spans="1:21" ht="16">
      <c r="F10" s="11"/>
      <c r="G10" s="5"/>
    </row>
    <row r="11" spans="1:21" ht="16">
      <c r="F11" s="11"/>
      <c r="G11" s="5"/>
    </row>
    <row r="12" spans="1:21" ht="16">
      <c r="F12" s="11"/>
      <c r="G12" s="5"/>
    </row>
    <row r="13" spans="1:21" ht="16">
      <c r="F13" s="11"/>
      <c r="G13" s="5"/>
    </row>
    <row r="14" spans="1:21" ht="16">
      <c r="F14" s="11"/>
      <c r="G14" s="5"/>
    </row>
    <row r="15" spans="1:21">
      <c r="G15" s="5"/>
    </row>
    <row r="16" spans="1:21">
      <c r="E16" s="5"/>
    </row>
    <row r="17" spans="3:5" ht="18">
      <c r="C17" s="12"/>
      <c r="D17" s="12"/>
      <c r="E17" s="5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5">
    <pageSetUpPr fitToPage="1"/>
  </sheetPr>
  <dimension ref="A1:U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5" style="5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31.332031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7" width="5.5" style="19" customWidth="1"/>
    <col min="18" max="18" width="4.83203125" style="19" customWidth="1"/>
    <col min="19" max="19" width="7.83203125" style="6" bestFit="1" customWidth="1"/>
    <col min="20" max="20" width="8.5" style="6" bestFit="1" customWidth="1"/>
    <col min="21" max="21" width="16.33203125" style="5" bestFit="1" customWidth="1"/>
    <col min="22" max="16384" width="9.1640625" style="3"/>
  </cols>
  <sheetData>
    <row r="1" spans="1:21" s="2" customFormat="1" ht="29" customHeight="1">
      <c r="A1" s="47" t="s">
        <v>411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7</v>
      </c>
      <c r="H3" s="61"/>
      <c r="I3" s="61"/>
      <c r="J3" s="61"/>
      <c r="K3" s="61" t="s">
        <v>8</v>
      </c>
      <c r="L3" s="61"/>
      <c r="M3" s="61"/>
      <c r="N3" s="61"/>
      <c r="O3" s="61" t="s">
        <v>9</v>
      </c>
      <c r="P3" s="61"/>
      <c r="Q3" s="61"/>
      <c r="R3" s="61"/>
      <c r="S3" s="59" t="s">
        <v>1</v>
      </c>
      <c r="T3" s="59" t="s">
        <v>3</v>
      </c>
      <c r="U3" s="64" t="s">
        <v>2</v>
      </c>
    </row>
    <row r="4" spans="1:21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0"/>
      <c r="T4" s="60"/>
      <c r="U4" s="65"/>
    </row>
    <row r="5" spans="1:21" ht="16">
      <c r="A5" s="66" t="s">
        <v>10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22" t="s">
        <v>30</v>
      </c>
      <c r="B6" s="7" t="s">
        <v>11</v>
      </c>
      <c r="C6" s="7" t="s">
        <v>12</v>
      </c>
      <c r="D6" s="7" t="s">
        <v>13</v>
      </c>
      <c r="E6" s="8" t="s">
        <v>452</v>
      </c>
      <c r="F6" s="7" t="s">
        <v>430</v>
      </c>
      <c r="G6" s="21" t="s">
        <v>14</v>
      </c>
      <c r="H6" s="21" t="s">
        <v>15</v>
      </c>
      <c r="I6" s="21" t="s">
        <v>16</v>
      </c>
      <c r="J6" s="22"/>
      <c r="K6" s="21" t="s">
        <v>17</v>
      </c>
      <c r="L6" s="23" t="s">
        <v>18</v>
      </c>
      <c r="M6" s="21" t="s">
        <v>18</v>
      </c>
      <c r="N6" s="22"/>
      <c r="O6" s="21" t="s">
        <v>19</v>
      </c>
      <c r="P6" s="21" t="s">
        <v>20</v>
      </c>
      <c r="Q6" s="21" t="s">
        <v>21</v>
      </c>
      <c r="R6" s="22"/>
      <c r="S6" s="9" t="str">
        <f>"337,5"</f>
        <v>337,5</v>
      </c>
      <c r="T6" s="9" t="str">
        <f>"269,7638"</f>
        <v>269,7638</v>
      </c>
      <c r="U6" s="7" t="s">
        <v>22</v>
      </c>
    </row>
    <row r="8" spans="1:21" ht="16">
      <c r="F8" s="11"/>
      <c r="G8" s="5"/>
    </row>
    <row r="9" spans="1:21" ht="16">
      <c r="F9" s="11"/>
      <c r="G9" s="5"/>
    </row>
    <row r="10" spans="1:21" ht="16">
      <c r="F10" s="11"/>
      <c r="G10" s="5"/>
    </row>
    <row r="11" spans="1:21" ht="16">
      <c r="F11" s="11"/>
      <c r="G11" s="5"/>
    </row>
    <row r="12" spans="1:21" ht="16">
      <c r="F12" s="11"/>
      <c r="G12" s="5"/>
    </row>
    <row r="13" spans="1:21" ht="16">
      <c r="F13" s="11"/>
      <c r="G13" s="5"/>
    </row>
    <row r="14" spans="1:21" ht="16">
      <c r="F14" s="11"/>
      <c r="G14" s="5"/>
    </row>
    <row r="15" spans="1:21">
      <c r="G15" s="5"/>
    </row>
    <row r="16" spans="1:21" ht="18">
      <c r="C16" s="12"/>
      <c r="D16" s="12"/>
      <c r="E16" s="5"/>
      <c r="F16" s="10"/>
      <c r="G16" s="5"/>
    </row>
    <row r="17" spans="3:7" ht="16">
      <c r="C17" s="13"/>
      <c r="D17" s="13"/>
      <c r="E17" s="5"/>
      <c r="F17" s="10"/>
      <c r="G17" s="5"/>
    </row>
    <row r="18" spans="3:7" ht="14">
      <c r="C18" s="14"/>
      <c r="D18" s="15"/>
      <c r="E18" s="5"/>
      <c r="F18" s="10"/>
      <c r="G18" s="5"/>
    </row>
    <row r="19" spans="3:7" ht="14">
      <c r="C19" s="1"/>
      <c r="D19" s="1"/>
      <c r="E19" s="1"/>
      <c r="F19" s="42"/>
      <c r="G19" s="1"/>
    </row>
    <row r="20" spans="3:7">
      <c r="E20" s="19"/>
      <c r="F20" s="20"/>
      <c r="G20" s="18"/>
    </row>
    <row r="21" spans="3:7">
      <c r="E21" s="5"/>
      <c r="F21" s="10"/>
      <c r="G21" s="5"/>
    </row>
  </sheetData>
  <mergeCells count="14">
    <mergeCell ref="A5:R5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27"/>
  <sheetViews>
    <sheetView workbookViewId="0">
      <selection activeCell="D18" sqref="D18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8.5" style="6" bestFit="1" customWidth="1"/>
    <col min="17" max="17" width="21.6640625" style="5" customWidth="1"/>
    <col min="18" max="16384" width="9.1640625" style="3"/>
  </cols>
  <sheetData>
    <row r="1" spans="1:17" s="2" customFormat="1" ht="29" customHeight="1">
      <c r="A1" s="47" t="s">
        <v>412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8</v>
      </c>
      <c r="H3" s="61"/>
      <c r="I3" s="61"/>
      <c r="J3" s="61"/>
      <c r="K3" s="61" t="s">
        <v>9</v>
      </c>
      <c r="L3" s="61"/>
      <c r="M3" s="61"/>
      <c r="N3" s="61"/>
      <c r="O3" s="59" t="s">
        <v>1</v>
      </c>
      <c r="P3" s="59" t="s">
        <v>3</v>
      </c>
      <c r="Q3" s="64" t="s">
        <v>2</v>
      </c>
    </row>
    <row r="4" spans="1:17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0"/>
      <c r="P4" s="60"/>
      <c r="Q4" s="65"/>
    </row>
    <row r="5" spans="1:17" ht="16">
      <c r="A5" s="66" t="s">
        <v>178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35" t="s">
        <v>30</v>
      </c>
      <c r="B6" s="24" t="s">
        <v>179</v>
      </c>
      <c r="C6" s="24" t="s">
        <v>180</v>
      </c>
      <c r="D6" s="24" t="s">
        <v>181</v>
      </c>
      <c r="E6" s="25" t="s">
        <v>448</v>
      </c>
      <c r="F6" s="24" t="s">
        <v>44</v>
      </c>
      <c r="G6" s="34" t="s">
        <v>183</v>
      </c>
      <c r="H6" s="34" t="s">
        <v>74</v>
      </c>
      <c r="I6" s="34" t="s">
        <v>75</v>
      </c>
      <c r="J6" s="35"/>
      <c r="K6" s="34" t="s">
        <v>109</v>
      </c>
      <c r="L6" s="34" t="s">
        <v>184</v>
      </c>
      <c r="M6" s="34" t="s">
        <v>185</v>
      </c>
      <c r="N6" s="35"/>
      <c r="O6" s="26" t="str">
        <f>"392,5"</f>
        <v>392,5</v>
      </c>
      <c r="P6" s="26" t="str">
        <f>"252,0242"</f>
        <v>252,0242</v>
      </c>
      <c r="Q6" s="24" t="s">
        <v>407</v>
      </c>
    </row>
    <row r="7" spans="1:17">
      <c r="A7" s="37" t="s">
        <v>135</v>
      </c>
      <c r="B7" s="27" t="s">
        <v>186</v>
      </c>
      <c r="C7" s="27" t="s">
        <v>187</v>
      </c>
      <c r="D7" s="27" t="s">
        <v>181</v>
      </c>
      <c r="E7" s="28" t="s">
        <v>448</v>
      </c>
      <c r="F7" s="27" t="s">
        <v>44</v>
      </c>
      <c r="G7" s="41" t="s">
        <v>150</v>
      </c>
      <c r="H7" s="36" t="s">
        <v>21</v>
      </c>
      <c r="I7" s="41" t="s">
        <v>21</v>
      </c>
      <c r="J7" s="37"/>
      <c r="K7" s="41" t="s">
        <v>188</v>
      </c>
      <c r="L7" s="41" t="s">
        <v>118</v>
      </c>
      <c r="M7" s="41" t="s">
        <v>184</v>
      </c>
      <c r="N7" s="37"/>
      <c r="O7" s="29" t="str">
        <f>"367,5"</f>
        <v>367,5</v>
      </c>
      <c r="P7" s="29" t="str">
        <f>"235,9717"</f>
        <v>235,9717</v>
      </c>
      <c r="Q7" s="27"/>
    </row>
    <row r="9" spans="1:17" ht="16">
      <c r="A9" s="62" t="s">
        <v>231</v>
      </c>
      <c r="B9" s="62"/>
      <c r="C9" s="62"/>
      <c r="D9" s="62"/>
      <c r="E9" s="63"/>
      <c r="F9" s="62"/>
      <c r="G9" s="62"/>
      <c r="H9" s="62"/>
      <c r="I9" s="62"/>
      <c r="J9" s="62"/>
      <c r="K9" s="62"/>
      <c r="L9" s="62"/>
      <c r="M9" s="62"/>
      <c r="N9" s="62"/>
    </row>
    <row r="10" spans="1:17">
      <c r="A10" s="22" t="s">
        <v>30</v>
      </c>
      <c r="B10" s="7" t="s">
        <v>302</v>
      </c>
      <c r="C10" s="7" t="s">
        <v>303</v>
      </c>
      <c r="D10" s="7" t="s">
        <v>304</v>
      </c>
      <c r="E10" s="8" t="s">
        <v>448</v>
      </c>
      <c r="F10" s="7" t="s">
        <v>107</v>
      </c>
      <c r="G10" s="21" t="s">
        <v>151</v>
      </c>
      <c r="H10" s="21" t="s">
        <v>38</v>
      </c>
      <c r="I10" s="21" t="s">
        <v>74</v>
      </c>
      <c r="J10" s="22"/>
      <c r="K10" s="21" t="s">
        <v>108</v>
      </c>
      <c r="L10" s="21" t="s">
        <v>118</v>
      </c>
      <c r="M10" s="21" t="s">
        <v>119</v>
      </c>
      <c r="N10" s="22"/>
      <c r="O10" s="9" t="str">
        <f>"385,0"</f>
        <v>385,0</v>
      </c>
      <c r="P10" s="9" t="str">
        <f>"229,4600"</f>
        <v>229,4600</v>
      </c>
      <c r="Q10" s="7" t="s">
        <v>406</v>
      </c>
    </row>
    <row r="12" spans="1:17" ht="16">
      <c r="F12" s="11"/>
      <c r="G12" s="5"/>
    </row>
    <row r="13" spans="1:17" ht="16">
      <c r="F13" s="11"/>
      <c r="G13" s="5"/>
    </row>
    <row r="14" spans="1:17" ht="16">
      <c r="F14" s="11"/>
      <c r="G14" s="5"/>
    </row>
    <row r="15" spans="1:17" ht="16">
      <c r="F15" s="11"/>
      <c r="G15" s="5"/>
    </row>
    <row r="16" spans="1:17" ht="16">
      <c r="F16" s="11"/>
      <c r="G16" s="5"/>
    </row>
    <row r="17" spans="3:7" ht="16">
      <c r="F17" s="11"/>
      <c r="G17" s="5"/>
    </row>
    <row r="18" spans="3:7" ht="16">
      <c r="F18" s="11"/>
      <c r="G18" s="5"/>
    </row>
    <row r="19" spans="3:7">
      <c r="G19" s="5"/>
    </row>
    <row r="20" spans="3:7" ht="18">
      <c r="C20" s="12"/>
      <c r="D20" s="12"/>
      <c r="E20" s="5"/>
      <c r="F20" s="10"/>
      <c r="G20" s="5"/>
    </row>
    <row r="21" spans="3:7" ht="16">
      <c r="C21" s="13"/>
      <c r="D21" s="13"/>
      <c r="E21" s="5"/>
      <c r="F21" s="10"/>
      <c r="G21" s="5"/>
    </row>
    <row r="22" spans="3:7" ht="14">
      <c r="C22" s="14"/>
      <c r="D22" s="15"/>
      <c r="E22" s="5"/>
      <c r="F22" s="10"/>
      <c r="G22" s="5"/>
    </row>
    <row r="23" spans="3:7" ht="14">
      <c r="C23" s="1"/>
      <c r="D23" s="1"/>
      <c r="E23" s="1"/>
      <c r="F23" s="42"/>
      <c r="G23" s="1"/>
    </row>
    <row r="24" spans="3:7">
      <c r="E24" s="19"/>
      <c r="F24" s="20"/>
      <c r="G24" s="18"/>
    </row>
    <row r="25" spans="3:7">
      <c r="E25" s="19"/>
      <c r="F25" s="20"/>
      <c r="G25" s="18"/>
    </row>
    <row r="26" spans="3:7">
      <c r="E26" s="19"/>
      <c r="F26" s="20"/>
      <c r="G26" s="18"/>
    </row>
    <row r="27" spans="3:7">
      <c r="E27" s="5"/>
      <c r="F27" s="10"/>
      <c r="G27" s="5"/>
    </row>
  </sheetData>
  <mergeCells count="14">
    <mergeCell ref="A9:N9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28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9" width="5.5" style="19" customWidth="1"/>
    <col min="10" max="10" width="4.83203125" style="19" customWidth="1"/>
    <col min="11" max="13" width="5.5" style="19" customWidth="1"/>
    <col min="14" max="14" width="4.83203125" style="19" customWidth="1"/>
    <col min="15" max="15" width="7.83203125" style="6" bestFit="1" customWidth="1"/>
    <col min="16" max="16" width="8.5" style="6" bestFit="1" customWidth="1"/>
    <col min="17" max="17" width="17.5" style="5" bestFit="1" customWidth="1"/>
    <col min="18" max="16384" width="9.1640625" style="3"/>
  </cols>
  <sheetData>
    <row r="1" spans="1:17" s="2" customFormat="1" ht="29" customHeight="1">
      <c r="A1" s="47" t="s">
        <v>413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8</v>
      </c>
      <c r="H3" s="61"/>
      <c r="I3" s="61"/>
      <c r="J3" s="61"/>
      <c r="K3" s="61" t="s">
        <v>9</v>
      </c>
      <c r="L3" s="61"/>
      <c r="M3" s="61"/>
      <c r="N3" s="61"/>
      <c r="O3" s="59" t="s">
        <v>1</v>
      </c>
      <c r="P3" s="59" t="s">
        <v>3</v>
      </c>
      <c r="Q3" s="64" t="s">
        <v>2</v>
      </c>
    </row>
    <row r="4" spans="1:17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0"/>
      <c r="P4" s="60"/>
      <c r="Q4" s="65"/>
    </row>
    <row r="5" spans="1:17" ht="16">
      <c r="A5" s="66" t="s">
        <v>123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22" t="s">
        <v>30</v>
      </c>
      <c r="B6" s="7" t="s">
        <v>377</v>
      </c>
      <c r="C6" s="7" t="s">
        <v>378</v>
      </c>
      <c r="D6" s="7" t="s">
        <v>212</v>
      </c>
      <c r="E6" s="8" t="s">
        <v>448</v>
      </c>
      <c r="F6" s="7" t="s">
        <v>44</v>
      </c>
      <c r="G6" s="21" t="s">
        <v>38</v>
      </c>
      <c r="H6" s="23" t="s">
        <v>75</v>
      </c>
      <c r="I6" s="23" t="s">
        <v>75</v>
      </c>
      <c r="J6" s="22"/>
      <c r="K6" s="21" t="s">
        <v>130</v>
      </c>
      <c r="L6" s="21" t="s">
        <v>112</v>
      </c>
      <c r="M6" s="23" t="s">
        <v>96</v>
      </c>
      <c r="N6" s="22"/>
      <c r="O6" s="9" t="str">
        <f>"400,0"</f>
        <v>400,0</v>
      </c>
      <c r="P6" s="9" t="str">
        <f>"228,9200"</f>
        <v>228,9200</v>
      </c>
      <c r="Q6" s="7" t="s">
        <v>326</v>
      </c>
    </row>
    <row r="8" spans="1:17" ht="16">
      <c r="A8" s="62" t="s">
        <v>379</v>
      </c>
      <c r="B8" s="62"/>
      <c r="C8" s="62"/>
      <c r="D8" s="62"/>
      <c r="E8" s="63"/>
      <c r="F8" s="62"/>
      <c r="G8" s="62"/>
      <c r="H8" s="62"/>
      <c r="I8" s="62"/>
      <c r="J8" s="62"/>
      <c r="K8" s="62"/>
      <c r="L8" s="62"/>
      <c r="M8" s="62"/>
      <c r="N8" s="62"/>
    </row>
    <row r="9" spans="1:17">
      <c r="A9" s="22" t="s">
        <v>30</v>
      </c>
      <c r="B9" s="7" t="s">
        <v>380</v>
      </c>
      <c r="C9" s="7" t="s">
        <v>381</v>
      </c>
      <c r="D9" s="7" t="s">
        <v>382</v>
      </c>
      <c r="E9" s="8" t="s">
        <v>449</v>
      </c>
      <c r="F9" s="7" t="s">
        <v>383</v>
      </c>
      <c r="G9" s="21" t="s">
        <v>194</v>
      </c>
      <c r="H9" s="21" t="s">
        <v>108</v>
      </c>
      <c r="I9" s="21" t="s">
        <v>188</v>
      </c>
      <c r="J9" s="22"/>
      <c r="K9" s="21" t="s">
        <v>384</v>
      </c>
      <c r="L9" s="21" t="s">
        <v>385</v>
      </c>
      <c r="M9" s="23" t="s">
        <v>386</v>
      </c>
      <c r="N9" s="22"/>
      <c r="O9" s="9" t="str">
        <f>"510,0"</f>
        <v>510,0</v>
      </c>
      <c r="P9" s="9" t="str">
        <f>"296,3230"</f>
        <v>296,3230</v>
      </c>
      <c r="Q9" s="7"/>
    </row>
    <row r="11" spans="1:17" ht="16">
      <c r="F11" s="11"/>
      <c r="G11" s="5"/>
    </row>
    <row r="12" spans="1:17" ht="16">
      <c r="F12" s="11"/>
      <c r="G12" s="5"/>
    </row>
    <row r="13" spans="1:17" ht="16">
      <c r="F13" s="11"/>
      <c r="G13" s="5"/>
    </row>
    <row r="14" spans="1:17" ht="16">
      <c r="F14" s="11"/>
      <c r="G14" s="5"/>
    </row>
    <row r="15" spans="1:17" ht="16">
      <c r="F15" s="11"/>
      <c r="G15" s="5"/>
    </row>
    <row r="16" spans="1:17" ht="16">
      <c r="F16" s="11"/>
      <c r="G16" s="5"/>
    </row>
    <row r="17" spans="3:7" ht="16">
      <c r="F17" s="11"/>
      <c r="G17" s="5"/>
    </row>
    <row r="18" spans="3:7">
      <c r="G18" s="5"/>
    </row>
    <row r="19" spans="3:7" ht="18">
      <c r="C19" s="12"/>
      <c r="D19" s="12"/>
      <c r="E19" s="5"/>
      <c r="F19" s="10"/>
      <c r="G19" s="5"/>
    </row>
    <row r="20" spans="3:7" ht="16">
      <c r="C20" s="13"/>
      <c r="D20" s="13"/>
      <c r="E20" s="5"/>
      <c r="F20" s="10"/>
      <c r="G20" s="5"/>
    </row>
    <row r="21" spans="3:7" ht="14">
      <c r="C21" s="14"/>
      <c r="D21" s="15"/>
      <c r="E21" s="5"/>
      <c r="F21" s="10"/>
      <c r="G21" s="5"/>
    </row>
    <row r="22" spans="3:7" ht="14">
      <c r="C22" s="1"/>
      <c r="D22" s="1"/>
      <c r="E22" s="1"/>
      <c r="F22" s="42"/>
      <c r="G22" s="1"/>
    </row>
    <row r="23" spans="3:7">
      <c r="E23" s="19"/>
      <c r="F23" s="20"/>
      <c r="G23" s="18"/>
    </row>
    <row r="24" spans="3:7">
      <c r="E24" s="5"/>
      <c r="F24" s="10"/>
      <c r="G24" s="5"/>
    </row>
    <row r="25" spans="3:7" ht="14">
      <c r="C25" s="14"/>
      <c r="D25" s="15"/>
      <c r="E25" s="5"/>
      <c r="F25" s="10"/>
      <c r="G25" s="5"/>
    </row>
    <row r="26" spans="3:7" ht="14">
      <c r="C26" s="1"/>
      <c r="D26" s="1"/>
      <c r="E26" s="1"/>
      <c r="F26" s="42"/>
      <c r="G26" s="1"/>
    </row>
    <row r="27" spans="3:7">
      <c r="E27" s="19"/>
      <c r="F27" s="20"/>
      <c r="G27" s="18"/>
    </row>
    <row r="28" spans="3:7">
      <c r="E28" s="5"/>
      <c r="F28" s="10"/>
      <c r="G28" s="5"/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82"/>
  <sheetViews>
    <sheetView topLeftCell="A21" workbookViewId="0">
      <selection activeCell="E43" sqref="E43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7.83203125" style="5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9" width="5.5" style="19" customWidth="1"/>
    <col min="10" max="10" width="4.83203125" style="19" customWidth="1"/>
    <col min="11" max="11" width="10.5" style="20" bestFit="1" customWidth="1"/>
    <col min="12" max="12" width="8.5" style="6" bestFit="1" customWidth="1"/>
    <col min="13" max="13" width="31.83203125" style="5" bestFit="1" customWidth="1"/>
    <col min="14" max="16384" width="9.1640625" style="3"/>
  </cols>
  <sheetData>
    <row r="1" spans="1:13" s="2" customFormat="1" ht="29" customHeight="1">
      <c r="A1" s="47" t="s">
        <v>414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8</v>
      </c>
      <c r="H3" s="61"/>
      <c r="I3" s="61"/>
      <c r="J3" s="61"/>
      <c r="K3" s="70" t="s">
        <v>202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71"/>
      <c r="L4" s="60"/>
      <c r="M4" s="65"/>
    </row>
    <row r="5" spans="1:13" ht="16">
      <c r="A5" s="66" t="s">
        <v>52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5" t="s">
        <v>30</v>
      </c>
      <c r="B6" s="24" t="s">
        <v>137</v>
      </c>
      <c r="C6" s="24" t="s">
        <v>138</v>
      </c>
      <c r="D6" s="24" t="s">
        <v>139</v>
      </c>
      <c r="E6" s="25" t="s">
        <v>448</v>
      </c>
      <c r="F6" s="24" t="s">
        <v>44</v>
      </c>
      <c r="G6" s="34" t="s">
        <v>57</v>
      </c>
      <c r="H6" s="34" t="s">
        <v>90</v>
      </c>
      <c r="I6" s="33" t="s">
        <v>18</v>
      </c>
      <c r="J6" s="35"/>
      <c r="K6" s="44" t="str">
        <f>"62,5"</f>
        <v>62,5</v>
      </c>
      <c r="L6" s="26" t="str">
        <f>"69,9500"</f>
        <v>69,9500</v>
      </c>
      <c r="M6" s="24" t="s">
        <v>142</v>
      </c>
    </row>
    <row r="7" spans="1:13">
      <c r="A7" s="39" t="s">
        <v>135</v>
      </c>
      <c r="B7" s="30" t="s">
        <v>248</v>
      </c>
      <c r="C7" s="30" t="s">
        <v>249</v>
      </c>
      <c r="D7" s="30" t="s">
        <v>250</v>
      </c>
      <c r="E7" s="31" t="s">
        <v>448</v>
      </c>
      <c r="F7" s="30" t="s">
        <v>427</v>
      </c>
      <c r="G7" s="38" t="s">
        <v>56</v>
      </c>
      <c r="H7" s="38" t="s">
        <v>17</v>
      </c>
      <c r="I7" s="40" t="s">
        <v>57</v>
      </c>
      <c r="J7" s="39"/>
      <c r="K7" s="46" t="str">
        <f>"57,5"</f>
        <v>57,5</v>
      </c>
      <c r="L7" s="32" t="str">
        <f>"65,2912"</f>
        <v>65,2912</v>
      </c>
      <c r="M7" s="30" t="s">
        <v>146</v>
      </c>
    </row>
    <row r="8" spans="1:13">
      <c r="A8" s="37" t="s">
        <v>39</v>
      </c>
      <c r="B8" s="27" t="s">
        <v>251</v>
      </c>
      <c r="C8" s="27" t="s">
        <v>252</v>
      </c>
      <c r="D8" s="27" t="s">
        <v>253</v>
      </c>
      <c r="E8" s="28" t="s">
        <v>448</v>
      </c>
      <c r="F8" s="27" t="s">
        <v>44</v>
      </c>
      <c r="G8" s="36" t="s">
        <v>49</v>
      </c>
      <c r="H8" s="36" t="s">
        <v>66</v>
      </c>
      <c r="I8" s="36" t="s">
        <v>66</v>
      </c>
      <c r="J8" s="37"/>
      <c r="K8" s="45">
        <v>0</v>
      </c>
      <c r="L8" s="29" t="str">
        <f>"0,0000"</f>
        <v>0,0000</v>
      </c>
      <c r="M8" s="27" t="s">
        <v>239</v>
      </c>
    </row>
    <row r="10" spans="1:13" ht="16">
      <c r="A10" s="62" t="s">
        <v>10</v>
      </c>
      <c r="B10" s="62"/>
      <c r="C10" s="62"/>
      <c r="D10" s="62"/>
      <c r="E10" s="63"/>
      <c r="F10" s="62"/>
      <c r="G10" s="62"/>
      <c r="H10" s="62"/>
      <c r="I10" s="62"/>
      <c r="J10" s="62"/>
    </row>
    <row r="11" spans="1:13">
      <c r="A11" s="35" t="s">
        <v>30</v>
      </c>
      <c r="B11" s="24" t="s">
        <v>254</v>
      </c>
      <c r="C11" s="24" t="s">
        <v>255</v>
      </c>
      <c r="D11" s="24" t="s">
        <v>256</v>
      </c>
      <c r="E11" s="25" t="s">
        <v>450</v>
      </c>
      <c r="F11" s="24" t="s">
        <v>44</v>
      </c>
      <c r="G11" s="34" t="s">
        <v>67</v>
      </c>
      <c r="H11" s="34" t="s">
        <v>68</v>
      </c>
      <c r="I11" s="34" t="s">
        <v>145</v>
      </c>
      <c r="J11" s="35"/>
      <c r="K11" s="44" t="str">
        <f>"52,5"</f>
        <v>52,5</v>
      </c>
      <c r="L11" s="26" t="str">
        <f>"54,3427"</f>
        <v>54,3427</v>
      </c>
      <c r="M11" s="24" t="s">
        <v>142</v>
      </c>
    </row>
    <row r="12" spans="1:13">
      <c r="A12" s="39" t="s">
        <v>39</v>
      </c>
      <c r="B12" s="30" t="s">
        <v>257</v>
      </c>
      <c r="C12" s="30" t="s">
        <v>258</v>
      </c>
      <c r="D12" s="30" t="s">
        <v>259</v>
      </c>
      <c r="E12" s="31" t="s">
        <v>450</v>
      </c>
      <c r="F12" s="30" t="s">
        <v>44</v>
      </c>
      <c r="G12" s="40" t="s">
        <v>90</v>
      </c>
      <c r="H12" s="40" t="s">
        <v>18</v>
      </c>
      <c r="I12" s="40" t="s">
        <v>18</v>
      </c>
      <c r="J12" s="39"/>
      <c r="K12" s="46">
        <v>0</v>
      </c>
      <c r="L12" s="32" t="str">
        <f>"0,0000"</f>
        <v>0,0000</v>
      </c>
      <c r="M12" s="30"/>
    </row>
    <row r="13" spans="1:13">
      <c r="A13" s="37" t="s">
        <v>30</v>
      </c>
      <c r="B13" s="27" t="s">
        <v>260</v>
      </c>
      <c r="C13" s="27" t="s">
        <v>261</v>
      </c>
      <c r="D13" s="27" t="s">
        <v>262</v>
      </c>
      <c r="E13" s="28" t="s">
        <v>448</v>
      </c>
      <c r="F13" s="27" t="s">
        <v>107</v>
      </c>
      <c r="G13" s="41" t="s">
        <v>50</v>
      </c>
      <c r="H13" s="36" t="s">
        <v>65</v>
      </c>
      <c r="I13" s="41" t="s">
        <v>65</v>
      </c>
      <c r="J13" s="37"/>
      <c r="K13" s="45" t="str">
        <f>"87,5"</f>
        <v>87,5</v>
      </c>
      <c r="L13" s="29" t="str">
        <f>"89,4950"</f>
        <v>89,4950</v>
      </c>
      <c r="M13" s="27" t="s">
        <v>263</v>
      </c>
    </row>
    <row r="15" spans="1:13" ht="16">
      <c r="A15" s="62" t="s">
        <v>10</v>
      </c>
      <c r="B15" s="62"/>
      <c r="C15" s="62"/>
      <c r="D15" s="62"/>
      <c r="E15" s="63"/>
      <c r="F15" s="62"/>
      <c r="G15" s="62"/>
      <c r="H15" s="62"/>
      <c r="I15" s="62"/>
      <c r="J15" s="62"/>
    </row>
    <row r="16" spans="1:13">
      <c r="A16" s="35" t="s">
        <v>30</v>
      </c>
      <c r="B16" s="24" t="s">
        <v>264</v>
      </c>
      <c r="C16" s="24" t="s">
        <v>265</v>
      </c>
      <c r="D16" s="24" t="s">
        <v>266</v>
      </c>
      <c r="E16" s="25" t="s">
        <v>452</v>
      </c>
      <c r="F16" s="24" t="s">
        <v>44</v>
      </c>
      <c r="G16" s="33" t="s">
        <v>45</v>
      </c>
      <c r="H16" s="33" t="s">
        <v>46</v>
      </c>
      <c r="I16" s="34" t="s">
        <v>46</v>
      </c>
      <c r="J16" s="35"/>
      <c r="K16" s="44" t="str">
        <f>"80,0"</f>
        <v>80,0</v>
      </c>
      <c r="L16" s="26" t="str">
        <f>"61,6800"</f>
        <v>61,6800</v>
      </c>
      <c r="M16" s="24" t="s">
        <v>165</v>
      </c>
    </row>
    <row r="17" spans="1:13">
      <c r="A17" s="39" t="s">
        <v>39</v>
      </c>
      <c r="B17" s="30" t="s">
        <v>267</v>
      </c>
      <c r="C17" s="30" t="s">
        <v>268</v>
      </c>
      <c r="D17" s="30" t="s">
        <v>269</v>
      </c>
      <c r="E17" s="31" t="s">
        <v>452</v>
      </c>
      <c r="F17" s="30" t="s">
        <v>44</v>
      </c>
      <c r="G17" s="40" t="s">
        <v>45</v>
      </c>
      <c r="H17" s="40" t="s">
        <v>46</v>
      </c>
      <c r="I17" s="40" t="s">
        <v>46</v>
      </c>
      <c r="J17" s="39"/>
      <c r="K17" s="46">
        <v>0</v>
      </c>
      <c r="L17" s="32" t="str">
        <f>"0,0000"</f>
        <v>0,0000</v>
      </c>
      <c r="M17" s="30" t="s">
        <v>434</v>
      </c>
    </row>
    <row r="18" spans="1:13">
      <c r="A18" s="39" t="s">
        <v>30</v>
      </c>
      <c r="B18" s="30" t="s">
        <v>270</v>
      </c>
      <c r="C18" s="30" t="s">
        <v>271</v>
      </c>
      <c r="D18" s="30" t="s">
        <v>266</v>
      </c>
      <c r="E18" s="31" t="s">
        <v>448</v>
      </c>
      <c r="F18" s="30" t="s">
        <v>44</v>
      </c>
      <c r="G18" s="38" t="s">
        <v>140</v>
      </c>
      <c r="H18" s="38" t="s">
        <v>225</v>
      </c>
      <c r="I18" s="38" t="s">
        <v>14</v>
      </c>
      <c r="J18" s="39"/>
      <c r="K18" s="46" t="str">
        <f>"115,0"</f>
        <v>115,0</v>
      </c>
      <c r="L18" s="32" t="str">
        <f>"88,6650"</f>
        <v>88,6650</v>
      </c>
      <c r="M18" s="30"/>
    </row>
    <row r="19" spans="1:13">
      <c r="A19" s="37" t="s">
        <v>135</v>
      </c>
      <c r="B19" s="27" t="s">
        <v>272</v>
      </c>
      <c r="C19" s="27" t="s">
        <v>273</v>
      </c>
      <c r="D19" s="27" t="s">
        <v>274</v>
      </c>
      <c r="E19" s="28" t="s">
        <v>448</v>
      </c>
      <c r="F19" s="27" t="s">
        <v>427</v>
      </c>
      <c r="G19" s="41" t="s">
        <v>60</v>
      </c>
      <c r="H19" s="36" t="s">
        <v>169</v>
      </c>
      <c r="I19" s="36" t="s">
        <v>169</v>
      </c>
      <c r="J19" s="37"/>
      <c r="K19" s="45" t="str">
        <f>"95,0"</f>
        <v>95,0</v>
      </c>
      <c r="L19" s="29" t="str">
        <f>"73,5110"</f>
        <v>73,5110</v>
      </c>
      <c r="M19" s="27" t="s">
        <v>146</v>
      </c>
    </row>
    <row r="21" spans="1:13" ht="16">
      <c r="A21" s="62" t="s">
        <v>70</v>
      </c>
      <c r="B21" s="62"/>
      <c r="C21" s="62"/>
      <c r="D21" s="62"/>
      <c r="E21" s="63"/>
      <c r="F21" s="62"/>
      <c r="G21" s="62"/>
      <c r="H21" s="62"/>
      <c r="I21" s="62"/>
      <c r="J21" s="62"/>
    </row>
    <row r="22" spans="1:13">
      <c r="A22" s="35" t="s">
        <v>30</v>
      </c>
      <c r="B22" s="24" t="s">
        <v>275</v>
      </c>
      <c r="C22" s="24" t="s">
        <v>276</v>
      </c>
      <c r="D22" s="24" t="s">
        <v>277</v>
      </c>
      <c r="E22" s="25" t="s">
        <v>451</v>
      </c>
      <c r="F22" s="24" t="s">
        <v>427</v>
      </c>
      <c r="G22" s="34" t="s">
        <v>19</v>
      </c>
      <c r="H22" s="33" t="s">
        <v>15</v>
      </c>
      <c r="I22" s="33" t="s">
        <v>15</v>
      </c>
      <c r="J22" s="35"/>
      <c r="K22" s="44" t="str">
        <f>"120,0"</f>
        <v>120,0</v>
      </c>
      <c r="L22" s="26" t="str">
        <f>"85,8240"</f>
        <v>85,8240</v>
      </c>
      <c r="M22" s="24" t="s">
        <v>146</v>
      </c>
    </row>
    <row r="23" spans="1:13">
      <c r="A23" s="39" t="s">
        <v>30</v>
      </c>
      <c r="B23" s="30" t="s">
        <v>278</v>
      </c>
      <c r="C23" s="30" t="s">
        <v>279</v>
      </c>
      <c r="D23" s="30" t="s">
        <v>168</v>
      </c>
      <c r="E23" s="31" t="s">
        <v>448</v>
      </c>
      <c r="F23" s="30" t="s">
        <v>44</v>
      </c>
      <c r="G23" s="40" t="s">
        <v>20</v>
      </c>
      <c r="H23" s="40" t="s">
        <v>20</v>
      </c>
      <c r="I23" s="38" t="s">
        <v>20</v>
      </c>
      <c r="J23" s="39"/>
      <c r="K23" s="46" t="str">
        <f>"130,0"</f>
        <v>130,0</v>
      </c>
      <c r="L23" s="32" t="str">
        <f>"94,0550"</f>
        <v>94,0550</v>
      </c>
      <c r="M23" s="30"/>
    </row>
    <row r="24" spans="1:13">
      <c r="A24" s="37" t="s">
        <v>135</v>
      </c>
      <c r="B24" s="27" t="s">
        <v>280</v>
      </c>
      <c r="C24" s="27" t="s">
        <v>281</v>
      </c>
      <c r="D24" s="27" t="s">
        <v>282</v>
      </c>
      <c r="E24" s="28" t="s">
        <v>448</v>
      </c>
      <c r="F24" s="27" t="s">
        <v>431</v>
      </c>
      <c r="G24" s="36" t="s">
        <v>176</v>
      </c>
      <c r="H24" s="41" t="s">
        <v>15</v>
      </c>
      <c r="I24" s="36" t="s">
        <v>20</v>
      </c>
      <c r="J24" s="37"/>
      <c r="K24" s="45" t="str">
        <f>"125,0"</f>
        <v>125,0</v>
      </c>
      <c r="L24" s="29" t="str">
        <f>"89,8250"</f>
        <v>89,8250</v>
      </c>
      <c r="M24" s="27" t="s">
        <v>433</v>
      </c>
    </row>
    <row r="26" spans="1:13" ht="16">
      <c r="A26" s="62" t="s">
        <v>31</v>
      </c>
      <c r="B26" s="62"/>
      <c r="C26" s="62"/>
      <c r="D26" s="62"/>
      <c r="E26" s="63"/>
      <c r="F26" s="62"/>
      <c r="G26" s="62"/>
      <c r="H26" s="62"/>
      <c r="I26" s="62"/>
      <c r="J26" s="62"/>
    </row>
    <row r="27" spans="1:13">
      <c r="A27" s="22" t="s">
        <v>30</v>
      </c>
      <c r="B27" s="7" t="s">
        <v>283</v>
      </c>
      <c r="C27" s="7" t="s">
        <v>284</v>
      </c>
      <c r="D27" s="7" t="s">
        <v>285</v>
      </c>
      <c r="E27" s="8" t="s">
        <v>448</v>
      </c>
      <c r="F27" s="7" t="s">
        <v>107</v>
      </c>
      <c r="G27" s="21" t="s">
        <v>75</v>
      </c>
      <c r="H27" s="23" t="s">
        <v>286</v>
      </c>
      <c r="I27" s="21" t="s">
        <v>286</v>
      </c>
      <c r="J27" s="22"/>
      <c r="K27" s="43" t="str">
        <f>"167,5"</f>
        <v>167,5</v>
      </c>
      <c r="L27" s="9" t="str">
        <f>"112,2083"</f>
        <v>112,2083</v>
      </c>
      <c r="M27" s="7" t="s">
        <v>263</v>
      </c>
    </row>
    <row r="29" spans="1:13" ht="16">
      <c r="A29" s="62" t="s">
        <v>178</v>
      </c>
      <c r="B29" s="62"/>
      <c r="C29" s="62"/>
      <c r="D29" s="62"/>
      <c r="E29" s="63"/>
      <c r="F29" s="62"/>
      <c r="G29" s="62"/>
      <c r="H29" s="62"/>
      <c r="I29" s="62"/>
      <c r="J29" s="62"/>
    </row>
    <row r="30" spans="1:13">
      <c r="A30" s="35" t="s">
        <v>30</v>
      </c>
      <c r="B30" s="24" t="s">
        <v>179</v>
      </c>
      <c r="C30" s="24" t="s">
        <v>180</v>
      </c>
      <c r="D30" s="24" t="s">
        <v>181</v>
      </c>
      <c r="E30" s="25" t="s">
        <v>448</v>
      </c>
      <c r="F30" s="24" t="s">
        <v>44</v>
      </c>
      <c r="G30" s="34" t="s">
        <v>183</v>
      </c>
      <c r="H30" s="34" t="s">
        <v>74</v>
      </c>
      <c r="I30" s="34" t="s">
        <v>75</v>
      </c>
      <c r="J30" s="35"/>
      <c r="K30" s="44" t="str">
        <f>"160,0"</f>
        <v>160,0</v>
      </c>
      <c r="L30" s="26" t="str">
        <f>"102,7360"</f>
        <v>102,7360</v>
      </c>
      <c r="M30" s="24" t="s">
        <v>407</v>
      </c>
    </row>
    <row r="31" spans="1:13">
      <c r="A31" s="39" t="s">
        <v>135</v>
      </c>
      <c r="B31" s="30" t="s">
        <v>287</v>
      </c>
      <c r="C31" s="30" t="s">
        <v>288</v>
      </c>
      <c r="D31" s="30" t="s">
        <v>289</v>
      </c>
      <c r="E31" s="31" t="s">
        <v>448</v>
      </c>
      <c r="F31" s="30" t="s">
        <v>44</v>
      </c>
      <c r="G31" s="38" t="s">
        <v>290</v>
      </c>
      <c r="H31" s="38" t="s">
        <v>183</v>
      </c>
      <c r="I31" s="38" t="s">
        <v>221</v>
      </c>
      <c r="J31" s="39"/>
      <c r="K31" s="46" t="str">
        <f>"152,5"</f>
        <v>152,5</v>
      </c>
      <c r="L31" s="32" t="str">
        <f>"99,3537"</f>
        <v>99,3537</v>
      </c>
      <c r="M31" s="30"/>
    </row>
    <row r="32" spans="1:13">
      <c r="A32" s="39" t="s">
        <v>136</v>
      </c>
      <c r="B32" s="30" t="s">
        <v>291</v>
      </c>
      <c r="C32" s="30" t="s">
        <v>292</v>
      </c>
      <c r="D32" s="30" t="s">
        <v>293</v>
      </c>
      <c r="E32" s="31" t="s">
        <v>448</v>
      </c>
      <c r="F32" s="30" t="s">
        <v>427</v>
      </c>
      <c r="G32" s="38" t="s">
        <v>16</v>
      </c>
      <c r="H32" s="38" t="s">
        <v>21</v>
      </c>
      <c r="I32" s="40" t="s">
        <v>151</v>
      </c>
      <c r="J32" s="39"/>
      <c r="K32" s="46" t="str">
        <f>"140,0"</f>
        <v>140,0</v>
      </c>
      <c r="L32" s="32" t="str">
        <f>"89,4320"</f>
        <v>89,4320</v>
      </c>
      <c r="M32" s="30" t="s">
        <v>146</v>
      </c>
    </row>
    <row r="33" spans="1:13">
      <c r="A33" s="39" t="s">
        <v>247</v>
      </c>
      <c r="B33" s="30" t="s">
        <v>294</v>
      </c>
      <c r="C33" s="30" t="s">
        <v>295</v>
      </c>
      <c r="D33" s="30" t="s">
        <v>296</v>
      </c>
      <c r="E33" s="31" t="s">
        <v>448</v>
      </c>
      <c r="F33" s="30" t="s">
        <v>44</v>
      </c>
      <c r="G33" s="38" t="s">
        <v>150</v>
      </c>
      <c r="H33" s="40" t="s">
        <v>21</v>
      </c>
      <c r="I33" s="40" t="s">
        <v>21</v>
      </c>
      <c r="J33" s="39"/>
      <c r="K33" s="46" t="str">
        <f>"135,0"</f>
        <v>135,0</v>
      </c>
      <c r="L33" s="32" t="str">
        <f>"88,2900"</f>
        <v>88,2900</v>
      </c>
      <c r="M33" s="30"/>
    </row>
    <row r="34" spans="1:13">
      <c r="A34" s="37" t="s">
        <v>313</v>
      </c>
      <c r="B34" s="27" t="s">
        <v>297</v>
      </c>
      <c r="C34" s="27" t="s">
        <v>298</v>
      </c>
      <c r="D34" s="27" t="s">
        <v>299</v>
      </c>
      <c r="E34" s="28" t="s">
        <v>448</v>
      </c>
      <c r="F34" s="27" t="s">
        <v>107</v>
      </c>
      <c r="G34" s="41" t="s">
        <v>14</v>
      </c>
      <c r="H34" s="36" t="s">
        <v>15</v>
      </c>
      <c r="I34" s="36" t="s">
        <v>15</v>
      </c>
      <c r="J34" s="37"/>
      <c r="K34" s="45" t="str">
        <f>"115,0"</f>
        <v>115,0</v>
      </c>
      <c r="L34" s="29" t="str">
        <f>"75,1180"</f>
        <v>75,1180</v>
      </c>
      <c r="M34" s="27" t="s">
        <v>263</v>
      </c>
    </row>
    <row r="36" spans="1:13" ht="16">
      <c r="A36" s="62" t="s">
        <v>231</v>
      </c>
      <c r="B36" s="62"/>
      <c r="C36" s="62"/>
      <c r="D36" s="62"/>
      <c r="E36" s="63"/>
      <c r="F36" s="62"/>
      <c r="G36" s="62"/>
      <c r="H36" s="62"/>
      <c r="I36" s="62"/>
      <c r="J36" s="62"/>
    </row>
    <row r="37" spans="1:13">
      <c r="A37" s="35" t="s">
        <v>30</v>
      </c>
      <c r="B37" s="24" t="s">
        <v>300</v>
      </c>
      <c r="C37" s="24" t="s">
        <v>301</v>
      </c>
      <c r="D37" s="24" t="s">
        <v>234</v>
      </c>
      <c r="E37" s="25" t="s">
        <v>448</v>
      </c>
      <c r="F37" s="24" t="s">
        <v>44</v>
      </c>
      <c r="G37" s="34" t="s">
        <v>100</v>
      </c>
      <c r="H37" s="33" t="s">
        <v>194</v>
      </c>
      <c r="I37" s="33" t="s">
        <v>194</v>
      </c>
      <c r="J37" s="35"/>
      <c r="K37" s="44" t="str">
        <f>"190,0"</f>
        <v>190,0</v>
      </c>
      <c r="L37" s="26" t="str">
        <f>"111,8150"</f>
        <v>111,8150</v>
      </c>
      <c r="M37" s="24"/>
    </row>
    <row r="38" spans="1:13">
      <c r="A38" s="37" t="s">
        <v>135</v>
      </c>
      <c r="B38" s="27" t="s">
        <v>302</v>
      </c>
      <c r="C38" s="27" t="s">
        <v>303</v>
      </c>
      <c r="D38" s="27" t="s">
        <v>304</v>
      </c>
      <c r="E38" s="28" t="s">
        <v>448</v>
      </c>
      <c r="F38" s="27" t="s">
        <v>107</v>
      </c>
      <c r="G38" s="41" t="s">
        <v>151</v>
      </c>
      <c r="H38" s="41" t="s">
        <v>38</v>
      </c>
      <c r="I38" s="41" t="s">
        <v>74</v>
      </c>
      <c r="J38" s="37"/>
      <c r="K38" s="45" t="str">
        <f>"155,0"</f>
        <v>155,0</v>
      </c>
      <c r="L38" s="29" t="str">
        <f>"92,3800"</f>
        <v>92,3800</v>
      </c>
      <c r="M38" s="27" t="s">
        <v>263</v>
      </c>
    </row>
    <row r="40" spans="1:13" ht="16">
      <c r="A40" s="62" t="s">
        <v>123</v>
      </c>
      <c r="B40" s="62"/>
      <c r="C40" s="62"/>
      <c r="D40" s="62"/>
      <c r="E40" s="63"/>
      <c r="F40" s="62"/>
      <c r="G40" s="62"/>
      <c r="H40" s="62"/>
      <c r="I40" s="62"/>
      <c r="J40" s="62"/>
    </row>
    <row r="41" spans="1:13">
      <c r="A41" s="35" t="s">
        <v>30</v>
      </c>
      <c r="B41" s="24" t="s">
        <v>305</v>
      </c>
      <c r="C41" s="24" t="s">
        <v>306</v>
      </c>
      <c r="D41" s="24" t="s">
        <v>307</v>
      </c>
      <c r="E41" s="25" t="s">
        <v>448</v>
      </c>
      <c r="F41" s="24" t="s">
        <v>44</v>
      </c>
      <c r="G41" s="33" t="s">
        <v>36</v>
      </c>
      <c r="H41" s="34" t="s">
        <v>98</v>
      </c>
      <c r="I41" s="34" t="s">
        <v>308</v>
      </c>
      <c r="J41" s="35"/>
      <c r="K41" s="44" t="str">
        <f>"182,5"</f>
        <v>182,5</v>
      </c>
      <c r="L41" s="26" t="str">
        <f>"106,1420"</f>
        <v>106,1420</v>
      </c>
      <c r="M41" s="24" t="s">
        <v>432</v>
      </c>
    </row>
    <row r="42" spans="1:13">
      <c r="A42" s="37" t="s">
        <v>30</v>
      </c>
      <c r="B42" s="27" t="s">
        <v>309</v>
      </c>
      <c r="C42" s="27" t="s">
        <v>310</v>
      </c>
      <c r="D42" s="27" t="s">
        <v>311</v>
      </c>
      <c r="E42" s="28" t="s">
        <v>449</v>
      </c>
      <c r="F42" s="27" t="s">
        <v>107</v>
      </c>
      <c r="G42" s="36" t="s">
        <v>36</v>
      </c>
      <c r="H42" s="41" t="s">
        <v>98</v>
      </c>
      <c r="I42" s="36" t="s">
        <v>308</v>
      </c>
      <c r="J42" s="37"/>
      <c r="K42" s="45" t="str">
        <f>"177,5"</f>
        <v>177,5</v>
      </c>
      <c r="L42" s="29" t="str">
        <f>"107,2389"</f>
        <v>107,2389</v>
      </c>
      <c r="M42" s="27" t="s">
        <v>263</v>
      </c>
    </row>
    <row r="44" spans="1:13" ht="16">
      <c r="F44" s="11"/>
      <c r="G44" s="5"/>
      <c r="M44" s="6"/>
    </row>
    <row r="45" spans="1:13" ht="16">
      <c r="F45" s="11"/>
      <c r="G45" s="5"/>
      <c r="M45" s="6"/>
    </row>
    <row r="46" spans="1:13" ht="18">
      <c r="B46" s="12" t="s">
        <v>23</v>
      </c>
      <c r="D46" s="10"/>
      <c r="E46" s="11"/>
      <c r="G46" s="5"/>
      <c r="M46" s="6"/>
    </row>
    <row r="47" spans="1:13" ht="16">
      <c r="B47" s="13" t="s">
        <v>131</v>
      </c>
      <c r="D47" s="10"/>
      <c r="E47" s="11"/>
      <c r="M47" s="6"/>
    </row>
    <row r="48" spans="1:13" ht="14">
      <c r="B48" s="14"/>
      <c r="C48" s="15" t="s">
        <v>132</v>
      </c>
      <c r="M48" s="6"/>
    </row>
    <row r="49" spans="2:13" ht="14">
      <c r="B49" s="16" t="s">
        <v>25</v>
      </c>
      <c r="C49" s="16" t="s">
        <v>26</v>
      </c>
      <c r="D49" s="16" t="s">
        <v>405</v>
      </c>
      <c r="E49" s="17" t="s">
        <v>201</v>
      </c>
      <c r="F49" s="16" t="s">
        <v>28</v>
      </c>
      <c r="M49" s="6"/>
    </row>
    <row r="50" spans="2:13">
      <c r="B50" s="5" t="s">
        <v>260</v>
      </c>
      <c r="C50" s="5" t="s">
        <v>132</v>
      </c>
      <c r="D50" s="19" t="s">
        <v>29</v>
      </c>
      <c r="E50" s="20">
        <v>87.5</v>
      </c>
      <c r="F50" s="18">
        <v>89.494997262954698</v>
      </c>
      <c r="M50" s="6"/>
    </row>
    <row r="51" spans="2:13">
      <c r="B51" s="5" t="s">
        <v>137</v>
      </c>
      <c r="C51" s="5" t="s">
        <v>132</v>
      </c>
      <c r="D51" s="19" t="s">
        <v>133</v>
      </c>
      <c r="E51" s="20">
        <v>62.5</v>
      </c>
      <c r="F51" s="18">
        <v>69.949999451637296</v>
      </c>
      <c r="M51" s="6"/>
    </row>
    <row r="52" spans="2:13">
      <c r="B52" s="5" t="s">
        <v>248</v>
      </c>
      <c r="C52" s="5" t="s">
        <v>132</v>
      </c>
      <c r="D52" s="19" t="s">
        <v>133</v>
      </c>
      <c r="E52" s="20">
        <v>57.5</v>
      </c>
      <c r="F52" s="18">
        <v>65.291247367858901</v>
      </c>
      <c r="M52" s="6"/>
    </row>
    <row r="53" spans="2:13">
      <c r="D53" s="10"/>
      <c r="E53" s="5"/>
      <c r="F53" s="19"/>
      <c r="M53" s="6"/>
    </row>
    <row r="54" spans="2:13" ht="16">
      <c r="B54" s="13" t="s">
        <v>24</v>
      </c>
      <c r="D54" s="19"/>
      <c r="E54" s="20"/>
      <c r="F54" s="18"/>
      <c r="M54" s="6"/>
    </row>
    <row r="55" spans="2:13" ht="14">
      <c r="B55" s="14"/>
      <c r="C55" s="15" t="s">
        <v>132</v>
      </c>
      <c r="G55" s="3"/>
      <c r="M55" s="6"/>
    </row>
    <row r="56" spans="2:13" ht="14">
      <c r="B56" s="16" t="s">
        <v>25</v>
      </c>
      <c r="C56" s="16" t="s">
        <v>26</v>
      </c>
      <c r="D56" s="16" t="s">
        <v>405</v>
      </c>
      <c r="E56" s="17" t="s">
        <v>201</v>
      </c>
      <c r="F56" s="16" t="s">
        <v>28</v>
      </c>
      <c r="G56" s="3"/>
      <c r="M56" s="6"/>
    </row>
    <row r="57" spans="2:13">
      <c r="B57" s="5" t="s">
        <v>283</v>
      </c>
      <c r="C57" s="5" t="s">
        <v>132</v>
      </c>
      <c r="D57" s="19" t="s">
        <v>189</v>
      </c>
      <c r="E57" s="20">
        <v>167.5</v>
      </c>
      <c r="F57" s="18">
        <v>112.208250015974</v>
      </c>
      <c r="G57" s="3"/>
      <c r="M57" s="6"/>
    </row>
    <row r="58" spans="2:13">
      <c r="B58" s="5" t="s">
        <v>300</v>
      </c>
      <c r="C58" s="5" t="s">
        <v>132</v>
      </c>
      <c r="D58" s="19" t="s">
        <v>312</v>
      </c>
      <c r="E58" s="20">
        <v>190</v>
      </c>
      <c r="F58" s="18">
        <v>111.815004348755</v>
      </c>
      <c r="G58" s="3"/>
      <c r="M58" s="6"/>
    </row>
    <row r="59" spans="2:13">
      <c r="B59" s="5" t="s">
        <v>305</v>
      </c>
      <c r="C59" s="5" t="s">
        <v>132</v>
      </c>
      <c r="D59" s="19" t="s">
        <v>213</v>
      </c>
      <c r="E59" s="20">
        <v>182.5</v>
      </c>
      <c r="F59" s="18">
        <v>106.142001897097</v>
      </c>
      <c r="G59" s="3"/>
      <c r="M59" s="6"/>
    </row>
    <row r="60" spans="2:13">
      <c r="C60" s="3"/>
      <c r="D60" s="3"/>
      <c r="E60" s="3"/>
      <c r="F60" s="3"/>
      <c r="G60" s="3"/>
      <c r="M60" s="6"/>
    </row>
    <row r="61" spans="2:13">
      <c r="M61" s="6"/>
    </row>
    <row r="62" spans="2:13">
      <c r="E62" s="5"/>
      <c r="F62" s="10"/>
      <c r="G62" s="5"/>
      <c r="M62" s="6"/>
    </row>
    <row r="63" spans="2:13">
      <c r="E63" s="5"/>
      <c r="F63" s="10"/>
      <c r="G63" s="5"/>
      <c r="M63" s="6"/>
    </row>
    <row r="64" spans="2:13" ht="16">
      <c r="C64" s="13"/>
      <c r="D64" s="13"/>
      <c r="E64" s="5"/>
      <c r="F64" s="10"/>
      <c r="G64" s="5"/>
      <c r="M64" s="6"/>
    </row>
    <row r="65" spans="3:13" ht="14">
      <c r="C65" s="14"/>
      <c r="D65" s="15"/>
      <c r="E65" s="5"/>
      <c r="F65" s="10"/>
      <c r="G65" s="5"/>
      <c r="M65" s="6"/>
    </row>
    <row r="66" spans="3:13" ht="14">
      <c r="C66" s="1"/>
      <c r="D66" s="1"/>
      <c r="E66" s="1"/>
      <c r="F66" s="42"/>
      <c r="G66" s="1"/>
      <c r="M66" s="6"/>
    </row>
    <row r="67" spans="3:13">
      <c r="E67" s="19"/>
      <c r="F67" s="20"/>
      <c r="G67" s="18"/>
      <c r="M67" s="6"/>
    </row>
    <row r="68" spans="3:13">
      <c r="E68" s="5"/>
      <c r="F68" s="10"/>
      <c r="G68" s="5"/>
      <c r="M68" s="6"/>
    </row>
    <row r="69" spans="3:13" ht="14">
      <c r="C69" s="14"/>
      <c r="D69" s="15"/>
      <c r="E69" s="5"/>
      <c r="F69" s="10"/>
      <c r="G69" s="5"/>
      <c r="M69" s="6"/>
    </row>
    <row r="70" spans="3:13" ht="14">
      <c r="C70" s="1"/>
      <c r="D70" s="1"/>
      <c r="E70" s="1"/>
      <c r="F70" s="42"/>
      <c r="G70" s="1"/>
      <c r="M70" s="6"/>
    </row>
    <row r="71" spans="3:13">
      <c r="E71" s="19"/>
      <c r="F71" s="20"/>
      <c r="G71" s="18"/>
      <c r="M71" s="6"/>
    </row>
    <row r="72" spans="3:13">
      <c r="E72" s="5"/>
      <c r="F72" s="10"/>
      <c r="G72" s="5"/>
      <c r="M72" s="6"/>
    </row>
    <row r="73" spans="3:13">
      <c r="M73" s="6"/>
    </row>
    <row r="74" spans="3:13">
      <c r="M74" s="6"/>
    </row>
    <row r="75" spans="3:13">
      <c r="M75" s="6"/>
    </row>
    <row r="76" spans="3:13">
      <c r="M76" s="6"/>
    </row>
    <row r="77" spans="3:13">
      <c r="M77" s="6"/>
    </row>
    <row r="78" spans="3:13">
      <c r="E78" s="5"/>
      <c r="F78" s="10"/>
      <c r="G78" s="5"/>
      <c r="M78" s="6"/>
    </row>
    <row r="79" spans="3:13" ht="14">
      <c r="C79" s="14"/>
      <c r="D79" s="15"/>
      <c r="E79" s="5"/>
      <c r="F79" s="10"/>
      <c r="G79" s="5"/>
      <c r="M79" s="6"/>
    </row>
    <row r="80" spans="3:13" ht="14">
      <c r="C80" s="1"/>
      <c r="D80" s="1"/>
      <c r="E80" s="1"/>
      <c r="F80" s="42"/>
      <c r="G80" s="1"/>
      <c r="M80" s="6"/>
    </row>
    <row r="81" spans="5:13">
      <c r="E81" s="19"/>
      <c r="F81" s="20"/>
      <c r="G81" s="18"/>
      <c r="M81" s="6"/>
    </row>
    <row r="82" spans="5:13">
      <c r="E82" s="5"/>
      <c r="F82" s="10"/>
      <c r="G82" s="5"/>
      <c r="M82" s="6"/>
    </row>
  </sheetData>
  <mergeCells count="19">
    <mergeCell ref="A40:J40"/>
    <mergeCell ref="B3:B4"/>
    <mergeCell ref="A10:J10"/>
    <mergeCell ref="A15:J15"/>
    <mergeCell ref="A21:J21"/>
    <mergeCell ref="A26:J26"/>
    <mergeCell ref="A29:J29"/>
    <mergeCell ref="A36:J3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8"/>
  <sheetViews>
    <sheetView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10" width="5.5" style="19" customWidth="1"/>
    <col min="11" max="11" width="10.5" style="20" bestFit="1" customWidth="1"/>
    <col min="12" max="12" width="8.5" style="6" bestFit="1" customWidth="1"/>
    <col min="13" max="13" width="24.83203125" style="5" bestFit="1" customWidth="1"/>
    <col min="14" max="16384" width="9.1640625" style="3"/>
  </cols>
  <sheetData>
    <row r="1" spans="1:13" s="2" customFormat="1" ht="29" customHeight="1">
      <c r="A1" s="47" t="s">
        <v>415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8</v>
      </c>
      <c r="H3" s="61"/>
      <c r="I3" s="61"/>
      <c r="J3" s="61"/>
      <c r="K3" s="70" t="s">
        <v>202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71"/>
      <c r="L4" s="60"/>
      <c r="M4" s="65"/>
    </row>
    <row r="5" spans="1:13" ht="16">
      <c r="A5" s="66" t="s">
        <v>178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35" t="s">
        <v>30</v>
      </c>
      <c r="B6" s="24" t="s">
        <v>214</v>
      </c>
      <c r="C6" s="24" t="s">
        <v>215</v>
      </c>
      <c r="D6" s="24" t="s">
        <v>216</v>
      </c>
      <c r="E6" s="25" t="s">
        <v>448</v>
      </c>
      <c r="F6" s="24" t="s">
        <v>44</v>
      </c>
      <c r="G6" s="34" t="s">
        <v>100</v>
      </c>
      <c r="H6" s="34" t="s">
        <v>217</v>
      </c>
      <c r="I6" s="34" t="s">
        <v>194</v>
      </c>
      <c r="J6" s="35"/>
      <c r="K6" s="44" t="str">
        <f>"200,0"</f>
        <v>200,0</v>
      </c>
      <c r="L6" s="26" t="str">
        <f>"128,8000"</f>
        <v>128,8000</v>
      </c>
      <c r="M6" s="24"/>
    </row>
    <row r="7" spans="1:13">
      <c r="A7" s="39" t="s">
        <v>135</v>
      </c>
      <c r="B7" s="30" t="s">
        <v>218</v>
      </c>
      <c r="C7" s="30" t="s">
        <v>219</v>
      </c>
      <c r="D7" s="30" t="s">
        <v>220</v>
      </c>
      <c r="E7" s="31" t="s">
        <v>448</v>
      </c>
      <c r="F7" s="30" t="s">
        <v>107</v>
      </c>
      <c r="G7" s="38" t="s">
        <v>151</v>
      </c>
      <c r="H7" s="38" t="s">
        <v>221</v>
      </c>
      <c r="I7" s="38" t="s">
        <v>74</v>
      </c>
      <c r="J7" s="39"/>
      <c r="K7" s="46" t="str">
        <f>"155,0"</f>
        <v>155,0</v>
      </c>
      <c r="L7" s="32" t="str">
        <f>"100,0525"</f>
        <v>100,0525</v>
      </c>
      <c r="M7" s="30" t="s">
        <v>263</v>
      </c>
    </row>
    <row r="8" spans="1:13">
      <c r="A8" s="39" t="s">
        <v>30</v>
      </c>
      <c r="B8" s="30" t="s">
        <v>191</v>
      </c>
      <c r="C8" s="30" t="s">
        <v>192</v>
      </c>
      <c r="D8" s="30" t="s">
        <v>193</v>
      </c>
      <c r="E8" s="31" t="s">
        <v>449</v>
      </c>
      <c r="F8" s="30" t="s">
        <v>44</v>
      </c>
      <c r="G8" s="38" t="s">
        <v>38</v>
      </c>
      <c r="H8" s="38" t="s">
        <v>75</v>
      </c>
      <c r="I8" s="40" t="s">
        <v>36</v>
      </c>
      <c r="J8" s="39"/>
      <c r="K8" s="46" t="str">
        <f>"160,0"</f>
        <v>160,0</v>
      </c>
      <c r="L8" s="32" t="str">
        <f>"110,9391"</f>
        <v>110,9391</v>
      </c>
      <c r="M8" s="30" t="s">
        <v>196</v>
      </c>
    </row>
    <row r="9" spans="1:13">
      <c r="A9" s="37" t="s">
        <v>30</v>
      </c>
      <c r="B9" s="27" t="s">
        <v>222</v>
      </c>
      <c r="C9" s="27" t="s">
        <v>223</v>
      </c>
      <c r="D9" s="27" t="s">
        <v>224</v>
      </c>
      <c r="E9" s="28" t="s">
        <v>453</v>
      </c>
      <c r="F9" s="27" t="s">
        <v>44</v>
      </c>
      <c r="G9" s="41" t="s">
        <v>225</v>
      </c>
      <c r="H9" s="41" t="s">
        <v>19</v>
      </c>
      <c r="I9" s="36" t="s">
        <v>226</v>
      </c>
      <c r="J9" s="37"/>
      <c r="K9" s="45" t="str">
        <f>"120,0"</f>
        <v>120,0</v>
      </c>
      <c r="L9" s="29" t="str">
        <f>"133,5276"</f>
        <v>133,5276</v>
      </c>
      <c r="M9" s="27" t="s">
        <v>435</v>
      </c>
    </row>
    <row r="11" spans="1:13" ht="16">
      <c r="A11" s="62" t="s">
        <v>86</v>
      </c>
      <c r="B11" s="62"/>
      <c r="C11" s="62"/>
      <c r="D11" s="62"/>
      <c r="E11" s="63"/>
      <c r="F11" s="62"/>
      <c r="G11" s="62"/>
      <c r="H11" s="62"/>
      <c r="I11" s="62"/>
      <c r="J11" s="62"/>
    </row>
    <row r="12" spans="1:13">
      <c r="A12" s="35" t="s">
        <v>30</v>
      </c>
      <c r="B12" s="24" t="s">
        <v>197</v>
      </c>
      <c r="C12" s="24" t="s">
        <v>198</v>
      </c>
      <c r="D12" s="24" t="s">
        <v>199</v>
      </c>
      <c r="E12" s="25" t="s">
        <v>448</v>
      </c>
      <c r="F12" s="24" t="s">
        <v>427</v>
      </c>
      <c r="G12" s="34" t="s">
        <v>170</v>
      </c>
      <c r="H12" s="34" t="s">
        <v>100</v>
      </c>
      <c r="I12" s="33" t="s">
        <v>217</v>
      </c>
      <c r="J12" s="35"/>
      <c r="K12" s="44" t="str">
        <f>"190,0"</f>
        <v>190,0</v>
      </c>
      <c r="L12" s="26" t="str">
        <f>"117,6290"</f>
        <v>117,6290</v>
      </c>
      <c r="M12" s="24" t="s">
        <v>200</v>
      </c>
    </row>
    <row r="13" spans="1:13">
      <c r="A13" s="39" t="s">
        <v>135</v>
      </c>
      <c r="B13" s="30" t="s">
        <v>92</v>
      </c>
      <c r="C13" s="30" t="s">
        <v>93</v>
      </c>
      <c r="D13" s="30" t="s">
        <v>94</v>
      </c>
      <c r="E13" s="31" t="s">
        <v>448</v>
      </c>
      <c r="F13" s="30" t="s">
        <v>44</v>
      </c>
      <c r="G13" s="38" t="s">
        <v>98</v>
      </c>
      <c r="H13" s="38" t="s">
        <v>99</v>
      </c>
      <c r="I13" s="38" t="s">
        <v>100</v>
      </c>
      <c r="J13" s="39"/>
      <c r="K13" s="46" t="str">
        <f>"190,0"</f>
        <v>190,0</v>
      </c>
      <c r="L13" s="32" t="str">
        <f>"117,0970"</f>
        <v>117,0970</v>
      </c>
      <c r="M13" s="30"/>
    </row>
    <row r="14" spans="1:13">
      <c r="A14" s="39" t="s">
        <v>136</v>
      </c>
      <c r="B14" s="30" t="s">
        <v>227</v>
      </c>
      <c r="C14" s="30" t="s">
        <v>228</v>
      </c>
      <c r="D14" s="30" t="s">
        <v>229</v>
      </c>
      <c r="E14" s="31" t="s">
        <v>448</v>
      </c>
      <c r="F14" s="30" t="s">
        <v>44</v>
      </c>
      <c r="G14" s="38" t="s">
        <v>75</v>
      </c>
      <c r="H14" s="38" t="s">
        <v>36</v>
      </c>
      <c r="I14" s="38" t="s">
        <v>111</v>
      </c>
      <c r="J14" s="39"/>
      <c r="K14" s="46" t="str">
        <f>"175,0"</f>
        <v>175,0</v>
      </c>
      <c r="L14" s="32" t="str">
        <f>"107,1525"</f>
        <v>107,1525</v>
      </c>
      <c r="M14" s="30"/>
    </row>
    <row r="15" spans="1:13">
      <c r="A15" s="37" t="s">
        <v>30</v>
      </c>
      <c r="B15" s="27" t="s">
        <v>227</v>
      </c>
      <c r="C15" s="27" t="s">
        <v>230</v>
      </c>
      <c r="D15" s="27" t="s">
        <v>229</v>
      </c>
      <c r="E15" s="28" t="s">
        <v>449</v>
      </c>
      <c r="F15" s="27" t="s">
        <v>44</v>
      </c>
      <c r="G15" s="41" t="s">
        <v>75</v>
      </c>
      <c r="H15" s="41" t="s">
        <v>36</v>
      </c>
      <c r="I15" s="41" t="s">
        <v>111</v>
      </c>
      <c r="J15" s="37"/>
      <c r="K15" s="45" t="str">
        <f>"175,0"</f>
        <v>175,0</v>
      </c>
      <c r="L15" s="29" t="str">
        <f>"110,1528"</f>
        <v>110,1528</v>
      </c>
      <c r="M15" s="27"/>
    </row>
    <row r="17" spans="1:13" ht="16">
      <c r="A17" s="62" t="s">
        <v>231</v>
      </c>
      <c r="B17" s="62"/>
      <c r="C17" s="62"/>
      <c r="D17" s="62"/>
      <c r="E17" s="63"/>
      <c r="F17" s="62"/>
      <c r="G17" s="62"/>
      <c r="H17" s="62"/>
      <c r="I17" s="62"/>
      <c r="J17" s="62"/>
    </row>
    <row r="18" spans="1:13">
      <c r="A18" s="35" t="s">
        <v>30</v>
      </c>
      <c r="B18" s="24" t="s">
        <v>232</v>
      </c>
      <c r="C18" s="24" t="s">
        <v>233</v>
      </c>
      <c r="D18" s="24" t="s">
        <v>234</v>
      </c>
      <c r="E18" s="25" t="s">
        <v>448</v>
      </c>
      <c r="F18" s="24" t="s">
        <v>44</v>
      </c>
      <c r="G18" s="34" t="s">
        <v>38</v>
      </c>
      <c r="H18" s="34" t="s">
        <v>74</v>
      </c>
      <c r="I18" s="33" t="s">
        <v>128</v>
      </c>
      <c r="J18" s="35"/>
      <c r="K18" s="44" t="str">
        <f>"155,0"</f>
        <v>155,0</v>
      </c>
      <c r="L18" s="26" t="str">
        <f>"91,2175"</f>
        <v>91,2175</v>
      </c>
      <c r="M18" s="24" t="s">
        <v>235</v>
      </c>
    </row>
    <row r="19" spans="1:13">
      <c r="A19" s="37" t="s">
        <v>39</v>
      </c>
      <c r="B19" s="27" t="s">
        <v>236</v>
      </c>
      <c r="C19" s="27" t="s">
        <v>237</v>
      </c>
      <c r="D19" s="27" t="s">
        <v>238</v>
      </c>
      <c r="E19" s="28" t="s">
        <v>448</v>
      </c>
      <c r="F19" s="27" t="s">
        <v>44</v>
      </c>
      <c r="G19" s="36" t="s">
        <v>99</v>
      </c>
      <c r="H19" s="36" t="s">
        <v>217</v>
      </c>
      <c r="I19" s="36" t="s">
        <v>217</v>
      </c>
      <c r="J19" s="37"/>
      <c r="K19" s="45">
        <v>0</v>
      </c>
      <c r="L19" s="29" t="str">
        <f>"0,0000"</f>
        <v>0,0000</v>
      </c>
      <c r="M19" s="27" t="s">
        <v>239</v>
      </c>
    </row>
    <row r="21" spans="1:13" ht="16">
      <c r="A21" s="62" t="s">
        <v>123</v>
      </c>
      <c r="B21" s="62"/>
      <c r="C21" s="62"/>
      <c r="D21" s="62"/>
      <c r="E21" s="63"/>
      <c r="F21" s="62"/>
      <c r="G21" s="62"/>
      <c r="H21" s="62"/>
      <c r="I21" s="62"/>
      <c r="J21" s="62"/>
    </row>
    <row r="22" spans="1:13">
      <c r="A22" s="35" t="s">
        <v>30</v>
      </c>
      <c r="B22" s="24" t="s">
        <v>206</v>
      </c>
      <c r="C22" s="24" t="s">
        <v>207</v>
      </c>
      <c r="D22" s="24" t="s">
        <v>208</v>
      </c>
      <c r="E22" s="25" t="s">
        <v>448</v>
      </c>
      <c r="F22" s="24" t="s">
        <v>209</v>
      </c>
      <c r="G22" s="34" t="s">
        <v>109</v>
      </c>
      <c r="H22" s="34" t="s">
        <v>195</v>
      </c>
      <c r="I22" s="34" t="s">
        <v>110</v>
      </c>
      <c r="J22" s="35"/>
      <c r="K22" s="44" t="str">
        <f>"225,0"</f>
        <v>225,0</v>
      </c>
      <c r="L22" s="26" t="str">
        <f>"129,1275"</f>
        <v>129,1275</v>
      </c>
      <c r="M22" s="24" t="s">
        <v>357</v>
      </c>
    </row>
    <row r="23" spans="1:13">
      <c r="A23" s="39" t="s">
        <v>135</v>
      </c>
      <c r="B23" s="30" t="s">
        <v>240</v>
      </c>
      <c r="C23" s="30" t="s">
        <v>241</v>
      </c>
      <c r="D23" s="30" t="s">
        <v>242</v>
      </c>
      <c r="E23" s="31" t="s">
        <v>448</v>
      </c>
      <c r="F23" s="30" t="s">
        <v>44</v>
      </c>
      <c r="G23" s="38" t="s">
        <v>217</v>
      </c>
      <c r="H23" s="38" t="s">
        <v>108</v>
      </c>
      <c r="I23" s="40" t="s">
        <v>188</v>
      </c>
      <c r="J23" s="39"/>
      <c r="K23" s="46" t="str">
        <f>"205,0"</f>
        <v>205,0</v>
      </c>
      <c r="L23" s="32" t="str">
        <f>"118,4900"</f>
        <v>118,4900</v>
      </c>
      <c r="M23" s="30" t="s">
        <v>239</v>
      </c>
    </row>
    <row r="24" spans="1:13">
      <c r="A24" s="39" t="s">
        <v>136</v>
      </c>
      <c r="B24" s="30" t="s">
        <v>243</v>
      </c>
      <c r="C24" s="30" t="s">
        <v>244</v>
      </c>
      <c r="D24" s="30" t="s">
        <v>245</v>
      </c>
      <c r="E24" s="31" t="s">
        <v>448</v>
      </c>
      <c r="F24" s="30" t="s">
        <v>44</v>
      </c>
      <c r="G24" s="38" t="s">
        <v>108</v>
      </c>
      <c r="H24" s="40" t="s">
        <v>246</v>
      </c>
      <c r="I24" s="40" t="s">
        <v>246</v>
      </c>
      <c r="J24" s="39"/>
      <c r="K24" s="46" t="str">
        <f>"205,0"</f>
        <v>205,0</v>
      </c>
      <c r="L24" s="32" t="str">
        <f>"118,1415"</f>
        <v>118,1415</v>
      </c>
      <c r="M24" s="30"/>
    </row>
    <row r="25" spans="1:13">
      <c r="A25" s="37" t="s">
        <v>247</v>
      </c>
      <c r="B25" s="27" t="s">
        <v>210</v>
      </c>
      <c r="C25" s="27" t="s">
        <v>211</v>
      </c>
      <c r="D25" s="27" t="s">
        <v>212</v>
      </c>
      <c r="E25" s="28" t="s">
        <v>448</v>
      </c>
      <c r="F25" s="27" t="s">
        <v>44</v>
      </c>
      <c r="G25" s="41" t="s">
        <v>170</v>
      </c>
      <c r="H25" s="41" t="s">
        <v>100</v>
      </c>
      <c r="I25" s="41" t="s">
        <v>194</v>
      </c>
      <c r="J25" s="37"/>
      <c r="K25" s="45" t="str">
        <f>"200,0"</f>
        <v>200,0</v>
      </c>
      <c r="L25" s="29" t="str">
        <f>"114,4600"</f>
        <v>114,4600</v>
      </c>
      <c r="M25" s="27"/>
    </row>
    <row r="27" spans="1:13" ht="16">
      <c r="F27" s="11"/>
      <c r="G27" s="5"/>
      <c r="M27" s="6"/>
    </row>
    <row r="28" spans="1:13" ht="16">
      <c r="F28" s="11"/>
      <c r="G28" s="5"/>
      <c r="M28" s="6"/>
    </row>
    <row r="29" spans="1:13" ht="18">
      <c r="B29" s="12" t="s">
        <v>23</v>
      </c>
      <c r="C29" s="12"/>
      <c r="M29" s="6"/>
    </row>
    <row r="30" spans="1:13" ht="16">
      <c r="B30" s="13" t="s">
        <v>24</v>
      </c>
      <c r="C30" s="13"/>
      <c r="M30" s="6"/>
    </row>
    <row r="31" spans="1:13" ht="14">
      <c r="B31" s="14"/>
      <c r="C31" s="15" t="s">
        <v>132</v>
      </c>
      <c r="M31" s="6"/>
    </row>
    <row r="32" spans="1:13" ht="14">
      <c r="B32" s="16" t="s">
        <v>25</v>
      </c>
      <c r="C32" s="16" t="s">
        <v>26</v>
      </c>
      <c r="D32" s="16" t="s">
        <v>405</v>
      </c>
      <c r="E32" s="17" t="s">
        <v>201</v>
      </c>
      <c r="F32" s="16" t="s">
        <v>28</v>
      </c>
      <c r="M32" s="6"/>
    </row>
    <row r="33" spans="2:13">
      <c r="B33" s="5" t="s">
        <v>206</v>
      </c>
      <c r="C33" s="5" t="s">
        <v>132</v>
      </c>
      <c r="D33" s="19" t="s">
        <v>213</v>
      </c>
      <c r="E33" s="20">
        <v>225</v>
      </c>
      <c r="F33" s="18">
        <v>129.127496480942</v>
      </c>
      <c r="M33" s="6"/>
    </row>
    <row r="34" spans="2:13">
      <c r="B34" s="5" t="s">
        <v>214</v>
      </c>
      <c r="C34" s="5" t="s">
        <v>132</v>
      </c>
      <c r="D34" s="19" t="s">
        <v>190</v>
      </c>
      <c r="E34" s="20">
        <v>200</v>
      </c>
      <c r="F34" s="18">
        <v>128.79999876022299</v>
      </c>
      <c r="M34" s="6"/>
    </row>
    <row r="35" spans="2:13">
      <c r="B35" s="5" t="s">
        <v>240</v>
      </c>
      <c r="C35" s="5" t="s">
        <v>132</v>
      </c>
      <c r="D35" s="19" t="s">
        <v>213</v>
      </c>
      <c r="E35" s="20">
        <v>205</v>
      </c>
      <c r="F35" s="18">
        <v>118.490001857281</v>
      </c>
      <c r="M35" s="6"/>
    </row>
    <row r="36" spans="2:13">
      <c r="M36" s="6"/>
    </row>
    <row r="37" spans="2:13">
      <c r="M37" s="6"/>
    </row>
    <row r="38" spans="2:13">
      <c r="M38" s="6"/>
    </row>
    <row r="39" spans="2:13">
      <c r="M39" s="6"/>
    </row>
    <row r="40" spans="2:13">
      <c r="M40" s="6"/>
    </row>
    <row r="41" spans="2:13">
      <c r="M41" s="6"/>
    </row>
    <row r="42" spans="2:13">
      <c r="E42" s="5"/>
      <c r="F42" s="10"/>
      <c r="G42" s="5"/>
      <c r="M42" s="6"/>
    </row>
    <row r="43" spans="2:13" ht="14">
      <c r="C43" s="14"/>
      <c r="D43" s="15"/>
      <c r="E43" s="5"/>
      <c r="F43" s="10"/>
      <c r="G43" s="5"/>
      <c r="M43" s="6"/>
    </row>
    <row r="44" spans="2:13" ht="14">
      <c r="C44" s="1"/>
      <c r="D44" s="1"/>
      <c r="E44" s="1"/>
      <c r="F44" s="42"/>
      <c r="G44" s="1"/>
      <c r="M44" s="6"/>
    </row>
    <row r="45" spans="2:13">
      <c r="E45" s="19"/>
      <c r="F45" s="20"/>
      <c r="G45" s="18"/>
      <c r="M45" s="6"/>
    </row>
    <row r="46" spans="2:13">
      <c r="E46" s="19"/>
      <c r="F46" s="20"/>
      <c r="G46" s="18"/>
      <c r="M46" s="6"/>
    </row>
    <row r="47" spans="2:13">
      <c r="E47" s="19"/>
      <c r="F47" s="20"/>
      <c r="G47" s="18"/>
      <c r="M47" s="6"/>
    </row>
    <row r="48" spans="2:13">
      <c r="E48" s="5"/>
      <c r="F48" s="10"/>
      <c r="G48" s="5"/>
      <c r="M48" s="6"/>
    </row>
  </sheetData>
  <mergeCells count="15">
    <mergeCell ref="A11:J11"/>
    <mergeCell ref="A17:J17"/>
    <mergeCell ref="A21:J2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4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0" style="5" bestFit="1" customWidth="1"/>
    <col min="7" max="9" width="5.5" style="19" customWidth="1"/>
    <col min="10" max="10" width="4.83203125" style="19" customWidth="1"/>
    <col min="11" max="11" width="10.5" style="6" bestFit="1" customWidth="1"/>
    <col min="12" max="12" width="7.5" style="6" bestFit="1" customWidth="1"/>
    <col min="13" max="13" width="24.6640625" style="5" bestFit="1" customWidth="1"/>
    <col min="14" max="16384" width="9.1640625" style="3"/>
  </cols>
  <sheetData>
    <row r="1" spans="1:13" s="2" customFormat="1" ht="29" customHeight="1">
      <c r="A1" s="47" t="s">
        <v>416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2" customFormat="1" ht="62" customHeight="1" thickBot="1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>
      <c r="A3" s="55" t="s">
        <v>445</v>
      </c>
      <c r="B3" s="68" t="s">
        <v>0</v>
      </c>
      <c r="C3" s="57" t="s">
        <v>446</v>
      </c>
      <c r="D3" s="57" t="s">
        <v>6</v>
      </c>
      <c r="E3" s="59" t="s">
        <v>447</v>
      </c>
      <c r="F3" s="61" t="s">
        <v>5</v>
      </c>
      <c r="G3" s="61" t="s">
        <v>8</v>
      </c>
      <c r="H3" s="61"/>
      <c r="I3" s="61"/>
      <c r="J3" s="61"/>
      <c r="K3" s="59" t="s">
        <v>202</v>
      </c>
      <c r="L3" s="59" t="s">
        <v>3</v>
      </c>
      <c r="M3" s="64" t="s">
        <v>2</v>
      </c>
    </row>
    <row r="4" spans="1:13" s="1" customFormat="1" ht="21" customHeight="1" thickBot="1">
      <c r="A4" s="56"/>
      <c r="B4" s="69"/>
      <c r="C4" s="58"/>
      <c r="D4" s="58"/>
      <c r="E4" s="60"/>
      <c r="F4" s="58"/>
      <c r="G4" s="4">
        <v>1</v>
      </c>
      <c r="H4" s="4">
        <v>2</v>
      </c>
      <c r="I4" s="4">
        <v>3</v>
      </c>
      <c r="J4" s="4" t="s">
        <v>4</v>
      </c>
      <c r="K4" s="60"/>
      <c r="L4" s="60"/>
      <c r="M4" s="65"/>
    </row>
    <row r="5" spans="1:13" ht="16">
      <c r="A5" s="66" t="s">
        <v>314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22" t="s">
        <v>30</v>
      </c>
      <c r="B6" s="7" t="s">
        <v>315</v>
      </c>
      <c r="C6" s="7" t="s">
        <v>316</v>
      </c>
      <c r="D6" s="7" t="s">
        <v>317</v>
      </c>
      <c r="E6" s="8" t="s">
        <v>448</v>
      </c>
      <c r="F6" s="7" t="s">
        <v>431</v>
      </c>
      <c r="G6" s="21" t="s">
        <v>318</v>
      </c>
      <c r="H6" s="21" t="s">
        <v>81</v>
      </c>
      <c r="I6" s="23" t="s">
        <v>46</v>
      </c>
      <c r="J6" s="22"/>
      <c r="K6" s="9" t="str">
        <f>"77,5"</f>
        <v>77,5</v>
      </c>
      <c r="L6" s="9" t="str">
        <f>"98,6188"</f>
        <v>98,6188</v>
      </c>
      <c r="M6" s="7" t="s">
        <v>436</v>
      </c>
    </row>
    <row r="8" spans="1:13" ht="16">
      <c r="A8" s="62" t="s">
        <v>86</v>
      </c>
      <c r="B8" s="62"/>
      <c r="C8" s="62"/>
      <c r="D8" s="62"/>
      <c r="E8" s="63"/>
      <c r="F8" s="62"/>
      <c r="G8" s="62"/>
      <c r="H8" s="62"/>
      <c r="I8" s="62"/>
      <c r="J8" s="62"/>
    </row>
    <row r="9" spans="1:13">
      <c r="A9" s="22" t="s">
        <v>39</v>
      </c>
      <c r="B9" s="7" t="s">
        <v>319</v>
      </c>
      <c r="C9" s="7" t="s">
        <v>320</v>
      </c>
      <c r="D9" s="7" t="s">
        <v>321</v>
      </c>
      <c r="E9" s="8" t="s">
        <v>448</v>
      </c>
      <c r="F9" s="7" t="s">
        <v>437</v>
      </c>
      <c r="G9" s="23" t="s">
        <v>322</v>
      </c>
      <c r="H9" s="23" t="s">
        <v>322</v>
      </c>
      <c r="I9" s="23" t="s">
        <v>322</v>
      </c>
      <c r="J9" s="22"/>
      <c r="K9" s="43">
        <v>0</v>
      </c>
      <c r="L9" s="9" t="str">
        <f>"0,0000"</f>
        <v>0,0000</v>
      </c>
      <c r="M9" s="7"/>
    </row>
    <row r="11" spans="1:13" ht="16">
      <c r="F11" s="11"/>
      <c r="G11" s="5"/>
      <c r="K11" s="19"/>
      <c r="M11" s="6"/>
    </row>
    <row r="12" spans="1:13" ht="16">
      <c r="F12" s="11"/>
      <c r="G12" s="5"/>
      <c r="K12" s="19"/>
      <c r="M12" s="6"/>
    </row>
    <row r="13" spans="1:13" ht="16">
      <c r="F13" s="11"/>
      <c r="G13" s="5"/>
      <c r="K13" s="19"/>
      <c r="M13" s="6"/>
    </row>
    <row r="14" spans="1:13" ht="16">
      <c r="F14" s="11"/>
      <c r="G14" s="5"/>
      <c r="K14" s="19"/>
      <c r="M14" s="6"/>
    </row>
    <row r="15" spans="1:13" ht="16">
      <c r="F15" s="11"/>
      <c r="G15" s="5"/>
      <c r="K15" s="19"/>
      <c r="M15" s="6"/>
    </row>
    <row r="16" spans="1:13" ht="16">
      <c r="F16" s="11"/>
      <c r="G16" s="5"/>
      <c r="K16" s="19"/>
      <c r="M16" s="6"/>
    </row>
    <row r="17" spans="3:13" ht="16">
      <c r="F17" s="11"/>
      <c r="G17" s="5"/>
      <c r="K17" s="19"/>
      <c r="M17" s="6"/>
    </row>
    <row r="18" spans="3:13">
      <c r="G18" s="5"/>
      <c r="K18" s="19"/>
      <c r="M18" s="6"/>
    </row>
    <row r="19" spans="3:13" ht="18">
      <c r="C19" s="12"/>
      <c r="D19" s="12"/>
      <c r="E19" s="5"/>
      <c r="F19" s="10"/>
      <c r="G19" s="5"/>
      <c r="K19" s="19"/>
      <c r="M19" s="6"/>
    </row>
    <row r="20" spans="3:13" ht="16">
      <c r="C20" s="13"/>
      <c r="D20" s="13"/>
      <c r="E20" s="5"/>
      <c r="F20" s="10"/>
      <c r="G20" s="5"/>
      <c r="K20" s="19"/>
      <c r="M20" s="6"/>
    </row>
    <row r="21" spans="3:13" ht="14">
      <c r="C21" s="14"/>
      <c r="D21" s="15"/>
      <c r="E21" s="5"/>
      <c r="F21" s="10"/>
      <c r="G21" s="5"/>
      <c r="K21" s="19"/>
      <c r="M21" s="6"/>
    </row>
    <row r="22" spans="3:13" ht="14">
      <c r="C22" s="1"/>
      <c r="D22" s="1"/>
      <c r="E22" s="1"/>
      <c r="F22" s="42"/>
      <c r="G22" s="1"/>
      <c r="K22" s="19"/>
      <c r="M22" s="6"/>
    </row>
    <row r="23" spans="3:13">
      <c r="E23" s="19"/>
      <c r="F23" s="20"/>
      <c r="G23" s="18"/>
      <c r="K23" s="19"/>
      <c r="M23" s="6"/>
    </row>
    <row r="24" spans="3:13">
      <c r="E24" s="5"/>
      <c r="F24" s="10"/>
      <c r="G24" s="5"/>
      <c r="K24" s="19"/>
      <c r="M24" s="6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WRPF Военный жим ДК</vt:lpstr>
      <vt:lpstr>WRPF Военный жим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  <vt:lpstr>СПР Пауэрспорт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2022-11-16T18:30:45Z</dcterms:modified>
</cp:coreProperties>
</file>