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Январь/"/>
    </mc:Choice>
  </mc:AlternateContent>
  <xr:revisionPtr revIDLastSave="0" documentId="13_ncr:1_{828B9A95-E6CB-B441-8A8E-CA29C053CE6D}" xr6:coauthVersionLast="45" xr6:coauthVersionMax="47" xr10:uidLastSave="{00000000-0000-0000-0000-000000000000}"/>
  <bookViews>
    <workbookView xWindow="2120" yWindow="540" windowWidth="26560" windowHeight="15300" firstSheet="15" activeTab="15" xr2:uid="{00000000-000D-0000-FFFF-FFFF00000000}"/>
  </bookViews>
  <sheets>
    <sheet name="WRPF ПЛ без экипировки ДК" sheetId="8" r:id="rId1"/>
    <sheet name="WRPF ПЛ без экипировки" sheetId="7" r:id="rId2"/>
    <sheet name="WRPF ПЛ в бинтах ДК" sheetId="6" r:id="rId3"/>
    <sheet name="WRPF ПЛ в бинтах" sheetId="5" r:id="rId4"/>
    <sheet name="WRPF Двоеборье без экип ДК" sheetId="21" r:id="rId5"/>
    <sheet name="WRPF Жим лежа без экип ДК" sheetId="12" r:id="rId6"/>
    <sheet name="WRPF Жим лежа без экип" sheetId="11" r:id="rId7"/>
    <sheet name="WEPF Жим софт однопетельная ДК" sheetId="13" r:id="rId8"/>
    <sheet name="WEPF Жим софт однопетельная" sheetId="9" r:id="rId9"/>
    <sheet name="WRPF Военный жим ДК" sheetId="15" r:id="rId10"/>
    <sheet name="WRPF Военный жим" sheetId="10" r:id="rId11"/>
    <sheet name="WRPF Тяга без экипировки ДК" sheetId="18" r:id="rId12"/>
    <sheet name="WRPF Тяга без экипировки" sheetId="17" r:id="rId13"/>
    <sheet name="WEPF Тяга экип" sheetId="19" r:id="rId14"/>
    <sheet name="WRPF Подъем на бицепс ДК" sheetId="31" r:id="rId15"/>
    <sheet name="WRPF Подъем на бицепс" sheetId="30" r:id="rId16"/>
  </sheets>
  <definedNames>
    <definedName name="_FilterDatabase" localSheetId="3" hidden="1">'WRPF ПЛ в бинтах'!$A$1:$S$3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31" l="1"/>
  <c r="K11" i="31"/>
  <c r="L10" i="31"/>
  <c r="K10" i="31"/>
  <c r="L7" i="31"/>
  <c r="K7" i="31"/>
  <c r="L6" i="31"/>
  <c r="K6" i="31"/>
  <c r="L13" i="30"/>
  <c r="K13" i="30"/>
  <c r="L12" i="30"/>
  <c r="K12" i="30"/>
  <c r="L9" i="30"/>
  <c r="K9" i="30"/>
  <c r="L6" i="30"/>
  <c r="K6" i="30"/>
  <c r="P12" i="21"/>
  <c r="O12" i="21"/>
  <c r="P9" i="21"/>
  <c r="O9" i="21"/>
  <c r="P6" i="21"/>
  <c r="O6" i="21"/>
  <c r="L6" i="19"/>
  <c r="K6" i="19"/>
  <c r="L40" i="18"/>
  <c r="K40" i="18"/>
  <c r="L39" i="18"/>
  <c r="K39" i="18"/>
  <c r="L36" i="18"/>
  <c r="K36" i="18"/>
  <c r="L35" i="18"/>
  <c r="K35" i="18"/>
  <c r="L34" i="18"/>
  <c r="K34" i="18"/>
  <c r="L31" i="18"/>
  <c r="K31" i="18"/>
  <c r="L28" i="18"/>
  <c r="K28" i="18"/>
  <c r="L27" i="18"/>
  <c r="K27" i="18"/>
  <c r="L26" i="18"/>
  <c r="K26" i="18"/>
  <c r="L23" i="18"/>
  <c r="K23" i="18"/>
  <c r="L22" i="18"/>
  <c r="K22" i="18"/>
  <c r="L21" i="18"/>
  <c r="K21" i="18"/>
  <c r="L20" i="18"/>
  <c r="K20" i="18"/>
  <c r="L17" i="18"/>
  <c r="K17" i="18"/>
  <c r="L14" i="18"/>
  <c r="K14" i="18"/>
  <c r="L11" i="18"/>
  <c r="K11" i="18"/>
  <c r="L10" i="18"/>
  <c r="K10" i="18"/>
  <c r="L7" i="18"/>
  <c r="K7" i="18"/>
  <c r="L6" i="18"/>
  <c r="K6" i="18"/>
  <c r="L9" i="17"/>
  <c r="K9" i="17"/>
  <c r="L6" i="17"/>
  <c r="K6" i="17"/>
  <c r="L16" i="15"/>
  <c r="K16" i="15"/>
  <c r="L13" i="15"/>
  <c r="K13" i="15"/>
  <c r="L10" i="15"/>
  <c r="K10" i="15"/>
  <c r="L9" i="15"/>
  <c r="K9" i="15"/>
  <c r="L6" i="15"/>
  <c r="K6" i="15"/>
  <c r="L12" i="13"/>
  <c r="K12" i="13"/>
  <c r="L9" i="13"/>
  <c r="K9" i="13"/>
  <c r="L6" i="13"/>
  <c r="K6" i="13"/>
  <c r="L55" i="12"/>
  <c r="K55" i="12"/>
  <c r="L52" i="12"/>
  <c r="K52" i="12"/>
  <c r="L51" i="12"/>
  <c r="K51" i="12"/>
  <c r="L50" i="12"/>
  <c r="K50" i="12"/>
  <c r="L49" i="12"/>
  <c r="K49" i="12"/>
  <c r="L46" i="12"/>
  <c r="K46" i="12"/>
  <c r="L45" i="12"/>
  <c r="K45" i="12"/>
  <c r="L44" i="12"/>
  <c r="K44" i="12"/>
  <c r="L43" i="12"/>
  <c r="K43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2" i="12"/>
  <c r="K32" i="12"/>
  <c r="L31" i="12"/>
  <c r="K31" i="12"/>
  <c r="L30" i="12"/>
  <c r="K30" i="12"/>
  <c r="K6" i="12"/>
  <c r="L27" i="12"/>
  <c r="K27" i="12"/>
  <c r="L24" i="12"/>
  <c r="K24" i="12"/>
  <c r="L23" i="12"/>
  <c r="K23" i="12"/>
  <c r="L22" i="12"/>
  <c r="K22" i="12"/>
  <c r="L19" i="12"/>
  <c r="K19" i="12"/>
  <c r="L16" i="12"/>
  <c r="K16" i="12"/>
  <c r="L15" i="12"/>
  <c r="K15" i="12"/>
  <c r="L14" i="12"/>
  <c r="K14" i="12"/>
  <c r="L11" i="12"/>
  <c r="K11" i="12"/>
  <c r="L10" i="12"/>
  <c r="K10" i="12"/>
  <c r="L7" i="12"/>
  <c r="K7" i="12"/>
  <c r="L22" i="11"/>
  <c r="K22" i="11"/>
  <c r="L19" i="11"/>
  <c r="K19" i="11"/>
  <c r="L16" i="11"/>
  <c r="K16" i="11"/>
  <c r="L15" i="11"/>
  <c r="K15" i="11"/>
  <c r="L12" i="11"/>
  <c r="K12" i="11"/>
  <c r="L9" i="11"/>
  <c r="K9" i="11"/>
  <c r="L6" i="11"/>
  <c r="K6" i="11"/>
  <c r="L14" i="10"/>
  <c r="K14" i="10"/>
  <c r="L11" i="10"/>
  <c r="K11" i="10"/>
  <c r="L10" i="10"/>
  <c r="K10" i="10"/>
  <c r="L9" i="10"/>
  <c r="K9" i="10"/>
  <c r="L6" i="10"/>
  <c r="K6" i="10"/>
  <c r="L17" i="9"/>
  <c r="K17" i="9"/>
  <c r="L16" i="9"/>
  <c r="K16" i="9"/>
  <c r="L13" i="9"/>
  <c r="K13" i="9"/>
  <c r="L12" i="9"/>
  <c r="K12" i="9"/>
  <c r="L9" i="9"/>
  <c r="K9" i="9"/>
  <c r="L6" i="9"/>
  <c r="K6" i="9"/>
  <c r="T23" i="8"/>
  <c r="S23" i="8"/>
  <c r="T20" i="8"/>
  <c r="S20" i="8"/>
  <c r="T17" i="8"/>
  <c r="S17" i="8"/>
  <c r="T14" i="8"/>
  <c r="S14" i="8"/>
  <c r="T13" i="8"/>
  <c r="S13" i="8"/>
  <c r="T10" i="8"/>
  <c r="T9" i="8"/>
  <c r="S9" i="8"/>
  <c r="T6" i="8"/>
  <c r="S6" i="8"/>
  <c r="T17" i="7"/>
  <c r="S17" i="7"/>
  <c r="T14" i="7"/>
  <c r="S14" i="7"/>
  <c r="T11" i="7"/>
  <c r="S11" i="7"/>
  <c r="T10" i="7"/>
  <c r="S10" i="7"/>
  <c r="T7" i="7"/>
  <c r="S7" i="7"/>
  <c r="T6" i="7"/>
  <c r="S6" i="7"/>
  <c r="T6" i="6"/>
  <c r="S6" i="6"/>
  <c r="T6" i="5"/>
  <c r="S6" i="5"/>
</calcChain>
</file>

<file path=xl/sharedStrings.xml><?xml version="1.0" encoding="utf-8"?>
<sst xmlns="http://schemas.openxmlformats.org/spreadsheetml/2006/main" count="1564" uniqueCount="454">
  <si>
    <t>Всероссийский турнир «Лучшие из лучших»
WRPF Пауэрлифтинг без экипировки ДК
Новосибирск/Новосибирская область, 22 января 2023 года</t>
  </si>
  <si>
    <t>ФИО</t>
  </si>
  <si>
    <t>Собственный 
вес</t>
  </si>
  <si>
    <t>Город/Область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</si>
  <si>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</si>
  <si>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</si>
  <si>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</si>
  <si>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</si>
  <si>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</si>
  <si>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</si>
  <si>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</si>
  <si>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56</t>
  </si>
  <si>
    <t>1</t>
  </si>
  <si>
    <t>Фрузенкова Анастасия</t>
  </si>
  <si>
    <t>Девушки 17-19 (07.05.2004)/18</t>
  </si>
  <si>
    <t>55,10</t>
  </si>
  <si>
    <t xml:space="preserve">Новосибирск/Новосибирская область </t>
  </si>
  <si>
    <t>65,0</t>
  </si>
  <si>
    <t>67,5</t>
  </si>
  <si>
    <t>70,0</t>
  </si>
  <si>
    <t>35,0</t>
  </si>
  <si>
    <t>40,0</t>
  </si>
  <si>
    <t>45,0</t>
  </si>
  <si>
    <t>75,0</t>
  </si>
  <si>
    <t>80,0</t>
  </si>
  <si>
    <t>82,5</t>
  </si>
  <si>
    <t>Августинович А.</t>
  </si>
  <si>
    <t>ВЕСОВАЯ КАТЕГОРИЯ   60</t>
  </si>
  <si>
    <t>Плетнева Евгения</t>
  </si>
  <si>
    <t>Открытая (29.10.1986)/36</t>
  </si>
  <si>
    <t>58,10</t>
  </si>
  <si>
    <t>105,0</t>
  </si>
  <si>
    <t>112,5</t>
  </si>
  <si>
    <t>77,5</t>
  </si>
  <si>
    <t>120,0</t>
  </si>
  <si>
    <t>130,0</t>
  </si>
  <si>
    <t>Овчаров Д.</t>
  </si>
  <si>
    <t>-</t>
  </si>
  <si>
    <t>Попова Илона</t>
  </si>
  <si>
    <t>Открытая (25.05.1985)/37</t>
  </si>
  <si>
    <t>58,80</t>
  </si>
  <si>
    <t>50,0</t>
  </si>
  <si>
    <t>60,0</t>
  </si>
  <si>
    <t xml:space="preserve">Вишняк А. </t>
  </si>
  <si>
    <t>ВЕСОВАЯ КАТЕГОРИЯ   67.5</t>
  </si>
  <si>
    <t>Миронова Анастасия</t>
  </si>
  <si>
    <t>Открытая (13.11.1987)/35</t>
  </si>
  <si>
    <t>66,70</t>
  </si>
  <si>
    <t>90,0</t>
  </si>
  <si>
    <t>95,0</t>
  </si>
  <si>
    <t>100,0</t>
  </si>
  <si>
    <t>110,0</t>
  </si>
  <si>
    <t>Быховец А.</t>
  </si>
  <si>
    <t>2</t>
  </si>
  <si>
    <t>Цекова Алёна</t>
  </si>
  <si>
    <t>Открытая (11.10.1988)/34</t>
  </si>
  <si>
    <t>61,30</t>
  </si>
  <si>
    <t>52,5</t>
  </si>
  <si>
    <t>85,0</t>
  </si>
  <si>
    <t xml:space="preserve">Исаева И. </t>
  </si>
  <si>
    <t>ВЕСОВАЯ КАТЕГОРИЯ   75</t>
  </si>
  <si>
    <t>Щербакова Валентина</t>
  </si>
  <si>
    <t>Открытая (04.06.1987)/35</t>
  </si>
  <si>
    <t>70,60</t>
  </si>
  <si>
    <t xml:space="preserve">Республика Бурятия/Республика </t>
  </si>
  <si>
    <t>97,5</t>
  </si>
  <si>
    <t>47,5</t>
  </si>
  <si>
    <t>Калашников Федор</t>
  </si>
  <si>
    <t>Юноши 17-19 (05.09.2005)/17</t>
  </si>
  <si>
    <t>66,10</t>
  </si>
  <si>
    <t>Белимов А.</t>
  </si>
  <si>
    <t>ВЕСОВАЯ КАТЕГОРИЯ   100</t>
  </si>
  <si>
    <t>Мурашов Иван</t>
  </si>
  <si>
    <t>Открытая (07.07.1988)/34</t>
  </si>
  <si>
    <t>99,40</t>
  </si>
  <si>
    <t>170,0</t>
  </si>
  <si>
    <t>180,0</t>
  </si>
  <si>
    <t>187,5</t>
  </si>
  <si>
    <t>132,5</t>
  </si>
  <si>
    <t>135,0</t>
  </si>
  <si>
    <t>137,5</t>
  </si>
  <si>
    <t>185,0</t>
  </si>
  <si>
    <t>190,0</t>
  </si>
  <si>
    <t>195,0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</si>
  <si>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</si>
  <si>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</si>
  <si>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</si>
  <si>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</si>
  <si>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</si>
  <si>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</si>
  <si>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Сумма </t>
  </si>
  <si>
    <t xml:space="preserve">Wilks </t>
  </si>
  <si>
    <t>60</t>
  </si>
  <si>
    <t>67.5</t>
  </si>
  <si>
    <t>75</t>
  </si>
  <si>
    <t>Всероссийский турнир «Лучшие из лучших»
WRPF Пауэрлифтинг без экипировки
Новосибирск/Новосибирская область, 22 января 2023 года</t>
  </si>
  <si>
    <t>ВЕСОВАЯ КАТЕГОРИЯ   82.5</t>
  </si>
  <si>
    <t>Серебряков Яков</t>
  </si>
  <si>
    <t>Юноши 14-16 (27.07.2007)/15</t>
  </si>
  <si>
    <t>79,40</t>
  </si>
  <si>
    <t>Милинчук Артем</t>
  </si>
  <si>
    <t>Открытая (02.02.1994)/28</t>
  </si>
  <si>
    <t>81,60</t>
  </si>
  <si>
    <t>250,0</t>
  </si>
  <si>
    <t>260,0</t>
  </si>
  <si>
    <t>265,0</t>
  </si>
  <si>
    <t>167,5</t>
  </si>
  <si>
    <t>175,0</t>
  </si>
  <si>
    <t>280,0</t>
  </si>
  <si>
    <t>285,0</t>
  </si>
  <si>
    <t>Гантимуров А.</t>
  </si>
  <si>
    <t>ВЕСОВАЯ КАТЕГОРИЯ   90</t>
  </si>
  <si>
    <t>Махов Алексей</t>
  </si>
  <si>
    <t>Открытая (05.06.1998)/24</t>
  </si>
  <si>
    <t>89,80</t>
  </si>
  <si>
    <t>230,0</t>
  </si>
  <si>
    <t>240,0</t>
  </si>
  <si>
    <t>245,0</t>
  </si>
  <si>
    <t>140,0</t>
  </si>
  <si>
    <t>145,0</t>
  </si>
  <si>
    <t>150,0</t>
  </si>
  <si>
    <t>270,0</t>
  </si>
  <si>
    <t>Андрющенко Алексей</t>
  </si>
  <si>
    <t>Открытая (07.05.1997)/25</t>
  </si>
  <si>
    <t xml:space="preserve">Екатеринбург/Свердловская область </t>
  </si>
  <si>
    <t>225,0</t>
  </si>
  <si>
    <t>125,0</t>
  </si>
  <si>
    <t>220,0</t>
  </si>
  <si>
    <t>Московский Максим</t>
  </si>
  <si>
    <t>Открытая (15.03.1996)/26</t>
  </si>
  <si>
    <t>98,30</t>
  </si>
  <si>
    <t>205,0</t>
  </si>
  <si>
    <t>215,0</t>
  </si>
  <si>
    <t>155,0</t>
  </si>
  <si>
    <t>160,0</t>
  </si>
  <si>
    <t xml:space="preserve">Морозов Я. </t>
  </si>
  <si>
    <t>ВЕСОВАЯ КАТЕГОРИЯ   110</t>
  </si>
  <si>
    <t>Землянов Владимир</t>
  </si>
  <si>
    <t>Открытая (27.11.1986)/36</t>
  </si>
  <si>
    <t>106,00</t>
  </si>
  <si>
    <t>210,0</t>
  </si>
  <si>
    <t>Агеев Д.</t>
  </si>
  <si>
    <t xml:space="preserve">Мужчины </t>
  </si>
  <si>
    <t>82.5</t>
  </si>
  <si>
    <t>90</t>
  </si>
  <si>
    <t>100</t>
  </si>
  <si>
    <t>Всероссийский турнир «Лучшие из лучших»
WRPF Пауэрлифтинг классический в бинтах ДК
Новосибирск/Новосибирская область, 22 января 2023 года</t>
  </si>
  <si>
    <t>Клепальченко Александр</t>
  </si>
  <si>
    <t>Открытая (09.02.1944)/78</t>
  </si>
  <si>
    <t>98,90</t>
  </si>
  <si>
    <t xml:space="preserve">Омск/Омская область </t>
  </si>
  <si>
    <t>115,0</t>
  </si>
  <si>
    <t>Всероссийский турнир «Лучшие из лучших»
WRPF Пауэрлифтинг классический в бинтах
Новосибирск/Новосибирская область, 22 января 2023 года</t>
  </si>
  <si>
    <t>Белимов Александр</t>
  </si>
  <si>
    <t>Открытая (27.12.1988)/34</t>
  </si>
  <si>
    <t>107,50</t>
  </si>
  <si>
    <t>315,0</t>
  </si>
  <si>
    <t>330,0</t>
  </si>
  <si>
    <t>350,0</t>
  </si>
  <si>
    <t>165,0</t>
  </si>
  <si>
    <t>172,5</t>
  </si>
  <si>
    <t>177,5</t>
  </si>
  <si>
    <t>275,0</t>
  </si>
  <si>
    <t>290,0</t>
  </si>
  <si>
    <t>300,0</t>
  </si>
  <si>
    <t>Луговой А.</t>
  </si>
  <si>
    <t>Всероссийский турнир «Лучшие из лучших»
WRPF Силовое двоеборье без экипировки ДК
Новосибирск/Новосибирская область, 22 января 2023 года</t>
  </si>
  <si>
    <t>Пауль Сергей</t>
  </si>
  <si>
    <t>Открытая (01.04.1999)/23</t>
  </si>
  <si>
    <t>81,30</t>
  </si>
  <si>
    <t>235,0</t>
  </si>
  <si>
    <t>Рыжков Е.</t>
  </si>
  <si>
    <t>Парамонов Александр</t>
  </si>
  <si>
    <t>Открытая (06.05.1985)/37</t>
  </si>
  <si>
    <t>85,80</t>
  </si>
  <si>
    <t xml:space="preserve">Новоалтайск/Алтайский край </t>
  </si>
  <si>
    <t>Ефимов А.</t>
  </si>
  <si>
    <t>Всероссийский турнир «Лучшие из лучших»
WRPF Жим лежа без экипировки ДК
Новосибирск/Новосибирская область, 22 января 2023 года</t>
  </si>
  <si>
    <t>Результат</t>
  </si>
  <si>
    <t>ВЕСОВАЯ КАТЕГОРИЯ   52</t>
  </si>
  <si>
    <t>Пескова Анастасия</t>
  </si>
  <si>
    <t>Открытая (18.09.1983)/39</t>
  </si>
  <si>
    <t>50,30</t>
  </si>
  <si>
    <t>Хованский Д.</t>
  </si>
  <si>
    <t>Ли Евгения</t>
  </si>
  <si>
    <t>Открытая (03.02.1995)/27</t>
  </si>
  <si>
    <t>50,60</t>
  </si>
  <si>
    <t>42,5</t>
  </si>
  <si>
    <t>Севергина Наталья</t>
  </si>
  <si>
    <t>Открытая (01.01.1980)/43</t>
  </si>
  <si>
    <t>53,20</t>
  </si>
  <si>
    <t>Мастера 40-49 (01.01.1980)/43</t>
  </si>
  <si>
    <t>Севергина Ульяна</t>
  </si>
  <si>
    <t>Девушки 14-16 (26.09.2007)/15</t>
  </si>
  <si>
    <t>58,40</t>
  </si>
  <si>
    <t>57,5</t>
  </si>
  <si>
    <t>62,5</t>
  </si>
  <si>
    <t>Кливер Анна</t>
  </si>
  <si>
    <t>Открытая (17.01.2003)/20</t>
  </si>
  <si>
    <t>60,00</t>
  </si>
  <si>
    <t>Бунькова Надежда</t>
  </si>
  <si>
    <t>Девушки 17-19 (11.06.2005)/17</t>
  </si>
  <si>
    <t>64,00</t>
  </si>
  <si>
    <t>Яковлева Анна</t>
  </si>
  <si>
    <t>Девушки 17-19 (14.05.2005)/17</t>
  </si>
  <si>
    <t>69,30</t>
  </si>
  <si>
    <t>55,0</t>
  </si>
  <si>
    <t>Бурачкова Анастасия</t>
  </si>
  <si>
    <t>Открытая (24.04.1996)/26</t>
  </si>
  <si>
    <t>73,10</t>
  </si>
  <si>
    <t>Зыков Денис</t>
  </si>
  <si>
    <t>Юноши 14-16 (02.01.2011)/12</t>
  </si>
  <si>
    <t>49,70</t>
  </si>
  <si>
    <t>Романенко Денис</t>
  </si>
  <si>
    <t>Юноши 14-16 (18.04.2007)/15</t>
  </si>
  <si>
    <t>67,30</t>
  </si>
  <si>
    <t>87,5</t>
  </si>
  <si>
    <t>92,5</t>
  </si>
  <si>
    <t>Исаева И.</t>
  </si>
  <si>
    <t>Калачиков Павел</t>
  </si>
  <si>
    <t>Юноши 14-16 (23.12.2009)/13</t>
  </si>
  <si>
    <t>61,60</t>
  </si>
  <si>
    <t>Казначеева Нина</t>
  </si>
  <si>
    <t>Открытая (08.03.1988)/34</t>
  </si>
  <si>
    <t>66,50</t>
  </si>
  <si>
    <t>Зайцев Е.</t>
  </si>
  <si>
    <t>Иванов Иван</t>
  </si>
  <si>
    <t>Юноши 14-16 (20.06.2006)/16</t>
  </si>
  <si>
    <t>74,20</t>
  </si>
  <si>
    <t>117,5</t>
  </si>
  <si>
    <t xml:space="preserve">Лебедев В. </t>
  </si>
  <si>
    <t>Соболев Лев</t>
  </si>
  <si>
    <t>Юноши 17-19 (03.09.2004)/18</t>
  </si>
  <si>
    <t>74,70</t>
  </si>
  <si>
    <t>107,5</t>
  </si>
  <si>
    <t>Касьян Кирилл</t>
  </si>
  <si>
    <t>Открытая (16.04.1995)/27</t>
  </si>
  <si>
    <t>74,10</t>
  </si>
  <si>
    <t xml:space="preserve">Кемерово/Кемеровская область </t>
  </si>
  <si>
    <t>152,5</t>
  </si>
  <si>
    <t>Кожевников Максим</t>
  </si>
  <si>
    <t>Открытая (01.08.2006)/16</t>
  </si>
  <si>
    <t>71,30</t>
  </si>
  <si>
    <t>3</t>
  </si>
  <si>
    <t>Ларионов Сергей</t>
  </si>
  <si>
    <t>Открытая (19.08.1973)/49</t>
  </si>
  <si>
    <t>74,00</t>
  </si>
  <si>
    <t>102,5</t>
  </si>
  <si>
    <t>Захаров Н.</t>
  </si>
  <si>
    <t>Мастера 40-49 (19.08.1973)/49</t>
  </si>
  <si>
    <t>Шелпаков Кирилл</t>
  </si>
  <si>
    <t>Открытая (05.11.1992)/30</t>
  </si>
  <si>
    <t>81,10</t>
  </si>
  <si>
    <t>147,5</t>
  </si>
  <si>
    <t>Ливадин Иван</t>
  </si>
  <si>
    <t>Открытая (01.07.1986)/36</t>
  </si>
  <si>
    <t>79,80</t>
  </si>
  <si>
    <t>122,5</t>
  </si>
  <si>
    <t>127,5</t>
  </si>
  <si>
    <t xml:space="preserve">Гантимуров А. </t>
  </si>
  <si>
    <t>Грамзин Павел</t>
  </si>
  <si>
    <t>Открытая (21.04.1993)/29</t>
  </si>
  <si>
    <t>82,50</t>
  </si>
  <si>
    <t xml:space="preserve">Хованский Д. </t>
  </si>
  <si>
    <t>4</t>
  </si>
  <si>
    <t>Воронов Владимир</t>
  </si>
  <si>
    <t>Открытая (07.03.1995)/27</t>
  </si>
  <si>
    <t>81,70</t>
  </si>
  <si>
    <t xml:space="preserve">Усть-Илимск/Иркутская область </t>
  </si>
  <si>
    <t>Наумов Максим</t>
  </si>
  <si>
    <t>Юноши 17-19 (16.06.2005)/17</t>
  </si>
  <si>
    <t>85,90</t>
  </si>
  <si>
    <t xml:space="preserve">Искитим/Новосибирская область </t>
  </si>
  <si>
    <t>Пятовский Юрий</t>
  </si>
  <si>
    <t>Открытая (31.10.1993)/29</t>
  </si>
  <si>
    <t>89,50</t>
  </si>
  <si>
    <t>157,5</t>
  </si>
  <si>
    <t>Жакыпов Мухаммедали</t>
  </si>
  <si>
    <t>Открытая (12.12.1994)/28</t>
  </si>
  <si>
    <t>88,30</t>
  </si>
  <si>
    <t>Шашенко Константин</t>
  </si>
  <si>
    <t>Открытая (17.02.1983)/39</t>
  </si>
  <si>
    <t>92,40</t>
  </si>
  <si>
    <t>182,5</t>
  </si>
  <si>
    <t>Ольховский Е.</t>
  </si>
  <si>
    <t xml:space="preserve">Результат </t>
  </si>
  <si>
    <t>52</t>
  </si>
  <si>
    <t xml:space="preserve">Юноши </t>
  </si>
  <si>
    <t xml:space="preserve">Юноши 14-16 </t>
  </si>
  <si>
    <t xml:space="preserve">Юноши 17-19 </t>
  </si>
  <si>
    <t>Всероссийский турнир «Лучшие из лучших»
WRPF Жим лежа без экипировки
Новосибирск/Новосибирская область, 22 января 2023 года</t>
  </si>
  <si>
    <t>Вишняк Анна</t>
  </si>
  <si>
    <t>Открытая (12.12.1984)/38</t>
  </si>
  <si>
    <t>55,00</t>
  </si>
  <si>
    <t>Хованский Дмитрий</t>
  </si>
  <si>
    <t>Открытая (26.05.1986)/36</t>
  </si>
  <si>
    <t>Касьяненко Григорий</t>
  </si>
  <si>
    <t>Открытая (28.03.1990)/32</t>
  </si>
  <si>
    <t>89,60</t>
  </si>
  <si>
    <t>Кротов Александр</t>
  </si>
  <si>
    <t>Юноши 17-19 (17.02.2004)/18</t>
  </si>
  <si>
    <t>98,20</t>
  </si>
  <si>
    <t>Давыденко Николай</t>
  </si>
  <si>
    <t>Открытая (16.10.1992)/30</t>
  </si>
  <si>
    <t>91,10</t>
  </si>
  <si>
    <t>ВЕСОВАЯ КАТЕГОРИЯ   125</t>
  </si>
  <si>
    <t>Гантимуров Александр</t>
  </si>
  <si>
    <t>Открытая (19.06.1985)/37</t>
  </si>
  <si>
    <t>113,60</t>
  </si>
  <si>
    <t>ВЕСОВАЯ КАТЕГОРИЯ   140</t>
  </si>
  <si>
    <t>Чернов Александр</t>
  </si>
  <si>
    <t>Открытая (16.12.1989)/33</t>
  </si>
  <si>
    <t>130,60</t>
  </si>
  <si>
    <t>125</t>
  </si>
  <si>
    <t>140</t>
  </si>
  <si>
    <t>Всероссийский турнир «Лучшие из лучших»
WEPF Жим лежа в однопетельной софт экипировке ДК
Новосибирск/Новосибирская область, 22 января 2023 года</t>
  </si>
  <si>
    <t>Паршина Ирина</t>
  </si>
  <si>
    <t>Открытая (08.06.1985)/37</t>
  </si>
  <si>
    <t>66,75</t>
  </si>
  <si>
    <t xml:space="preserve">Новокузнецк/Кемеровская область </t>
  </si>
  <si>
    <t>Ямщиков Д.</t>
  </si>
  <si>
    <t>Бакушев Артем</t>
  </si>
  <si>
    <t>Открытая (11.04.1990)/32</t>
  </si>
  <si>
    <t>67,00</t>
  </si>
  <si>
    <t>202,5</t>
  </si>
  <si>
    <t>222,5</t>
  </si>
  <si>
    <t>Всероссийский турнир «Лучшие из лучших»
WEPF Жим лежа в однопетельной софт экипировке
Новосибирск/Новосибирская область, 22 января 2023 года</t>
  </si>
  <si>
    <t>Быховец Артём</t>
  </si>
  <si>
    <t>Открытая (19.07.1983)/39</t>
  </si>
  <si>
    <t>90,00</t>
  </si>
  <si>
    <t>255,0</t>
  </si>
  <si>
    <t>Чернявский Павел</t>
  </si>
  <si>
    <t>Открытая (05.05.1983)/39</t>
  </si>
  <si>
    <t>89,20</t>
  </si>
  <si>
    <t>Битук Андрей</t>
  </si>
  <si>
    <t>Открытая (28.02.1974)/48</t>
  </si>
  <si>
    <t>98,10</t>
  </si>
  <si>
    <t>200,0</t>
  </si>
  <si>
    <t>Мастера 40-49 (28.02.1974)/48</t>
  </si>
  <si>
    <t xml:space="preserve">Ямщиков Д. </t>
  </si>
  <si>
    <t xml:space="preserve">Gloss </t>
  </si>
  <si>
    <t>Всероссийский турнир «Лучшие из лучших»
WRPF Военный жим лежа с ДК
Новосибирск/Новосибирская область, 22 января 2023 года</t>
  </si>
  <si>
    <t>Киселева Яна</t>
  </si>
  <si>
    <t>Открытая (03.08.1991)/31</t>
  </si>
  <si>
    <t>52,00</t>
  </si>
  <si>
    <t>Боровский С.</t>
  </si>
  <si>
    <t>Гамова Виктория</t>
  </si>
  <si>
    <t>Открытая (08.07.1976)/46</t>
  </si>
  <si>
    <t>58,30</t>
  </si>
  <si>
    <t>Мастера 40-49 (08.07.1976)/46</t>
  </si>
  <si>
    <t>Боровский Степан</t>
  </si>
  <si>
    <t>Открытая (22.01.1986)/37</t>
  </si>
  <si>
    <t>88,50</t>
  </si>
  <si>
    <t>Дурнев Роман</t>
  </si>
  <si>
    <t>Открытая (03.11.1995)/27</t>
  </si>
  <si>
    <t>107,60</t>
  </si>
  <si>
    <t>Всероссийский турнир «Лучшие из лучших»
WRPF Военный жим лежа
Новосибирск/Новосибирская область, 22 января 2023 года</t>
  </si>
  <si>
    <t>Пузенко Вячеслав</t>
  </si>
  <si>
    <t>Открытая (12.11.1983)/39</t>
  </si>
  <si>
    <t>82,10</t>
  </si>
  <si>
    <t>Ямщиков Дмитрий</t>
  </si>
  <si>
    <t>Открытая (23.11.1983)/39</t>
  </si>
  <si>
    <t>Вальтер Алексей</t>
  </si>
  <si>
    <t>Открытая (29.01.1976)/46</t>
  </si>
  <si>
    <t>87,30</t>
  </si>
  <si>
    <t>142,5</t>
  </si>
  <si>
    <t>Иванов А.</t>
  </si>
  <si>
    <t>Юдинцев Евгений</t>
  </si>
  <si>
    <t>Открытая (09.05.1995)/27</t>
  </si>
  <si>
    <t>116,50</t>
  </si>
  <si>
    <t>Романов Д.</t>
  </si>
  <si>
    <t>Всероссийский турнир «Лучшие из лучших»
WRPF Становая тяга без экипировки ДК
Новосибирск/Новосибирская область, 22 января 2023 года</t>
  </si>
  <si>
    <t>Абрамцова Виталия</t>
  </si>
  <si>
    <t>Открытая (08.09.1982)/40</t>
  </si>
  <si>
    <t>58,60</t>
  </si>
  <si>
    <t>Павлодар/Республика Казахстан</t>
  </si>
  <si>
    <t>Вибе А.</t>
  </si>
  <si>
    <t>Бурван Елена</t>
  </si>
  <si>
    <t>Открытая (10.02.1991)/31</t>
  </si>
  <si>
    <t>Морозов Я.</t>
  </si>
  <si>
    <t>Загвоздина Ирина</t>
  </si>
  <si>
    <t>Открытая (08.03.1990)/32</t>
  </si>
  <si>
    <t>66,30</t>
  </si>
  <si>
    <t>Улан-Удэ/Республика Бурятия</t>
  </si>
  <si>
    <t>72,5</t>
  </si>
  <si>
    <t>Бебякин Кирилл</t>
  </si>
  <si>
    <t>Юноши 14-16 (14.07.2009)/13</t>
  </si>
  <si>
    <t>62,80</t>
  </si>
  <si>
    <t>Лазуткин Михаил</t>
  </si>
  <si>
    <t>Открытая (02.05.1995)/27</t>
  </si>
  <si>
    <t>67,50</t>
  </si>
  <si>
    <t>Ковалев Денис</t>
  </si>
  <si>
    <t>Юниоры (23.02.2001)/21</t>
  </si>
  <si>
    <t>75,00</t>
  </si>
  <si>
    <t>Витхин Александр</t>
  </si>
  <si>
    <t>Открытая (06.06.1992)/30</t>
  </si>
  <si>
    <t>72,10</t>
  </si>
  <si>
    <t>197,5</t>
  </si>
  <si>
    <t>207,5</t>
  </si>
  <si>
    <t>Сундуков Юрий</t>
  </si>
  <si>
    <t>Открытая (09.01.1990)/33</t>
  </si>
  <si>
    <t>Нечипарук М.</t>
  </si>
  <si>
    <t>Исагулов Эдуард</t>
  </si>
  <si>
    <t>Открытая (09.10.1970)/52</t>
  </si>
  <si>
    <t>81,40</t>
  </si>
  <si>
    <t xml:space="preserve">Белово/Кемеровская область </t>
  </si>
  <si>
    <t>Чупашева В.</t>
  </si>
  <si>
    <t>Полосин Сергей</t>
  </si>
  <si>
    <t>Открытая (27.09.1983)/39</t>
  </si>
  <si>
    <t>89,10</t>
  </si>
  <si>
    <t>232,5</t>
  </si>
  <si>
    <t>Овсиенко Дмитрий</t>
  </si>
  <si>
    <t>Открытая (07.06.1989)/33</t>
  </si>
  <si>
    <t>Николаев Вячеслав</t>
  </si>
  <si>
    <t>Открытая (10.07.1956)/66</t>
  </si>
  <si>
    <t>96,60</t>
  </si>
  <si>
    <t>Мастера 60-69 (10.07.1956)/66</t>
  </si>
  <si>
    <t>Всероссийский турнир «Лучшие из лучших»
WRPF Становая тяга без экипировки
Новосибирск/Новосибирская область, 22 января 2023 года</t>
  </si>
  <si>
    <t>Малышева Александра</t>
  </si>
  <si>
    <t>Открытая (08.11.1977)/45</t>
  </si>
  <si>
    <t>55,40</t>
  </si>
  <si>
    <t>Всероссийский турнир «Лучшие из лучших»
WEPF Становая тяга в экипировке
Новосибирск/Новосибирская область, 22 января 2023 года</t>
  </si>
  <si>
    <t>Поливанов Владимир</t>
  </si>
  <si>
    <t>Мастера 60-69 (20.01.1963)/60</t>
  </si>
  <si>
    <t>115,00</t>
  </si>
  <si>
    <t>Всероссийский турнир «Лучшие из лучших»
WRPF Строгий подъем штанги на бицепс ДК
Новосибирск/Новосибирская область, 22 января 2023 года</t>
  </si>
  <si>
    <t>Тимофеев Вячеслав</t>
  </si>
  <si>
    <t>Юноши 13-19 (03.06.2005)/17</t>
  </si>
  <si>
    <t>73,65</t>
  </si>
  <si>
    <t>Исаченко Сергей</t>
  </si>
  <si>
    <t>Открытая (26.03.1998)/24</t>
  </si>
  <si>
    <t>68,55</t>
  </si>
  <si>
    <t xml:space="preserve">Томск/Томская область </t>
  </si>
  <si>
    <t>Бушмирев Е.</t>
  </si>
  <si>
    <t>Зозуленко Данил</t>
  </si>
  <si>
    <t>Открытая (14.12.2001)/21</t>
  </si>
  <si>
    <t>87,70</t>
  </si>
  <si>
    <t>Всероссийский турнир «Лучшие из лучших»
WRPF Строгий подъем штанги на бицепс
Новосибирск/Новосибирская область, 22 января 2023 года</t>
  </si>
  <si>
    <t>Ефремов Вячеслав</t>
  </si>
  <si>
    <t>Открытая (14.04.1985)/37</t>
  </si>
  <si>
    <t>74,55</t>
  </si>
  <si>
    <t>Куклин Д.</t>
  </si>
  <si>
    <t>87,25</t>
  </si>
  <si>
    <t>Жим</t>
  </si>
  <si>
    <t>№</t>
  </si>
  <si>
    <t xml:space="preserve">
Дата рождения/Возраст</t>
  </si>
  <si>
    <t>Возрастная группа</t>
  </si>
  <si>
    <t>T2</t>
  </si>
  <si>
    <t>O</t>
  </si>
  <si>
    <t>T1</t>
  </si>
  <si>
    <t>M1</t>
  </si>
  <si>
    <t>J</t>
  </si>
  <si>
    <t>M3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</si>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</sst>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5" fontId="1" fillId="0" borderId="22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U34"/>
  <sheetViews>
    <sheetView workbookViewId="0">
      <selection activeCell="E24" sqref="E24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7.83203125" style="5" customWidth="1"/>
    <col min="4" max="4" width="18.664062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20" bestFit="1" customWidth="1"/>
    <col min="20" max="20" width="8.5" style="6" bestFit="1" customWidth="1"/>
    <col min="21" max="21" width="23.5" style="5" bestFit="1" customWidth="1"/>
    <col min="22" max="16384" width="9.1640625" style="3"/>
  </cols>
  <sheetData>
    <row r="1" spans="1:21" s="2" customFormat="1" ht="29" customHeight="1">
      <c r="A1" s="71" t="s">
        <v>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4</v>
      </c>
      <c r="H3" s="85"/>
      <c r="I3" s="85"/>
      <c r="J3" s="85"/>
      <c r="K3" s="85" t="s">
        <v>5</v>
      </c>
      <c r="L3" s="85"/>
      <c r="M3" s="85"/>
      <c r="N3" s="85"/>
      <c r="O3" s="85" t="s">
        <v>6</v>
      </c>
      <c r="P3" s="85"/>
      <c r="Q3" s="85"/>
      <c r="R3" s="85"/>
      <c r="S3" s="88" t="s">
        <v>7</v>
      </c>
      <c r="T3" s="83" t="s">
        <v>8</v>
      </c>
      <c r="U3" s="90" t="s">
        <v>9</v>
      </c>
    </row>
    <row r="4" spans="1:21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4">
        <v>1</v>
      </c>
      <c r="P4" s="4">
        <v>2</v>
      </c>
      <c r="Q4" s="4">
        <v>3</v>
      </c>
      <c r="R4" s="4" t="s">
        <v>10</v>
      </c>
      <c r="S4" s="89"/>
      <c r="T4" s="84"/>
      <c r="U4" s="91"/>
    </row>
    <row r="5" spans="1:21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23" t="s">
        <v>12</v>
      </c>
      <c r="B6" s="7" t="s">
        <v>13</v>
      </c>
      <c r="C6" s="7" t="s">
        <v>14</v>
      </c>
      <c r="D6" s="7" t="s">
        <v>15</v>
      </c>
      <c r="E6" s="8" t="s">
        <v>447</v>
      </c>
      <c r="F6" s="7" t="s">
        <v>16</v>
      </c>
      <c r="G6" s="22" t="s">
        <v>17</v>
      </c>
      <c r="H6" s="22" t="s">
        <v>18</v>
      </c>
      <c r="I6" s="22" t="s">
        <v>19</v>
      </c>
      <c r="J6" s="23"/>
      <c r="K6" s="22" t="s">
        <v>20</v>
      </c>
      <c r="L6" s="22" t="s">
        <v>21</v>
      </c>
      <c r="M6" s="21" t="s">
        <v>22</v>
      </c>
      <c r="N6" s="23"/>
      <c r="O6" s="22" t="s">
        <v>23</v>
      </c>
      <c r="P6" s="22" t="s">
        <v>24</v>
      </c>
      <c r="Q6" s="22" t="s">
        <v>25</v>
      </c>
      <c r="R6" s="23"/>
      <c r="S6" s="42" t="str">
        <f>"192,5"</f>
        <v>192,5</v>
      </c>
      <c r="T6" s="9" t="str">
        <f>"229,3830"</f>
        <v>229,3830</v>
      </c>
      <c r="U6" s="7" t="s">
        <v>26</v>
      </c>
    </row>
    <row r="8" spans="1:21" ht="16">
      <c r="A8" s="67" t="s">
        <v>27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1">
      <c r="A9" s="31" t="s">
        <v>12</v>
      </c>
      <c r="B9" s="24" t="s">
        <v>28</v>
      </c>
      <c r="C9" s="24" t="s">
        <v>29</v>
      </c>
      <c r="D9" s="24" t="s">
        <v>30</v>
      </c>
      <c r="E9" s="25" t="s">
        <v>448</v>
      </c>
      <c r="F9" s="24" t="s">
        <v>16</v>
      </c>
      <c r="G9" s="32" t="s">
        <v>31</v>
      </c>
      <c r="H9" s="30" t="s">
        <v>31</v>
      </c>
      <c r="I9" s="32" t="s">
        <v>32</v>
      </c>
      <c r="J9" s="31"/>
      <c r="K9" s="30" t="s">
        <v>23</v>
      </c>
      <c r="L9" s="30" t="s">
        <v>33</v>
      </c>
      <c r="M9" s="32" t="s">
        <v>24</v>
      </c>
      <c r="N9" s="31"/>
      <c r="O9" s="30" t="s">
        <v>34</v>
      </c>
      <c r="P9" s="32" t="s">
        <v>35</v>
      </c>
      <c r="Q9" s="32" t="s">
        <v>35</v>
      </c>
      <c r="R9" s="31"/>
      <c r="S9" s="43" t="str">
        <f>"302,5"</f>
        <v>302,5</v>
      </c>
      <c r="T9" s="26" t="str">
        <f>"345,8180"</f>
        <v>345,8180</v>
      </c>
      <c r="U9" s="24" t="s">
        <v>36</v>
      </c>
    </row>
    <row r="10" spans="1:21">
      <c r="A10" s="35" t="s">
        <v>37</v>
      </c>
      <c r="B10" s="27" t="s">
        <v>38</v>
      </c>
      <c r="C10" s="27" t="s">
        <v>39</v>
      </c>
      <c r="D10" s="27" t="s">
        <v>40</v>
      </c>
      <c r="E10" s="28" t="s">
        <v>448</v>
      </c>
      <c r="F10" s="27" t="s">
        <v>16</v>
      </c>
      <c r="G10" s="33" t="s">
        <v>41</v>
      </c>
      <c r="H10" s="34" t="s">
        <v>42</v>
      </c>
      <c r="I10" s="34" t="s">
        <v>42</v>
      </c>
      <c r="J10" s="35"/>
      <c r="K10" s="35"/>
      <c r="L10" s="35"/>
      <c r="M10" s="35"/>
      <c r="N10" s="35"/>
      <c r="O10" s="34"/>
      <c r="P10" s="35"/>
      <c r="Q10" s="35"/>
      <c r="R10" s="35"/>
      <c r="S10" s="44">
        <v>0</v>
      </c>
      <c r="T10" s="29" t="str">
        <f>"0,0000"</f>
        <v>0,0000</v>
      </c>
      <c r="U10" s="27" t="s">
        <v>43</v>
      </c>
    </row>
    <row r="12" spans="1:21" ht="16">
      <c r="A12" s="67" t="s">
        <v>44</v>
      </c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21">
      <c r="A13" s="31" t="s">
        <v>12</v>
      </c>
      <c r="B13" s="24" t="s">
        <v>45</v>
      </c>
      <c r="C13" s="24" t="s">
        <v>46</v>
      </c>
      <c r="D13" s="24" t="s">
        <v>47</v>
      </c>
      <c r="E13" s="25" t="s">
        <v>448</v>
      </c>
      <c r="F13" s="24" t="s">
        <v>16</v>
      </c>
      <c r="G13" s="30" t="s">
        <v>48</v>
      </c>
      <c r="H13" s="30" t="s">
        <v>49</v>
      </c>
      <c r="I13" s="30" t="s">
        <v>50</v>
      </c>
      <c r="J13" s="31"/>
      <c r="K13" s="30" t="s">
        <v>22</v>
      </c>
      <c r="L13" s="32" t="s">
        <v>41</v>
      </c>
      <c r="M13" s="32" t="s">
        <v>41</v>
      </c>
      <c r="N13" s="31"/>
      <c r="O13" s="30" t="s">
        <v>51</v>
      </c>
      <c r="P13" s="30" t="s">
        <v>34</v>
      </c>
      <c r="Q13" s="30" t="s">
        <v>35</v>
      </c>
      <c r="R13" s="31"/>
      <c r="S13" s="43" t="str">
        <f>"275,0"</f>
        <v>275,0</v>
      </c>
      <c r="T13" s="26" t="str">
        <f>"283,0850"</f>
        <v>283,0850</v>
      </c>
      <c r="U13" s="24" t="s">
        <v>52</v>
      </c>
    </row>
    <row r="14" spans="1:21">
      <c r="A14" s="35" t="s">
        <v>53</v>
      </c>
      <c r="B14" s="27" t="s">
        <v>54</v>
      </c>
      <c r="C14" s="27" t="s">
        <v>55</v>
      </c>
      <c r="D14" s="27" t="s">
        <v>56</v>
      </c>
      <c r="E14" s="28" t="s">
        <v>448</v>
      </c>
      <c r="F14" s="27" t="s">
        <v>16</v>
      </c>
      <c r="G14" s="33" t="s">
        <v>17</v>
      </c>
      <c r="H14" s="33" t="s">
        <v>19</v>
      </c>
      <c r="I14" s="33" t="s">
        <v>24</v>
      </c>
      <c r="J14" s="35"/>
      <c r="K14" s="33" t="s">
        <v>22</v>
      </c>
      <c r="L14" s="33" t="s">
        <v>41</v>
      </c>
      <c r="M14" s="33" t="s">
        <v>57</v>
      </c>
      <c r="N14" s="35"/>
      <c r="O14" s="33" t="s">
        <v>24</v>
      </c>
      <c r="P14" s="33" t="s">
        <v>58</v>
      </c>
      <c r="Q14" s="33" t="s">
        <v>48</v>
      </c>
      <c r="R14" s="35"/>
      <c r="S14" s="44" t="str">
        <f>"222,5"</f>
        <v>222,5</v>
      </c>
      <c r="T14" s="29" t="str">
        <f>"243,9935"</f>
        <v>243,9935</v>
      </c>
      <c r="U14" s="27" t="s">
        <v>59</v>
      </c>
    </row>
    <row r="16" spans="1:21" ht="16">
      <c r="A16" s="67" t="s">
        <v>60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21">
      <c r="A17" s="23" t="s">
        <v>12</v>
      </c>
      <c r="B17" s="7" t="s">
        <v>61</v>
      </c>
      <c r="C17" s="7" t="s">
        <v>62</v>
      </c>
      <c r="D17" s="7" t="s">
        <v>63</v>
      </c>
      <c r="E17" s="8" t="s">
        <v>448</v>
      </c>
      <c r="F17" s="7" t="s">
        <v>64</v>
      </c>
      <c r="G17" s="22" t="s">
        <v>49</v>
      </c>
      <c r="H17" s="22" t="s">
        <v>65</v>
      </c>
      <c r="I17" s="22" t="s">
        <v>50</v>
      </c>
      <c r="J17" s="23"/>
      <c r="K17" s="22" t="s">
        <v>22</v>
      </c>
      <c r="L17" s="21" t="s">
        <v>66</v>
      </c>
      <c r="M17" s="22" t="s">
        <v>66</v>
      </c>
      <c r="N17" s="23"/>
      <c r="O17" s="22" t="s">
        <v>50</v>
      </c>
      <c r="P17" s="22" t="s">
        <v>31</v>
      </c>
      <c r="Q17" s="22" t="s">
        <v>51</v>
      </c>
      <c r="R17" s="23"/>
      <c r="S17" s="42" t="str">
        <f>"257,5"</f>
        <v>257,5</v>
      </c>
      <c r="T17" s="9" t="str">
        <f>"254,6675"</f>
        <v>254,6675</v>
      </c>
      <c r="U17" s="7"/>
    </row>
    <row r="19" spans="1:21" ht="16">
      <c r="A19" s="67" t="s">
        <v>44</v>
      </c>
      <c r="B19" s="67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1:21">
      <c r="A20" s="23" t="s">
        <v>12</v>
      </c>
      <c r="B20" s="7" t="s">
        <v>67</v>
      </c>
      <c r="C20" s="7" t="s">
        <v>68</v>
      </c>
      <c r="D20" s="7" t="s">
        <v>69</v>
      </c>
      <c r="E20" s="8" t="s">
        <v>447</v>
      </c>
      <c r="F20" s="7" t="s">
        <v>16</v>
      </c>
      <c r="G20" s="22" t="s">
        <v>19</v>
      </c>
      <c r="H20" s="21" t="s">
        <v>24</v>
      </c>
      <c r="I20" s="21" t="s">
        <v>48</v>
      </c>
      <c r="J20" s="23"/>
      <c r="K20" s="22" t="s">
        <v>42</v>
      </c>
      <c r="L20" s="21" t="s">
        <v>19</v>
      </c>
      <c r="M20" s="22" t="s">
        <v>19</v>
      </c>
      <c r="N20" s="23"/>
      <c r="O20" s="22" t="s">
        <v>48</v>
      </c>
      <c r="P20" s="22" t="s">
        <v>50</v>
      </c>
      <c r="Q20" s="22" t="s">
        <v>51</v>
      </c>
      <c r="R20" s="23"/>
      <c r="S20" s="42" t="str">
        <f>"250,0"</f>
        <v>250,0</v>
      </c>
      <c r="T20" s="9" t="str">
        <f>"196,0500"</f>
        <v>196,0500</v>
      </c>
      <c r="U20" s="7" t="s">
        <v>70</v>
      </c>
    </row>
    <row r="22" spans="1:21" ht="16">
      <c r="A22" s="67" t="s">
        <v>71</v>
      </c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1:21">
      <c r="A23" s="23" t="s">
        <v>12</v>
      </c>
      <c r="B23" s="7" t="s">
        <v>72</v>
      </c>
      <c r="C23" s="7" t="s">
        <v>73</v>
      </c>
      <c r="D23" s="7" t="s">
        <v>74</v>
      </c>
      <c r="E23" s="8" t="s">
        <v>448</v>
      </c>
      <c r="F23" s="7" t="s">
        <v>16</v>
      </c>
      <c r="G23" s="22" t="s">
        <v>75</v>
      </c>
      <c r="H23" s="22" t="s">
        <v>76</v>
      </c>
      <c r="I23" s="21" t="s">
        <v>77</v>
      </c>
      <c r="J23" s="23"/>
      <c r="K23" s="21" t="s">
        <v>78</v>
      </c>
      <c r="L23" s="22" t="s">
        <v>79</v>
      </c>
      <c r="M23" s="22" t="s">
        <v>80</v>
      </c>
      <c r="N23" s="23"/>
      <c r="O23" s="22" t="s">
        <v>81</v>
      </c>
      <c r="P23" s="22" t="s">
        <v>82</v>
      </c>
      <c r="Q23" s="22" t="s">
        <v>83</v>
      </c>
      <c r="R23" s="23"/>
      <c r="S23" s="42" t="str">
        <f>"512,5"</f>
        <v>512,5</v>
      </c>
      <c r="T23" s="9" t="str">
        <f>"312,6762"</f>
        <v>312,6762</v>
      </c>
      <c r="U23" s="7" t="s">
        <v>26</v>
      </c>
    </row>
    <row r="25" spans="1:21">
      <c r="G25" s="5"/>
    </row>
    <row r="27" spans="1:21" ht="18">
      <c r="B27" s="12" t="s">
        <v>84</v>
      </c>
      <c r="C27" s="12"/>
    </row>
    <row r="28" spans="1:21" ht="16">
      <c r="B28" s="13" t="s">
        <v>85</v>
      </c>
      <c r="C28" s="13"/>
    </row>
    <row r="29" spans="1:21" ht="14">
      <c r="B29" s="14"/>
      <c r="C29" s="15" t="s">
        <v>86</v>
      </c>
    </row>
    <row r="30" spans="1:21" ht="14">
      <c r="B30" s="16" t="s">
        <v>87</v>
      </c>
      <c r="C30" s="16" t="s">
        <v>88</v>
      </c>
      <c r="D30" s="16" t="s">
        <v>89</v>
      </c>
      <c r="E30" s="17" t="s">
        <v>90</v>
      </c>
      <c r="F30" s="16" t="s">
        <v>91</v>
      </c>
    </row>
    <row r="31" spans="1:21">
      <c r="B31" s="5" t="s">
        <v>28</v>
      </c>
      <c r="C31" s="5" t="s">
        <v>86</v>
      </c>
      <c r="D31" s="19" t="s">
        <v>92</v>
      </c>
      <c r="E31" s="20">
        <v>302.5</v>
      </c>
      <c r="F31" s="18">
        <v>345.81801205873501</v>
      </c>
    </row>
    <row r="32" spans="1:21">
      <c r="B32" s="5" t="s">
        <v>45</v>
      </c>
      <c r="C32" s="5" t="s">
        <v>86</v>
      </c>
      <c r="D32" s="19" t="s">
        <v>93</v>
      </c>
      <c r="E32" s="20">
        <v>275</v>
      </c>
      <c r="F32" s="18">
        <v>283.08499753475201</v>
      </c>
    </row>
    <row r="33" spans="2:7">
      <c r="B33" s="5" t="s">
        <v>61</v>
      </c>
      <c r="C33" s="5" t="s">
        <v>86</v>
      </c>
      <c r="D33" s="19" t="s">
        <v>94</v>
      </c>
      <c r="E33" s="20">
        <v>257.5</v>
      </c>
      <c r="F33" s="18">
        <v>254.66750577092199</v>
      </c>
      <c r="G33" s="5"/>
    </row>
    <row r="34" spans="2:7">
      <c r="E34" s="5"/>
      <c r="F34" s="10"/>
      <c r="G34" s="5"/>
    </row>
  </sheetData>
  <mergeCells count="19"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22:R22"/>
    <mergeCell ref="A5:R5"/>
    <mergeCell ref="A8:R8"/>
    <mergeCell ref="A12:R12"/>
    <mergeCell ref="A16:R16"/>
    <mergeCell ref="A19:R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8"/>
  <sheetViews>
    <sheetView workbookViewId="0">
      <selection activeCell="E17" sqref="E17"/>
    </sheetView>
  </sheetViews>
  <sheetFormatPr baseColWidth="10" defaultColWidth="9.1640625" defaultRowHeight="13"/>
  <cols>
    <col min="1" max="1" width="7.5" style="5" bestFit="1" customWidth="1"/>
    <col min="2" max="2" width="18.83203125" style="5" customWidth="1"/>
    <col min="3" max="3" width="27.5" style="5" bestFit="1" customWidth="1"/>
    <col min="4" max="4" width="19.33203125" style="5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7.5" style="5" bestFit="1" customWidth="1"/>
    <col min="14" max="16384" width="9.1640625" style="3"/>
  </cols>
  <sheetData>
    <row r="1" spans="1:13" s="2" customFormat="1" ht="29" customHeight="1">
      <c r="A1" s="71" t="s">
        <v>341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179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342</v>
      </c>
      <c r="C6" s="7" t="s">
        <v>343</v>
      </c>
      <c r="D6" s="7" t="s">
        <v>344</v>
      </c>
      <c r="E6" s="8" t="s">
        <v>448</v>
      </c>
      <c r="F6" s="7" t="s">
        <v>16</v>
      </c>
      <c r="G6" s="22" t="s">
        <v>57</v>
      </c>
      <c r="H6" s="22" t="s">
        <v>206</v>
      </c>
      <c r="I6" s="21" t="s">
        <v>195</v>
      </c>
      <c r="J6" s="23"/>
      <c r="K6" s="9" t="str">
        <f>"55,0"</f>
        <v>55,0</v>
      </c>
      <c r="L6" s="9" t="str">
        <f>"68,5630"</f>
        <v>68,5630</v>
      </c>
      <c r="M6" s="7" t="s">
        <v>345</v>
      </c>
    </row>
    <row r="8" spans="1:13" ht="16">
      <c r="A8" s="67" t="s">
        <v>27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31" t="s">
        <v>12</v>
      </c>
      <c r="B9" s="24" t="s">
        <v>346</v>
      </c>
      <c r="C9" s="24" t="s">
        <v>347</v>
      </c>
      <c r="D9" s="24" t="s">
        <v>348</v>
      </c>
      <c r="E9" s="25" t="s">
        <v>448</v>
      </c>
      <c r="F9" s="24" t="s">
        <v>16</v>
      </c>
      <c r="G9" s="30" t="s">
        <v>21</v>
      </c>
      <c r="H9" s="30" t="s">
        <v>22</v>
      </c>
      <c r="I9" s="32" t="s">
        <v>41</v>
      </c>
      <c r="J9" s="31"/>
      <c r="K9" s="26" t="str">
        <f>"45,0"</f>
        <v>45,0</v>
      </c>
      <c r="L9" s="26" t="str">
        <f>"51,3045"</f>
        <v>51,3045</v>
      </c>
      <c r="M9" s="24" t="s">
        <v>345</v>
      </c>
    </row>
    <row r="10" spans="1:13">
      <c r="A10" s="35" t="s">
        <v>12</v>
      </c>
      <c r="B10" s="27" t="s">
        <v>346</v>
      </c>
      <c r="C10" s="27" t="s">
        <v>349</v>
      </c>
      <c r="D10" s="27" t="s">
        <v>348</v>
      </c>
      <c r="E10" s="28" t="s">
        <v>450</v>
      </c>
      <c r="F10" s="27" t="s">
        <v>16</v>
      </c>
      <c r="G10" s="33" t="s">
        <v>21</v>
      </c>
      <c r="H10" s="33" t="s">
        <v>22</v>
      </c>
      <c r="I10" s="34" t="s">
        <v>41</v>
      </c>
      <c r="J10" s="35"/>
      <c r="K10" s="29" t="str">
        <f>"45,0"</f>
        <v>45,0</v>
      </c>
      <c r="L10" s="29" t="str">
        <f>"55,3063"</f>
        <v>55,3063</v>
      </c>
      <c r="M10" s="27" t="s">
        <v>345</v>
      </c>
    </row>
    <row r="12" spans="1:13" ht="16">
      <c r="A12" s="67" t="s">
        <v>111</v>
      </c>
      <c r="B12" s="67"/>
      <c r="C12" s="68"/>
      <c r="D12" s="68"/>
      <c r="E12" s="68"/>
      <c r="F12" s="68"/>
      <c r="G12" s="68"/>
      <c r="H12" s="68"/>
      <c r="I12" s="68"/>
      <c r="J12" s="68"/>
    </row>
    <row r="13" spans="1:13">
      <c r="A13" s="23" t="s">
        <v>12</v>
      </c>
      <c r="B13" s="7" t="s">
        <v>350</v>
      </c>
      <c r="C13" s="7" t="s">
        <v>351</v>
      </c>
      <c r="D13" s="7" t="s">
        <v>352</v>
      </c>
      <c r="E13" s="8" t="s">
        <v>448</v>
      </c>
      <c r="F13" s="7" t="s">
        <v>16</v>
      </c>
      <c r="G13" s="22" t="s">
        <v>80</v>
      </c>
      <c r="H13" s="22" t="s">
        <v>118</v>
      </c>
      <c r="I13" s="22" t="s">
        <v>120</v>
      </c>
      <c r="J13" s="23"/>
      <c r="K13" s="9" t="str">
        <f>"150,0"</f>
        <v>150,0</v>
      </c>
      <c r="L13" s="9" t="str">
        <f>"96,6000"</f>
        <v>96,6000</v>
      </c>
      <c r="M13" s="7"/>
    </row>
    <row r="15" spans="1:13" ht="16">
      <c r="A15" s="67" t="s">
        <v>136</v>
      </c>
      <c r="B15" s="67"/>
      <c r="C15" s="68"/>
      <c r="D15" s="68"/>
      <c r="E15" s="68"/>
      <c r="F15" s="68"/>
      <c r="G15" s="68"/>
      <c r="H15" s="68"/>
      <c r="I15" s="68"/>
      <c r="J15" s="68"/>
    </row>
    <row r="16" spans="1:13">
      <c r="A16" s="23" t="s">
        <v>12</v>
      </c>
      <c r="B16" s="7" t="s">
        <v>353</v>
      </c>
      <c r="C16" s="7" t="s">
        <v>354</v>
      </c>
      <c r="D16" s="7" t="s">
        <v>355</v>
      </c>
      <c r="E16" s="8" t="s">
        <v>448</v>
      </c>
      <c r="F16" s="7" t="s">
        <v>16</v>
      </c>
      <c r="G16" s="22" t="s">
        <v>119</v>
      </c>
      <c r="H16" s="22" t="s">
        <v>239</v>
      </c>
      <c r="I16" s="23"/>
      <c r="J16" s="23"/>
      <c r="K16" s="9" t="str">
        <f>"152,5"</f>
        <v>152,5</v>
      </c>
      <c r="L16" s="9" t="str">
        <f>"90,3715"</f>
        <v>90,3715</v>
      </c>
      <c r="M16" s="7" t="s">
        <v>171</v>
      </c>
    </row>
    <row r="18" spans="5:13">
      <c r="E18" s="5"/>
      <c r="F18" s="10"/>
      <c r="G18" s="5"/>
      <c r="K18" s="19"/>
      <c r="M18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2:J12"/>
    <mergeCell ref="A15:J15"/>
    <mergeCell ref="B3:B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24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71" t="s">
        <v>356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96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357</v>
      </c>
      <c r="C6" s="7" t="s">
        <v>358</v>
      </c>
      <c r="D6" s="7" t="s">
        <v>359</v>
      </c>
      <c r="E6" s="8" t="s">
        <v>448</v>
      </c>
      <c r="F6" s="7" t="s">
        <v>16</v>
      </c>
      <c r="G6" s="22" t="s">
        <v>79</v>
      </c>
      <c r="H6" s="22" t="s">
        <v>119</v>
      </c>
      <c r="I6" s="22" t="s">
        <v>120</v>
      </c>
      <c r="J6" s="23"/>
      <c r="K6" s="9" t="str">
        <f>"150,0"</f>
        <v>150,0</v>
      </c>
      <c r="L6" s="9" t="str">
        <f>"100,7850"</f>
        <v>100,7850</v>
      </c>
      <c r="M6" s="7" t="s">
        <v>70</v>
      </c>
    </row>
    <row r="8" spans="1:13" ht="16">
      <c r="A8" s="67" t="s">
        <v>111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31" t="s">
        <v>12</v>
      </c>
      <c r="B9" s="24" t="s">
        <v>360</v>
      </c>
      <c r="C9" s="24" t="s">
        <v>361</v>
      </c>
      <c r="D9" s="24" t="s">
        <v>329</v>
      </c>
      <c r="E9" s="25" t="s">
        <v>448</v>
      </c>
      <c r="F9" s="24" t="s">
        <v>319</v>
      </c>
      <c r="G9" s="32" t="s">
        <v>160</v>
      </c>
      <c r="H9" s="30" t="s">
        <v>283</v>
      </c>
      <c r="I9" s="30" t="s">
        <v>77</v>
      </c>
      <c r="J9" s="31"/>
      <c r="K9" s="26" t="str">
        <f>"187,5"</f>
        <v>187,5</v>
      </c>
      <c r="L9" s="26" t="str">
        <f>"119,7000"</f>
        <v>119,7000</v>
      </c>
      <c r="M9" s="24" t="s">
        <v>320</v>
      </c>
    </row>
    <row r="10" spans="1:13">
      <c r="A10" s="39" t="s">
        <v>53</v>
      </c>
      <c r="B10" s="36" t="s">
        <v>296</v>
      </c>
      <c r="C10" s="36" t="s">
        <v>297</v>
      </c>
      <c r="D10" s="36" t="s">
        <v>298</v>
      </c>
      <c r="E10" s="37" t="s">
        <v>448</v>
      </c>
      <c r="F10" s="36" t="s">
        <v>16</v>
      </c>
      <c r="G10" s="40" t="s">
        <v>75</v>
      </c>
      <c r="H10" s="40" t="s">
        <v>161</v>
      </c>
      <c r="I10" s="40" t="s">
        <v>283</v>
      </c>
      <c r="J10" s="39"/>
      <c r="K10" s="38" t="str">
        <f>"182,5"</f>
        <v>182,5</v>
      </c>
      <c r="L10" s="38" t="str">
        <f>"116,7635"</f>
        <v>116,7635</v>
      </c>
      <c r="M10" s="36" t="s">
        <v>259</v>
      </c>
    </row>
    <row r="11" spans="1:13">
      <c r="A11" s="35" t="s">
        <v>243</v>
      </c>
      <c r="B11" s="27" t="s">
        <v>362</v>
      </c>
      <c r="C11" s="27" t="s">
        <v>363</v>
      </c>
      <c r="D11" s="27" t="s">
        <v>364</v>
      </c>
      <c r="E11" s="28" t="s">
        <v>448</v>
      </c>
      <c r="F11" s="27" t="s">
        <v>16</v>
      </c>
      <c r="G11" s="33" t="s">
        <v>365</v>
      </c>
      <c r="H11" s="33" t="s">
        <v>120</v>
      </c>
      <c r="I11" s="33" t="s">
        <v>133</v>
      </c>
      <c r="J11" s="35"/>
      <c r="K11" s="29" t="str">
        <f>"155,0"</f>
        <v>155,0</v>
      </c>
      <c r="L11" s="29" t="str">
        <f>"100,5485"</f>
        <v>100,5485</v>
      </c>
      <c r="M11" s="27" t="s">
        <v>366</v>
      </c>
    </row>
    <row r="13" spans="1:13" ht="16">
      <c r="A13" s="67" t="s">
        <v>305</v>
      </c>
      <c r="B13" s="67"/>
      <c r="C13" s="68"/>
      <c r="D13" s="68"/>
      <c r="E13" s="68"/>
      <c r="F13" s="68"/>
      <c r="G13" s="68"/>
      <c r="H13" s="68"/>
      <c r="I13" s="68"/>
      <c r="J13" s="68"/>
    </row>
    <row r="14" spans="1:13">
      <c r="A14" s="23" t="s">
        <v>12</v>
      </c>
      <c r="B14" s="7" t="s">
        <v>367</v>
      </c>
      <c r="C14" s="7" t="s">
        <v>368</v>
      </c>
      <c r="D14" s="7" t="s">
        <v>369</v>
      </c>
      <c r="E14" s="8" t="s">
        <v>448</v>
      </c>
      <c r="F14" s="7" t="s">
        <v>16</v>
      </c>
      <c r="G14" s="22" t="s">
        <v>160</v>
      </c>
      <c r="H14" s="21" t="s">
        <v>283</v>
      </c>
      <c r="I14" s="23"/>
      <c r="J14" s="23"/>
      <c r="K14" s="9" t="str">
        <f>"172,5"</f>
        <v>172,5</v>
      </c>
      <c r="L14" s="9" t="str">
        <f>"99,8948"</f>
        <v>99,8948</v>
      </c>
      <c r="M14" s="7" t="s">
        <v>370</v>
      </c>
    </row>
    <row r="16" spans="1:13">
      <c r="K16" s="19"/>
      <c r="M16" s="6"/>
    </row>
    <row r="17" spans="2:13">
      <c r="K17" s="19"/>
      <c r="M17" s="6"/>
    </row>
    <row r="18" spans="2:13" ht="18">
      <c r="B18" s="12" t="s">
        <v>84</v>
      </c>
      <c r="C18" s="12"/>
      <c r="K18" s="19"/>
      <c r="M18" s="6"/>
    </row>
    <row r="19" spans="2:13" ht="16">
      <c r="B19" s="13" t="s">
        <v>142</v>
      </c>
      <c r="C19" s="13"/>
      <c r="K19" s="19"/>
      <c r="M19" s="6"/>
    </row>
    <row r="20" spans="2:13" ht="14">
      <c r="B20" s="14"/>
      <c r="C20" s="15" t="s">
        <v>86</v>
      </c>
      <c r="K20" s="19"/>
      <c r="M20" s="6"/>
    </row>
    <row r="21" spans="2:13" ht="14">
      <c r="B21" s="16" t="s">
        <v>87</v>
      </c>
      <c r="C21" s="16" t="s">
        <v>88</v>
      </c>
      <c r="D21" s="16" t="s">
        <v>89</v>
      </c>
      <c r="E21" s="17" t="s">
        <v>285</v>
      </c>
      <c r="F21" s="16" t="s">
        <v>91</v>
      </c>
      <c r="K21" s="19"/>
      <c r="M21" s="6"/>
    </row>
    <row r="22" spans="2:13">
      <c r="B22" s="5" t="s">
        <v>360</v>
      </c>
      <c r="C22" s="5" t="s">
        <v>86</v>
      </c>
      <c r="D22" s="19" t="s">
        <v>144</v>
      </c>
      <c r="E22" s="20">
        <v>187.5</v>
      </c>
      <c r="F22" s="18">
        <v>119.700003415346</v>
      </c>
      <c r="K22" s="19"/>
      <c r="M22" s="6"/>
    </row>
    <row r="23" spans="2:13">
      <c r="B23" s="5" t="s">
        <v>296</v>
      </c>
      <c r="C23" s="5" t="s">
        <v>86</v>
      </c>
      <c r="D23" s="19" t="s">
        <v>144</v>
      </c>
      <c r="E23" s="20">
        <v>182.5</v>
      </c>
      <c r="F23" s="18">
        <v>116.763502210379</v>
      </c>
      <c r="G23" s="5"/>
      <c r="K23" s="19"/>
      <c r="M23" s="6"/>
    </row>
    <row r="24" spans="2:13">
      <c r="B24" s="5" t="s">
        <v>357</v>
      </c>
      <c r="C24" s="5" t="s">
        <v>86</v>
      </c>
      <c r="D24" s="19" t="s">
        <v>143</v>
      </c>
      <c r="E24" s="20">
        <v>150</v>
      </c>
      <c r="F24" s="18">
        <v>100.78499615192401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3:J13"/>
    <mergeCell ref="B3:B4"/>
    <mergeCell ref="K3:K4"/>
    <mergeCell ref="L3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58"/>
  <sheetViews>
    <sheetView topLeftCell="A15" workbookViewId="0">
      <selection activeCell="E41" sqref="E41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7" width="5.6640625" style="19" bestFit="1" customWidth="1"/>
    <col min="8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28.5" style="5" bestFit="1" customWidth="1"/>
    <col min="14" max="16384" width="9.1640625" style="3"/>
  </cols>
  <sheetData>
    <row r="1" spans="1:13" s="2" customFormat="1" ht="29" customHeight="1">
      <c r="A1" s="71" t="s">
        <v>371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6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27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31" t="s">
        <v>12</v>
      </c>
      <c r="B6" s="24" t="s">
        <v>372</v>
      </c>
      <c r="C6" s="24" t="s">
        <v>373</v>
      </c>
      <c r="D6" s="24" t="s">
        <v>374</v>
      </c>
      <c r="E6" s="25" t="s">
        <v>448</v>
      </c>
      <c r="F6" s="65" t="s">
        <v>375</v>
      </c>
      <c r="G6" s="30" t="s">
        <v>31</v>
      </c>
      <c r="H6" s="30" t="s">
        <v>151</v>
      </c>
      <c r="I6" s="30" t="s">
        <v>34</v>
      </c>
      <c r="J6" s="31"/>
      <c r="K6" s="26" t="str">
        <f>"120,0"</f>
        <v>120,0</v>
      </c>
      <c r="L6" s="26" t="str">
        <f>"136,2600"</f>
        <v>136,2600</v>
      </c>
      <c r="M6" s="24" t="s">
        <v>376</v>
      </c>
    </row>
    <row r="7" spans="1:13">
      <c r="A7" s="35" t="s">
        <v>53</v>
      </c>
      <c r="B7" s="27" t="s">
        <v>377</v>
      </c>
      <c r="C7" s="27" t="s">
        <v>378</v>
      </c>
      <c r="D7" s="27" t="s">
        <v>348</v>
      </c>
      <c r="E7" s="28" t="s">
        <v>448</v>
      </c>
      <c r="F7" s="27" t="s">
        <v>16</v>
      </c>
      <c r="G7" s="33" t="s">
        <v>49</v>
      </c>
      <c r="H7" s="33" t="s">
        <v>31</v>
      </c>
      <c r="I7" s="33" t="s">
        <v>151</v>
      </c>
      <c r="J7" s="35"/>
      <c r="K7" s="29" t="str">
        <f>"115,0"</f>
        <v>115,0</v>
      </c>
      <c r="L7" s="29" t="str">
        <f>"131,1115"</f>
        <v>131,1115</v>
      </c>
      <c r="M7" s="27" t="s">
        <v>379</v>
      </c>
    </row>
    <row r="9" spans="1:13" ht="16">
      <c r="A9" s="67" t="s">
        <v>44</v>
      </c>
      <c r="B9" s="67"/>
      <c r="C9" s="68"/>
      <c r="D9" s="68"/>
      <c r="E9" s="68"/>
      <c r="F9" s="68"/>
      <c r="G9" s="68"/>
      <c r="H9" s="68"/>
      <c r="I9" s="68"/>
      <c r="J9" s="68"/>
    </row>
    <row r="10" spans="1:13">
      <c r="A10" s="31" t="s">
        <v>12</v>
      </c>
      <c r="B10" s="24" t="s">
        <v>45</v>
      </c>
      <c r="C10" s="24" t="s">
        <v>46</v>
      </c>
      <c r="D10" s="24" t="s">
        <v>47</v>
      </c>
      <c r="E10" s="25" t="s">
        <v>448</v>
      </c>
      <c r="F10" s="24" t="s">
        <v>16</v>
      </c>
      <c r="G10" s="30" t="s">
        <v>51</v>
      </c>
      <c r="H10" s="30" t="s">
        <v>34</v>
      </c>
      <c r="I10" s="30" t="s">
        <v>35</v>
      </c>
      <c r="J10" s="31"/>
      <c r="K10" s="26" t="str">
        <f>"130,0"</f>
        <v>130,0</v>
      </c>
      <c r="L10" s="26" t="str">
        <f>"133,8220"</f>
        <v>133,8220</v>
      </c>
      <c r="M10" s="24" t="s">
        <v>52</v>
      </c>
    </row>
    <row r="11" spans="1:13">
      <c r="A11" s="35" t="s">
        <v>53</v>
      </c>
      <c r="B11" s="27" t="s">
        <v>380</v>
      </c>
      <c r="C11" s="27" t="s">
        <v>381</v>
      </c>
      <c r="D11" s="27" t="s">
        <v>382</v>
      </c>
      <c r="E11" s="28" t="s">
        <v>448</v>
      </c>
      <c r="F11" s="27" t="s">
        <v>16</v>
      </c>
      <c r="G11" s="33" t="s">
        <v>24</v>
      </c>
      <c r="H11" s="33" t="s">
        <v>48</v>
      </c>
      <c r="I11" s="33" t="s">
        <v>50</v>
      </c>
      <c r="J11" s="35"/>
      <c r="K11" s="29" t="str">
        <f>"100,0"</f>
        <v>100,0</v>
      </c>
      <c r="L11" s="29" t="str">
        <f>"103,3900"</f>
        <v>103,3900</v>
      </c>
      <c r="M11" s="27" t="s">
        <v>345</v>
      </c>
    </row>
    <row r="13" spans="1:13" ht="16">
      <c r="A13" s="67" t="s">
        <v>60</v>
      </c>
      <c r="B13" s="67"/>
      <c r="C13" s="68"/>
      <c r="D13" s="68"/>
      <c r="E13" s="68"/>
      <c r="F13" s="68"/>
      <c r="G13" s="68"/>
      <c r="H13" s="68"/>
      <c r="I13" s="68"/>
      <c r="J13" s="68"/>
    </row>
    <row r="14" spans="1:13">
      <c r="A14" s="23" t="s">
        <v>12</v>
      </c>
      <c r="B14" s="7" t="s">
        <v>61</v>
      </c>
      <c r="C14" s="7" t="s">
        <v>62</v>
      </c>
      <c r="D14" s="7" t="s">
        <v>63</v>
      </c>
      <c r="E14" s="8" t="s">
        <v>448</v>
      </c>
      <c r="F14" s="66" t="s">
        <v>383</v>
      </c>
      <c r="G14" s="22" t="s">
        <v>50</v>
      </c>
      <c r="H14" s="22" t="s">
        <v>31</v>
      </c>
      <c r="I14" s="22" t="s">
        <v>51</v>
      </c>
      <c r="J14" s="23"/>
      <c r="K14" s="9" t="str">
        <f>"110,0"</f>
        <v>110,0</v>
      </c>
      <c r="L14" s="9" t="str">
        <f>"108,7900"</f>
        <v>108,7900</v>
      </c>
      <c r="M14" s="7"/>
    </row>
    <row r="16" spans="1:13" ht="16">
      <c r="A16" s="67" t="s">
        <v>179</v>
      </c>
      <c r="B16" s="67"/>
      <c r="C16" s="68"/>
      <c r="D16" s="68"/>
      <c r="E16" s="68"/>
      <c r="F16" s="68"/>
      <c r="G16" s="68"/>
      <c r="H16" s="68"/>
      <c r="I16" s="68"/>
      <c r="J16" s="68"/>
    </row>
    <row r="17" spans="1:13">
      <c r="A17" s="23" t="s">
        <v>12</v>
      </c>
      <c r="B17" s="7" t="s">
        <v>210</v>
      </c>
      <c r="C17" s="7" t="s">
        <v>211</v>
      </c>
      <c r="D17" s="7" t="s">
        <v>212</v>
      </c>
      <c r="E17" s="8" t="s">
        <v>449</v>
      </c>
      <c r="F17" s="7" t="s">
        <v>16</v>
      </c>
      <c r="G17" s="22" t="s">
        <v>17</v>
      </c>
      <c r="H17" s="22" t="s">
        <v>384</v>
      </c>
      <c r="I17" s="22" t="s">
        <v>23</v>
      </c>
      <c r="J17" s="23"/>
      <c r="K17" s="9" t="str">
        <f>"75,0"</f>
        <v>75,0</v>
      </c>
      <c r="L17" s="9" t="str">
        <f>"77,2425"</f>
        <v>77,2425</v>
      </c>
      <c r="M17" s="7" t="s">
        <v>171</v>
      </c>
    </row>
    <row r="19" spans="1:13" ht="16">
      <c r="A19" s="67" t="s">
        <v>44</v>
      </c>
      <c r="B19" s="67"/>
      <c r="C19" s="68"/>
      <c r="D19" s="68"/>
      <c r="E19" s="68"/>
      <c r="F19" s="68"/>
      <c r="G19" s="68"/>
      <c r="H19" s="68"/>
      <c r="I19" s="68"/>
      <c r="J19" s="68"/>
    </row>
    <row r="20" spans="1:13">
      <c r="A20" s="31" t="s">
        <v>12</v>
      </c>
      <c r="B20" s="24" t="s">
        <v>219</v>
      </c>
      <c r="C20" s="24" t="s">
        <v>220</v>
      </c>
      <c r="D20" s="24" t="s">
        <v>221</v>
      </c>
      <c r="E20" s="25" t="s">
        <v>449</v>
      </c>
      <c r="F20" s="24" t="s">
        <v>16</v>
      </c>
      <c r="G20" s="30" t="s">
        <v>23</v>
      </c>
      <c r="H20" s="30" t="s">
        <v>58</v>
      </c>
      <c r="I20" s="30" t="s">
        <v>48</v>
      </c>
      <c r="J20" s="31"/>
      <c r="K20" s="26" t="str">
        <f>"90,0"</f>
        <v>90,0</v>
      </c>
      <c r="L20" s="26" t="str">
        <f>"74,9610"</f>
        <v>74,9610</v>
      </c>
      <c r="M20" s="24" t="s">
        <v>171</v>
      </c>
    </row>
    <row r="21" spans="1:13">
      <c r="A21" s="39" t="s">
        <v>53</v>
      </c>
      <c r="B21" s="36" t="s">
        <v>385</v>
      </c>
      <c r="C21" s="36" t="s">
        <v>386</v>
      </c>
      <c r="D21" s="36" t="s">
        <v>387</v>
      </c>
      <c r="E21" s="37" t="s">
        <v>449</v>
      </c>
      <c r="F21" s="36" t="s">
        <v>16</v>
      </c>
      <c r="G21" s="40" t="s">
        <v>17</v>
      </c>
      <c r="H21" s="40" t="s">
        <v>19</v>
      </c>
      <c r="I21" s="41" t="s">
        <v>23</v>
      </c>
      <c r="J21" s="39"/>
      <c r="K21" s="38" t="str">
        <f>"70,0"</f>
        <v>70,0</v>
      </c>
      <c r="L21" s="38" t="str">
        <f>"57,3230"</f>
        <v>57,3230</v>
      </c>
      <c r="M21" s="36" t="s">
        <v>171</v>
      </c>
    </row>
    <row r="22" spans="1:13">
      <c r="A22" s="39" t="s">
        <v>12</v>
      </c>
      <c r="B22" s="36" t="s">
        <v>388</v>
      </c>
      <c r="C22" s="36" t="s">
        <v>389</v>
      </c>
      <c r="D22" s="36" t="s">
        <v>390</v>
      </c>
      <c r="E22" s="37" t="s">
        <v>448</v>
      </c>
      <c r="F22" s="36" t="s">
        <v>16</v>
      </c>
      <c r="G22" s="40" t="s">
        <v>81</v>
      </c>
      <c r="H22" s="40" t="s">
        <v>83</v>
      </c>
      <c r="I22" s="40" t="s">
        <v>324</v>
      </c>
      <c r="J22" s="39"/>
      <c r="K22" s="38" t="str">
        <f>"202,5"</f>
        <v>202,5</v>
      </c>
      <c r="L22" s="38" t="str">
        <f>"156,1275"</f>
        <v>156,1275</v>
      </c>
      <c r="M22" s="36" t="s">
        <v>52</v>
      </c>
    </row>
    <row r="23" spans="1:13">
      <c r="A23" s="35" t="s">
        <v>53</v>
      </c>
      <c r="B23" s="27" t="s">
        <v>321</v>
      </c>
      <c r="C23" s="27" t="s">
        <v>322</v>
      </c>
      <c r="D23" s="27" t="s">
        <v>323</v>
      </c>
      <c r="E23" s="28" t="s">
        <v>448</v>
      </c>
      <c r="F23" s="27" t="s">
        <v>319</v>
      </c>
      <c r="G23" s="33" t="s">
        <v>75</v>
      </c>
      <c r="H23" s="33" t="s">
        <v>161</v>
      </c>
      <c r="I23" s="34" t="s">
        <v>77</v>
      </c>
      <c r="J23" s="35"/>
      <c r="K23" s="29" t="str">
        <f>"177,5"</f>
        <v>177,5</v>
      </c>
      <c r="L23" s="29" t="str">
        <f>"137,6690"</f>
        <v>137,6690</v>
      </c>
      <c r="M23" s="27" t="s">
        <v>320</v>
      </c>
    </row>
    <row r="25" spans="1:13" ht="16">
      <c r="A25" s="67" t="s">
        <v>60</v>
      </c>
      <c r="B25" s="67"/>
      <c r="C25" s="68"/>
      <c r="D25" s="68"/>
      <c r="E25" s="68"/>
      <c r="F25" s="68"/>
      <c r="G25" s="68"/>
      <c r="H25" s="68"/>
      <c r="I25" s="68"/>
      <c r="J25" s="68"/>
    </row>
    <row r="26" spans="1:13">
      <c r="A26" s="31" t="s">
        <v>12</v>
      </c>
      <c r="B26" s="24" t="s">
        <v>391</v>
      </c>
      <c r="C26" s="24" t="s">
        <v>392</v>
      </c>
      <c r="D26" s="24" t="s">
        <v>393</v>
      </c>
      <c r="E26" s="25" t="s">
        <v>451</v>
      </c>
      <c r="F26" s="24" t="s">
        <v>16</v>
      </c>
      <c r="G26" s="32" t="s">
        <v>76</v>
      </c>
      <c r="H26" s="30" t="s">
        <v>81</v>
      </c>
      <c r="I26" s="30" t="s">
        <v>83</v>
      </c>
      <c r="J26" s="31"/>
      <c r="K26" s="26" t="str">
        <f>"195,0"</f>
        <v>195,0</v>
      </c>
      <c r="L26" s="26" t="str">
        <f>"138,9570"</f>
        <v>138,9570</v>
      </c>
      <c r="M26" s="24" t="s">
        <v>379</v>
      </c>
    </row>
    <row r="27" spans="1:13">
      <c r="A27" s="39" t="s">
        <v>12</v>
      </c>
      <c r="B27" s="36" t="s">
        <v>394</v>
      </c>
      <c r="C27" s="36" t="s">
        <v>395</v>
      </c>
      <c r="D27" s="36" t="s">
        <v>396</v>
      </c>
      <c r="E27" s="37" t="s">
        <v>448</v>
      </c>
      <c r="F27" s="36" t="s">
        <v>16</v>
      </c>
      <c r="G27" s="40" t="s">
        <v>397</v>
      </c>
      <c r="H27" s="40" t="s">
        <v>398</v>
      </c>
      <c r="I27" s="40" t="s">
        <v>127</v>
      </c>
      <c r="J27" s="39"/>
      <c r="K27" s="38" t="str">
        <f>"220,0"</f>
        <v>220,0</v>
      </c>
      <c r="L27" s="38" t="str">
        <f>"161,2600"</f>
        <v>161,2600</v>
      </c>
      <c r="M27" s="36" t="s">
        <v>52</v>
      </c>
    </row>
    <row r="28" spans="1:13">
      <c r="A28" s="35" t="s">
        <v>53</v>
      </c>
      <c r="B28" s="27" t="s">
        <v>399</v>
      </c>
      <c r="C28" s="27" t="s">
        <v>400</v>
      </c>
      <c r="D28" s="27" t="s">
        <v>242</v>
      </c>
      <c r="E28" s="28" t="s">
        <v>448</v>
      </c>
      <c r="F28" s="27" t="s">
        <v>16</v>
      </c>
      <c r="G28" s="33" t="s">
        <v>118</v>
      </c>
      <c r="H28" s="33" t="s">
        <v>253</v>
      </c>
      <c r="I28" s="34" t="s">
        <v>120</v>
      </c>
      <c r="J28" s="35"/>
      <c r="K28" s="29" t="str">
        <f>"147,5"</f>
        <v>147,5</v>
      </c>
      <c r="L28" s="29" t="str">
        <f>"109,0025"</f>
        <v>109,0025</v>
      </c>
      <c r="M28" s="27" t="s">
        <v>401</v>
      </c>
    </row>
    <row r="30" spans="1:13" ht="16">
      <c r="A30" s="67" t="s">
        <v>96</v>
      </c>
      <c r="B30" s="67"/>
      <c r="C30" s="68"/>
      <c r="D30" s="68"/>
      <c r="E30" s="68"/>
      <c r="F30" s="68"/>
      <c r="G30" s="68"/>
      <c r="H30" s="68"/>
      <c r="I30" s="68"/>
      <c r="J30" s="68"/>
    </row>
    <row r="31" spans="1:13">
      <c r="A31" s="23" t="s">
        <v>12</v>
      </c>
      <c r="B31" s="7" t="s">
        <v>402</v>
      </c>
      <c r="C31" s="7" t="s">
        <v>403</v>
      </c>
      <c r="D31" s="7" t="s">
        <v>404</v>
      </c>
      <c r="E31" s="8" t="s">
        <v>448</v>
      </c>
      <c r="F31" s="7" t="s">
        <v>405</v>
      </c>
      <c r="G31" s="22" t="s">
        <v>76</v>
      </c>
      <c r="H31" s="21" t="s">
        <v>82</v>
      </c>
      <c r="I31" s="21" t="s">
        <v>82</v>
      </c>
      <c r="J31" s="23"/>
      <c r="K31" s="9" t="str">
        <f>"180,0"</f>
        <v>180,0</v>
      </c>
      <c r="L31" s="9" t="str">
        <f>"121,5720"</f>
        <v>121,5720</v>
      </c>
      <c r="M31" s="7" t="s">
        <v>406</v>
      </c>
    </row>
    <row r="33" spans="1:13" ht="16">
      <c r="A33" s="67" t="s">
        <v>111</v>
      </c>
      <c r="B33" s="67"/>
      <c r="C33" s="68"/>
      <c r="D33" s="68"/>
      <c r="E33" s="68"/>
      <c r="F33" s="68"/>
      <c r="G33" s="68"/>
      <c r="H33" s="68"/>
      <c r="I33" s="68"/>
      <c r="J33" s="68"/>
    </row>
    <row r="34" spans="1:13">
      <c r="A34" s="31" t="s">
        <v>12</v>
      </c>
      <c r="B34" s="24" t="s">
        <v>407</v>
      </c>
      <c r="C34" s="24" t="s">
        <v>408</v>
      </c>
      <c r="D34" s="24" t="s">
        <v>409</v>
      </c>
      <c r="E34" s="25" t="s">
        <v>448</v>
      </c>
      <c r="F34" s="24" t="s">
        <v>175</v>
      </c>
      <c r="G34" s="30" t="s">
        <v>115</v>
      </c>
      <c r="H34" s="32" t="s">
        <v>410</v>
      </c>
      <c r="I34" s="30" t="s">
        <v>116</v>
      </c>
      <c r="J34" s="31"/>
      <c r="K34" s="26" t="str">
        <f>"240,0"</f>
        <v>240,0</v>
      </c>
      <c r="L34" s="45" t="str">
        <f>"154,0080"</f>
        <v>154,0080</v>
      </c>
      <c r="M34" s="24"/>
    </row>
    <row r="35" spans="1:13">
      <c r="A35" s="39" t="s">
        <v>53</v>
      </c>
      <c r="B35" s="36" t="s">
        <v>411</v>
      </c>
      <c r="C35" s="36" t="s">
        <v>412</v>
      </c>
      <c r="D35" s="36" t="s">
        <v>275</v>
      </c>
      <c r="E35" s="37" t="s">
        <v>448</v>
      </c>
      <c r="F35" s="36" t="s">
        <v>175</v>
      </c>
      <c r="G35" s="40" t="s">
        <v>140</v>
      </c>
      <c r="H35" s="40" t="s">
        <v>127</v>
      </c>
      <c r="I35" s="41" t="s">
        <v>115</v>
      </c>
      <c r="J35" s="39"/>
      <c r="K35" s="38" t="str">
        <f>"220,0"</f>
        <v>220,0</v>
      </c>
      <c r="L35" s="46" t="str">
        <f>"140,8440"</f>
        <v>140,8440</v>
      </c>
      <c r="M35" s="36" t="s">
        <v>176</v>
      </c>
    </row>
    <row r="36" spans="1:13">
      <c r="A36" s="35" t="s">
        <v>243</v>
      </c>
      <c r="B36" s="27" t="s">
        <v>172</v>
      </c>
      <c r="C36" s="27" t="s">
        <v>173</v>
      </c>
      <c r="D36" s="27" t="s">
        <v>174</v>
      </c>
      <c r="E36" s="28" t="s">
        <v>448</v>
      </c>
      <c r="F36" s="27" t="s">
        <v>175</v>
      </c>
      <c r="G36" s="33" t="s">
        <v>120</v>
      </c>
      <c r="H36" s="34" t="s">
        <v>134</v>
      </c>
      <c r="I36" s="34" t="s">
        <v>134</v>
      </c>
      <c r="J36" s="35"/>
      <c r="K36" s="29" t="str">
        <f>"150,0"</f>
        <v>150,0</v>
      </c>
      <c r="L36" s="47" t="str">
        <f>"98,2350"</f>
        <v>98,2350</v>
      </c>
      <c r="M36" s="27" t="s">
        <v>176</v>
      </c>
    </row>
    <row r="38" spans="1:13" ht="16">
      <c r="A38" s="67" t="s">
        <v>71</v>
      </c>
      <c r="B38" s="67"/>
      <c r="C38" s="68"/>
      <c r="D38" s="68"/>
      <c r="E38" s="68"/>
      <c r="F38" s="68"/>
      <c r="G38" s="68"/>
      <c r="H38" s="68"/>
      <c r="I38" s="68"/>
      <c r="J38" s="68"/>
    </row>
    <row r="39" spans="1:13">
      <c r="A39" s="31" t="s">
        <v>12</v>
      </c>
      <c r="B39" s="24" t="s">
        <v>413</v>
      </c>
      <c r="C39" s="24" t="s">
        <v>414</v>
      </c>
      <c r="D39" s="24" t="s">
        <v>415</v>
      </c>
      <c r="E39" s="25" t="s">
        <v>448</v>
      </c>
      <c r="F39" s="24" t="s">
        <v>16</v>
      </c>
      <c r="G39" s="30" t="s">
        <v>337</v>
      </c>
      <c r="H39" s="32" t="s">
        <v>127</v>
      </c>
      <c r="I39" s="30" t="s">
        <v>115</v>
      </c>
      <c r="J39" s="31"/>
      <c r="K39" s="26" t="str">
        <f>"230,0"</f>
        <v>230,0</v>
      </c>
      <c r="L39" s="26" t="str">
        <f>"142,0020"</f>
        <v>142,0020</v>
      </c>
      <c r="M39" s="24" t="s">
        <v>52</v>
      </c>
    </row>
    <row r="40" spans="1:13">
      <c r="A40" s="35" t="s">
        <v>12</v>
      </c>
      <c r="B40" s="27" t="s">
        <v>413</v>
      </c>
      <c r="C40" s="27" t="s">
        <v>416</v>
      </c>
      <c r="D40" s="27" t="s">
        <v>415</v>
      </c>
      <c r="E40" s="28" t="s">
        <v>452</v>
      </c>
      <c r="F40" s="27" t="s">
        <v>16</v>
      </c>
      <c r="G40" s="33" t="s">
        <v>337</v>
      </c>
      <c r="H40" s="34" t="s">
        <v>127</v>
      </c>
      <c r="I40" s="33" t="s">
        <v>115</v>
      </c>
      <c r="J40" s="35"/>
      <c r="K40" s="29" t="str">
        <f>"230,0"</f>
        <v>230,0</v>
      </c>
      <c r="L40" s="29" t="str">
        <f>"222,2331"</f>
        <v>222,2331</v>
      </c>
      <c r="M40" s="27" t="s">
        <v>52</v>
      </c>
    </row>
    <row r="42" spans="1:13" ht="16">
      <c r="F42" s="11"/>
      <c r="G42" s="5"/>
      <c r="K42" s="19"/>
      <c r="M42" s="6"/>
    </row>
    <row r="43" spans="1:13">
      <c r="G43" s="5"/>
      <c r="K43" s="19"/>
      <c r="M43" s="6"/>
    </row>
    <row r="44" spans="1:13" ht="18">
      <c r="B44" s="12" t="s">
        <v>84</v>
      </c>
      <c r="C44" s="12"/>
      <c r="K44" s="19"/>
      <c r="M44" s="6"/>
    </row>
    <row r="45" spans="1:13" ht="16">
      <c r="B45" s="13" t="s">
        <v>85</v>
      </c>
      <c r="C45" s="13"/>
      <c r="K45" s="19"/>
      <c r="M45" s="6"/>
    </row>
    <row r="46" spans="1:13" ht="14">
      <c r="B46" s="14"/>
      <c r="C46" s="15" t="s">
        <v>86</v>
      </c>
      <c r="K46" s="19"/>
      <c r="M46" s="6"/>
    </row>
    <row r="47" spans="1:13" ht="14">
      <c r="B47" s="16" t="s">
        <v>87</v>
      </c>
      <c r="C47" s="16" t="s">
        <v>88</v>
      </c>
      <c r="D47" s="16" t="s">
        <v>89</v>
      </c>
      <c r="E47" s="17" t="s">
        <v>285</v>
      </c>
      <c r="F47" s="16" t="s">
        <v>91</v>
      </c>
      <c r="K47" s="19"/>
      <c r="M47" s="6"/>
    </row>
    <row r="48" spans="1:13">
      <c r="B48" s="5" t="s">
        <v>372</v>
      </c>
      <c r="C48" s="5" t="s">
        <v>86</v>
      </c>
      <c r="D48" s="19" t="s">
        <v>92</v>
      </c>
      <c r="E48" s="20">
        <v>120</v>
      </c>
      <c r="F48" s="18">
        <v>136.25999450683599</v>
      </c>
      <c r="K48" s="19"/>
      <c r="M48" s="6"/>
    </row>
    <row r="49" spans="2:13">
      <c r="B49" s="5" t="s">
        <v>45</v>
      </c>
      <c r="C49" s="5" t="s">
        <v>86</v>
      </c>
      <c r="D49" s="19" t="s">
        <v>93</v>
      </c>
      <c r="E49" s="20">
        <v>130</v>
      </c>
      <c r="F49" s="18">
        <v>133.82199883461001</v>
      </c>
      <c r="K49" s="19"/>
      <c r="M49" s="6"/>
    </row>
    <row r="50" spans="2:13">
      <c r="B50" s="5" t="s">
        <v>377</v>
      </c>
      <c r="C50" s="5" t="s">
        <v>86</v>
      </c>
      <c r="D50" s="19" t="s">
        <v>92</v>
      </c>
      <c r="E50" s="20">
        <v>115</v>
      </c>
      <c r="F50" s="18">
        <v>131.111500263214</v>
      </c>
      <c r="K50" s="19"/>
      <c r="M50" s="6"/>
    </row>
    <row r="51" spans="2:13">
      <c r="K51" s="19"/>
      <c r="M51" s="6"/>
    </row>
    <row r="52" spans="2:13" ht="16">
      <c r="B52" s="13" t="s">
        <v>142</v>
      </c>
      <c r="C52" s="13"/>
      <c r="G52" s="3"/>
      <c r="K52" s="19"/>
      <c r="M52" s="6"/>
    </row>
    <row r="53" spans="2:13" ht="14">
      <c r="B53" s="14"/>
      <c r="C53" s="15" t="s">
        <v>86</v>
      </c>
      <c r="G53" s="3"/>
      <c r="K53" s="19"/>
      <c r="M53" s="6"/>
    </row>
    <row r="54" spans="2:13" ht="14">
      <c r="B54" s="16" t="s">
        <v>87</v>
      </c>
      <c r="C54" s="16" t="s">
        <v>88</v>
      </c>
      <c r="D54" s="16" t="s">
        <v>89</v>
      </c>
      <c r="E54" s="17" t="s">
        <v>285</v>
      </c>
      <c r="F54" s="16" t="s">
        <v>91</v>
      </c>
      <c r="G54" s="3"/>
      <c r="K54" s="19"/>
      <c r="M54" s="6"/>
    </row>
    <row r="55" spans="2:13">
      <c r="B55" s="5" t="s">
        <v>394</v>
      </c>
      <c r="C55" s="5" t="s">
        <v>86</v>
      </c>
      <c r="D55" s="19" t="s">
        <v>94</v>
      </c>
      <c r="E55" s="20">
        <v>220</v>
      </c>
      <c r="F55" s="18">
        <v>161.259995698929</v>
      </c>
      <c r="G55" s="3"/>
      <c r="K55" s="19"/>
      <c r="M55" s="6"/>
    </row>
    <row r="56" spans="2:13">
      <c r="B56" s="5" t="s">
        <v>388</v>
      </c>
      <c r="C56" s="5" t="s">
        <v>86</v>
      </c>
      <c r="D56" s="19" t="s">
        <v>93</v>
      </c>
      <c r="E56" s="20">
        <v>202.5</v>
      </c>
      <c r="F56" s="18">
        <v>156.127505600452</v>
      </c>
      <c r="G56" s="3"/>
      <c r="K56" s="19"/>
      <c r="M56" s="6"/>
    </row>
    <row r="57" spans="2:13">
      <c r="B57" s="5" t="s">
        <v>407</v>
      </c>
      <c r="C57" s="5" t="s">
        <v>86</v>
      </c>
      <c r="D57" s="19" t="s">
        <v>144</v>
      </c>
      <c r="E57" s="20">
        <v>240</v>
      </c>
      <c r="F57" s="18">
        <v>154.008007049561</v>
      </c>
      <c r="G57" s="3"/>
      <c r="K57" s="19"/>
      <c r="M57" s="6"/>
    </row>
    <row r="58" spans="2:13">
      <c r="E58" s="5"/>
      <c r="F58" s="10"/>
      <c r="G58" s="5"/>
      <c r="K58" s="19"/>
      <c r="M58" s="6"/>
    </row>
  </sheetData>
  <mergeCells count="20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3:J33"/>
    <mergeCell ref="A38:J38"/>
    <mergeCell ref="B3:B4"/>
    <mergeCell ref="A9:J9"/>
    <mergeCell ref="A13:J13"/>
    <mergeCell ref="A16:J16"/>
    <mergeCell ref="A19:J19"/>
    <mergeCell ref="A25:J25"/>
    <mergeCell ref="A30:J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21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8" style="5" bestFit="1" customWidth="1"/>
    <col min="14" max="16384" width="9.1640625" style="3"/>
  </cols>
  <sheetData>
    <row r="1" spans="1:13" s="2" customFormat="1" ht="29" customHeight="1">
      <c r="A1" s="71" t="s">
        <v>417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6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418</v>
      </c>
      <c r="C6" s="7" t="s">
        <v>419</v>
      </c>
      <c r="D6" s="7" t="s">
        <v>420</v>
      </c>
      <c r="E6" s="8" t="s">
        <v>448</v>
      </c>
      <c r="F6" s="7" t="s">
        <v>16</v>
      </c>
      <c r="G6" s="22" t="s">
        <v>133</v>
      </c>
      <c r="H6" s="22" t="s">
        <v>159</v>
      </c>
      <c r="I6" s="23"/>
      <c r="J6" s="23"/>
      <c r="K6" s="9" t="str">
        <f>"165,0"</f>
        <v>165,0</v>
      </c>
      <c r="L6" s="9" t="str">
        <f>"195,7890"</f>
        <v>195,7890</v>
      </c>
      <c r="M6" s="7" t="s">
        <v>366</v>
      </c>
    </row>
    <row r="8" spans="1:13" ht="16">
      <c r="A8" s="67" t="s">
        <v>136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3" t="s">
        <v>12</v>
      </c>
      <c r="B9" s="7" t="s">
        <v>153</v>
      </c>
      <c r="C9" s="7" t="s">
        <v>154</v>
      </c>
      <c r="D9" s="7" t="s">
        <v>155</v>
      </c>
      <c r="E9" s="8" t="s">
        <v>448</v>
      </c>
      <c r="F9" s="7" t="s">
        <v>16</v>
      </c>
      <c r="G9" s="22" t="s">
        <v>162</v>
      </c>
      <c r="H9" s="21" t="s">
        <v>163</v>
      </c>
      <c r="I9" s="21" t="s">
        <v>164</v>
      </c>
      <c r="J9" s="23"/>
      <c r="K9" s="9" t="str">
        <f>"275,0"</f>
        <v>275,0</v>
      </c>
      <c r="L9" s="9" t="str">
        <f>"163,0200"</f>
        <v>163,0200</v>
      </c>
      <c r="M9" s="7" t="s">
        <v>165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8:J8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83203125" style="5" bestFit="1" customWidth="1"/>
    <col min="3" max="3" width="27.5" style="5" bestFit="1" customWidth="1"/>
    <col min="4" max="4" width="21.5" style="5" bestFit="1" customWidth="1"/>
    <col min="5" max="5" width="10.5" style="10" bestFit="1" customWidth="1"/>
    <col min="6" max="6" width="20.832031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71" t="s">
        <v>421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6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305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422</v>
      </c>
      <c r="C6" s="7" t="s">
        <v>423</v>
      </c>
      <c r="D6" s="7" t="s">
        <v>424</v>
      </c>
      <c r="E6" s="8" t="s">
        <v>452</v>
      </c>
      <c r="F6" s="7" t="s">
        <v>150</v>
      </c>
      <c r="G6" s="22" t="s">
        <v>140</v>
      </c>
      <c r="H6" s="21" t="s">
        <v>127</v>
      </c>
      <c r="I6" s="23"/>
      <c r="J6" s="23"/>
      <c r="K6" s="9" t="str">
        <f>"210,0"</f>
        <v>210,0</v>
      </c>
      <c r="L6" s="9" t="str">
        <f>"168,4028"</f>
        <v>168,4028</v>
      </c>
      <c r="M6" s="7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E12" sqref="E1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7.66406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71" t="s">
        <v>425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443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60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31" t="s">
        <v>12</v>
      </c>
      <c r="B6" s="24" t="s">
        <v>426</v>
      </c>
      <c r="C6" s="24" t="s">
        <v>427</v>
      </c>
      <c r="D6" s="24" t="s">
        <v>428</v>
      </c>
      <c r="E6" s="25" t="s">
        <v>453</v>
      </c>
      <c r="F6" s="24" t="s">
        <v>16</v>
      </c>
      <c r="G6" s="30" t="s">
        <v>57</v>
      </c>
      <c r="H6" s="30" t="s">
        <v>195</v>
      </c>
      <c r="I6" s="32" t="s">
        <v>42</v>
      </c>
      <c r="J6" s="31"/>
      <c r="K6" s="26" t="str">
        <f>"57,5"</f>
        <v>57,5</v>
      </c>
      <c r="L6" s="26" t="str">
        <f>"40,1307"</f>
        <v>40,1307</v>
      </c>
      <c r="M6" s="24"/>
    </row>
    <row r="7" spans="1:13">
      <c r="A7" s="35" t="s">
        <v>12</v>
      </c>
      <c r="B7" s="27" t="s">
        <v>429</v>
      </c>
      <c r="C7" s="27" t="s">
        <v>430</v>
      </c>
      <c r="D7" s="27" t="s">
        <v>431</v>
      </c>
      <c r="E7" s="28" t="s">
        <v>448</v>
      </c>
      <c r="F7" s="27" t="s">
        <v>432</v>
      </c>
      <c r="G7" s="33" t="s">
        <v>17</v>
      </c>
      <c r="H7" s="33" t="s">
        <v>18</v>
      </c>
      <c r="I7" s="34" t="s">
        <v>19</v>
      </c>
      <c r="J7" s="35"/>
      <c r="K7" s="29" t="str">
        <f>"67,5"</f>
        <v>67,5</v>
      </c>
      <c r="L7" s="29" t="str">
        <f>"49,8690"</f>
        <v>49,8690</v>
      </c>
      <c r="M7" s="27" t="s">
        <v>433</v>
      </c>
    </row>
    <row r="9" spans="1:13" ht="16">
      <c r="A9" s="67" t="s">
        <v>111</v>
      </c>
      <c r="B9" s="67"/>
      <c r="C9" s="68"/>
      <c r="D9" s="68"/>
      <c r="E9" s="68"/>
      <c r="F9" s="68"/>
      <c r="G9" s="68"/>
      <c r="H9" s="68"/>
      <c r="I9" s="68"/>
      <c r="J9" s="68"/>
    </row>
    <row r="10" spans="1:13">
      <c r="A10" s="31" t="s">
        <v>12</v>
      </c>
      <c r="B10" s="24" t="s">
        <v>434</v>
      </c>
      <c r="C10" s="24" t="s">
        <v>435</v>
      </c>
      <c r="D10" s="24" t="s">
        <v>436</v>
      </c>
      <c r="E10" s="25" t="s">
        <v>448</v>
      </c>
      <c r="F10" s="24" t="s">
        <v>16</v>
      </c>
      <c r="G10" s="30" t="s">
        <v>384</v>
      </c>
      <c r="H10" s="30" t="s">
        <v>23</v>
      </c>
      <c r="I10" s="30" t="s">
        <v>33</v>
      </c>
      <c r="J10" s="31"/>
      <c r="K10" s="26" t="str">
        <f>"77,5"</f>
        <v>77,5</v>
      </c>
      <c r="L10" s="26" t="str">
        <f>"48,1197"</f>
        <v>48,1197</v>
      </c>
      <c r="M10" s="24" t="s">
        <v>366</v>
      </c>
    </row>
    <row r="11" spans="1:13">
      <c r="A11" s="35" t="s">
        <v>53</v>
      </c>
      <c r="B11" s="27" t="s">
        <v>172</v>
      </c>
      <c r="C11" s="27" t="s">
        <v>173</v>
      </c>
      <c r="D11" s="27" t="s">
        <v>174</v>
      </c>
      <c r="E11" s="28" t="s">
        <v>448</v>
      </c>
      <c r="F11" s="27" t="s">
        <v>175</v>
      </c>
      <c r="G11" s="33" t="s">
        <v>187</v>
      </c>
      <c r="H11" s="33" t="s">
        <v>66</v>
      </c>
      <c r="I11" s="34" t="s">
        <v>57</v>
      </c>
      <c r="J11" s="35"/>
      <c r="K11" s="29" t="str">
        <f>"47,5"</f>
        <v>47,5</v>
      </c>
      <c r="L11" s="29" t="str">
        <f>"29,8775"</f>
        <v>29,8775</v>
      </c>
      <c r="M11" s="27" t="s">
        <v>176</v>
      </c>
    </row>
  </sheetData>
  <mergeCells count="13">
    <mergeCell ref="A1:M2"/>
    <mergeCell ref="A3:A4"/>
    <mergeCell ref="C3:C4"/>
    <mergeCell ref="D3:D4"/>
    <mergeCell ref="E3:E4"/>
    <mergeCell ref="F3:F4"/>
    <mergeCell ref="G3:J3"/>
    <mergeCell ref="A9:J9"/>
    <mergeCell ref="B3:B4"/>
    <mergeCell ref="K3:K4"/>
    <mergeCell ref="L3:L4"/>
    <mergeCell ref="M3:M4"/>
    <mergeCell ref="A5:J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3"/>
  <sheetViews>
    <sheetView tabSelected="1" workbookViewId="0">
      <selection activeCell="E14" sqref="E14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7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71" t="s">
        <v>437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443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60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438</v>
      </c>
      <c r="C6" s="7" t="s">
        <v>439</v>
      </c>
      <c r="D6" s="7" t="s">
        <v>440</v>
      </c>
      <c r="E6" s="8" t="s">
        <v>448</v>
      </c>
      <c r="F6" s="7" t="s">
        <v>16</v>
      </c>
      <c r="G6" s="22" t="s">
        <v>23</v>
      </c>
      <c r="H6" s="21" t="s">
        <v>25</v>
      </c>
      <c r="I6" s="22" t="s">
        <v>25</v>
      </c>
      <c r="J6" s="23"/>
      <c r="K6" s="9" t="str">
        <f>"82,5"</f>
        <v>82,5</v>
      </c>
      <c r="L6" s="9" t="str">
        <f>"57,0570"</f>
        <v>57,0570</v>
      </c>
      <c r="M6" s="7" t="s">
        <v>441</v>
      </c>
    </row>
    <row r="8" spans="1:13" ht="16">
      <c r="A8" s="67" t="s">
        <v>96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3" t="s">
        <v>12</v>
      </c>
      <c r="B9" s="7" t="s">
        <v>357</v>
      </c>
      <c r="C9" s="7" t="s">
        <v>358</v>
      </c>
      <c r="D9" s="7" t="s">
        <v>359</v>
      </c>
      <c r="E9" s="8" t="s">
        <v>448</v>
      </c>
      <c r="F9" s="7" t="s">
        <v>16</v>
      </c>
      <c r="G9" s="22" t="s">
        <v>17</v>
      </c>
      <c r="H9" s="21" t="s">
        <v>19</v>
      </c>
      <c r="I9" s="21" t="s">
        <v>19</v>
      </c>
      <c r="J9" s="23"/>
      <c r="K9" s="9" t="str">
        <f>"65,0"</f>
        <v>65,0</v>
      </c>
      <c r="L9" s="9" t="str">
        <f>"42,0323"</f>
        <v>42,0323</v>
      </c>
      <c r="M9" s="7" t="s">
        <v>70</v>
      </c>
    </row>
    <row r="11" spans="1:13" ht="16">
      <c r="A11" s="67" t="s">
        <v>111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31" t="s">
        <v>12</v>
      </c>
      <c r="B12" s="24" t="s">
        <v>362</v>
      </c>
      <c r="C12" s="24" t="s">
        <v>363</v>
      </c>
      <c r="D12" s="24" t="s">
        <v>442</v>
      </c>
      <c r="E12" s="25" t="s">
        <v>448</v>
      </c>
      <c r="F12" s="24" t="s">
        <v>16</v>
      </c>
      <c r="G12" s="30" t="s">
        <v>23</v>
      </c>
      <c r="H12" s="30" t="s">
        <v>33</v>
      </c>
      <c r="I12" s="30" t="s">
        <v>24</v>
      </c>
      <c r="J12" s="31"/>
      <c r="K12" s="26" t="str">
        <f>"80,0"</f>
        <v>80,0</v>
      </c>
      <c r="L12" s="26" t="str">
        <f>"49,8240"</f>
        <v>49,8240</v>
      </c>
      <c r="M12" s="24" t="s">
        <v>366</v>
      </c>
    </row>
    <row r="13" spans="1:13">
      <c r="A13" s="35" t="s">
        <v>53</v>
      </c>
      <c r="B13" s="27" t="s">
        <v>296</v>
      </c>
      <c r="C13" s="27" t="s">
        <v>297</v>
      </c>
      <c r="D13" s="27" t="s">
        <v>298</v>
      </c>
      <c r="E13" s="28" t="s">
        <v>448</v>
      </c>
      <c r="F13" s="27" t="s">
        <v>16</v>
      </c>
      <c r="G13" s="33" t="s">
        <v>19</v>
      </c>
      <c r="H13" s="34" t="s">
        <v>33</v>
      </c>
      <c r="I13" s="34" t="s">
        <v>24</v>
      </c>
      <c r="J13" s="35"/>
      <c r="K13" s="29" t="str">
        <f>"70,0"</f>
        <v>70,0</v>
      </c>
      <c r="L13" s="29" t="str">
        <f>"42,9345"</f>
        <v>42,9345</v>
      </c>
      <c r="M13" s="27" t="s">
        <v>259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2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21.83203125" style="5" bestFit="1" customWidth="1"/>
    <col min="22" max="16384" width="9.1640625" style="3"/>
  </cols>
  <sheetData>
    <row r="1" spans="1:21" s="2" customFormat="1" ht="29" customHeight="1">
      <c r="A1" s="71" t="s">
        <v>95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4</v>
      </c>
      <c r="H3" s="85"/>
      <c r="I3" s="85"/>
      <c r="J3" s="85"/>
      <c r="K3" s="85" t="s">
        <v>5</v>
      </c>
      <c r="L3" s="85"/>
      <c r="M3" s="85"/>
      <c r="N3" s="85"/>
      <c r="O3" s="85" t="s">
        <v>6</v>
      </c>
      <c r="P3" s="85"/>
      <c r="Q3" s="85"/>
      <c r="R3" s="85"/>
      <c r="S3" s="83" t="s">
        <v>7</v>
      </c>
      <c r="T3" s="83" t="s">
        <v>8</v>
      </c>
      <c r="U3" s="90" t="s">
        <v>9</v>
      </c>
    </row>
    <row r="4" spans="1:21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4">
        <v>1</v>
      </c>
      <c r="P4" s="4">
        <v>2</v>
      </c>
      <c r="Q4" s="4">
        <v>3</v>
      </c>
      <c r="R4" s="4" t="s">
        <v>10</v>
      </c>
      <c r="S4" s="84"/>
      <c r="T4" s="84"/>
      <c r="U4" s="91"/>
    </row>
    <row r="5" spans="1:21" ht="16">
      <c r="A5" s="69" t="s">
        <v>96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31" t="s">
        <v>12</v>
      </c>
      <c r="B6" s="24" t="s">
        <v>97</v>
      </c>
      <c r="C6" s="24" t="s">
        <v>98</v>
      </c>
      <c r="D6" s="24" t="s">
        <v>99</v>
      </c>
      <c r="E6" s="25" t="s">
        <v>449</v>
      </c>
      <c r="F6" s="24" t="s">
        <v>16</v>
      </c>
      <c r="G6" s="30" t="s">
        <v>50</v>
      </c>
      <c r="H6" s="30" t="s">
        <v>51</v>
      </c>
      <c r="I6" s="30" t="s">
        <v>34</v>
      </c>
      <c r="J6" s="31"/>
      <c r="K6" s="32" t="s">
        <v>17</v>
      </c>
      <c r="L6" s="32" t="s">
        <v>19</v>
      </c>
      <c r="M6" s="30" t="s">
        <v>19</v>
      </c>
      <c r="N6" s="31"/>
      <c r="O6" s="30" t="s">
        <v>51</v>
      </c>
      <c r="P6" s="30" t="s">
        <v>34</v>
      </c>
      <c r="Q6" s="30" t="s">
        <v>79</v>
      </c>
      <c r="R6" s="31"/>
      <c r="S6" s="26" t="str">
        <f>"325,0"</f>
        <v>325,0</v>
      </c>
      <c r="T6" s="26" t="str">
        <f>"222,9500"</f>
        <v>222,9500</v>
      </c>
      <c r="U6" s="24" t="s">
        <v>70</v>
      </c>
    </row>
    <row r="7" spans="1:21">
      <c r="A7" s="35" t="s">
        <v>12</v>
      </c>
      <c r="B7" s="27" t="s">
        <v>100</v>
      </c>
      <c r="C7" s="27" t="s">
        <v>101</v>
      </c>
      <c r="D7" s="27" t="s">
        <v>102</v>
      </c>
      <c r="E7" s="28" t="s">
        <v>448</v>
      </c>
      <c r="F7" s="27" t="s">
        <v>16</v>
      </c>
      <c r="G7" s="33" t="s">
        <v>103</v>
      </c>
      <c r="H7" s="33" t="s">
        <v>104</v>
      </c>
      <c r="I7" s="34" t="s">
        <v>105</v>
      </c>
      <c r="J7" s="35"/>
      <c r="K7" s="33" t="s">
        <v>106</v>
      </c>
      <c r="L7" s="33" t="s">
        <v>75</v>
      </c>
      <c r="M7" s="33" t="s">
        <v>107</v>
      </c>
      <c r="N7" s="35"/>
      <c r="O7" s="33" t="s">
        <v>108</v>
      </c>
      <c r="P7" s="34" t="s">
        <v>109</v>
      </c>
      <c r="Q7" s="33" t="s">
        <v>109</v>
      </c>
      <c r="R7" s="35"/>
      <c r="S7" s="29" t="str">
        <f>"720,0"</f>
        <v>720,0</v>
      </c>
      <c r="T7" s="29" t="str">
        <f>"485,5680"</f>
        <v>485,5680</v>
      </c>
      <c r="U7" s="27" t="s">
        <v>110</v>
      </c>
    </row>
    <row r="9" spans="1:21" ht="16">
      <c r="A9" s="67" t="s">
        <v>111</v>
      </c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21">
      <c r="A10" s="31" t="s">
        <v>12</v>
      </c>
      <c r="B10" s="24" t="s">
        <v>112</v>
      </c>
      <c r="C10" s="24" t="s">
        <v>113</v>
      </c>
      <c r="D10" s="24" t="s">
        <v>114</v>
      </c>
      <c r="E10" s="25" t="s">
        <v>448</v>
      </c>
      <c r="F10" s="24" t="s">
        <v>16</v>
      </c>
      <c r="G10" s="30" t="s">
        <v>115</v>
      </c>
      <c r="H10" s="30" t="s">
        <v>116</v>
      </c>
      <c r="I10" s="30" t="s">
        <v>117</v>
      </c>
      <c r="J10" s="31"/>
      <c r="K10" s="30" t="s">
        <v>118</v>
      </c>
      <c r="L10" s="30" t="s">
        <v>119</v>
      </c>
      <c r="M10" s="30" t="s">
        <v>120</v>
      </c>
      <c r="N10" s="31"/>
      <c r="O10" s="30" t="s">
        <v>121</v>
      </c>
      <c r="P10" s="30" t="s">
        <v>108</v>
      </c>
      <c r="Q10" s="32" t="s">
        <v>109</v>
      </c>
      <c r="R10" s="31"/>
      <c r="S10" s="26" t="str">
        <f>"675,0"</f>
        <v>675,0</v>
      </c>
      <c r="T10" s="26" t="str">
        <f>"431,3925"</f>
        <v>431,3925</v>
      </c>
      <c r="U10" s="24"/>
    </row>
    <row r="11" spans="1:21">
      <c r="A11" s="35" t="s">
        <v>53</v>
      </c>
      <c r="B11" s="27" t="s">
        <v>122</v>
      </c>
      <c r="C11" s="27" t="s">
        <v>123</v>
      </c>
      <c r="D11" s="27" t="s">
        <v>114</v>
      </c>
      <c r="E11" s="28" t="s">
        <v>448</v>
      </c>
      <c r="F11" s="27" t="s">
        <v>124</v>
      </c>
      <c r="G11" s="33" t="s">
        <v>82</v>
      </c>
      <c r="H11" s="33" t="s">
        <v>125</v>
      </c>
      <c r="I11" s="34" t="s">
        <v>115</v>
      </c>
      <c r="J11" s="35"/>
      <c r="K11" s="33" t="s">
        <v>126</v>
      </c>
      <c r="L11" s="33" t="s">
        <v>79</v>
      </c>
      <c r="M11" s="34" t="s">
        <v>118</v>
      </c>
      <c r="N11" s="35"/>
      <c r="O11" s="33" t="s">
        <v>127</v>
      </c>
      <c r="P11" s="34" t="s">
        <v>116</v>
      </c>
      <c r="Q11" s="34" t="s">
        <v>116</v>
      </c>
      <c r="R11" s="35"/>
      <c r="S11" s="29" t="str">
        <f>"580,0"</f>
        <v>580,0</v>
      </c>
      <c r="T11" s="29" t="str">
        <f>"370,6780"</f>
        <v>370,6780</v>
      </c>
      <c r="U11" s="27"/>
    </row>
    <row r="13" spans="1:21" ht="16">
      <c r="A13" s="67" t="s">
        <v>71</v>
      </c>
      <c r="B13" s="67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1:21">
      <c r="A14" s="23" t="s">
        <v>12</v>
      </c>
      <c r="B14" s="7" t="s">
        <v>128</v>
      </c>
      <c r="C14" s="7" t="s">
        <v>129</v>
      </c>
      <c r="D14" s="7" t="s">
        <v>130</v>
      </c>
      <c r="E14" s="8" t="s">
        <v>448</v>
      </c>
      <c r="F14" s="7" t="s">
        <v>16</v>
      </c>
      <c r="G14" s="22" t="s">
        <v>82</v>
      </c>
      <c r="H14" s="22" t="s">
        <v>131</v>
      </c>
      <c r="I14" s="22" t="s">
        <v>132</v>
      </c>
      <c r="J14" s="23"/>
      <c r="K14" s="22" t="s">
        <v>120</v>
      </c>
      <c r="L14" s="21" t="s">
        <v>133</v>
      </c>
      <c r="M14" s="22" t="s">
        <v>134</v>
      </c>
      <c r="N14" s="23"/>
      <c r="O14" s="22" t="s">
        <v>115</v>
      </c>
      <c r="P14" s="22" t="s">
        <v>116</v>
      </c>
      <c r="Q14" s="22" t="s">
        <v>103</v>
      </c>
      <c r="R14" s="23"/>
      <c r="S14" s="9" t="str">
        <f>"625,0"</f>
        <v>625,0</v>
      </c>
      <c r="T14" s="9" t="str">
        <f>"383,0625"</f>
        <v>383,0625</v>
      </c>
      <c r="U14" s="7" t="s">
        <v>135</v>
      </c>
    </row>
    <row r="16" spans="1:21" ht="16">
      <c r="A16" s="67" t="s">
        <v>136</v>
      </c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1:21">
      <c r="A17" s="23" t="s">
        <v>12</v>
      </c>
      <c r="B17" s="7" t="s">
        <v>137</v>
      </c>
      <c r="C17" s="7" t="s">
        <v>138</v>
      </c>
      <c r="D17" s="7" t="s">
        <v>139</v>
      </c>
      <c r="E17" s="8" t="s">
        <v>448</v>
      </c>
      <c r="F17" s="7" t="s">
        <v>16</v>
      </c>
      <c r="G17" s="22" t="s">
        <v>140</v>
      </c>
      <c r="H17" s="22" t="s">
        <v>132</v>
      </c>
      <c r="I17" s="22" t="s">
        <v>125</v>
      </c>
      <c r="J17" s="23"/>
      <c r="K17" s="22" t="s">
        <v>119</v>
      </c>
      <c r="L17" s="22" t="s">
        <v>120</v>
      </c>
      <c r="M17" s="22" t="s">
        <v>133</v>
      </c>
      <c r="N17" s="23"/>
      <c r="O17" s="21" t="s">
        <v>140</v>
      </c>
      <c r="P17" s="22" t="s">
        <v>125</v>
      </c>
      <c r="Q17" s="21" t="s">
        <v>117</v>
      </c>
      <c r="R17" s="23"/>
      <c r="S17" s="9" t="str">
        <f>"605,0"</f>
        <v>605,0</v>
      </c>
      <c r="T17" s="9" t="str">
        <f>"360,3380"</f>
        <v>360,3380</v>
      </c>
      <c r="U17" s="7" t="s">
        <v>141</v>
      </c>
    </row>
    <row r="19" spans="1:21">
      <c r="G19" s="5"/>
    </row>
    <row r="21" spans="1:21" ht="18">
      <c r="B21" s="12" t="s">
        <v>84</v>
      </c>
      <c r="C21" s="12"/>
    </row>
    <row r="22" spans="1:21" ht="16">
      <c r="B22" s="13" t="s">
        <v>142</v>
      </c>
      <c r="C22" s="13"/>
    </row>
    <row r="23" spans="1:21" ht="14">
      <c r="B23" s="14"/>
      <c r="C23" s="15" t="s">
        <v>86</v>
      </c>
    </row>
    <row r="24" spans="1:21" ht="14">
      <c r="B24" s="16" t="s">
        <v>87</v>
      </c>
      <c r="C24" s="16" t="s">
        <v>88</v>
      </c>
      <c r="D24" s="16" t="s">
        <v>89</v>
      </c>
      <c r="E24" s="17" t="s">
        <v>90</v>
      </c>
      <c r="F24" s="16" t="s">
        <v>91</v>
      </c>
    </row>
    <row r="25" spans="1:21">
      <c r="B25" s="5" t="s">
        <v>100</v>
      </c>
      <c r="C25" s="5" t="s">
        <v>86</v>
      </c>
      <c r="D25" s="19" t="s">
        <v>143</v>
      </c>
      <c r="E25" s="20">
        <v>720</v>
      </c>
      <c r="F25" s="18">
        <v>485.56797981262201</v>
      </c>
    </row>
    <row r="26" spans="1:21">
      <c r="B26" s="5" t="s">
        <v>112</v>
      </c>
      <c r="C26" s="5" t="s">
        <v>86</v>
      </c>
      <c r="D26" s="19" t="s">
        <v>144</v>
      </c>
      <c r="E26" s="20">
        <v>675</v>
      </c>
      <c r="F26" s="18">
        <v>431.39251023531</v>
      </c>
    </row>
    <row r="27" spans="1:21">
      <c r="B27" s="5" t="s">
        <v>128</v>
      </c>
      <c r="C27" s="5" t="s">
        <v>86</v>
      </c>
      <c r="D27" s="19" t="s">
        <v>145</v>
      </c>
      <c r="E27" s="20">
        <v>625</v>
      </c>
      <c r="F27" s="18">
        <v>383.06251168250998</v>
      </c>
      <c r="G27" s="5"/>
    </row>
  </sheetData>
  <mergeCells count="17"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A9:R9"/>
    <mergeCell ref="A13:R13"/>
    <mergeCell ref="A16:R16"/>
    <mergeCell ref="B3:B4"/>
    <mergeCell ref="S3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3.332031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20.832031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5.6640625" style="5" bestFit="1" customWidth="1"/>
    <col min="22" max="16384" width="9.1640625" style="3"/>
  </cols>
  <sheetData>
    <row r="1" spans="1:21" s="2" customFormat="1" ht="29" customHeight="1">
      <c r="A1" s="71" t="s">
        <v>146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4</v>
      </c>
      <c r="H3" s="85"/>
      <c r="I3" s="85"/>
      <c r="J3" s="85"/>
      <c r="K3" s="85" t="s">
        <v>5</v>
      </c>
      <c r="L3" s="85"/>
      <c r="M3" s="85"/>
      <c r="N3" s="85"/>
      <c r="O3" s="85" t="s">
        <v>6</v>
      </c>
      <c r="P3" s="85"/>
      <c r="Q3" s="85"/>
      <c r="R3" s="85"/>
      <c r="S3" s="83" t="s">
        <v>7</v>
      </c>
      <c r="T3" s="83" t="s">
        <v>8</v>
      </c>
      <c r="U3" s="90" t="s">
        <v>9</v>
      </c>
    </row>
    <row r="4" spans="1:21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4">
        <v>1</v>
      </c>
      <c r="P4" s="4">
        <v>2</v>
      </c>
      <c r="Q4" s="4">
        <v>3</v>
      </c>
      <c r="R4" s="4" t="s">
        <v>10</v>
      </c>
      <c r="S4" s="84"/>
      <c r="T4" s="84"/>
      <c r="U4" s="91"/>
    </row>
    <row r="5" spans="1:21" ht="16">
      <c r="A5" s="69" t="s">
        <v>71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23" t="s">
        <v>12</v>
      </c>
      <c r="B6" s="7" t="s">
        <v>147</v>
      </c>
      <c r="C6" s="7" t="s">
        <v>148</v>
      </c>
      <c r="D6" s="7" t="s">
        <v>149</v>
      </c>
      <c r="E6" s="8" t="s">
        <v>448</v>
      </c>
      <c r="F6" s="7" t="s">
        <v>150</v>
      </c>
      <c r="G6" s="22" t="s">
        <v>151</v>
      </c>
      <c r="H6" s="22" t="s">
        <v>34</v>
      </c>
      <c r="I6" s="22" t="s">
        <v>126</v>
      </c>
      <c r="J6" s="23"/>
      <c r="K6" s="22" t="s">
        <v>23</v>
      </c>
      <c r="L6" s="22" t="s">
        <v>24</v>
      </c>
      <c r="M6" s="22" t="s">
        <v>58</v>
      </c>
      <c r="N6" s="23"/>
      <c r="O6" s="22" t="s">
        <v>118</v>
      </c>
      <c r="P6" s="22" t="s">
        <v>133</v>
      </c>
      <c r="Q6" s="22" t="s">
        <v>134</v>
      </c>
      <c r="R6" s="23"/>
      <c r="S6" s="9" t="str">
        <f>"370,0"</f>
        <v>370,0</v>
      </c>
      <c r="T6" s="9" t="str">
        <f>"226,1810"</f>
        <v>226,1810</v>
      </c>
      <c r="U6" s="7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5">
    <pageSetUpPr fitToPage="1"/>
  </sheetPr>
  <dimension ref="A1:U6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7" width="5.5" style="19" customWidth="1"/>
    <col min="18" max="18" width="4.83203125" style="19" customWidth="1"/>
    <col min="19" max="19" width="7.83203125" style="6" bestFit="1" customWidth="1"/>
    <col min="20" max="20" width="8.5" style="6" bestFit="1" customWidth="1"/>
    <col min="21" max="21" width="18" style="5" customWidth="1"/>
    <col min="22" max="16384" width="9.1640625" style="3"/>
  </cols>
  <sheetData>
    <row r="1" spans="1:21" s="2" customFormat="1" ht="29" customHeight="1">
      <c r="A1" s="71" t="s">
        <v>152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1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</row>
    <row r="3" spans="1:21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4</v>
      </c>
      <c r="H3" s="85"/>
      <c r="I3" s="85"/>
      <c r="J3" s="85"/>
      <c r="K3" s="85" t="s">
        <v>5</v>
      </c>
      <c r="L3" s="85"/>
      <c r="M3" s="85"/>
      <c r="N3" s="85"/>
      <c r="O3" s="85" t="s">
        <v>6</v>
      </c>
      <c r="P3" s="85"/>
      <c r="Q3" s="85"/>
      <c r="R3" s="85"/>
      <c r="S3" s="83" t="s">
        <v>7</v>
      </c>
      <c r="T3" s="83" t="s">
        <v>8</v>
      </c>
      <c r="U3" s="90" t="s">
        <v>9</v>
      </c>
    </row>
    <row r="4" spans="1:21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4">
        <v>1</v>
      </c>
      <c r="P4" s="4">
        <v>2</v>
      </c>
      <c r="Q4" s="4">
        <v>3</v>
      </c>
      <c r="R4" s="4" t="s">
        <v>10</v>
      </c>
      <c r="S4" s="84"/>
      <c r="T4" s="84"/>
      <c r="U4" s="91"/>
    </row>
    <row r="5" spans="1:21" ht="16">
      <c r="A5" s="69" t="s">
        <v>136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</row>
    <row r="6" spans="1:21">
      <c r="A6" s="23" t="s">
        <v>12</v>
      </c>
      <c r="B6" s="7" t="s">
        <v>153</v>
      </c>
      <c r="C6" s="7" t="s">
        <v>154</v>
      </c>
      <c r="D6" s="7" t="s">
        <v>155</v>
      </c>
      <c r="E6" s="8" t="s">
        <v>448</v>
      </c>
      <c r="F6" s="7" t="s">
        <v>16</v>
      </c>
      <c r="G6" s="21" t="s">
        <v>156</v>
      </c>
      <c r="H6" s="22" t="s">
        <v>157</v>
      </c>
      <c r="I6" s="21" t="s">
        <v>158</v>
      </c>
      <c r="J6" s="23"/>
      <c r="K6" s="22" t="s">
        <v>159</v>
      </c>
      <c r="L6" s="22" t="s">
        <v>160</v>
      </c>
      <c r="M6" s="21" t="s">
        <v>161</v>
      </c>
      <c r="N6" s="23"/>
      <c r="O6" s="22" t="s">
        <v>162</v>
      </c>
      <c r="P6" s="21" t="s">
        <v>163</v>
      </c>
      <c r="Q6" s="21" t="s">
        <v>164</v>
      </c>
      <c r="R6" s="23"/>
      <c r="S6" s="9" t="str">
        <f>"777,5"</f>
        <v>777,5</v>
      </c>
      <c r="T6" s="9" t="str">
        <f>"460,9020"</f>
        <v>460,9020</v>
      </c>
      <c r="U6" s="7" t="s">
        <v>165</v>
      </c>
    </row>
  </sheetData>
  <mergeCells count="14">
    <mergeCell ref="A1:U2"/>
    <mergeCell ref="G3:J3"/>
    <mergeCell ref="K3:N3"/>
    <mergeCell ref="O3:R3"/>
    <mergeCell ref="A3:A4"/>
    <mergeCell ref="C3:C4"/>
    <mergeCell ref="D3:D4"/>
    <mergeCell ref="U3:U4"/>
    <mergeCell ref="F3:F4"/>
    <mergeCell ref="A5:R5"/>
    <mergeCell ref="B3:B4"/>
    <mergeCell ref="E3:E4"/>
    <mergeCell ref="S3:S4"/>
    <mergeCell ref="T3:T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1.6640625" style="5" bestFit="1" customWidth="1"/>
    <col min="7" max="9" width="5.5" style="19" customWidth="1"/>
    <col min="10" max="10" width="4.83203125" style="19" customWidth="1"/>
    <col min="11" max="13" width="5.5" style="19" customWidth="1"/>
    <col min="14" max="14" width="4.83203125" style="19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71" t="s">
        <v>166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</row>
    <row r="2" spans="1:17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5" t="s">
        <v>6</v>
      </c>
      <c r="L3" s="85"/>
      <c r="M3" s="85"/>
      <c r="N3" s="85"/>
      <c r="O3" s="83" t="s">
        <v>7</v>
      </c>
      <c r="P3" s="83" t="s">
        <v>8</v>
      </c>
      <c r="Q3" s="90" t="s">
        <v>9</v>
      </c>
    </row>
    <row r="4" spans="1:17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4">
        <v>1</v>
      </c>
      <c r="L4" s="4">
        <v>2</v>
      </c>
      <c r="M4" s="4">
        <v>3</v>
      </c>
      <c r="N4" s="4" t="s">
        <v>10</v>
      </c>
      <c r="O4" s="84"/>
      <c r="P4" s="84"/>
      <c r="Q4" s="91"/>
    </row>
    <row r="5" spans="1:17" ht="16">
      <c r="A5" s="69" t="s">
        <v>44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7">
      <c r="A6" s="23" t="s">
        <v>12</v>
      </c>
      <c r="B6" s="7" t="s">
        <v>45</v>
      </c>
      <c r="C6" s="7" t="s">
        <v>46</v>
      </c>
      <c r="D6" s="7" t="s">
        <v>47</v>
      </c>
      <c r="E6" s="8" t="s">
        <v>448</v>
      </c>
      <c r="F6" s="7" t="s">
        <v>16</v>
      </c>
      <c r="G6" s="22" t="s">
        <v>22</v>
      </c>
      <c r="H6" s="21" t="s">
        <v>41</v>
      </c>
      <c r="I6" s="21" t="s">
        <v>41</v>
      </c>
      <c r="J6" s="23"/>
      <c r="K6" s="22" t="s">
        <v>51</v>
      </c>
      <c r="L6" s="22" t="s">
        <v>34</v>
      </c>
      <c r="M6" s="22" t="s">
        <v>35</v>
      </c>
      <c r="N6" s="23"/>
      <c r="O6" s="9" t="str">
        <f>"175,0"</f>
        <v>175,0</v>
      </c>
      <c r="P6" s="9" t="str">
        <f>"180,1450"</f>
        <v>180,1450</v>
      </c>
      <c r="Q6" s="7" t="s">
        <v>52</v>
      </c>
    </row>
    <row r="8" spans="1:17" ht="16">
      <c r="A8" s="67" t="s">
        <v>96</v>
      </c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7">
      <c r="A9" s="23" t="s">
        <v>12</v>
      </c>
      <c r="B9" s="7" t="s">
        <v>167</v>
      </c>
      <c r="C9" s="7" t="s">
        <v>168</v>
      </c>
      <c r="D9" s="7" t="s">
        <v>169</v>
      </c>
      <c r="E9" s="8" t="s">
        <v>448</v>
      </c>
      <c r="F9" s="7" t="s">
        <v>16</v>
      </c>
      <c r="G9" s="22" t="s">
        <v>126</v>
      </c>
      <c r="H9" s="22" t="s">
        <v>78</v>
      </c>
      <c r="I9" s="22" t="s">
        <v>118</v>
      </c>
      <c r="J9" s="23"/>
      <c r="K9" s="21" t="s">
        <v>125</v>
      </c>
      <c r="L9" s="21" t="s">
        <v>170</v>
      </c>
      <c r="M9" s="22" t="s">
        <v>170</v>
      </c>
      <c r="N9" s="23"/>
      <c r="O9" s="9" t="str">
        <f>"375,0"</f>
        <v>375,0</v>
      </c>
      <c r="P9" s="9" t="str">
        <f>"253,4625"</f>
        <v>253,4625</v>
      </c>
      <c r="Q9" s="7" t="s">
        <v>171</v>
      </c>
    </row>
    <row r="11" spans="1:17" ht="16">
      <c r="A11" s="67" t="s">
        <v>111</v>
      </c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1:17">
      <c r="A12" s="23" t="s">
        <v>12</v>
      </c>
      <c r="B12" s="7" t="s">
        <v>172</v>
      </c>
      <c r="C12" s="7" t="s">
        <v>173</v>
      </c>
      <c r="D12" s="7" t="s">
        <v>174</v>
      </c>
      <c r="E12" s="8" t="s">
        <v>448</v>
      </c>
      <c r="F12" s="7" t="s">
        <v>175</v>
      </c>
      <c r="G12" s="22" t="s">
        <v>31</v>
      </c>
      <c r="H12" s="21" t="s">
        <v>32</v>
      </c>
      <c r="I12" s="21" t="s">
        <v>32</v>
      </c>
      <c r="J12" s="23"/>
      <c r="K12" s="22" t="s">
        <v>120</v>
      </c>
      <c r="L12" s="21" t="s">
        <v>134</v>
      </c>
      <c r="M12" s="21" t="s">
        <v>134</v>
      </c>
      <c r="N12" s="23"/>
      <c r="O12" s="9" t="str">
        <f>"255,0"</f>
        <v>255,0</v>
      </c>
      <c r="P12" s="9" t="str">
        <f>"166,9995"</f>
        <v>166,9995</v>
      </c>
      <c r="Q12" s="7" t="s">
        <v>176</v>
      </c>
    </row>
  </sheetData>
  <mergeCells count="15"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  <mergeCell ref="A8:N8"/>
    <mergeCell ref="A11:N11"/>
    <mergeCell ref="B3:B4"/>
    <mergeCell ref="O3:O4"/>
    <mergeCell ref="P3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80"/>
  <sheetViews>
    <sheetView topLeftCell="A31" workbookViewId="0">
      <selection activeCell="E56" sqref="E56"/>
    </sheetView>
  </sheetViews>
  <sheetFormatPr baseColWidth="10" defaultColWidth="9.1640625" defaultRowHeight="13"/>
  <cols>
    <col min="1" max="1" width="7.5" style="5" bestFit="1" customWidth="1"/>
    <col min="2" max="2" width="22" style="5" bestFit="1" customWidth="1"/>
    <col min="3" max="3" width="27.83203125" style="5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32" style="5" bestFit="1" customWidth="1"/>
    <col min="14" max="16384" width="9.1640625" style="3"/>
  </cols>
  <sheetData>
    <row r="1" spans="1:13" s="2" customFormat="1" ht="29" customHeight="1">
      <c r="A1" s="71" t="s">
        <v>177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179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48" t="s">
        <v>12</v>
      </c>
      <c r="B6" s="58" t="s">
        <v>180</v>
      </c>
      <c r="C6" s="24" t="s">
        <v>181</v>
      </c>
      <c r="D6" s="49" t="s">
        <v>182</v>
      </c>
      <c r="E6" s="63" t="s">
        <v>448</v>
      </c>
      <c r="F6" s="24" t="s">
        <v>16</v>
      </c>
      <c r="G6" s="50" t="s">
        <v>21</v>
      </c>
      <c r="H6" s="30" t="s">
        <v>22</v>
      </c>
      <c r="I6" s="51" t="s">
        <v>41</v>
      </c>
      <c r="J6" s="31"/>
      <c r="K6" s="61" t="str">
        <f>"45,0"</f>
        <v>45,0</v>
      </c>
      <c r="L6" s="64">
        <v>57.545999999999999</v>
      </c>
      <c r="M6" s="52" t="s">
        <v>183</v>
      </c>
    </row>
    <row r="7" spans="1:13">
      <c r="A7" s="53" t="s">
        <v>53</v>
      </c>
      <c r="B7" s="59" t="s">
        <v>184</v>
      </c>
      <c r="C7" s="27" t="s">
        <v>185</v>
      </c>
      <c r="D7" s="54" t="s">
        <v>186</v>
      </c>
      <c r="E7" s="60" t="s">
        <v>448</v>
      </c>
      <c r="F7" s="27" t="s">
        <v>16</v>
      </c>
      <c r="G7" s="55" t="s">
        <v>187</v>
      </c>
      <c r="H7" s="33" t="s">
        <v>187</v>
      </c>
      <c r="I7" s="56" t="s">
        <v>22</v>
      </c>
      <c r="J7" s="35"/>
      <c r="K7" s="62" t="str">
        <f>"45,0"</f>
        <v>45,0</v>
      </c>
      <c r="L7" s="62" t="str">
        <f>"57,2850"</f>
        <v>57,2850</v>
      </c>
      <c r="M7" s="57" t="s">
        <v>110</v>
      </c>
    </row>
    <row r="9" spans="1:13" ht="16">
      <c r="A9" s="67" t="s">
        <v>11</v>
      </c>
      <c r="B9" s="67"/>
      <c r="C9" s="68"/>
      <c r="D9" s="68"/>
      <c r="E9" s="68"/>
      <c r="F9" s="68"/>
      <c r="G9" s="68"/>
      <c r="H9" s="68"/>
      <c r="I9" s="68"/>
      <c r="J9" s="68"/>
    </row>
    <row r="10" spans="1:13">
      <c r="A10" s="31" t="s">
        <v>12</v>
      </c>
      <c r="B10" s="24" t="s">
        <v>188</v>
      </c>
      <c r="C10" s="24" t="s">
        <v>189</v>
      </c>
      <c r="D10" s="24" t="s">
        <v>190</v>
      </c>
      <c r="E10" s="25" t="s">
        <v>448</v>
      </c>
      <c r="F10" s="24" t="s">
        <v>16</v>
      </c>
      <c r="G10" s="30" t="s">
        <v>21</v>
      </c>
      <c r="H10" s="30" t="s">
        <v>187</v>
      </c>
      <c r="I10" s="32" t="s">
        <v>22</v>
      </c>
      <c r="J10" s="31"/>
      <c r="K10" s="26" t="str">
        <f>"42,5"</f>
        <v>42,5</v>
      </c>
      <c r="L10" s="26" t="str">
        <f>"52,0540"</f>
        <v>52,0540</v>
      </c>
      <c r="M10" s="24" t="s">
        <v>110</v>
      </c>
    </row>
    <row r="11" spans="1:13">
      <c r="A11" s="35" t="s">
        <v>12</v>
      </c>
      <c r="B11" s="27" t="s">
        <v>188</v>
      </c>
      <c r="C11" s="27" t="s">
        <v>191</v>
      </c>
      <c r="D11" s="27" t="s">
        <v>190</v>
      </c>
      <c r="E11" s="28" t="s">
        <v>450</v>
      </c>
      <c r="F11" s="27" t="s">
        <v>16</v>
      </c>
      <c r="G11" s="33" t="s">
        <v>21</v>
      </c>
      <c r="H11" s="33" t="s">
        <v>187</v>
      </c>
      <c r="I11" s="34" t="s">
        <v>22</v>
      </c>
      <c r="J11" s="35"/>
      <c r="K11" s="29" t="str">
        <f>"42,5"</f>
        <v>42,5</v>
      </c>
      <c r="L11" s="29" t="str">
        <f>"53,5115"</f>
        <v>53,5115</v>
      </c>
      <c r="M11" s="27" t="s">
        <v>110</v>
      </c>
    </row>
    <row r="13" spans="1:13" ht="16">
      <c r="A13" s="67" t="s">
        <v>27</v>
      </c>
      <c r="B13" s="67"/>
      <c r="C13" s="68"/>
      <c r="D13" s="68"/>
      <c r="E13" s="68"/>
      <c r="F13" s="68"/>
      <c r="G13" s="68"/>
      <c r="H13" s="68"/>
      <c r="I13" s="68"/>
      <c r="J13" s="68"/>
    </row>
    <row r="14" spans="1:13">
      <c r="A14" s="31" t="s">
        <v>12</v>
      </c>
      <c r="B14" s="24" t="s">
        <v>192</v>
      </c>
      <c r="C14" s="24" t="s">
        <v>193</v>
      </c>
      <c r="D14" s="24" t="s">
        <v>194</v>
      </c>
      <c r="E14" s="25" t="s">
        <v>449</v>
      </c>
      <c r="F14" s="24" t="s">
        <v>16</v>
      </c>
      <c r="G14" s="30" t="s">
        <v>57</v>
      </c>
      <c r="H14" s="30" t="s">
        <v>195</v>
      </c>
      <c r="I14" s="32" t="s">
        <v>196</v>
      </c>
      <c r="J14" s="31"/>
      <c r="K14" s="26" t="str">
        <f>"57,5"</f>
        <v>57,5</v>
      </c>
      <c r="L14" s="45" t="str">
        <f>"65,4695"</f>
        <v>65,4695</v>
      </c>
      <c r="M14" s="24" t="s">
        <v>110</v>
      </c>
    </row>
    <row r="15" spans="1:13">
      <c r="A15" s="39" t="s">
        <v>12</v>
      </c>
      <c r="B15" s="36" t="s">
        <v>28</v>
      </c>
      <c r="C15" s="36" t="s">
        <v>29</v>
      </c>
      <c r="D15" s="36" t="s">
        <v>30</v>
      </c>
      <c r="E15" s="37" t="s">
        <v>448</v>
      </c>
      <c r="F15" s="36" t="s">
        <v>16</v>
      </c>
      <c r="G15" s="40" t="s">
        <v>23</v>
      </c>
      <c r="H15" s="40" t="s">
        <v>33</v>
      </c>
      <c r="I15" s="41" t="s">
        <v>24</v>
      </c>
      <c r="J15" s="39"/>
      <c r="K15" s="38" t="str">
        <f>"77,5"</f>
        <v>77,5</v>
      </c>
      <c r="L15" s="46" t="str">
        <f>"88,5980"</f>
        <v>88,5980</v>
      </c>
      <c r="M15" s="36" t="s">
        <v>36</v>
      </c>
    </row>
    <row r="16" spans="1:13">
      <c r="A16" s="35" t="s">
        <v>53</v>
      </c>
      <c r="B16" s="27" t="s">
        <v>197</v>
      </c>
      <c r="C16" s="27" t="s">
        <v>198</v>
      </c>
      <c r="D16" s="27" t="s">
        <v>199</v>
      </c>
      <c r="E16" s="28" t="s">
        <v>448</v>
      </c>
      <c r="F16" s="27" t="s">
        <v>16</v>
      </c>
      <c r="G16" s="33" t="s">
        <v>187</v>
      </c>
      <c r="H16" s="33" t="s">
        <v>22</v>
      </c>
      <c r="I16" s="34" t="s">
        <v>41</v>
      </c>
      <c r="J16" s="35"/>
      <c r="K16" s="29" t="str">
        <f>"45,0"</f>
        <v>45,0</v>
      </c>
      <c r="L16" s="47" t="str">
        <f>"50,1705"</f>
        <v>50,1705</v>
      </c>
      <c r="M16" s="27" t="s">
        <v>110</v>
      </c>
    </row>
    <row r="18" spans="1:13" ht="16">
      <c r="A18" s="67" t="s">
        <v>44</v>
      </c>
      <c r="B18" s="67"/>
      <c r="C18" s="68"/>
      <c r="D18" s="68"/>
      <c r="E18" s="68"/>
      <c r="F18" s="68"/>
      <c r="G18" s="68"/>
      <c r="H18" s="68"/>
      <c r="I18" s="68"/>
      <c r="J18" s="68"/>
    </row>
    <row r="19" spans="1:13">
      <c r="A19" s="23" t="s">
        <v>12</v>
      </c>
      <c r="B19" s="7" t="s">
        <v>200</v>
      </c>
      <c r="C19" s="7" t="s">
        <v>201</v>
      </c>
      <c r="D19" s="7" t="s">
        <v>202</v>
      </c>
      <c r="E19" s="8" t="s">
        <v>447</v>
      </c>
      <c r="F19" s="7" t="s">
        <v>16</v>
      </c>
      <c r="G19" s="22" t="s">
        <v>22</v>
      </c>
      <c r="H19" s="22" t="s">
        <v>41</v>
      </c>
      <c r="I19" s="22" t="s">
        <v>57</v>
      </c>
      <c r="J19" s="23"/>
      <c r="K19" s="9" t="str">
        <f>"52,5"</f>
        <v>52,5</v>
      </c>
      <c r="L19" s="9" t="str">
        <f>"55,7183"</f>
        <v>55,7183</v>
      </c>
      <c r="M19" s="7" t="s">
        <v>26</v>
      </c>
    </row>
    <row r="21" spans="1:13" ht="16">
      <c r="A21" s="67" t="s">
        <v>60</v>
      </c>
      <c r="B21" s="67"/>
      <c r="C21" s="68"/>
      <c r="D21" s="68"/>
      <c r="E21" s="68"/>
      <c r="F21" s="68"/>
      <c r="G21" s="68"/>
      <c r="H21" s="68"/>
      <c r="I21" s="68"/>
      <c r="J21" s="68"/>
    </row>
    <row r="22" spans="1:13">
      <c r="A22" s="31" t="s">
        <v>12</v>
      </c>
      <c r="B22" s="24" t="s">
        <v>203</v>
      </c>
      <c r="C22" s="24" t="s">
        <v>204</v>
      </c>
      <c r="D22" s="24" t="s">
        <v>205</v>
      </c>
      <c r="E22" s="25" t="s">
        <v>447</v>
      </c>
      <c r="F22" s="24" t="s">
        <v>16</v>
      </c>
      <c r="G22" s="30" t="s">
        <v>206</v>
      </c>
      <c r="H22" s="30" t="s">
        <v>42</v>
      </c>
      <c r="I22" s="32" t="s">
        <v>17</v>
      </c>
      <c r="J22" s="31"/>
      <c r="K22" s="26" t="str">
        <f>"60,0"</f>
        <v>60,0</v>
      </c>
      <c r="L22" s="45" t="str">
        <f>"60,1080"</f>
        <v>60,1080</v>
      </c>
      <c r="M22" s="24" t="s">
        <v>26</v>
      </c>
    </row>
    <row r="23" spans="1:13">
      <c r="A23" s="39" t="s">
        <v>12</v>
      </c>
      <c r="B23" s="36" t="s">
        <v>61</v>
      </c>
      <c r="C23" s="36" t="s">
        <v>62</v>
      </c>
      <c r="D23" s="36" t="s">
        <v>63</v>
      </c>
      <c r="E23" s="37" t="s">
        <v>448</v>
      </c>
      <c r="F23" s="36" t="s">
        <v>64</v>
      </c>
      <c r="G23" s="40" t="s">
        <v>22</v>
      </c>
      <c r="H23" s="41" t="s">
        <v>66</v>
      </c>
      <c r="I23" s="40" t="s">
        <v>66</v>
      </c>
      <c r="J23" s="39"/>
      <c r="K23" s="38" t="str">
        <f>"47,5"</f>
        <v>47,5</v>
      </c>
      <c r="L23" s="46" t="str">
        <f>"46,9775"</f>
        <v>46,9775</v>
      </c>
      <c r="M23" s="36"/>
    </row>
    <row r="24" spans="1:13">
      <c r="A24" s="35" t="s">
        <v>53</v>
      </c>
      <c r="B24" s="27" t="s">
        <v>207</v>
      </c>
      <c r="C24" s="27" t="s">
        <v>208</v>
      </c>
      <c r="D24" s="27" t="s">
        <v>209</v>
      </c>
      <c r="E24" s="28" t="s">
        <v>448</v>
      </c>
      <c r="F24" s="27" t="s">
        <v>16</v>
      </c>
      <c r="G24" s="33" t="s">
        <v>187</v>
      </c>
      <c r="H24" s="33" t="s">
        <v>22</v>
      </c>
      <c r="I24" s="34" t="s">
        <v>41</v>
      </c>
      <c r="J24" s="35"/>
      <c r="K24" s="29" t="str">
        <f>"45,0"</f>
        <v>45,0</v>
      </c>
      <c r="L24" s="47" t="str">
        <f>"43,4835"</f>
        <v>43,4835</v>
      </c>
      <c r="M24" s="27" t="s">
        <v>110</v>
      </c>
    </row>
    <row r="26" spans="1:13" ht="16">
      <c r="A26" s="67" t="s">
        <v>179</v>
      </c>
      <c r="B26" s="67"/>
      <c r="C26" s="68"/>
      <c r="D26" s="68"/>
      <c r="E26" s="68"/>
      <c r="F26" s="68"/>
      <c r="G26" s="68"/>
      <c r="H26" s="68"/>
      <c r="I26" s="68"/>
      <c r="J26" s="68"/>
    </row>
    <row r="27" spans="1:13">
      <c r="A27" s="23" t="s">
        <v>12</v>
      </c>
      <c r="B27" s="7" t="s">
        <v>210</v>
      </c>
      <c r="C27" s="7" t="s">
        <v>211</v>
      </c>
      <c r="D27" s="7" t="s">
        <v>212</v>
      </c>
      <c r="E27" s="8" t="s">
        <v>449</v>
      </c>
      <c r="F27" s="7" t="s">
        <v>16</v>
      </c>
      <c r="G27" s="22" t="s">
        <v>20</v>
      </c>
      <c r="H27" s="22" t="s">
        <v>21</v>
      </c>
      <c r="I27" s="21" t="s">
        <v>187</v>
      </c>
      <c r="J27" s="23"/>
      <c r="K27" s="9" t="str">
        <f>"40,0"</f>
        <v>40,0</v>
      </c>
      <c r="L27" s="9" t="str">
        <f>"41,1960"</f>
        <v>41,1960</v>
      </c>
      <c r="M27" s="7" t="s">
        <v>171</v>
      </c>
    </row>
    <row r="29" spans="1:13" ht="16">
      <c r="A29" s="67" t="s">
        <v>44</v>
      </c>
      <c r="B29" s="67"/>
      <c r="C29" s="68"/>
      <c r="D29" s="68"/>
      <c r="E29" s="68"/>
      <c r="F29" s="68"/>
      <c r="G29" s="68"/>
      <c r="H29" s="68"/>
      <c r="I29" s="68"/>
      <c r="J29" s="68"/>
    </row>
    <row r="30" spans="1:13">
      <c r="A30" s="31" t="s">
        <v>12</v>
      </c>
      <c r="B30" s="24" t="s">
        <v>213</v>
      </c>
      <c r="C30" s="24" t="s">
        <v>214</v>
      </c>
      <c r="D30" s="24" t="s">
        <v>215</v>
      </c>
      <c r="E30" s="25" t="s">
        <v>449</v>
      </c>
      <c r="F30" s="24" t="s">
        <v>16</v>
      </c>
      <c r="G30" s="32" t="s">
        <v>216</v>
      </c>
      <c r="H30" s="32" t="s">
        <v>217</v>
      </c>
      <c r="I30" s="30" t="s">
        <v>49</v>
      </c>
      <c r="J30" s="31"/>
      <c r="K30" s="26" t="str">
        <f>"95,0"</f>
        <v>95,0</v>
      </c>
      <c r="L30" s="26" t="str">
        <f>"73,4255"</f>
        <v>73,4255</v>
      </c>
      <c r="M30" s="24" t="s">
        <v>218</v>
      </c>
    </row>
    <row r="31" spans="1:13">
      <c r="A31" s="39" t="s">
        <v>53</v>
      </c>
      <c r="B31" s="36" t="s">
        <v>219</v>
      </c>
      <c r="C31" s="36" t="s">
        <v>220</v>
      </c>
      <c r="D31" s="36" t="s">
        <v>221</v>
      </c>
      <c r="E31" s="37" t="s">
        <v>449</v>
      </c>
      <c r="F31" s="36" t="s">
        <v>16</v>
      </c>
      <c r="G31" s="40" t="s">
        <v>22</v>
      </c>
      <c r="H31" s="41" t="s">
        <v>41</v>
      </c>
      <c r="I31" s="40" t="s">
        <v>41</v>
      </c>
      <c r="J31" s="39"/>
      <c r="K31" s="38" t="str">
        <f>"50,0"</f>
        <v>50,0</v>
      </c>
      <c r="L31" s="38" t="str">
        <f>"41,6450"</f>
        <v>41,6450</v>
      </c>
      <c r="M31" s="36" t="s">
        <v>171</v>
      </c>
    </row>
    <row r="32" spans="1:13">
      <c r="A32" s="35" t="s">
        <v>12</v>
      </c>
      <c r="B32" s="27" t="s">
        <v>222</v>
      </c>
      <c r="C32" s="27" t="s">
        <v>223</v>
      </c>
      <c r="D32" s="27" t="s">
        <v>224</v>
      </c>
      <c r="E32" s="28" t="s">
        <v>448</v>
      </c>
      <c r="F32" s="27" t="s">
        <v>16</v>
      </c>
      <c r="G32" s="33" t="s">
        <v>23</v>
      </c>
      <c r="H32" s="34" t="s">
        <v>58</v>
      </c>
      <c r="I32" s="34" t="s">
        <v>58</v>
      </c>
      <c r="J32" s="35"/>
      <c r="K32" s="29" t="str">
        <f>"75,0"</f>
        <v>75,0</v>
      </c>
      <c r="L32" s="29" t="str">
        <f>"58,5300"</f>
        <v>58,5300</v>
      </c>
      <c r="M32" s="27" t="s">
        <v>225</v>
      </c>
    </row>
    <row r="34" spans="1:13" ht="16">
      <c r="A34" s="67" t="s">
        <v>60</v>
      </c>
      <c r="B34" s="67"/>
      <c r="C34" s="68"/>
      <c r="D34" s="68"/>
      <c r="E34" s="68"/>
      <c r="F34" s="68"/>
      <c r="G34" s="68"/>
      <c r="H34" s="68"/>
      <c r="I34" s="68"/>
      <c r="J34" s="68"/>
    </row>
    <row r="35" spans="1:13">
      <c r="A35" s="31" t="s">
        <v>12</v>
      </c>
      <c r="B35" s="24" t="s">
        <v>226</v>
      </c>
      <c r="C35" s="24" t="s">
        <v>227</v>
      </c>
      <c r="D35" s="24" t="s">
        <v>228</v>
      </c>
      <c r="E35" s="25" t="s">
        <v>449</v>
      </c>
      <c r="F35" s="24" t="s">
        <v>16</v>
      </c>
      <c r="G35" s="30" t="s">
        <v>32</v>
      </c>
      <c r="H35" s="30" t="s">
        <v>229</v>
      </c>
      <c r="I35" s="30" t="s">
        <v>34</v>
      </c>
      <c r="J35" s="31"/>
      <c r="K35" s="26" t="str">
        <f>"120,0"</f>
        <v>120,0</v>
      </c>
      <c r="L35" s="45" t="str">
        <f>"86,1480"</f>
        <v>86,1480</v>
      </c>
      <c r="M35" s="24" t="s">
        <v>230</v>
      </c>
    </row>
    <row r="36" spans="1:13">
      <c r="A36" s="39" t="s">
        <v>12</v>
      </c>
      <c r="B36" s="36" t="s">
        <v>231</v>
      </c>
      <c r="C36" s="36" t="s">
        <v>232</v>
      </c>
      <c r="D36" s="36" t="s">
        <v>233</v>
      </c>
      <c r="E36" s="37" t="s">
        <v>447</v>
      </c>
      <c r="F36" s="36" t="s">
        <v>16</v>
      </c>
      <c r="G36" s="40" t="s">
        <v>50</v>
      </c>
      <c r="H36" s="40" t="s">
        <v>31</v>
      </c>
      <c r="I36" s="40" t="s">
        <v>234</v>
      </c>
      <c r="J36" s="39"/>
      <c r="K36" s="38" t="str">
        <f>"107,5"</f>
        <v>107,5</v>
      </c>
      <c r="L36" s="46" t="str">
        <f>"76,8195"</f>
        <v>76,8195</v>
      </c>
      <c r="M36" s="36" t="s">
        <v>26</v>
      </c>
    </row>
    <row r="37" spans="1:13">
      <c r="A37" s="39" t="s">
        <v>12</v>
      </c>
      <c r="B37" s="36" t="s">
        <v>235</v>
      </c>
      <c r="C37" s="36" t="s">
        <v>236</v>
      </c>
      <c r="D37" s="36" t="s">
        <v>237</v>
      </c>
      <c r="E37" s="37" t="s">
        <v>448</v>
      </c>
      <c r="F37" s="36" t="s">
        <v>238</v>
      </c>
      <c r="G37" s="40" t="s">
        <v>118</v>
      </c>
      <c r="H37" s="40" t="s">
        <v>239</v>
      </c>
      <c r="I37" s="40" t="s">
        <v>133</v>
      </c>
      <c r="J37" s="39"/>
      <c r="K37" s="38" t="str">
        <f>"155,0"</f>
        <v>155,0</v>
      </c>
      <c r="L37" s="46" t="str">
        <f>"111,3830"</f>
        <v>111,3830</v>
      </c>
      <c r="M37" s="36"/>
    </row>
    <row r="38" spans="1:13">
      <c r="A38" s="39" t="s">
        <v>53</v>
      </c>
      <c r="B38" s="36" t="s">
        <v>240</v>
      </c>
      <c r="C38" s="36" t="s">
        <v>241</v>
      </c>
      <c r="D38" s="36" t="s">
        <v>242</v>
      </c>
      <c r="E38" s="37" t="s">
        <v>448</v>
      </c>
      <c r="F38" s="36" t="s">
        <v>16</v>
      </c>
      <c r="G38" s="40" t="s">
        <v>51</v>
      </c>
      <c r="H38" s="41" t="s">
        <v>229</v>
      </c>
      <c r="I38" s="41" t="s">
        <v>229</v>
      </c>
      <c r="J38" s="39"/>
      <c r="K38" s="38" t="str">
        <f>"110,0"</f>
        <v>110,0</v>
      </c>
      <c r="L38" s="46" t="str">
        <f>"81,2900"</f>
        <v>81,2900</v>
      </c>
      <c r="M38" s="36" t="s">
        <v>26</v>
      </c>
    </row>
    <row r="39" spans="1:13">
      <c r="A39" s="39" t="s">
        <v>243</v>
      </c>
      <c r="B39" s="36" t="s">
        <v>244</v>
      </c>
      <c r="C39" s="36" t="s">
        <v>245</v>
      </c>
      <c r="D39" s="36" t="s">
        <v>246</v>
      </c>
      <c r="E39" s="37" t="s">
        <v>448</v>
      </c>
      <c r="F39" s="36" t="s">
        <v>16</v>
      </c>
      <c r="G39" s="40" t="s">
        <v>49</v>
      </c>
      <c r="H39" s="40" t="s">
        <v>50</v>
      </c>
      <c r="I39" s="40" t="s">
        <v>247</v>
      </c>
      <c r="J39" s="39"/>
      <c r="K39" s="38" t="str">
        <f>"102,5"</f>
        <v>102,5</v>
      </c>
      <c r="L39" s="46" t="str">
        <f>"73,7282"</f>
        <v>73,7282</v>
      </c>
      <c r="M39" s="36" t="s">
        <v>248</v>
      </c>
    </row>
    <row r="40" spans="1:13">
      <c r="A40" s="35" t="s">
        <v>12</v>
      </c>
      <c r="B40" s="27" t="s">
        <v>244</v>
      </c>
      <c r="C40" s="27" t="s">
        <v>249</v>
      </c>
      <c r="D40" s="27" t="s">
        <v>246</v>
      </c>
      <c r="E40" s="28" t="s">
        <v>450</v>
      </c>
      <c r="F40" s="27" t="s">
        <v>16</v>
      </c>
      <c r="G40" s="33" t="s">
        <v>49</v>
      </c>
      <c r="H40" s="33" t="s">
        <v>50</v>
      </c>
      <c r="I40" s="33" t="s">
        <v>247</v>
      </c>
      <c r="J40" s="35"/>
      <c r="K40" s="29" t="str">
        <f>"102,5"</f>
        <v>102,5</v>
      </c>
      <c r="L40" s="47" t="str">
        <f>"83,4604"</f>
        <v>83,4604</v>
      </c>
      <c r="M40" s="27" t="s">
        <v>248</v>
      </c>
    </row>
    <row r="42" spans="1:13" ht="16">
      <c r="A42" s="67" t="s">
        <v>96</v>
      </c>
      <c r="B42" s="67"/>
      <c r="C42" s="68"/>
      <c r="D42" s="68"/>
      <c r="E42" s="68"/>
      <c r="F42" s="68"/>
      <c r="G42" s="68"/>
      <c r="H42" s="68"/>
      <c r="I42" s="68"/>
      <c r="J42" s="68"/>
    </row>
    <row r="43" spans="1:13">
      <c r="A43" s="31" t="s">
        <v>12</v>
      </c>
      <c r="B43" s="24" t="s">
        <v>250</v>
      </c>
      <c r="C43" s="24" t="s">
        <v>251</v>
      </c>
      <c r="D43" s="24" t="s">
        <v>252</v>
      </c>
      <c r="E43" s="25" t="s">
        <v>448</v>
      </c>
      <c r="F43" s="24" t="s">
        <v>16</v>
      </c>
      <c r="G43" s="30" t="s">
        <v>253</v>
      </c>
      <c r="H43" s="30" t="s">
        <v>239</v>
      </c>
      <c r="I43" s="31"/>
      <c r="J43" s="31"/>
      <c r="K43" s="26" t="str">
        <f>"152,5"</f>
        <v>152,5</v>
      </c>
      <c r="L43" s="26" t="str">
        <f>"103,2273"</f>
        <v>103,2273</v>
      </c>
      <c r="M43" s="24" t="s">
        <v>52</v>
      </c>
    </row>
    <row r="44" spans="1:13">
      <c r="A44" s="39" t="s">
        <v>53</v>
      </c>
      <c r="B44" s="36" t="s">
        <v>254</v>
      </c>
      <c r="C44" s="36" t="s">
        <v>255</v>
      </c>
      <c r="D44" s="36" t="s">
        <v>256</v>
      </c>
      <c r="E44" s="37" t="s">
        <v>448</v>
      </c>
      <c r="F44" s="36" t="s">
        <v>16</v>
      </c>
      <c r="G44" s="40" t="s">
        <v>229</v>
      </c>
      <c r="H44" s="40" t="s">
        <v>257</v>
      </c>
      <c r="I44" s="40" t="s">
        <v>258</v>
      </c>
      <c r="J44" s="39"/>
      <c r="K44" s="38" t="str">
        <f>"127,5"</f>
        <v>127,5</v>
      </c>
      <c r="L44" s="38" t="str">
        <f>"87,1845"</f>
        <v>87,1845</v>
      </c>
      <c r="M44" s="36" t="s">
        <v>259</v>
      </c>
    </row>
    <row r="45" spans="1:13">
      <c r="A45" s="39" t="s">
        <v>243</v>
      </c>
      <c r="B45" s="36" t="s">
        <v>260</v>
      </c>
      <c r="C45" s="36" t="s">
        <v>261</v>
      </c>
      <c r="D45" s="36" t="s">
        <v>262</v>
      </c>
      <c r="E45" s="37" t="s">
        <v>448</v>
      </c>
      <c r="F45" s="36" t="s">
        <v>16</v>
      </c>
      <c r="G45" s="40" t="s">
        <v>31</v>
      </c>
      <c r="H45" s="40" t="s">
        <v>51</v>
      </c>
      <c r="I45" s="40" t="s">
        <v>32</v>
      </c>
      <c r="J45" s="39"/>
      <c r="K45" s="38" t="str">
        <f>"112,5"</f>
        <v>112,5</v>
      </c>
      <c r="L45" s="38" t="str">
        <f>"75,3638"</f>
        <v>75,3638</v>
      </c>
      <c r="M45" s="36" t="s">
        <v>263</v>
      </c>
    </row>
    <row r="46" spans="1:13">
      <c r="A46" s="35" t="s">
        <v>264</v>
      </c>
      <c r="B46" s="27" t="s">
        <v>265</v>
      </c>
      <c r="C46" s="27" t="s">
        <v>266</v>
      </c>
      <c r="D46" s="27" t="s">
        <v>267</v>
      </c>
      <c r="E46" s="28" t="s">
        <v>448</v>
      </c>
      <c r="F46" s="27" t="s">
        <v>268</v>
      </c>
      <c r="G46" s="33" t="s">
        <v>31</v>
      </c>
      <c r="H46" s="33" t="s">
        <v>51</v>
      </c>
      <c r="I46" s="34" t="s">
        <v>229</v>
      </c>
      <c r="J46" s="35"/>
      <c r="K46" s="29" t="str">
        <f>"110,0"</f>
        <v>110,0</v>
      </c>
      <c r="L46" s="29" t="str">
        <f>"74,1290"</f>
        <v>74,1290</v>
      </c>
      <c r="M46" s="27" t="s">
        <v>135</v>
      </c>
    </row>
    <row r="48" spans="1:13" ht="16">
      <c r="A48" s="67" t="s">
        <v>111</v>
      </c>
      <c r="B48" s="67"/>
      <c r="C48" s="68"/>
      <c r="D48" s="68"/>
      <c r="E48" s="68"/>
      <c r="F48" s="68"/>
      <c r="G48" s="68"/>
      <c r="H48" s="68"/>
      <c r="I48" s="68"/>
      <c r="J48" s="68"/>
    </row>
    <row r="49" spans="1:13">
      <c r="A49" s="31" t="s">
        <v>12</v>
      </c>
      <c r="B49" s="24" t="s">
        <v>269</v>
      </c>
      <c r="C49" s="24" t="s">
        <v>270</v>
      </c>
      <c r="D49" s="24" t="s">
        <v>271</v>
      </c>
      <c r="E49" s="25" t="s">
        <v>447</v>
      </c>
      <c r="F49" s="24" t="s">
        <v>272</v>
      </c>
      <c r="G49" s="30" t="s">
        <v>126</v>
      </c>
      <c r="H49" s="32" t="s">
        <v>78</v>
      </c>
      <c r="I49" s="32" t="s">
        <v>78</v>
      </c>
      <c r="J49" s="31"/>
      <c r="K49" s="26" t="str">
        <f>"125,0"</f>
        <v>125,0</v>
      </c>
      <c r="L49" s="26" t="str">
        <f>"81,8125"</f>
        <v>81,8125</v>
      </c>
      <c r="M49" s="24" t="s">
        <v>26</v>
      </c>
    </row>
    <row r="50" spans="1:13">
      <c r="A50" s="39" t="s">
        <v>12</v>
      </c>
      <c r="B50" s="36" t="s">
        <v>273</v>
      </c>
      <c r="C50" s="36" t="s">
        <v>274</v>
      </c>
      <c r="D50" s="36" t="s">
        <v>275</v>
      </c>
      <c r="E50" s="37" t="s">
        <v>448</v>
      </c>
      <c r="F50" s="36" t="s">
        <v>16</v>
      </c>
      <c r="G50" s="40" t="s">
        <v>239</v>
      </c>
      <c r="H50" s="41" t="s">
        <v>276</v>
      </c>
      <c r="I50" s="41" t="s">
        <v>134</v>
      </c>
      <c r="J50" s="39"/>
      <c r="K50" s="38" t="str">
        <f>"152,5"</f>
        <v>152,5</v>
      </c>
      <c r="L50" s="38" t="str">
        <f>"97,6305"</f>
        <v>97,6305</v>
      </c>
      <c r="M50" s="36" t="s">
        <v>110</v>
      </c>
    </row>
    <row r="51" spans="1:13">
      <c r="A51" s="39" t="s">
        <v>53</v>
      </c>
      <c r="B51" s="36" t="s">
        <v>277</v>
      </c>
      <c r="C51" s="36" t="s">
        <v>278</v>
      </c>
      <c r="D51" s="36" t="s">
        <v>279</v>
      </c>
      <c r="E51" s="37" t="s">
        <v>448</v>
      </c>
      <c r="F51" s="36" t="s">
        <v>16</v>
      </c>
      <c r="G51" s="41" t="s">
        <v>34</v>
      </c>
      <c r="H51" s="41" t="s">
        <v>34</v>
      </c>
      <c r="I51" s="40" t="s">
        <v>78</v>
      </c>
      <c r="J51" s="39"/>
      <c r="K51" s="38" t="str">
        <f>"132,5"</f>
        <v>132,5</v>
      </c>
      <c r="L51" s="38" t="str">
        <f>"85,4227"</f>
        <v>85,4227</v>
      </c>
      <c r="M51" s="36"/>
    </row>
    <row r="52" spans="1:13">
      <c r="A52" s="35" t="s">
        <v>243</v>
      </c>
      <c r="B52" s="27" t="s">
        <v>172</v>
      </c>
      <c r="C52" s="27" t="s">
        <v>173</v>
      </c>
      <c r="D52" s="27" t="s">
        <v>174</v>
      </c>
      <c r="E52" s="28" t="s">
        <v>448</v>
      </c>
      <c r="F52" s="27" t="s">
        <v>175</v>
      </c>
      <c r="G52" s="33" t="s">
        <v>31</v>
      </c>
      <c r="H52" s="34" t="s">
        <v>32</v>
      </c>
      <c r="I52" s="34" t="s">
        <v>32</v>
      </c>
      <c r="J52" s="35"/>
      <c r="K52" s="29" t="str">
        <f>"105,0"</f>
        <v>105,0</v>
      </c>
      <c r="L52" s="29" t="str">
        <f>"68,7645"</f>
        <v>68,7645</v>
      </c>
      <c r="M52" s="27" t="s">
        <v>176</v>
      </c>
    </row>
    <row r="54" spans="1:13" ht="16">
      <c r="A54" s="67" t="s">
        <v>71</v>
      </c>
      <c r="B54" s="67"/>
      <c r="C54" s="68"/>
      <c r="D54" s="68"/>
      <c r="E54" s="68"/>
      <c r="F54" s="68"/>
      <c r="G54" s="68"/>
      <c r="H54" s="68"/>
      <c r="I54" s="68"/>
      <c r="J54" s="68"/>
    </row>
    <row r="55" spans="1:13">
      <c r="A55" s="23" t="s">
        <v>12</v>
      </c>
      <c r="B55" s="7" t="s">
        <v>280</v>
      </c>
      <c r="C55" s="7" t="s">
        <v>281</v>
      </c>
      <c r="D55" s="7" t="s">
        <v>282</v>
      </c>
      <c r="E55" s="8" t="s">
        <v>448</v>
      </c>
      <c r="F55" s="7" t="s">
        <v>16</v>
      </c>
      <c r="G55" s="22" t="s">
        <v>75</v>
      </c>
      <c r="H55" s="22" t="s">
        <v>161</v>
      </c>
      <c r="I55" s="22" t="s">
        <v>283</v>
      </c>
      <c r="J55" s="23"/>
      <c r="K55" s="9" t="str">
        <f>"182,5"</f>
        <v>182,5</v>
      </c>
      <c r="L55" s="9" t="str">
        <f>"114,9933"</f>
        <v>114,9933</v>
      </c>
      <c r="M55" s="7" t="s">
        <v>284</v>
      </c>
    </row>
    <row r="57" spans="1:13" ht="16">
      <c r="F57" s="11"/>
      <c r="G57" s="5"/>
      <c r="K57" s="19"/>
      <c r="M57" s="6"/>
    </row>
    <row r="58" spans="1:13">
      <c r="G58" s="5"/>
      <c r="K58" s="19"/>
      <c r="M58" s="6"/>
    </row>
    <row r="59" spans="1:13" ht="18">
      <c r="B59" s="12" t="s">
        <v>84</v>
      </c>
      <c r="C59" s="12"/>
      <c r="G59" s="3"/>
      <c r="K59" s="19"/>
      <c r="M59" s="6"/>
    </row>
    <row r="60" spans="1:13" ht="16">
      <c r="B60" s="13" t="s">
        <v>85</v>
      </c>
      <c r="C60" s="13"/>
      <c r="G60" s="3"/>
      <c r="K60" s="19"/>
      <c r="M60" s="6"/>
    </row>
    <row r="61" spans="1:13" ht="14">
      <c r="B61" s="14"/>
      <c r="C61" s="15" t="s">
        <v>86</v>
      </c>
      <c r="G61" s="3"/>
      <c r="K61" s="19"/>
      <c r="M61" s="6"/>
    </row>
    <row r="62" spans="1:13" ht="14">
      <c r="B62" s="16" t="s">
        <v>87</v>
      </c>
      <c r="C62" s="16" t="s">
        <v>88</v>
      </c>
      <c r="D62" s="16" t="s">
        <v>89</v>
      </c>
      <c r="E62" s="17" t="s">
        <v>285</v>
      </c>
      <c r="F62" s="16" t="s">
        <v>91</v>
      </c>
      <c r="G62" s="3"/>
      <c r="K62" s="19"/>
      <c r="M62" s="6"/>
    </row>
    <row r="63" spans="1:13">
      <c r="B63" s="5" t="s">
        <v>28</v>
      </c>
      <c r="C63" s="5" t="s">
        <v>86</v>
      </c>
      <c r="D63" s="19" t="s">
        <v>92</v>
      </c>
      <c r="E63" s="20">
        <v>77.5</v>
      </c>
      <c r="F63" s="18">
        <v>88.598003089427905</v>
      </c>
      <c r="G63" s="3"/>
      <c r="K63" s="19"/>
      <c r="M63" s="6"/>
    </row>
    <row r="64" spans="1:13">
      <c r="B64" s="5" t="s">
        <v>180</v>
      </c>
      <c r="C64" s="5" t="s">
        <v>86</v>
      </c>
      <c r="D64" s="19" t="s">
        <v>286</v>
      </c>
      <c r="E64" s="20">
        <v>45</v>
      </c>
      <c r="F64" s="18">
        <v>57.545999999999999</v>
      </c>
      <c r="G64" s="3"/>
      <c r="K64" s="19"/>
      <c r="M64" s="6"/>
    </row>
    <row r="65" spans="2:13">
      <c r="B65" s="5" t="s">
        <v>184</v>
      </c>
      <c r="C65" s="5" t="s">
        <v>86</v>
      </c>
      <c r="D65" s="19" t="s">
        <v>286</v>
      </c>
      <c r="E65" s="20">
        <v>45</v>
      </c>
      <c r="F65" s="18">
        <v>57.285000085830703</v>
      </c>
      <c r="G65" s="3"/>
      <c r="K65" s="19"/>
      <c r="M65" s="6"/>
    </row>
    <row r="66" spans="2:13">
      <c r="G66" s="3"/>
      <c r="K66" s="19"/>
      <c r="M66" s="6"/>
    </row>
    <row r="67" spans="2:13" ht="16">
      <c r="B67" s="13" t="s">
        <v>142</v>
      </c>
      <c r="C67" s="13"/>
      <c r="G67" s="3"/>
      <c r="K67" s="19"/>
      <c r="M67" s="6"/>
    </row>
    <row r="68" spans="2:13" ht="14">
      <c r="B68" s="14"/>
      <c r="C68" s="15" t="s">
        <v>287</v>
      </c>
      <c r="G68" s="3"/>
      <c r="K68" s="19"/>
      <c r="M68" s="6"/>
    </row>
    <row r="69" spans="2:13" ht="14">
      <c r="B69" s="16" t="s">
        <v>87</v>
      </c>
      <c r="C69" s="16" t="s">
        <v>88</v>
      </c>
      <c r="D69" s="16" t="s">
        <v>89</v>
      </c>
      <c r="E69" s="17" t="s">
        <v>285</v>
      </c>
      <c r="F69" s="16" t="s">
        <v>91</v>
      </c>
      <c r="G69" s="3"/>
      <c r="K69" s="19"/>
      <c r="M69" s="6"/>
    </row>
    <row r="70" spans="2:13">
      <c r="B70" s="5" t="s">
        <v>226</v>
      </c>
      <c r="C70" s="5" t="s">
        <v>288</v>
      </c>
      <c r="D70" s="19" t="s">
        <v>94</v>
      </c>
      <c r="E70" s="20">
        <v>120</v>
      </c>
      <c r="F70" s="18">
        <v>86.147997379303007</v>
      </c>
      <c r="G70" s="3"/>
      <c r="K70" s="19"/>
      <c r="M70" s="6"/>
    </row>
    <row r="71" spans="2:13">
      <c r="B71" s="5" t="s">
        <v>269</v>
      </c>
      <c r="C71" s="5" t="s">
        <v>289</v>
      </c>
      <c r="D71" s="19" t="s">
        <v>144</v>
      </c>
      <c r="E71" s="20">
        <v>125</v>
      </c>
      <c r="F71" s="18">
        <v>81.812500953674302</v>
      </c>
      <c r="G71" s="3"/>
      <c r="K71" s="19"/>
      <c r="M71" s="6"/>
    </row>
    <row r="72" spans="2:13">
      <c r="B72" s="5" t="s">
        <v>231</v>
      </c>
      <c r="C72" s="5" t="s">
        <v>289</v>
      </c>
      <c r="D72" s="19" t="s">
        <v>94</v>
      </c>
      <c r="E72" s="20">
        <v>107.5</v>
      </c>
      <c r="F72" s="18">
        <v>76.819502860307693</v>
      </c>
      <c r="G72" s="3"/>
      <c r="K72" s="19"/>
      <c r="M72" s="6"/>
    </row>
    <row r="73" spans="2:13">
      <c r="G73" s="3"/>
      <c r="K73" s="19"/>
      <c r="M73" s="6"/>
    </row>
    <row r="74" spans="2:13" ht="14">
      <c r="B74" s="14"/>
      <c r="C74" s="15" t="s">
        <v>86</v>
      </c>
      <c r="G74" s="3"/>
      <c r="K74" s="19"/>
      <c r="M74" s="6"/>
    </row>
    <row r="75" spans="2:13" ht="14">
      <c r="B75" s="16" t="s">
        <v>87</v>
      </c>
      <c r="C75" s="16" t="s">
        <v>88</v>
      </c>
      <c r="D75" s="16" t="s">
        <v>89</v>
      </c>
      <c r="E75" s="17" t="s">
        <v>285</v>
      </c>
      <c r="F75" s="16" t="s">
        <v>91</v>
      </c>
      <c r="G75" s="3"/>
      <c r="K75" s="19"/>
      <c r="M75" s="6"/>
    </row>
    <row r="76" spans="2:13">
      <c r="B76" s="5" t="s">
        <v>280</v>
      </c>
      <c r="C76" s="5" t="s">
        <v>86</v>
      </c>
      <c r="D76" s="19" t="s">
        <v>145</v>
      </c>
      <c r="E76" s="20">
        <v>182.5</v>
      </c>
      <c r="F76" s="18">
        <v>114.99325215816501</v>
      </c>
      <c r="G76" s="3"/>
      <c r="K76" s="19"/>
      <c r="M76" s="6"/>
    </row>
    <row r="77" spans="2:13">
      <c r="B77" s="5" t="s">
        <v>235</v>
      </c>
      <c r="C77" s="5" t="s">
        <v>86</v>
      </c>
      <c r="D77" s="19" t="s">
        <v>94</v>
      </c>
      <c r="E77" s="20">
        <v>155</v>
      </c>
      <c r="F77" s="18">
        <v>111.38299614191099</v>
      </c>
      <c r="G77" s="3"/>
      <c r="K77" s="19"/>
      <c r="M77" s="6"/>
    </row>
    <row r="78" spans="2:13">
      <c r="B78" s="5" t="s">
        <v>250</v>
      </c>
      <c r="C78" s="5" t="s">
        <v>86</v>
      </c>
      <c r="D78" s="19" t="s">
        <v>143</v>
      </c>
      <c r="E78" s="20">
        <v>152.5</v>
      </c>
      <c r="F78" s="18">
        <v>103.227254450321</v>
      </c>
      <c r="G78" s="3"/>
      <c r="K78" s="19"/>
      <c r="M78" s="6"/>
    </row>
    <row r="79" spans="2:13">
      <c r="E79" s="5"/>
      <c r="F79" s="10"/>
      <c r="G79" s="5"/>
      <c r="K79" s="19"/>
      <c r="M79" s="6"/>
    </row>
    <row r="80" spans="2:13">
      <c r="E80" s="5"/>
      <c r="F80" s="10"/>
      <c r="G80" s="5"/>
      <c r="K80" s="19"/>
      <c r="M80" s="6"/>
    </row>
  </sheetData>
  <mergeCells count="22"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34:J34"/>
    <mergeCell ref="A42:J42"/>
    <mergeCell ref="A48:J48"/>
    <mergeCell ref="A54:J54"/>
    <mergeCell ref="B3:B4"/>
    <mergeCell ref="A9:J9"/>
    <mergeCell ref="A13:J13"/>
    <mergeCell ref="A18:J18"/>
    <mergeCell ref="A21:J21"/>
    <mergeCell ref="A26:J26"/>
    <mergeCell ref="A29:J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workbookViewId="0">
      <selection activeCell="E23" sqref="E23"/>
    </sheetView>
  </sheetViews>
  <sheetFormatPr baseColWidth="10" defaultColWidth="9.1640625" defaultRowHeight="13"/>
  <cols>
    <col min="1" max="1" width="7.5" style="5" bestFit="1" customWidth="1"/>
    <col min="2" max="2" width="21.1640625" style="5" bestFit="1" customWidth="1"/>
    <col min="3" max="3" width="26.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9.33203125" style="5" bestFit="1" customWidth="1"/>
    <col min="14" max="16384" width="9.1640625" style="3"/>
  </cols>
  <sheetData>
    <row r="1" spans="1:13" s="2" customFormat="1" ht="29" customHeight="1">
      <c r="A1" s="71" t="s">
        <v>290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291</v>
      </c>
      <c r="C6" s="7" t="s">
        <v>292</v>
      </c>
      <c r="D6" s="7" t="s">
        <v>293</v>
      </c>
      <c r="E6" s="8" t="s">
        <v>448</v>
      </c>
      <c r="F6" s="7" t="s">
        <v>16</v>
      </c>
      <c r="G6" s="22" t="s">
        <v>65</v>
      </c>
      <c r="H6" s="22" t="s">
        <v>247</v>
      </c>
      <c r="I6" s="23"/>
      <c r="J6" s="23"/>
      <c r="K6" s="9" t="str">
        <f>"102,5"</f>
        <v>102,5</v>
      </c>
      <c r="L6" s="9" t="str">
        <f>"122,3133"</f>
        <v>122,3133</v>
      </c>
      <c r="M6" s="7" t="s">
        <v>52</v>
      </c>
    </row>
    <row r="8" spans="1:13" ht="16">
      <c r="A8" s="67" t="s">
        <v>96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3" t="s">
        <v>12</v>
      </c>
      <c r="B9" s="7" t="s">
        <v>294</v>
      </c>
      <c r="C9" s="7" t="s">
        <v>295</v>
      </c>
      <c r="D9" s="7" t="s">
        <v>262</v>
      </c>
      <c r="E9" s="8" t="s">
        <v>448</v>
      </c>
      <c r="F9" s="7" t="s">
        <v>16</v>
      </c>
      <c r="G9" s="22" t="s">
        <v>75</v>
      </c>
      <c r="H9" s="22" t="s">
        <v>76</v>
      </c>
      <c r="I9" s="21" t="s">
        <v>81</v>
      </c>
      <c r="J9" s="23"/>
      <c r="K9" s="9" t="str">
        <f>"180,0"</f>
        <v>180,0</v>
      </c>
      <c r="L9" s="9" t="str">
        <f>"120,5820"</f>
        <v>120,5820</v>
      </c>
      <c r="M9" s="7" t="s">
        <v>52</v>
      </c>
    </row>
    <row r="11" spans="1:13" ht="16">
      <c r="A11" s="67" t="s">
        <v>111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23" t="s">
        <v>12</v>
      </c>
      <c r="B12" s="7" t="s">
        <v>296</v>
      </c>
      <c r="C12" s="7" t="s">
        <v>297</v>
      </c>
      <c r="D12" s="7" t="s">
        <v>298</v>
      </c>
      <c r="E12" s="8" t="s">
        <v>448</v>
      </c>
      <c r="F12" s="7" t="s">
        <v>16</v>
      </c>
      <c r="G12" s="22" t="s">
        <v>76</v>
      </c>
      <c r="H12" s="22" t="s">
        <v>77</v>
      </c>
      <c r="I12" s="22" t="s">
        <v>83</v>
      </c>
      <c r="J12" s="23"/>
      <c r="K12" s="9" t="str">
        <f>"195,0"</f>
        <v>195,0</v>
      </c>
      <c r="L12" s="9" t="str">
        <f>"124,7610"</f>
        <v>124,7610</v>
      </c>
      <c r="M12" s="7" t="s">
        <v>259</v>
      </c>
    </row>
    <row r="14" spans="1:13" ht="16">
      <c r="A14" s="67" t="s">
        <v>71</v>
      </c>
      <c r="B14" s="67"/>
      <c r="C14" s="68"/>
      <c r="D14" s="68"/>
      <c r="E14" s="68"/>
      <c r="F14" s="68"/>
      <c r="G14" s="68"/>
      <c r="H14" s="68"/>
      <c r="I14" s="68"/>
      <c r="J14" s="68"/>
    </row>
    <row r="15" spans="1:13">
      <c r="A15" s="31" t="s">
        <v>12</v>
      </c>
      <c r="B15" s="24" t="s">
        <v>299</v>
      </c>
      <c r="C15" s="24" t="s">
        <v>300</v>
      </c>
      <c r="D15" s="24" t="s">
        <v>301</v>
      </c>
      <c r="E15" s="25" t="s">
        <v>447</v>
      </c>
      <c r="F15" s="24" t="s">
        <v>16</v>
      </c>
      <c r="G15" s="30" t="s">
        <v>51</v>
      </c>
      <c r="H15" s="30" t="s">
        <v>34</v>
      </c>
      <c r="I15" s="32" t="s">
        <v>35</v>
      </c>
      <c r="J15" s="31"/>
      <c r="K15" s="26" t="str">
        <f>"120,0"</f>
        <v>120,0</v>
      </c>
      <c r="L15" s="26" t="str">
        <f>"73,5720"</f>
        <v>73,5720</v>
      </c>
      <c r="M15" s="24" t="s">
        <v>70</v>
      </c>
    </row>
    <row r="16" spans="1:13">
      <c r="A16" s="35" t="s">
        <v>12</v>
      </c>
      <c r="B16" s="27" t="s">
        <v>302</v>
      </c>
      <c r="C16" s="27" t="s">
        <v>303</v>
      </c>
      <c r="D16" s="27" t="s">
        <v>304</v>
      </c>
      <c r="E16" s="28" t="s">
        <v>448</v>
      </c>
      <c r="F16" s="27" t="s">
        <v>16</v>
      </c>
      <c r="G16" s="33" t="s">
        <v>120</v>
      </c>
      <c r="H16" s="33" t="s">
        <v>133</v>
      </c>
      <c r="I16" s="33" t="s">
        <v>134</v>
      </c>
      <c r="J16" s="35"/>
      <c r="K16" s="29" t="str">
        <f>"160,0"</f>
        <v>160,0</v>
      </c>
      <c r="L16" s="29" t="str">
        <f>"101,5200"</f>
        <v>101,5200</v>
      </c>
      <c r="M16" s="27" t="s">
        <v>70</v>
      </c>
    </row>
    <row r="18" spans="1:13" ht="16">
      <c r="A18" s="67" t="s">
        <v>305</v>
      </c>
      <c r="B18" s="67"/>
      <c r="C18" s="68"/>
      <c r="D18" s="68"/>
      <c r="E18" s="68"/>
      <c r="F18" s="68"/>
      <c r="G18" s="68"/>
      <c r="H18" s="68"/>
      <c r="I18" s="68"/>
      <c r="J18" s="68"/>
    </row>
    <row r="19" spans="1:13">
      <c r="A19" s="23" t="s">
        <v>12</v>
      </c>
      <c r="B19" s="7" t="s">
        <v>306</v>
      </c>
      <c r="C19" s="7" t="s">
        <v>307</v>
      </c>
      <c r="D19" s="7" t="s">
        <v>308</v>
      </c>
      <c r="E19" s="8" t="s">
        <v>448</v>
      </c>
      <c r="F19" s="7" t="s">
        <v>16</v>
      </c>
      <c r="G19" s="22" t="s">
        <v>127</v>
      </c>
      <c r="H19" s="22" t="s">
        <v>115</v>
      </c>
      <c r="I19" s="23"/>
      <c r="J19" s="23"/>
      <c r="K19" s="9" t="str">
        <f>"230,0"</f>
        <v>230,0</v>
      </c>
      <c r="L19" s="9" t="str">
        <f>"134,0900"</f>
        <v>134,0900</v>
      </c>
      <c r="M19" s="7" t="s">
        <v>171</v>
      </c>
    </row>
    <row r="21" spans="1:13" ht="16">
      <c r="A21" s="67" t="s">
        <v>309</v>
      </c>
      <c r="B21" s="67"/>
      <c r="C21" s="68"/>
      <c r="D21" s="68"/>
      <c r="E21" s="68"/>
      <c r="F21" s="68"/>
      <c r="G21" s="68"/>
      <c r="H21" s="68"/>
      <c r="I21" s="68"/>
      <c r="J21" s="68"/>
    </row>
    <row r="22" spans="1:13">
      <c r="A22" s="23" t="s">
        <v>12</v>
      </c>
      <c r="B22" s="7" t="s">
        <v>310</v>
      </c>
      <c r="C22" s="7" t="s">
        <v>311</v>
      </c>
      <c r="D22" s="7" t="s">
        <v>312</v>
      </c>
      <c r="E22" s="8" t="s">
        <v>448</v>
      </c>
      <c r="F22" s="7" t="s">
        <v>16</v>
      </c>
      <c r="G22" s="22" t="s">
        <v>140</v>
      </c>
      <c r="H22" s="22" t="s">
        <v>127</v>
      </c>
      <c r="I22" s="21" t="s">
        <v>115</v>
      </c>
      <c r="J22" s="23"/>
      <c r="K22" s="9" t="str">
        <f>"220,0"</f>
        <v>220,0</v>
      </c>
      <c r="L22" s="9" t="str">
        <f>"124,3220"</f>
        <v>124,3220</v>
      </c>
      <c r="M22" s="7" t="s">
        <v>110</v>
      </c>
    </row>
    <row r="24" spans="1:13" ht="16">
      <c r="F24" s="11"/>
      <c r="G24" s="5"/>
      <c r="K24" s="19"/>
      <c r="M24" s="6"/>
    </row>
    <row r="25" spans="1:13">
      <c r="G25" s="5"/>
      <c r="K25" s="19"/>
      <c r="M25" s="6"/>
    </row>
    <row r="26" spans="1:13" ht="18">
      <c r="B26" s="12" t="s">
        <v>84</v>
      </c>
      <c r="C26" s="12"/>
      <c r="K26" s="19"/>
      <c r="M26" s="6"/>
    </row>
    <row r="27" spans="1:13" ht="16">
      <c r="B27" s="13" t="s">
        <v>142</v>
      </c>
      <c r="C27" s="13"/>
      <c r="K27" s="19"/>
      <c r="M27" s="6"/>
    </row>
    <row r="28" spans="1:13" ht="14">
      <c r="B28" s="14"/>
      <c r="C28" s="15" t="s">
        <v>86</v>
      </c>
      <c r="K28" s="19"/>
      <c r="M28" s="6"/>
    </row>
    <row r="29" spans="1:13" ht="14">
      <c r="B29" s="16" t="s">
        <v>87</v>
      </c>
      <c r="C29" s="16" t="s">
        <v>88</v>
      </c>
      <c r="D29" s="16" t="s">
        <v>89</v>
      </c>
      <c r="E29" s="17" t="s">
        <v>285</v>
      </c>
      <c r="F29" s="16" t="s">
        <v>91</v>
      </c>
      <c r="K29" s="19"/>
      <c r="M29" s="6"/>
    </row>
    <row r="30" spans="1:13">
      <c r="B30" s="5" t="s">
        <v>306</v>
      </c>
      <c r="C30" s="5" t="s">
        <v>86</v>
      </c>
      <c r="D30" s="19" t="s">
        <v>313</v>
      </c>
      <c r="E30" s="20">
        <v>230</v>
      </c>
      <c r="F30" s="18">
        <v>134.090000987053</v>
      </c>
      <c r="K30" s="19"/>
      <c r="M30" s="6"/>
    </row>
    <row r="31" spans="1:13">
      <c r="B31" s="5" t="s">
        <v>296</v>
      </c>
      <c r="C31" s="5" t="s">
        <v>86</v>
      </c>
      <c r="D31" s="19" t="s">
        <v>144</v>
      </c>
      <c r="E31" s="20">
        <v>195</v>
      </c>
      <c r="F31" s="18">
        <v>124.761002361774</v>
      </c>
      <c r="K31" s="19"/>
      <c r="M31" s="6"/>
    </row>
    <row r="32" spans="1:13">
      <c r="B32" s="5" t="s">
        <v>310</v>
      </c>
      <c r="C32" s="5" t="s">
        <v>86</v>
      </c>
      <c r="D32" s="19" t="s">
        <v>314</v>
      </c>
      <c r="E32" s="20">
        <v>220</v>
      </c>
      <c r="F32" s="18">
        <v>124.322003126144</v>
      </c>
      <c r="K32" s="19"/>
      <c r="M32" s="6"/>
    </row>
    <row r="33" spans="5:13">
      <c r="E33" s="5"/>
      <c r="F33" s="10"/>
      <c r="G33" s="5"/>
      <c r="K33" s="19"/>
      <c r="M33" s="6"/>
    </row>
  </sheetData>
  <mergeCells count="17"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21:J21"/>
    <mergeCell ref="A5:J5"/>
    <mergeCell ref="A8:J8"/>
    <mergeCell ref="A11:J11"/>
    <mergeCell ref="A14:J14"/>
    <mergeCell ref="A18:J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71" t="s">
        <v>315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44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316</v>
      </c>
      <c r="C6" s="7" t="s">
        <v>317</v>
      </c>
      <c r="D6" s="7" t="s">
        <v>318</v>
      </c>
      <c r="E6" s="8" t="s">
        <v>448</v>
      </c>
      <c r="F6" s="7" t="s">
        <v>319</v>
      </c>
      <c r="G6" s="22" t="s">
        <v>25</v>
      </c>
      <c r="H6" s="22" t="s">
        <v>217</v>
      </c>
      <c r="I6" s="21" t="s">
        <v>50</v>
      </c>
      <c r="J6" s="23"/>
      <c r="K6" s="9" t="str">
        <f>"92,5"</f>
        <v>92,5</v>
      </c>
      <c r="L6" s="9" t="str">
        <f>"83,9456"</f>
        <v>83,9456</v>
      </c>
      <c r="M6" s="7" t="s">
        <v>320</v>
      </c>
    </row>
    <row r="8" spans="1:13" ht="16">
      <c r="A8" s="67" t="s">
        <v>44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3" t="s">
        <v>12</v>
      </c>
      <c r="B9" s="7" t="s">
        <v>321</v>
      </c>
      <c r="C9" s="7" t="s">
        <v>322</v>
      </c>
      <c r="D9" s="7" t="s">
        <v>323</v>
      </c>
      <c r="E9" s="8" t="s">
        <v>448</v>
      </c>
      <c r="F9" s="7" t="s">
        <v>319</v>
      </c>
      <c r="G9" s="21" t="s">
        <v>258</v>
      </c>
      <c r="H9" s="22" t="s">
        <v>79</v>
      </c>
      <c r="I9" s="21" t="s">
        <v>119</v>
      </c>
      <c r="J9" s="23"/>
      <c r="K9" s="9" t="str">
        <f>"135,0"</f>
        <v>135,0</v>
      </c>
      <c r="L9" s="9" t="str">
        <f>"101,6752"</f>
        <v>101,6752</v>
      </c>
      <c r="M9" s="7" t="s">
        <v>320</v>
      </c>
    </row>
    <row r="11" spans="1:13" ht="16">
      <c r="A11" s="67" t="s">
        <v>96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23" t="s">
        <v>12</v>
      </c>
      <c r="B12" s="7" t="s">
        <v>250</v>
      </c>
      <c r="C12" s="7" t="s">
        <v>251</v>
      </c>
      <c r="D12" s="7" t="s">
        <v>252</v>
      </c>
      <c r="E12" s="8" t="s">
        <v>448</v>
      </c>
      <c r="F12" s="7" t="s">
        <v>16</v>
      </c>
      <c r="G12" s="22" t="s">
        <v>324</v>
      </c>
      <c r="H12" s="22" t="s">
        <v>325</v>
      </c>
      <c r="I12" s="23"/>
      <c r="J12" s="23"/>
      <c r="K12" s="9" t="str">
        <f>"222,5"</f>
        <v>222,5</v>
      </c>
      <c r="L12" s="9" t="str">
        <f>"145,0366"</f>
        <v>145,0366</v>
      </c>
      <c r="M12" s="7" t="s">
        <v>52</v>
      </c>
    </row>
  </sheetData>
  <mergeCells count="14"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B3:B4"/>
    <mergeCell ref="K3:K4"/>
    <mergeCell ref="L3:L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7"/>
  <sheetViews>
    <sheetView workbookViewId="0">
      <selection activeCell="E18" sqref="E18"/>
    </sheetView>
  </sheetViews>
  <sheetFormatPr baseColWidth="10" defaultColWidth="9.1640625" defaultRowHeight="13"/>
  <cols>
    <col min="1" max="1" width="7.5" style="5" bestFit="1" customWidth="1"/>
    <col min="2" max="2" width="21.6640625" style="5" customWidth="1"/>
    <col min="3" max="3" width="27.5" style="5" bestFit="1" customWidth="1"/>
    <col min="4" max="4" width="18.6640625" style="5" bestFit="1" customWidth="1"/>
    <col min="5" max="5" width="10.5" style="10" bestFit="1" customWidth="1"/>
    <col min="6" max="6" width="34.5" style="5" bestFit="1" customWidth="1"/>
    <col min="7" max="9" width="5.5" style="19" customWidth="1"/>
    <col min="10" max="10" width="4.83203125" style="19" customWidth="1"/>
    <col min="11" max="11" width="10.5" style="6" bestFit="1" customWidth="1"/>
    <col min="12" max="12" width="8.5" style="6" bestFit="1" customWidth="1"/>
    <col min="13" max="13" width="18.5" style="5" bestFit="1" customWidth="1"/>
    <col min="14" max="16384" width="9.1640625" style="3"/>
  </cols>
  <sheetData>
    <row r="1" spans="1:13" s="2" customFormat="1" ht="29" customHeight="1">
      <c r="A1" s="71" t="s">
        <v>326</v>
      </c>
      <c r="B1" s="72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s="2" customFormat="1" ht="62" customHeight="1" thickBot="1">
      <c r="A2" s="75"/>
      <c r="B2" s="76"/>
      <c r="C2" s="77"/>
      <c r="D2" s="77"/>
      <c r="E2" s="77"/>
      <c r="F2" s="77"/>
      <c r="G2" s="77"/>
      <c r="H2" s="77"/>
      <c r="I2" s="77"/>
      <c r="J2" s="77"/>
      <c r="K2" s="77"/>
      <c r="L2" s="77"/>
      <c r="M2" s="78"/>
    </row>
    <row r="3" spans="1:13" s="1" customFormat="1" ht="12.75" customHeight="1">
      <c r="A3" s="79" t="s">
        <v>444</v>
      </c>
      <c r="B3" s="86" t="s">
        <v>1</v>
      </c>
      <c r="C3" s="81" t="s">
        <v>445</v>
      </c>
      <c r="D3" s="81" t="s">
        <v>2</v>
      </c>
      <c r="E3" s="83" t="s">
        <v>446</v>
      </c>
      <c r="F3" s="85" t="s">
        <v>3</v>
      </c>
      <c r="G3" s="85" t="s">
        <v>5</v>
      </c>
      <c r="H3" s="85"/>
      <c r="I3" s="85"/>
      <c r="J3" s="85"/>
      <c r="K3" s="83" t="s">
        <v>178</v>
      </c>
      <c r="L3" s="83" t="s">
        <v>8</v>
      </c>
      <c r="M3" s="90" t="s">
        <v>9</v>
      </c>
    </row>
    <row r="4" spans="1:13" s="1" customFormat="1" ht="21" customHeight="1" thickBot="1">
      <c r="A4" s="80"/>
      <c r="B4" s="87"/>
      <c r="C4" s="82"/>
      <c r="D4" s="82"/>
      <c r="E4" s="84"/>
      <c r="F4" s="82"/>
      <c r="G4" s="4">
        <v>1</v>
      </c>
      <c r="H4" s="4">
        <v>2</v>
      </c>
      <c r="I4" s="4">
        <v>3</v>
      </c>
      <c r="J4" s="4" t="s">
        <v>10</v>
      </c>
      <c r="K4" s="84"/>
      <c r="L4" s="84"/>
      <c r="M4" s="91"/>
    </row>
    <row r="5" spans="1:13" ht="16">
      <c r="A5" s="69" t="s">
        <v>11</v>
      </c>
      <c r="B5" s="69"/>
      <c r="C5" s="70"/>
      <c r="D5" s="70"/>
      <c r="E5" s="70"/>
      <c r="F5" s="70"/>
      <c r="G5" s="70"/>
      <c r="H5" s="70"/>
      <c r="I5" s="70"/>
      <c r="J5" s="70"/>
    </row>
    <row r="6" spans="1:13">
      <c r="A6" s="23" t="s">
        <v>12</v>
      </c>
      <c r="B6" s="7" t="s">
        <v>291</v>
      </c>
      <c r="C6" s="7" t="s">
        <v>292</v>
      </c>
      <c r="D6" s="7" t="s">
        <v>293</v>
      </c>
      <c r="E6" s="8" t="s">
        <v>448</v>
      </c>
      <c r="F6" s="7" t="s">
        <v>16</v>
      </c>
      <c r="G6" s="22" t="s">
        <v>34</v>
      </c>
      <c r="H6" s="23"/>
      <c r="I6" s="23"/>
      <c r="J6" s="23"/>
      <c r="K6" s="9" t="str">
        <f>"120,0"</f>
        <v>120,0</v>
      </c>
      <c r="L6" s="9" t="str">
        <f>"127,0920"</f>
        <v>127,0920</v>
      </c>
      <c r="M6" s="7" t="s">
        <v>52</v>
      </c>
    </row>
    <row r="8" spans="1:13" ht="16">
      <c r="A8" s="67" t="s">
        <v>96</v>
      </c>
      <c r="B8" s="67"/>
      <c r="C8" s="68"/>
      <c r="D8" s="68"/>
      <c r="E8" s="68"/>
      <c r="F8" s="68"/>
      <c r="G8" s="68"/>
      <c r="H8" s="68"/>
      <c r="I8" s="68"/>
      <c r="J8" s="68"/>
    </row>
    <row r="9" spans="1:13">
      <c r="A9" s="23" t="s">
        <v>12</v>
      </c>
      <c r="B9" s="7" t="s">
        <v>294</v>
      </c>
      <c r="C9" s="7" t="s">
        <v>295</v>
      </c>
      <c r="D9" s="7" t="s">
        <v>262</v>
      </c>
      <c r="E9" s="8" t="s">
        <v>448</v>
      </c>
      <c r="F9" s="7" t="s">
        <v>16</v>
      </c>
      <c r="G9" s="22" t="s">
        <v>116</v>
      </c>
      <c r="H9" s="22" t="s">
        <v>104</v>
      </c>
      <c r="I9" s="23"/>
      <c r="J9" s="23"/>
      <c r="K9" s="9" t="str">
        <f>"260,0"</f>
        <v>260,0</v>
      </c>
      <c r="L9" s="9" t="str">
        <f>"167,5960"</f>
        <v>167,5960</v>
      </c>
      <c r="M9" s="7" t="s">
        <v>52</v>
      </c>
    </row>
    <row r="11" spans="1:13" ht="16">
      <c r="A11" s="67" t="s">
        <v>111</v>
      </c>
      <c r="B11" s="67"/>
      <c r="C11" s="68"/>
      <c r="D11" s="68"/>
      <c r="E11" s="68"/>
      <c r="F11" s="68"/>
      <c r="G11" s="68"/>
      <c r="H11" s="68"/>
      <c r="I11" s="68"/>
      <c r="J11" s="68"/>
    </row>
    <row r="12" spans="1:13">
      <c r="A12" s="31" t="s">
        <v>12</v>
      </c>
      <c r="B12" s="24" t="s">
        <v>327</v>
      </c>
      <c r="C12" s="24" t="s">
        <v>328</v>
      </c>
      <c r="D12" s="24" t="s">
        <v>329</v>
      </c>
      <c r="E12" s="25" t="s">
        <v>448</v>
      </c>
      <c r="F12" s="24" t="s">
        <v>16</v>
      </c>
      <c r="G12" s="30" t="s">
        <v>325</v>
      </c>
      <c r="H12" s="30" t="s">
        <v>330</v>
      </c>
      <c r="I12" s="31"/>
      <c r="J12" s="31"/>
      <c r="K12" s="26" t="str">
        <f>"255,0"</f>
        <v>255,0</v>
      </c>
      <c r="L12" s="26" t="str">
        <f>"156,0218"</f>
        <v>156,0218</v>
      </c>
      <c r="M12" s="24" t="s">
        <v>43</v>
      </c>
    </row>
    <row r="13" spans="1:13">
      <c r="A13" s="35" t="s">
        <v>53</v>
      </c>
      <c r="B13" s="27" t="s">
        <v>331</v>
      </c>
      <c r="C13" s="27" t="s">
        <v>332</v>
      </c>
      <c r="D13" s="27" t="s">
        <v>333</v>
      </c>
      <c r="E13" s="28" t="s">
        <v>448</v>
      </c>
      <c r="F13" s="27" t="s">
        <v>16</v>
      </c>
      <c r="G13" s="33" t="s">
        <v>325</v>
      </c>
      <c r="H13" s="34" t="s">
        <v>103</v>
      </c>
      <c r="I13" s="34" t="s">
        <v>330</v>
      </c>
      <c r="J13" s="35"/>
      <c r="K13" s="29" t="str">
        <f>"222,5"</f>
        <v>222,5</v>
      </c>
      <c r="L13" s="29" t="str">
        <f>"136,8152"</f>
        <v>136,8152</v>
      </c>
      <c r="M13" s="27" t="s">
        <v>183</v>
      </c>
    </row>
    <row r="15" spans="1:13" ht="16">
      <c r="A15" s="67" t="s">
        <v>71</v>
      </c>
      <c r="B15" s="67"/>
      <c r="C15" s="68"/>
      <c r="D15" s="68"/>
      <c r="E15" s="68"/>
      <c r="F15" s="68"/>
      <c r="G15" s="68"/>
      <c r="H15" s="68"/>
      <c r="I15" s="68"/>
      <c r="J15" s="68"/>
    </row>
    <row r="16" spans="1:13">
      <c r="A16" s="31" t="s">
        <v>12</v>
      </c>
      <c r="B16" s="24" t="s">
        <v>334</v>
      </c>
      <c r="C16" s="24" t="s">
        <v>335</v>
      </c>
      <c r="D16" s="24" t="s">
        <v>336</v>
      </c>
      <c r="E16" s="25" t="s">
        <v>448</v>
      </c>
      <c r="F16" s="24" t="s">
        <v>319</v>
      </c>
      <c r="G16" s="30" t="s">
        <v>337</v>
      </c>
      <c r="H16" s="32" t="s">
        <v>170</v>
      </c>
      <c r="I16" s="30" t="s">
        <v>170</v>
      </c>
      <c r="J16" s="31"/>
      <c r="K16" s="26" t="str">
        <f>"235,0"</f>
        <v>235,0</v>
      </c>
      <c r="L16" s="26" t="str">
        <f>"137,7452"</f>
        <v>137,7452</v>
      </c>
      <c r="M16" s="24" t="s">
        <v>320</v>
      </c>
    </row>
    <row r="17" spans="1:13">
      <c r="A17" s="35" t="s">
        <v>12</v>
      </c>
      <c r="B17" s="27" t="s">
        <v>334</v>
      </c>
      <c r="C17" s="27" t="s">
        <v>338</v>
      </c>
      <c r="D17" s="27" t="s">
        <v>336</v>
      </c>
      <c r="E17" s="28" t="s">
        <v>450</v>
      </c>
      <c r="F17" s="27" t="s">
        <v>319</v>
      </c>
      <c r="G17" s="33" t="s">
        <v>337</v>
      </c>
      <c r="H17" s="34" t="s">
        <v>170</v>
      </c>
      <c r="I17" s="33" t="s">
        <v>170</v>
      </c>
      <c r="J17" s="35"/>
      <c r="K17" s="29" t="str">
        <f>"235,0"</f>
        <v>235,0</v>
      </c>
      <c r="L17" s="29" t="str">
        <f>"151,1065"</f>
        <v>151,1065</v>
      </c>
      <c r="M17" s="27" t="s">
        <v>339</v>
      </c>
    </row>
    <row r="19" spans="1:13">
      <c r="G19" s="5"/>
      <c r="K19" s="19"/>
      <c r="M19" s="6"/>
    </row>
    <row r="20" spans="1:13">
      <c r="K20" s="19"/>
      <c r="M20" s="6"/>
    </row>
    <row r="21" spans="1:13" ht="18">
      <c r="B21" s="12" t="s">
        <v>84</v>
      </c>
      <c r="C21" s="12"/>
      <c r="K21" s="19"/>
      <c r="M21" s="6"/>
    </row>
    <row r="22" spans="1:13" ht="16">
      <c r="B22" s="13" t="s">
        <v>142</v>
      </c>
      <c r="C22" s="13"/>
      <c r="K22" s="19"/>
      <c r="M22" s="6"/>
    </row>
    <row r="23" spans="1:13" ht="14">
      <c r="B23" s="14"/>
      <c r="C23" s="15" t="s">
        <v>86</v>
      </c>
      <c r="K23" s="19"/>
      <c r="M23" s="6"/>
    </row>
    <row r="24" spans="1:13" ht="14">
      <c r="B24" s="16" t="s">
        <v>87</v>
      </c>
      <c r="C24" s="16" t="s">
        <v>88</v>
      </c>
      <c r="D24" s="16" t="s">
        <v>89</v>
      </c>
      <c r="E24" s="17" t="s">
        <v>285</v>
      </c>
      <c r="F24" s="16" t="s">
        <v>340</v>
      </c>
      <c r="K24" s="19"/>
      <c r="M24" s="6"/>
    </row>
    <row r="25" spans="1:13">
      <c r="B25" s="5" t="s">
        <v>294</v>
      </c>
      <c r="C25" s="5" t="s">
        <v>86</v>
      </c>
      <c r="D25" s="19" t="s">
        <v>143</v>
      </c>
      <c r="E25" s="20">
        <v>260</v>
      </c>
      <c r="F25" s="18">
        <v>167.59599328041099</v>
      </c>
      <c r="K25" s="19"/>
      <c r="M25" s="6"/>
    </row>
    <row r="26" spans="1:13">
      <c r="B26" s="5" t="s">
        <v>327</v>
      </c>
      <c r="C26" s="5" t="s">
        <v>86</v>
      </c>
      <c r="D26" s="19" t="s">
        <v>144</v>
      </c>
      <c r="E26" s="20">
        <v>255</v>
      </c>
      <c r="F26" s="18">
        <v>156.02175593376199</v>
      </c>
      <c r="K26" s="19"/>
      <c r="M26" s="6"/>
    </row>
    <row r="27" spans="1:13">
      <c r="B27" s="5" t="s">
        <v>334</v>
      </c>
      <c r="C27" s="5" t="s">
        <v>86</v>
      </c>
      <c r="D27" s="19" t="s">
        <v>145</v>
      </c>
      <c r="E27" s="20">
        <v>235</v>
      </c>
      <c r="F27" s="18">
        <v>137.74524778127699</v>
      </c>
      <c r="G27" s="5"/>
      <c r="K27" s="19"/>
      <c r="M27" s="6"/>
    </row>
  </sheetData>
  <mergeCells count="15"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  <mergeCell ref="A8:J8"/>
    <mergeCell ref="A11:J11"/>
    <mergeCell ref="A15:J15"/>
    <mergeCell ref="B3:B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Военный жим ДК</vt:lpstr>
      <vt:lpstr>WRPF Военный жим</vt:lpstr>
      <vt:lpstr>WRPF Тяга без экипировки ДК</vt:lpstr>
      <vt:lpstr>WRPF Тяга без экипировки</vt:lpstr>
      <vt:lpstr>WEPF Тяга экип</vt:lpstr>
      <vt:lpstr>WRPF Подъем на бицепс ДК</vt:lpstr>
      <vt:lpstr>WRPF Подъем на бицепс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Екатерина Шевелева</cp:lastModifiedBy>
  <cp:revision/>
  <dcterms:created xsi:type="dcterms:W3CDTF">2002-06-16T13:36:44Z</dcterms:created>
  <dcterms:modified xsi:type="dcterms:W3CDTF">2023-01-30T11:16:47Z</dcterms:modified>
  <cp:category/>
  <cp:contentStatus/>
</cp:coreProperties>
</file>