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A9E69FFD-5420-CF4E-A525-023375C6902D}" xr6:coauthVersionLast="45" xr6:coauthVersionMax="45" xr10:uidLastSave="{00000000-0000-0000-0000-000000000000}"/>
  <bookViews>
    <workbookView xWindow="480" yWindow="460" windowWidth="28320" windowHeight="16040" firstSheet="1" activeTab="7" xr2:uid="{00000000-000D-0000-FFFF-FFFF00000000}"/>
  </bookViews>
  <sheets>
    <sheet name="IPL ПЛ без экипировки" sheetId="5" r:id="rId1"/>
    <sheet name="IPL Двоеборье без экип" sheetId="9" r:id="rId2"/>
    <sheet name="IPL Жим без экипировки" sheetId="7" r:id="rId3"/>
    <sheet name="СПР Жим софт однопетельная" sheetId="20" r:id="rId4"/>
    <sheet name="WRPF Военный жим" sheetId="22" r:id="rId5"/>
    <sheet name="СПР Жим СФО" sheetId="18" r:id="rId6"/>
    <sheet name="IPL Тяга без экипировки" sheetId="8" r:id="rId7"/>
    <sheet name="WRPF Подъем на бицепс" sheetId="19" r:id="rId8"/>
  </sheets>
  <definedNames>
    <definedName name="_FilterDatabase" localSheetId="0" hidden="1">'IPL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22" l="1"/>
  <c r="L26" i="22"/>
  <c r="M23" i="22"/>
  <c r="L23" i="22"/>
  <c r="M22" i="22"/>
  <c r="L22" i="22"/>
  <c r="M19" i="22"/>
  <c r="L19" i="22"/>
  <c r="M18" i="22"/>
  <c r="L18" i="22"/>
  <c r="M15" i="22"/>
  <c r="L15" i="22"/>
  <c r="M12" i="22"/>
  <c r="L12" i="22"/>
  <c r="M9" i="22"/>
  <c r="L9" i="22"/>
  <c r="M6" i="22"/>
  <c r="L6" i="22"/>
  <c r="M23" i="20"/>
  <c r="L23" i="20"/>
  <c r="M22" i="20"/>
  <c r="L22" i="20"/>
  <c r="M19" i="20"/>
  <c r="L19" i="20"/>
  <c r="M16" i="20"/>
  <c r="L16" i="20"/>
  <c r="M15" i="20"/>
  <c r="L15" i="20"/>
  <c r="M12" i="20"/>
  <c r="L12" i="20"/>
  <c r="M11" i="20"/>
  <c r="L11" i="20"/>
  <c r="M10" i="20"/>
  <c r="L10" i="20"/>
  <c r="M7" i="20"/>
  <c r="M6" i="20"/>
  <c r="L6" i="20"/>
  <c r="M21" i="19"/>
  <c r="L21" i="19"/>
  <c r="M18" i="19"/>
  <c r="L18" i="19"/>
  <c r="M15" i="19"/>
  <c r="L15" i="19"/>
  <c r="M12" i="19"/>
  <c r="L12" i="19"/>
  <c r="M9" i="19"/>
  <c r="L9" i="19"/>
  <c r="M6" i="19"/>
  <c r="L6" i="19"/>
  <c r="M20" i="18"/>
  <c r="L20" i="18"/>
  <c r="M19" i="18"/>
  <c r="L19" i="18"/>
  <c r="M16" i="18"/>
  <c r="L16" i="18"/>
  <c r="M15" i="18"/>
  <c r="L15" i="18"/>
  <c r="M12" i="18"/>
  <c r="L12" i="18"/>
  <c r="M9" i="18"/>
  <c r="L9" i="18"/>
  <c r="M6" i="18"/>
  <c r="L6" i="18"/>
  <c r="P12" i="9"/>
  <c r="O12" i="9"/>
  <c r="P9" i="9"/>
  <c r="O9" i="9"/>
  <c r="P6" i="9"/>
  <c r="O6" i="9"/>
  <c r="M28" i="8"/>
  <c r="L28" i="8"/>
  <c r="M25" i="8"/>
  <c r="L25" i="8"/>
  <c r="M22" i="8"/>
  <c r="L22" i="8"/>
  <c r="M21" i="8"/>
  <c r="L21" i="8"/>
  <c r="M18" i="8"/>
  <c r="L18" i="8"/>
  <c r="M15" i="8"/>
  <c r="L15" i="8"/>
  <c r="M12" i="8"/>
  <c r="L12" i="8"/>
  <c r="M9" i="8"/>
  <c r="L9" i="8"/>
  <c r="M6" i="8"/>
  <c r="L6" i="8"/>
  <c r="M58" i="7"/>
  <c r="L58" i="7"/>
  <c r="M55" i="7"/>
  <c r="L55" i="7"/>
  <c r="M54" i="7"/>
  <c r="M53" i="7"/>
  <c r="L53" i="7"/>
  <c r="M52" i="7"/>
  <c r="L52" i="7"/>
  <c r="M49" i="7"/>
  <c r="L49" i="7"/>
  <c r="M48" i="7"/>
  <c r="L48" i="7"/>
  <c r="M47" i="7"/>
  <c r="L47" i="7"/>
  <c r="M46" i="7"/>
  <c r="L46" i="7"/>
  <c r="M43" i="7"/>
  <c r="L43" i="7"/>
  <c r="M42" i="7"/>
  <c r="L42" i="7"/>
  <c r="M39" i="7"/>
  <c r="L39" i="7"/>
  <c r="M38" i="7"/>
  <c r="L38" i="7"/>
  <c r="M37" i="7"/>
  <c r="L37" i="7"/>
  <c r="M36" i="7"/>
  <c r="L36" i="7"/>
  <c r="M35" i="7"/>
  <c r="L35" i="7"/>
  <c r="M32" i="7"/>
  <c r="L32" i="7"/>
  <c r="M31" i="7"/>
  <c r="L31" i="7"/>
  <c r="M30" i="7"/>
  <c r="L30" i="7"/>
  <c r="M29" i="7"/>
  <c r="L29" i="7"/>
  <c r="M28" i="7"/>
  <c r="L28" i="7"/>
  <c r="M25" i="7"/>
  <c r="L25" i="7"/>
  <c r="M22" i="7"/>
  <c r="L22" i="7"/>
  <c r="M21" i="7"/>
  <c r="L21" i="7"/>
  <c r="M18" i="7"/>
  <c r="L18" i="7"/>
  <c r="M15" i="7"/>
  <c r="L15" i="7"/>
  <c r="M14" i="7"/>
  <c r="L14" i="7"/>
  <c r="M13" i="7"/>
  <c r="L13" i="7"/>
  <c r="M10" i="7"/>
  <c r="L10" i="7"/>
  <c r="M7" i="7"/>
  <c r="L7" i="7"/>
  <c r="M6" i="7"/>
  <c r="L6" i="7"/>
  <c r="U19" i="5"/>
  <c r="T19" i="5"/>
  <c r="U16" i="5"/>
  <c r="T16" i="5"/>
  <c r="U13" i="5"/>
  <c r="T13" i="5"/>
  <c r="U12" i="5"/>
  <c r="T12" i="5"/>
  <c r="U9" i="5"/>
  <c r="T9" i="5"/>
  <c r="U6" i="5"/>
  <c r="T6" i="5"/>
</calcChain>
</file>

<file path=xl/sharedStrings.xml><?xml version="1.0" encoding="utf-8"?>
<sst xmlns="http://schemas.openxmlformats.org/spreadsheetml/2006/main" count="1117" uniqueCount="369">
  <si>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</si>
  <si>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</si>
  <si>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</si>
  <si>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</si>
  <si>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</si>
  <si>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</si>
  <si>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</si>
  <si>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</si>
  <si>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</si>
  <si>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</si>
  <si>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</si>
  <si>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Юноши 15-19 (16.11.2006)/16</t>
  </si>
  <si>
    <t>59,10</t>
  </si>
  <si>
    <t xml:space="preserve">Заречный </t>
  </si>
  <si>
    <t xml:space="preserve">Пермь/Пермский край </t>
  </si>
  <si>
    <t>90,0</t>
  </si>
  <si>
    <t>95,0</t>
  </si>
  <si>
    <t>105,0</t>
  </si>
  <si>
    <t>60,0</t>
  </si>
  <si>
    <t>65,0</t>
  </si>
  <si>
    <t>72,5</t>
  </si>
  <si>
    <t>100,0</t>
  </si>
  <si>
    <t>110,0</t>
  </si>
  <si>
    <t>120,0</t>
  </si>
  <si>
    <t xml:space="preserve">Крутиков Алексей </t>
  </si>
  <si>
    <t>ВЕСОВАЯ КАТЕГОРИЯ   67.5</t>
  </si>
  <si>
    <t>Открытая (20.05.2005)/17</t>
  </si>
  <si>
    <t>66,00</t>
  </si>
  <si>
    <t xml:space="preserve">Барда/Пермский край </t>
  </si>
  <si>
    <t>115,0</t>
  </si>
  <si>
    <t>80,0</t>
  </si>
  <si>
    <t>130,0</t>
  </si>
  <si>
    <t>140,0</t>
  </si>
  <si>
    <t>155,0</t>
  </si>
  <si>
    <t xml:space="preserve">Матюшев Фанис </t>
  </si>
  <si>
    <t>ВЕСОВАЯ КАТЕГОРИЯ   82.5</t>
  </si>
  <si>
    <t>Юноши 15-19 (02.06.2006)/16</t>
  </si>
  <si>
    <t>78,80</t>
  </si>
  <si>
    <t>122,5</t>
  </si>
  <si>
    <t>125,0</t>
  </si>
  <si>
    <t>Открытая (21.04.1992)/30</t>
  </si>
  <si>
    <t>81,50</t>
  </si>
  <si>
    <t>170,0</t>
  </si>
  <si>
    <t>185,0</t>
  </si>
  <si>
    <t>192,5</t>
  </si>
  <si>
    <t>ВЕСОВАЯ КАТЕГОРИЯ   90</t>
  </si>
  <si>
    <t>Юноши 15-19 (04.06.2004)/18</t>
  </si>
  <si>
    <t>86,70</t>
  </si>
  <si>
    <t xml:space="preserve">Атлант-Сила </t>
  </si>
  <si>
    <t xml:space="preserve">Нытва/Пермский край </t>
  </si>
  <si>
    <t>150,0</t>
  </si>
  <si>
    <t>180,0</t>
  </si>
  <si>
    <t>190,0</t>
  </si>
  <si>
    <t>200,0</t>
  </si>
  <si>
    <t xml:space="preserve">Филимоненко Владимир </t>
  </si>
  <si>
    <t>ВЕСОВАЯ КАТЕГОРИЯ   110</t>
  </si>
  <si>
    <t>Юноши 15-19 (10.02.2004)/19</t>
  </si>
  <si>
    <t>109,10</t>
  </si>
  <si>
    <t>165,0</t>
  </si>
  <si>
    <t>172,5</t>
  </si>
  <si>
    <t>197,5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</si>
  <si>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</si>
  <si>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</si>
  <si>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</si>
  <si>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</si>
  <si>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</si>
  <si>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>90</t>
  </si>
  <si>
    <t>110</t>
  </si>
  <si>
    <t xml:space="preserve">Открытая </t>
  </si>
  <si>
    <t>82.5</t>
  </si>
  <si>
    <t>1</t>
  </si>
  <si>
    <t>Виноградов Александр</t>
  </si>
  <si>
    <t>Аптуков Денис</t>
  </si>
  <si>
    <t>Женин Илья</t>
  </si>
  <si>
    <t>Зубаиров Фарит</t>
  </si>
  <si>
    <t>Безматерных Владислав</t>
  </si>
  <si>
    <t>Зуев Владислав</t>
  </si>
  <si>
    <t>ВЕСОВАЯ КАТЕГОРИЯ   48</t>
  </si>
  <si>
    <t>48,00</t>
  </si>
  <si>
    <t>55,0</t>
  </si>
  <si>
    <t>57,5</t>
  </si>
  <si>
    <t>47,30</t>
  </si>
  <si>
    <t xml:space="preserve">Легенда </t>
  </si>
  <si>
    <t>30,0</t>
  </si>
  <si>
    <t>35,0</t>
  </si>
  <si>
    <t xml:space="preserve">Баландин Сергей </t>
  </si>
  <si>
    <t>ВЕСОВАЯ КАТЕГОРИЯ   52</t>
  </si>
  <si>
    <t>Открытая (27.05.1984)/38</t>
  </si>
  <si>
    <t>51,90</t>
  </si>
  <si>
    <t>52,5</t>
  </si>
  <si>
    <t>Открытая (18.06.1980)/42</t>
  </si>
  <si>
    <t>58,10</t>
  </si>
  <si>
    <t>77,5</t>
  </si>
  <si>
    <t>82,5</t>
  </si>
  <si>
    <t>57,60</t>
  </si>
  <si>
    <t>42,5</t>
  </si>
  <si>
    <t>45,0</t>
  </si>
  <si>
    <t>47,5</t>
  </si>
  <si>
    <t>60,00</t>
  </si>
  <si>
    <t>50,0</t>
  </si>
  <si>
    <t>ВЕСОВАЯ КАТЕГОРИЯ   75</t>
  </si>
  <si>
    <t>71,80</t>
  </si>
  <si>
    <t>62,5</t>
  </si>
  <si>
    <t>Открытая (29.05.1975)/47</t>
  </si>
  <si>
    <t>80,90</t>
  </si>
  <si>
    <t>82,00</t>
  </si>
  <si>
    <t>Юноши 15-19 (19.01.2008)/15</t>
  </si>
  <si>
    <t>51,10</t>
  </si>
  <si>
    <t>Юноши 15-19 (04.05.2007)/15</t>
  </si>
  <si>
    <t>63,50</t>
  </si>
  <si>
    <t xml:space="preserve">Нытвенский район </t>
  </si>
  <si>
    <t>70,0</t>
  </si>
  <si>
    <t xml:space="preserve">Койков Егор </t>
  </si>
  <si>
    <t>85,0</t>
  </si>
  <si>
    <t>Открытая (21.12.1985)/37</t>
  </si>
  <si>
    <t>66,40</t>
  </si>
  <si>
    <t>Открытая (18.01.2005)/18</t>
  </si>
  <si>
    <t>65,80</t>
  </si>
  <si>
    <t>87,5</t>
  </si>
  <si>
    <t>92,5</t>
  </si>
  <si>
    <t>61,40</t>
  </si>
  <si>
    <t>Открытая (18.06.1986)/36</t>
  </si>
  <si>
    <t>74,30</t>
  </si>
  <si>
    <t>135,0</t>
  </si>
  <si>
    <t>142,5</t>
  </si>
  <si>
    <t>Открытая (01.06.1990)/32</t>
  </si>
  <si>
    <t>75,00</t>
  </si>
  <si>
    <t>Открытая (19.02.2008)/14</t>
  </si>
  <si>
    <t>67,80</t>
  </si>
  <si>
    <t>117,5</t>
  </si>
  <si>
    <t>Открытая (04.02.2009)/14</t>
  </si>
  <si>
    <t>74,20</t>
  </si>
  <si>
    <t>127,5</t>
  </si>
  <si>
    <t>Юноши 15-19 (12.09.2006)/16</t>
  </si>
  <si>
    <t>81,70</t>
  </si>
  <si>
    <t xml:space="preserve">Попов Максим </t>
  </si>
  <si>
    <t>Открытая (18.09.1979)/43</t>
  </si>
  <si>
    <t>80,50</t>
  </si>
  <si>
    <t>160,0</t>
  </si>
  <si>
    <t>167,5</t>
  </si>
  <si>
    <t>83,80</t>
  </si>
  <si>
    <t xml:space="preserve">Южаков Антон </t>
  </si>
  <si>
    <t>Открытая (18.02.1995)/28</t>
  </si>
  <si>
    <t>87,60</t>
  </si>
  <si>
    <t xml:space="preserve">Верещагино/Пермский край </t>
  </si>
  <si>
    <t>210,0</t>
  </si>
  <si>
    <t>220,0</t>
  </si>
  <si>
    <t>225,0</t>
  </si>
  <si>
    <t>Открытая (03.08.1986)/36</t>
  </si>
  <si>
    <t>90,00</t>
  </si>
  <si>
    <t>Открытая (03.11.1988)/34</t>
  </si>
  <si>
    <t>84,50</t>
  </si>
  <si>
    <t>107,5</t>
  </si>
  <si>
    <t>ВЕСОВАЯ КАТЕГОРИЯ   100</t>
  </si>
  <si>
    <t>Открытая (14.08.1996)/26</t>
  </si>
  <si>
    <t>97,80</t>
  </si>
  <si>
    <t xml:space="preserve">Lucky Gym </t>
  </si>
  <si>
    <t xml:space="preserve">Дураков Сергей </t>
  </si>
  <si>
    <t>Открытая (15.03.1962)/60</t>
  </si>
  <si>
    <t>92,30</t>
  </si>
  <si>
    <t>Открытая (23.10.1992)/30</t>
  </si>
  <si>
    <t>97,30</t>
  </si>
  <si>
    <t>92,70</t>
  </si>
  <si>
    <t xml:space="preserve">Шистеров Вячеслав </t>
  </si>
  <si>
    <t>Открытая (05.01.1987)/36</t>
  </si>
  <si>
    <t>105,30</t>
  </si>
  <si>
    <t>202,5</t>
  </si>
  <si>
    <t>207,5</t>
  </si>
  <si>
    <t xml:space="preserve">Результат </t>
  </si>
  <si>
    <t>100</t>
  </si>
  <si>
    <t>Результат</t>
  </si>
  <si>
    <t>Скляр Екатерина</t>
  </si>
  <si>
    <t>2</t>
  </si>
  <si>
    <t>Колпакова Елена</t>
  </si>
  <si>
    <t>Ерофеева Елена</t>
  </si>
  <si>
    <t>Геташвили Мария</t>
  </si>
  <si>
    <t>Шильникова Валерия</t>
  </si>
  <si>
    <t>Шаламова Ольга</t>
  </si>
  <si>
    <t>Некрасова Светлана</t>
  </si>
  <si>
    <t>Пирожкова Татьяна</t>
  </si>
  <si>
    <t>Кузнецова Ирина</t>
  </si>
  <si>
    <t>Дегтярев Матвей</t>
  </si>
  <si>
    <t>Ключников Арсений</t>
  </si>
  <si>
    <t>Мальцев Егор</t>
  </si>
  <si>
    <t>Калашников Павел</t>
  </si>
  <si>
    <t>Кургульский Матвей</t>
  </si>
  <si>
    <t>Ашхацава Заур</t>
  </si>
  <si>
    <t>Носков Владимир</t>
  </si>
  <si>
    <t>Багаев Эрик</t>
  </si>
  <si>
    <t>3</t>
  </si>
  <si>
    <t>Филимоненко Тимур</t>
  </si>
  <si>
    <t>4</t>
  </si>
  <si>
    <t>Батуев Даниил</t>
  </si>
  <si>
    <t>Некрасов Дмитрий</t>
  </si>
  <si>
    <t>Мамедов Амиль</t>
  </si>
  <si>
    <t>Попов Максим</t>
  </si>
  <si>
    <t>Усанин Данил</t>
  </si>
  <si>
    <t>Южаков Антон</t>
  </si>
  <si>
    <t>Аксенов Евгений</t>
  </si>
  <si>
    <t>Батуев Денис</t>
  </si>
  <si>
    <t>Новоселов Александр</t>
  </si>
  <si>
    <t>Безматерных Юрий</t>
  </si>
  <si>
    <t>-</t>
  </si>
  <si>
    <t>Глушков Даниил</t>
  </si>
  <si>
    <t>Лузин Сергей</t>
  </si>
  <si>
    <t>Шистеров Вячеслав</t>
  </si>
  <si>
    <t>Девушки 15-19 (20.06.2007)/15</t>
  </si>
  <si>
    <t>60,30</t>
  </si>
  <si>
    <t xml:space="preserve">Новоильинский/Пермский край </t>
  </si>
  <si>
    <t xml:space="preserve">Попков Александр </t>
  </si>
  <si>
    <t>Юноши 15-19 (19.05.2005)/17</t>
  </si>
  <si>
    <t>71,60</t>
  </si>
  <si>
    <t xml:space="preserve">Шимков Илья </t>
  </si>
  <si>
    <t>Юноши 15-19 (24.05.2004)/18</t>
  </si>
  <si>
    <t>81,20</t>
  </si>
  <si>
    <t>Открытая (17.02.1985)/38</t>
  </si>
  <si>
    <t>89,70</t>
  </si>
  <si>
    <t>240,0</t>
  </si>
  <si>
    <t>250,0</t>
  </si>
  <si>
    <t>Открытая (11.02.1976)/47</t>
  </si>
  <si>
    <t>96,80</t>
  </si>
  <si>
    <t>235,0</t>
  </si>
  <si>
    <t>245,0</t>
  </si>
  <si>
    <t>Открытая (09.08.1984)/38</t>
  </si>
  <si>
    <t>97,70</t>
  </si>
  <si>
    <t>230,0</t>
  </si>
  <si>
    <t>Юноши 15-19 (03.05.2003)/19</t>
  </si>
  <si>
    <t>106,80</t>
  </si>
  <si>
    <t>ВЕСОВАЯ КАТЕГОРИЯ   125</t>
  </si>
  <si>
    <t>Открытая (05.08.2007)/15</t>
  </si>
  <si>
    <t>112,30</t>
  </si>
  <si>
    <t>Катаева Вероника</t>
  </si>
  <si>
    <t>Новиков Максим</t>
  </si>
  <si>
    <t>Ямалов Виталий</t>
  </si>
  <si>
    <t>Зеленин Николай</t>
  </si>
  <si>
    <t>Кургульский Денис</t>
  </si>
  <si>
    <t>Березин Николай</t>
  </si>
  <si>
    <t>Шерстнев Михаил</t>
  </si>
  <si>
    <t>Травушкин Денис</t>
  </si>
  <si>
    <t>Юноши 15-19 (18.04.2005)/17</t>
  </si>
  <si>
    <t>62,90</t>
  </si>
  <si>
    <t>Открытая (23.01.1976)/47</t>
  </si>
  <si>
    <t>79,60</t>
  </si>
  <si>
    <t xml:space="preserve">Метельский Виталий </t>
  </si>
  <si>
    <t>102,00</t>
  </si>
  <si>
    <t>Патрушев Никита</t>
  </si>
  <si>
    <t>Князев Денис</t>
  </si>
  <si>
    <t>Косков Сергей</t>
  </si>
  <si>
    <t xml:space="preserve">Gloss </t>
  </si>
  <si>
    <t>32,5</t>
  </si>
  <si>
    <t>40,0</t>
  </si>
  <si>
    <t>37,5</t>
  </si>
  <si>
    <t>Мастера 60-69 (30.04.1954)/68</t>
  </si>
  <si>
    <t>64,90</t>
  </si>
  <si>
    <t xml:space="preserve">Малышев Иван </t>
  </si>
  <si>
    <t>Ошмарин Владимир</t>
  </si>
  <si>
    <t>Открытая (20.05.1998)/24</t>
  </si>
  <si>
    <t>58,40</t>
  </si>
  <si>
    <t xml:space="preserve">Чистяков Илья </t>
  </si>
  <si>
    <t>Открытая (07.05.1994)/28</t>
  </si>
  <si>
    <t>64,95</t>
  </si>
  <si>
    <t xml:space="preserve">Некрасов Иван </t>
  </si>
  <si>
    <t>Открытая (13.03.1985)/37</t>
  </si>
  <si>
    <t>68,35</t>
  </si>
  <si>
    <t>102,5</t>
  </si>
  <si>
    <t xml:space="preserve">Пашиев Артем </t>
  </si>
  <si>
    <t>Открытая (21.01.1988)/35</t>
  </si>
  <si>
    <t>86,00</t>
  </si>
  <si>
    <t>Мастера 60-69 (17.07.1957)/65</t>
  </si>
  <si>
    <t>88,30</t>
  </si>
  <si>
    <t>112,5</t>
  </si>
  <si>
    <t>Открытая (17.04.1988)/34</t>
  </si>
  <si>
    <t>Открытая (23.07.1978)/44</t>
  </si>
  <si>
    <t>91,30</t>
  </si>
  <si>
    <t>Шевырин Алексей</t>
  </si>
  <si>
    <t>Крохалев Дмитрий</t>
  </si>
  <si>
    <t>Аникин Александр</t>
  </si>
  <si>
    <t>Вологжанин Павел</t>
  </si>
  <si>
    <t>Дьяченко Артём</t>
  </si>
  <si>
    <t>Соларёв Валентин</t>
  </si>
  <si>
    <t>Луковенко Евгений</t>
  </si>
  <si>
    <t>83,75</t>
  </si>
  <si>
    <t>109,05</t>
  </si>
  <si>
    <t>Открытая (16.08.1983)/39</t>
  </si>
  <si>
    <t>119,95</t>
  </si>
  <si>
    <t>Плешков Константин</t>
  </si>
  <si>
    <t>Открытая (24.12.1983)/39</t>
  </si>
  <si>
    <t>59,65</t>
  </si>
  <si>
    <t>145,0</t>
  </si>
  <si>
    <t>Открытая (18.11.1997)/25</t>
  </si>
  <si>
    <t>59,45</t>
  </si>
  <si>
    <t>265,0</t>
  </si>
  <si>
    <t>Открытая (10.11.1990)/32</t>
  </si>
  <si>
    <t>81,60</t>
  </si>
  <si>
    <t>Открытая (12.07.1985)/37</t>
  </si>
  <si>
    <t>85,35</t>
  </si>
  <si>
    <t xml:space="preserve">Барда/Пермский </t>
  </si>
  <si>
    <t>Открытая (21.08.1974)/48</t>
  </si>
  <si>
    <t>89,05</t>
  </si>
  <si>
    <t>Открытая (18.10.1981)/41</t>
  </si>
  <si>
    <t>97,05</t>
  </si>
  <si>
    <t>Открытая (27.03.1985)/37</t>
  </si>
  <si>
    <t>105,50</t>
  </si>
  <si>
    <t>290,0</t>
  </si>
  <si>
    <t>305,0</t>
  </si>
  <si>
    <t>315,0</t>
  </si>
  <si>
    <t>Открытая (07.05.1993)/29</t>
  </si>
  <si>
    <t>104,70</t>
  </si>
  <si>
    <t>Попков Александр</t>
  </si>
  <si>
    <t>Латыпов Руслан</t>
  </si>
  <si>
    <t>Койков Стас</t>
  </si>
  <si>
    <t>Матюшев Фанис</t>
  </si>
  <si>
    <t>Аликин Алексей</t>
  </si>
  <si>
    <t>Филимоненко Владимир</t>
  </si>
  <si>
    <t>Койков Егор</t>
  </si>
  <si>
    <t>Крутиков Алексей</t>
  </si>
  <si>
    <t>Открытая (15.05.2009)/13</t>
  </si>
  <si>
    <t>44,90</t>
  </si>
  <si>
    <t>Открытая (30.04.1967)/55</t>
  </si>
  <si>
    <t>Мастера 50-59 (06.06.1963)/59</t>
  </si>
  <si>
    <t>Открытая (14.11.1985)/37</t>
  </si>
  <si>
    <t>Открытая (07.08.1966)/56</t>
  </si>
  <si>
    <t>95,40</t>
  </si>
  <si>
    <t>187,5</t>
  </si>
  <si>
    <t xml:space="preserve">Россомагин Иван </t>
  </si>
  <si>
    <t>Мастера 60-69 (03.01.1957)/66</t>
  </si>
  <si>
    <t>120,00</t>
  </si>
  <si>
    <t>Тихомиров Евгений</t>
  </si>
  <si>
    <t>Трубицын Антон</t>
  </si>
  <si>
    <t>Сергеев Игорь</t>
  </si>
  <si>
    <t xml:space="preserve">Лично </t>
  </si>
  <si>
    <t>Открытый турнир «Традиции Нытвы»
IPL Пауэрлифтинг без экипировки
Нытва/Пермский край 18 февраля 2023 года</t>
  </si>
  <si>
    <t>Открытый турнир «Традиции Нытвы»
IPL Силовое двоеборье без экипировки
Нытва/Пермский край 18 февраля 2023 года</t>
  </si>
  <si>
    <t>Открытый турнир «Традиции Нытвы»
IPL Жим лежа без экипировки
Нытва/Пермский край 18 февраля 2023 года</t>
  </si>
  <si>
    <t>Открытый турнир «Традиции Нытвы»
СПР Жим лежа в однопетельной софт экипировке
Нытва/Пермский край 18 февраля 2023 года</t>
  </si>
  <si>
    <t>Открытый турнир «Традиции Нытвы»
WRPF Военный жим лежа
Нытва/Пермский край 18 февраля 2023 года</t>
  </si>
  <si>
    <t>Открытый турнир «Традиции Нытвы»
СПР Жим лежа среди спортсменов с физическими особенностями
Нытва/Пермский край 18 февраля 2023 года</t>
  </si>
  <si>
    <t>Открытый турнир «Традиции Нытвы»
IPL Становая тяга без экипировки
Нытва/Пермский край 18 февраля 2023 года</t>
  </si>
  <si>
    <t>Открытый турнир «Традиции Нытвы»
WRPF Строгий подъем штанги на бицепс
Нытва/Пермский край 18 февраля 2023 года</t>
  </si>
  <si>
    <t>Мастера 65-69 (03.01.1957)/66</t>
  </si>
  <si>
    <t>Мастера 40-44 (15.06.1978)/44</t>
  </si>
  <si>
    <t>Мастера 40-44 (20.09.1979)/43</t>
  </si>
  <si>
    <t>Мастера 40-44 (03.01.1982)/41</t>
  </si>
  <si>
    <t>Мастера 45-49 (15.09.1977)/45</t>
  </si>
  <si>
    <t>Мастера 55-59 (02.03.1963)/59</t>
  </si>
  <si>
    <t>Мастера 40-44 (28.01.1982)/41</t>
  </si>
  <si>
    <t>Юниоры 20-23 (19.03.2002)/20</t>
  </si>
  <si>
    <t>Мастера 65-69 (13.03.1953)/69</t>
  </si>
  <si>
    <t>Мастера 55-59 (06.06.1963)/59</t>
  </si>
  <si>
    <t>Юниоры 20-23 (25.10.2001)/21</t>
  </si>
  <si>
    <t>Мастера 65-69 (30.04.1954)/68</t>
  </si>
  <si>
    <t>Мастера 40-49 (18.09.1979)/43</t>
  </si>
  <si>
    <t>Мастера 40-49 (15.09.1977)/45</t>
  </si>
  <si>
    <t>Юноши 13-19 (10.02.2004)/19</t>
  </si>
  <si>
    <t>Весовая категория</t>
  </si>
  <si>
    <t xml:space="preserve">Карагай/Пермский край </t>
  </si>
  <si>
    <t>Жим</t>
  </si>
  <si>
    <t>№</t>
  </si>
  <si>
    <t xml:space="preserve"> </t>
  </si>
  <si>
    <t xml:space="preserve">
Дата рождения/Возраст</t>
  </si>
  <si>
    <t>Возрастная группа</t>
  </si>
  <si>
    <t>T</t>
  </si>
  <si>
    <t>O</t>
  </si>
  <si>
    <t>M6</t>
  </si>
  <si>
    <t>M1</t>
  </si>
  <si>
    <t>M2</t>
  </si>
  <si>
    <t>M4</t>
  </si>
  <si>
    <t>J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</si>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</sst>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43"/>
  <sheetViews>
    <sheetView zoomScaleNormal="100" workbookViewId="0">
      <selection activeCell="E20" sqref="E20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6.5" style="5" bestFit="1" customWidth="1"/>
    <col min="4" max="4" width="17.1640625" style="5" customWidth="1"/>
    <col min="5" max="5" width="10.1640625" style="16" bestFit="1" customWidth="1"/>
    <col min="6" max="6" width="21.83203125" style="5" customWidth="1"/>
    <col min="7" max="7" width="20.33203125" style="5" bestFit="1" customWidth="1"/>
    <col min="8" max="10" width="5.5" style="24" customWidth="1"/>
    <col min="11" max="11" width="4.5" style="24" customWidth="1"/>
    <col min="12" max="14" width="5.5" style="24" customWidth="1"/>
    <col min="15" max="15" width="4.5" style="24" customWidth="1"/>
    <col min="16" max="18" width="5.5" style="24" customWidth="1"/>
    <col min="19" max="19" width="4.5" style="24" customWidth="1"/>
    <col min="20" max="20" width="7.6640625" style="6" bestFit="1" customWidth="1"/>
    <col min="21" max="21" width="8.5" style="6" bestFit="1" customWidth="1"/>
    <col min="22" max="22" width="22.6640625" style="5" bestFit="1" customWidth="1"/>
    <col min="23" max="16384" width="9.1640625" style="3"/>
  </cols>
  <sheetData>
    <row r="1" spans="1:22" s="2" customFormat="1" ht="29" customHeight="1">
      <c r="A1" s="47" t="s">
        <v>331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</row>
    <row r="2" spans="1:22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7</v>
      </c>
      <c r="I3" s="55"/>
      <c r="J3" s="55"/>
      <c r="K3" s="55"/>
      <c r="L3" s="55" t="s">
        <v>8</v>
      </c>
      <c r="M3" s="55"/>
      <c r="N3" s="55"/>
      <c r="O3" s="55"/>
      <c r="P3" s="55" t="s">
        <v>9</v>
      </c>
      <c r="Q3" s="55"/>
      <c r="R3" s="55"/>
      <c r="S3" s="55"/>
      <c r="T3" s="45" t="s">
        <v>1</v>
      </c>
      <c r="U3" s="45" t="s">
        <v>3</v>
      </c>
      <c r="V3" s="60" t="s">
        <v>2</v>
      </c>
    </row>
    <row r="4" spans="1:22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46"/>
      <c r="U4" s="46"/>
      <c r="V4" s="61"/>
    </row>
    <row r="5" spans="1:22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7" t="s">
        <v>70</v>
      </c>
      <c r="B6" s="7" t="s">
        <v>71</v>
      </c>
      <c r="C6" s="7" t="s">
        <v>11</v>
      </c>
      <c r="D6" s="7" t="s">
        <v>12</v>
      </c>
      <c r="E6" s="8" t="s">
        <v>361</v>
      </c>
      <c r="F6" s="7" t="s">
        <v>13</v>
      </c>
      <c r="G6" s="7" t="s">
        <v>14</v>
      </c>
      <c r="H6" s="26" t="s">
        <v>15</v>
      </c>
      <c r="I6" s="26" t="s">
        <v>16</v>
      </c>
      <c r="J6" s="26" t="s">
        <v>17</v>
      </c>
      <c r="K6" s="27"/>
      <c r="L6" s="26" t="s">
        <v>18</v>
      </c>
      <c r="M6" s="26" t="s">
        <v>19</v>
      </c>
      <c r="N6" s="28" t="s">
        <v>20</v>
      </c>
      <c r="O6" s="27"/>
      <c r="P6" s="26" t="s">
        <v>21</v>
      </c>
      <c r="Q6" s="26" t="s">
        <v>22</v>
      </c>
      <c r="R6" s="28" t="s">
        <v>23</v>
      </c>
      <c r="S6" s="27"/>
      <c r="T6" s="9" t="str">
        <f>"280,0"</f>
        <v>280,0</v>
      </c>
      <c r="U6" s="9" t="str">
        <f>"242,1440"</f>
        <v>242,1440</v>
      </c>
      <c r="V6" s="7" t="s">
        <v>24</v>
      </c>
    </row>
    <row r="8" spans="1:22" ht="16">
      <c r="A8" s="66" t="s">
        <v>25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2">
      <c r="A9" s="27" t="s">
        <v>70</v>
      </c>
      <c r="B9" s="7" t="s">
        <v>72</v>
      </c>
      <c r="C9" s="7" t="s">
        <v>26</v>
      </c>
      <c r="D9" s="7" t="s">
        <v>27</v>
      </c>
      <c r="E9" s="8" t="s">
        <v>362</v>
      </c>
      <c r="F9" s="7" t="s">
        <v>330</v>
      </c>
      <c r="G9" s="7" t="s">
        <v>28</v>
      </c>
      <c r="H9" s="26" t="s">
        <v>15</v>
      </c>
      <c r="I9" s="26" t="s">
        <v>17</v>
      </c>
      <c r="J9" s="26" t="s">
        <v>29</v>
      </c>
      <c r="K9" s="27"/>
      <c r="L9" s="26" t="s">
        <v>30</v>
      </c>
      <c r="M9" s="26" t="s">
        <v>15</v>
      </c>
      <c r="N9" s="26" t="s">
        <v>16</v>
      </c>
      <c r="O9" s="27"/>
      <c r="P9" s="26" t="s">
        <v>31</v>
      </c>
      <c r="Q9" s="26" t="s">
        <v>32</v>
      </c>
      <c r="R9" s="26" t="s">
        <v>33</v>
      </c>
      <c r="S9" s="27"/>
      <c r="T9" s="9" t="str">
        <f>"365,0"</f>
        <v>365,0</v>
      </c>
      <c r="U9" s="9" t="str">
        <f>"286,5980"</f>
        <v>286,5980</v>
      </c>
      <c r="V9" s="7" t="s">
        <v>34</v>
      </c>
    </row>
    <row r="11" spans="1:22" ht="16">
      <c r="A11" s="66" t="s">
        <v>35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22">
      <c r="A12" s="31" t="s">
        <v>70</v>
      </c>
      <c r="B12" s="10" t="s">
        <v>73</v>
      </c>
      <c r="C12" s="10" t="s">
        <v>36</v>
      </c>
      <c r="D12" s="10" t="s">
        <v>37</v>
      </c>
      <c r="E12" s="11" t="s">
        <v>361</v>
      </c>
      <c r="F12" s="10" t="s">
        <v>13</v>
      </c>
      <c r="G12" s="10" t="s">
        <v>14</v>
      </c>
      <c r="H12" s="29" t="s">
        <v>29</v>
      </c>
      <c r="I12" s="29" t="s">
        <v>38</v>
      </c>
      <c r="J12" s="30" t="s">
        <v>31</v>
      </c>
      <c r="K12" s="31"/>
      <c r="L12" s="29" t="s">
        <v>18</v>
      </c>
      <c r="M12" s="29" t="s">
        <v>19</v>
      </c>
      <c r="N12" s="30" t="s">
        <v>20</v>
      </c>
      <c r="O12" s="31"/>
      <c r="P12" s="29" t="s">
        <v>29</v>
      </c>
      <c r="Q12" s="29" t="s">
        <v>39</v>
      </c>
      <c r="R12" s="30" t="s">
        <v>31</v>
      </c>
      <c r="S12" s="31"/>
      <c r="T12" s="12" t="str">
        <f>"312,5"</f>
        <v>312,5</v>
      </c>
      <c r="U12" s="12" t="str">
        <f>"215,4063"</f>
        <v>215,4063</v>
      </c>
      <c r="V12" s="10" t="s">
        <v>24</v>
      </c>
    </row>
    <row r="13" spans="1:22">
      <c r="A13" s="33" t="s">
        <v>70</v>
      </c>
      <c r="B13" s="13" t="s">
        <v>74</v>
      </c>
      <c r="C13" s="13" t="s">
        <v>40</v>
      </c>
      <c r="D13" s="13" t="s">
        <v>41</v>
      </c>
      <c r="E13" s="14" t="s">
        <v>362</v>
      </c>
      <c r="F13" s="13" t="s">
        <v>330</v>
      </c>
      <c r="G13" s="13" t="s">
        <v>28</v>
      </c>
      <c r="H13" s="32" t="s">
        <v>31</v>
      </c>
      <c r="I13" s="32" t="s">
        <v>32</v>
      </c>
      <c r="J13" s="32" t="s">
        <v>33</v>
      </c>
      <c r="K13" s="33"/>
      <c r="L13" s="32" t="s">
        <v>17</v>
      </c>
      <c r="M13" s="32" t="s">
        <v>29</v>
      </c>
      <c r="N13" s="32" t="s">
        <v>23</v>
      </c>
      <c r="O13" s="33"/>
      <c r="P13" s="32" t="s">
        <v>42</v>
      </c>
      <c r="Q13" s="32" t="s">
        <v>43</v>
      </c>
      <c r="R13" s="32" t="s">
        <v>44</v>
      </c>
      <c r="S13" s="33"/>
      <c r="T13" s="15" t="str">
        <f>"467,5"</f>
        <v>467,5</v>
      </c>
      <c r="U13" s="15" t="str">
        <f>"315,5157"</f>
        <v>315,5157</v>
      </c>
      <c r="V13" s="13" t="s">
        <v>34</v>
      </c>
    </row>
    <row r="15" spans="1:22" ht="16">
      <c r="A15" s="66" t="s">
        <v>45</v>
      </c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22">
      <c r="A16" s="27" t="s">
        <v>70</v>
      </c>
      <c r="B16" s="7" t="s">
        <v>75</v>
      </c>
      <c r="C16" s="7" t="s">
        <v>46</v>
      </c>
      <c r="D16" s="7" t="s">
        <v>47</v>
      </c>
      <c r="E16" s="8" t="s">
        <v>361</v>
      </c>
      <c r="F16" s="7" t="s">
        <v>48</v>
      </c>
      <c r="G16" s="7" t="s">
        <v>49</v>
      </c>
      <c r="H16" s="26" t="s">
        <v>32</v>
      </c>
      <c r="I16" s="28" t="s">
        <v>50</v>
      </c>
      <c r="J16" s="26" t="s">
        <v>50</v>
      </c>
      <c r="K16" s="27"/>
      <c r="L16" s="26" t="s">
        <v>21</v>
      </c>
      <c r="M16" s="26" t="s">
        <v>17</v>
      </c>
      <c r="N16" s="26" t="s">
        <v>22</v>
      </c>
      <c r="O16" s="27"/>
      <c r="P16" s="26" t="s">
        <v>51</v>
      </c>
      <c r="Q16" s="26" t="s">
        <v>52</v>
      </c>
      <c r="R16" s="28" t="s">
        <v>53</v>
      </c>
      <c r="S16" s="27"/>
      <c r="T16" s="9" t="str">
        <f>"450,0"</f>
        <v>450,0</v>
      </c>
      <c r="U16" s="9" t="str">
        <f>"292,9950"</f>
        <v>292,9950</v>
      </c>
      <c r="V16" s="7" t="s">
        <v>54</v>
      </c>
    </row>
    <row r="18" spans="1:22" ht="16">
      <c r="A18" s="66" t="s">
        <v>55</v>
      </c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22">
      <c r="A19" s="27" t="s">
        <v>70</v>
      </c>
      <c r="B19" s="7" t="s">
        <v>76</v>
      </c>
      <c r="C19" s="7" t="s">
        <v>56</v>
      </c>
      <c r="D19" s="7" t="s">
        <v>57</v>
      </c>
      <c r="E19" s="8" t="s">
        <v>361</v>
      </c>
      <c r="F19" s="7" t="s">
        <v>13</v>
      </c>
      <c r="G19" s="7" t="s">
        <v>14</v>
      </c>
      <c r="H19" s="26" t="s">
        <v>58</v>
      </c>
      <c r="I19" s="26" t="s">
        <v>59</v>
      </c>
      <c r="J19" s="28" t="s">
        <v>51</v>
      </c>
      <c r="K19" s="27"/>
      <c r="L19" s="26" t="s">
        <v>21</v>
      </c>
      <c r="M19" s="28" t="s">
        <v>22</v>
      </c>
      <c r="N19" s="28" t="s">
        <v>22</v>
      </c>
      <c r="O19" s="27"/>
      <c r="P19" s="26" t="s">
        <v>51</v>
      </c>
      <c r="Q19" s="26" t="s">
        <v>52</v>
      </c>
      <c r="R19" s="26" t="s">
        <v>60</v>
      </c>
      <c r="S19" s="27"/>
      <c r="T19" s="9" t="str">
        <f>"470,0"</f>
        <v>470,0</v>
      </c>
      <c r="U19" s="9" t="str">
        <f>"277,3000"</f>
        <v>277,3000</v>
      </c>
      <c r="V19" s="7" t="s">
        <v>24</v>
      </c>
    </row>
    <row r="21" spans="1:22" customFormat="1"/>
    <row r="22" spans="1:22" customFormat="1"/>
    <row r="23" spans="1:22" customFormat="1"/>
    <row r="24" spans="1:22" customFormat="1"/>
    <row r="25" spans="1:22" customFormat="1"/>
    <row r="26" spans="1:22" customFormat="1"/>
    <row r="27" spans="1:22" customFormat="1"/>
    <row r="28" spans="1:22" customFormat="1"/>
    <row r="29" spans="1:22" customFormat="1"/>
    <row r="30" spans="1:22" customFormat="1"/>
    <row r="31" spans="1:22" customFormat="1"/>
    <row r="32" spans="1:2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</sheetData>
  <mergeCells count="19">
    <mergeCell ref="A5:S5"/>
    <mergeCell ref="A8:S8"/>
    <mergeCell ref="A11:S11"/>
    <mergeCell ref="A15:S15"/>
    <mergeCell ref="A18:S18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0.33203125" style="5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0.33203125" style="5" bestFit="1" customWidth="1"/>
    <col min="7" max="9" width="5.5" style="24" customWidth="1"/>
    <col min="10" max="10" width="4.5" style="24" customWidth="1"/>
    <col min="11" max="13" width="5.5" style="24" customWidth="1"/>
    <col min="14" max="14" width="4.5" style="24" customWidth="1"/>
    <col min="15" max="15" width="7.6640625" style="6" bestFit="1" customWidth="1"/>
    <col min="16" max="16" width="8.5" style="6" bestFit="1" customWidth="1"/>
    <col min="17" max="17" width="19.83203125" style="5" bestFit="1" customWidth="1"/>
    <col min="18" max="16384" width="9.1640625" style="3"/>
  </cols>
  <sheetData>
    <row r="1" spans="1:17" s="2" customFormat="1" ht="29" customHeight="1">
      <c r="A1" s="47" t="s">
        <v>332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 t="s">
        <v>5</v>
      </c>
      <c r="G3" s="55" t="s">
        <v>8</v>
      </c>
      <c r="H3" s="55"/>
      <c r="I3" s="55"/>
      <c r="J3" s="55"/>
      <c r="K3" s="55" t="s">
        <v>9</v>
      </c>
      <c r="L3" s="55"/>
      <c r="M3" s="55"/>
      <c r="N3" s="55"/>
      <c r="O3" s="45" t="s">
        <v>1</v>
      </c>
      <c r="P3" s="45" t="s">
        <v>3</v>
      </c>
      <c r="Q3" s="60" t="s">
        <v>2</v>
      </c>
    </row>
    <row r="4" spans="1:17" s="1" customFormat="1" ht="21" customHeight="1" thickBot="1">
      <c r="A4" s="57"/>
      <c r="B4" s="63"/>
      <c r="C4" s="59"/>
      <c r="D4" s="59"/>
      <c r="E4" s="46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6"/>
      <c r="Q4" s="61"/>
    </row>
    <row r="5" spans="1:17" ht="16">
      <c r="A5" s="64" t="s">
        <v>25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27" t="s">
        <v>70</v>
      </c>
      <c r="B6" s="7" t="s">
        <v>245</v>
      </c>
      <c r="C6" s="7" t="s">
        <v>239</v>
      </c>
      <c r="D6" s="7" t="s">
        <v>240</v>
      </c>
      <c r="E6" s="8" t="s">
        <v>361</v>
      </c>
      <c r="F6" s="7" t="s">
        <v>14</v>
      </c>
      <c r="G6" s="26" t="s">
        <v>18</v>
      </c>
      <c r="H6" s="28" t="s">
        <v>19</v>
      </c>
      <c r="I6" s="28" t="s">
        <v>19</v>
      </c>
      <c r="J6" s="27"/>
      <c r="K6" s="26" t="s">
        <v>15</v>
      </c>
      <c r="L6" s="26" t="s">
        <v>21</v>
      </c>
      <c r="M6" s="26" t="s">
        <v>22</v>
      </c>
      <c r="N6" s="27"/>
      <c r="O6" s="9" t="str">
        <f>"170,0"</f>
        <v>170,0</v>
      </c>
      <c r="P6" s="9" t="str">
        <f>"139,0260"</f>
        <v>139,0260</v>
      </c>
      <c r="Q6" s="7" t="s">
        <v>24</v>
      </c>
    </row>
    <row r="8" spans="1:17" ht="16">
      <c r="A8" s="66" t="s">
        <v>35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7" t="s">
        <v>70</v>
      </c>
      <c r="B9" s="7" t="s">
        <v>246</v>
      </c>
      <c r="C9" s="7" t="s">
        <v>241</v>
      </c>
      <c r="D9" s="7" t="s">
        <v>242</v>
      </c>
      <c r="E9" s="8" t="s">
        <v>362</v>
      </c>
      <c r="F9" s="7" t="s">
        <v>14</v>
      </c>
      <c r="G9" s="26" t="s">
        <v>30</v>
      </c>
      <c r="H9" s="26" t="s">
        <v>93</v>
      </c>
      <c r="I9" s="28" t="s">
        <v>113</v>
      </c>
      <c r="J9" s="27"/>
      <c r="K9" s="26" t="s">
        <v>31</v>
      </c>
      <c r="L9" s="26" t="s">
        <v>123</v>
      </c>
      <c r="M9" s="26" t="s">
        <v>32</v>
      </c>
      <c r="N9" s="27"/>
      <c r="O9" s="9" t="str">
        <f>"222,5"</f>
        <v>222,5</v>
      </c>
      <c r="P9" s="9" t="str">
        <f>"152,3902"</f>
        <v>152,3902</v>
      </c>
      <c r="Q9" s="7" t="s">
        <v>243</v>
      </c>
    </row>
    <row r="11" spans="1:17" ht="16">
      <c r="A11" s="66" t="s">
        <v>55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7">
      <c r="A12" s="27" t="s">
        <v>70</v>
      </c>
      <c r="B12" s="7" t="s">
        <v>247</v>
      </c>
      <c r="C12" s="7" t="s">
        <v>339</v>
      </c>
      <c r="D12" s="7" t="s">
        <v>244</v>
      </c>
      <c r="E12" s="8" t="s">
        <v>363</v>
      </c>
      <c r="F12" s="7" t="s">
        <v>49</v>
      </c>
      <c r="G12" s="26" t="s">
        <v>29</v>
      </c>
      <c r="H12" s="26" t="s">
        <v>23</v>
      </c>
      <c r="I12" s="26" t="s">
        <v>39</v>
      </c>
      <c r="J12" s="27"/>
      <c r="K12" s="26" t="s">
        <v>52</v>
      </c>
      <c r="L12" s="26" t="s">
        <v>53</v>
      </c>
      <c r="M12" s="26" t="s">
        <v>145</v>
      </c>
      <c r="N12" s="27"/>
      <c r="O12" s="9" t="str">
        <f>"335,0"</f>
        <v>335,0</v>
      </c>
      <c r="P12" s="9" t="str">
        <f>"316,6097"</f>
        <v>316,6097</v>
      </c>
      <c r="Q12" s="7" t="s">
        <v>358</v>
      </c>
    </row>
    <row r="14" spans="1:17" customFormat="1"/>
    <row r="15" spans="1:17" customFormat="1"/>
    <row r="16" spans="1:17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8"/>
  <sheetViews>
    <sheetView topLeftCell="A22" workbookViewId="0">
      <selection activeCell="E59" sqref="E59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6.5" style="5" bestFit="1" customWidth="1"/>
    <col min="8" max="10" width="5.5" style="24" customWidth="1"/>
    <col min="11" max="11" width="4.5" style="24" customWidth="1"/>
    <col min="12" max="12" width="10.5" style="25" bestFit="1" customWidth="1"/>
    <col min="13" max="13" width="8.5" style="6" bestFit="1" customWidth="1"/>
    <col min="14" max="14" width="22.6640625" style="5" bestFit="1" customWidth="1"/>
    <col min="15" max="16384" width="9.1640625" style="3"/>
  </cols>
  <sheetData>
    <row r="1" spans="1:14" s="2" customFormat="1" ht="29" customHeight="1">
      <c r="A1" s="47" t="s">
        <v>333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8</v>
      </c>
      <c r="I3" s="55"/>
      <c r="J3" s="55"/>
      <c r="K3" s="55"/>
      <c r="L3" s="68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69"/>
      <c r="M4" s="46"/>
      <c r="N4" s="61"/>
    </row>
    <row r="5" spans="1:14" ht="16">
      <c r="A5" s="64" t="s">
        <v>77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31" t="s">
        <v>70</v>
      </c>
      <c r="B6" s="10" t="s">
        <v>171</v>
      </c>
      <c r="C6" s="10" t="s">
        <v>340</v>
      </c>
      <c r="D6" s="10" t="s">
        <v>78</v>
      </c>
      <c r="E6" s="11" t="s">
        <v>364</v>
      </c>
      <c r="F6" s="10" t="s">
        <v>13</v>
      </c>
      <c r="G6" s="10" t="s">
        <v>14</v>
      </c>
      <c r="H6" s="29" t="s">
        <v>79</v>
      </c>
      <c r="I6" s="29" t="s">
        <v>80</v>
      </c>
      <c r="J6" s="30" t="s">
        <v>18</v>
      </c>
      <c r="K6" s="31"/>
      <c r="L6" s="41" t="str">
        <f>"57,5"</f>
        <v>57,5</v>
      </c>
      <c r="M6" s="12" t="str">
        <f>"79,5037"</f>
        <v>79,5037</v>
      </c>
      <c r="N6" s="10" t="s">
        <v>358</v>
      </c>
    </row>
    <row r="7" spans="1:14">
      <c r="A7" s="33" t="s">
        <v>172</v>
      </c>
      <c r="B7" s="13" t="s">
        <v>173</v>
      </c>
      <c r="C7" s="13" t="s">
        <v>341</v>
      </c>
      <c r="D7" s="13" t="s">
        <v>81</v>
      </c>
      <c r="E7" s="14" t="s">
        <v>364</v>
      </c>
      <c r="F7" s="13" t="s">
        <v>82</v>
      </c>
      <c r="G7" s="13" t="s">
        <v>14</v>
      </c>
      <c r="H7" s="37" t="s">
        <v>83</v>
      </c>
      <c r="I7" s="32" t="s">
        <v>83</v>
      </c>
      <c r="J7" s="32" t="s">
        <v>84</v>
      </c>
      <c r="K7" s="33"/>
      <c r="L7" s="42" t="str">
        <f>"35,0"</f>
        <v>35,0</v>
      </c>
      <c r="M7" s="15" t="str">
        <f>"48,1664"</f>
        <v>48,1664</v>
      </c>
      <c r="N7" s="13" t="s">
        <v>85</v>
      </c>
    </row>
    <row r="9" spans="1:14" ht="16">
      <c r="A9" s="66" t="s">
        <v>86</v>
      </c>
      <c r="B9" s="66"/>
      <c r="C9" s="67"/>
      <c r="D9" s="67"/>
      <c r="E9" s="67"/>
      <c r="F9" s="67"/>
      <c r="G9" s="67"/>
      <c r="H9" s="67"/>
      <c r="I9" s="67"/>
      <c r="J9" s="67"/>
      <c r="K9" s="67"/>
    </row>
    <row r="10" spans="1:14">
      <c r="A10" s="27" t="s">
        <v>70</v>
      </c>
      <c r="B10" s="7" t="s">
        <v>174</v>
      </c>
      <c r="C10" s="7" t="s">
        <v>87</v>
      </c>
      <c r="D10" s="7" t="s">
        <v>88</v>
      </c>
      <c r="E10" s="8" t="s">
        <v>362</v>
      </c>
      <c r="F10" s="7" t="s">
        <v>82</v>
      </c>
      <c r="G10" s="7" t="s">
        <v>14</v>
      </c>
      <c r="H10" s="26" t="s">
        <v>89</v>
      </c>
      <c r="I10" s="26" t="s">
        <v>79</v>
      </c>
      <c r="J10" s="28" t="s">
        <v>80</v>
      </c>
      <c r="K10" s="27"/>
      <c r="L10" s="43" t="str">
        <f>"55,0"</f>
        <v>55,0</v>
      </c>
      <c r="M10" s="9" t="str">
        <f>"68,6675"</f>
        <v>68,6675</v>
      </c>
      <c r="N10" s="7" t="s">
        <v>85</v>
      </c>
    </row>
    <row r="12" spans="1:14" ht="16">
      <c r="A12" s="66" t="s">
        <v>10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</row>
    <row r="13" spans="1:14">
      <c r="A13" s="31" t="s">
        <v>70</v>
      </c>
      <c r="B13" s="10" t="s">
        <v>175</v>
      </c>
      <c r="C13" s="10" t="s">
        <v>90</v>
      </c>
      <c r="D13" s="10" t="s">
        <v>91</v>
      </c>
      <c r="E13" s="11" t="s">
        <v>362</v>
      </c>
      <c r="F13" s="10" t="s">
        <v>82</v>
      </c>
      <c r="G13" s="10" t="s">
        <v>14</v>
      </c>
      <c r="H13" s="29" t="s">
        <v>92</v>
      </c>
      <c r="I13" s="29" t="s">
        <v>30</v>
      </c>
      <c r="J13" s="29" t="s">
        <v>93</v>
      </c>
      <c r="K13" s="31"/>
      <c r="L13" s="41" t="str">
        <f>"82,5"</f>
        <v>82,5</v>
      </c>
      <c r="M13" s="12" t="str">
        <f>"94,3140"</f>
        <v>94,3140</v>
      </c>
      <c r="N13" s="10" t="s">
        <v>85</v>
      </c>
    </row>
    <row r="14" spans="1:14">
      <c r="A14" s="38" t="s">
        <v>70</v>
      </c>
      <c r="B14" s="34" t="s">
        <v>176</v>
      </c>
      <c r="C14" s="34" t="s">
        <v>342</v>
      </c>
      <c r="D14" s="34" t="s">
        <v>94</v>
      </c>
      <c r="E14" s="35" t="s">
        <v>364</v>
      </c>
      <c r="F14" s="34" t="s">
        <v>82</v>
      </c>
      <c r="G14" s="34" t="s">
        <v>14</v>
      </c>
      <c r="H14" s="39" t="s">
        <v>95</v>
      </c>
      <c r="I14" s="39" t="s">
        <v>96</v>
      </c>
      <c r="J14" s="39" t="s">
        <v>97</v>
      </c>
      <c r="K14" s="38"/>
      <c r="L14" s="44" t="str">
        <f>"47,5"</f>
        <v>47,5</v>
      </c>
      <c r="M14" s="36" t="str">
        <f>"54,9411"</f>
        <v>54,9411</v>
      </c>
      <c r="N14" s="34" t="s">
        <v>85</v>
      </c>
    </row>
    <row r="15" spans="1:14">
      <c r="A15" s="33" t="s">
        <v>70</v>
      </c>
      <c r="B15" s="13" t="s">
        <v>177</v>
      </c>
      <c r="C15" s="13" t="s">
        <v>343</v>
      </c>
      <c r="D15" s="13" t="s">
        <v>98</v>
      </c>
      <c r="E15" s="14" t="s">
        <v>365</v>
      </c>
      <c r="F15" s="13" t="s">
        <v>82</v>
      </c>
      <c r="G15" s="13" t="s">
        <v>14</v>
      </c>
      <c r="H15" s="32" t="s">
        <v>99</v>
      </c>
      <c r="I15" s="32" t="s">
        <v>89</v>
      </c>
      <c r="J15" s="37" t="s">
        <v>79</v>
      </c>
      <c r="K15" s="33"/>
      <c r="L15" s="42" t="str">
        <f>"52,5"</f>
        <v>52,5</v>
      </c>
      <c r="M15" s="15" t="str">
        <f>"62,0442"</f>
        <v>62,0442</v>
      </c>
      <c r="N15" s="13" t="s">
        <v>85</v>
      </c>
    </row>
    <row r="17" spans="1:14" ht="16">
      <c r="A17" s="66" t="s">
        <v>100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</row>
    <row r="18" spans="1:14">
      <c r="A18" s="27" t="s">
        <v>70</v>
      </c>
      <c r="B18" s="7" t="s">
        <v>178</v>
      </c>
      <c r="C18" s="7" t="s">
        <v>344</v>
      </c>
      <c r="D18" s="7" t="s">
        <v>101</v>
      </c>
      <c r="E18" s="8" t="s">
        <v>366</v>
      </c>
      <c r="F18" s="7" t="s">
        <v>13</v>
      </c>
      <c r="G18" s="7" t="s">
        <v>14</v>
      </c>
      <c r="H18" s="26" t="s">
        <v>18</v>
      </c>
      <c r="I18" s="28" t="s">
        <v>102</v>
      </c>
      <c r="J18" s="28" t="s">
        <v>102</v>
      </c>
      <c r="K18" s="27"/>
      <c r="L18" s="43" t="str">
        <f>"60,0"</f>
        <v>60,0</v>
      </c>
      <c r="M18" s="9" t="str">
        <f>"79,2099"</f>
        <v>79,2099</v>
      </c>
      <c r="N18" s="7" t="s">
        <v>358</v>
      </c>
    </row>
    <row r="20" spans="1:14" ht="16">
      <c r="A20" s="66" t="s">
        <v>35</v>
      </c>
      <c r="B20" s="66"/>
      <c r="C20" s="67"/>
      <c r="D20" s="67"/>
      <c r="E20" s="67"/>
      <c r="F20" s="67"/>
      <c r="G20" s="67"/>
      <c r="H20" s="67"/>
      <c r="I20" s="67"/>
      <c r="J20" s="67"/>
      <c r="K20" s="67"/>
    </row>
    <row r="21" spans="1:14">
      <c r="A21" s="31" t="s">
        <v>70</v>
      </c>
      <c r="B21" s="10" t="s">
        <v>179</v>
      </c>
      <c r="C21" s="10" t="s">
        <v>103</v>
      </c>
      <c r="D21" s="10" t="s">
        <v>104</v>
      </c>
      <c r="E21" s="11" t="s">
        <v>362</v>
      </c>
      <c r="F21" s="10" t="s">
        <v>48</v>
      </c>
      <c r="G21" s="10" t="s">
        <v>49</v>
      </c>
      <c r="H21" s="29" t="s">
        <v>96</v>
      </c>
      <c r="I21" s="29" t="s">
        <v>99</v>
      </c>
      <c r="J21" s="30" t="s">
        <v>79</v>
      </c>
      <c r="K21" s="31"/>
      <c r="L21" s="41" t="str">
        <f>"50,0"</f>
        <v>50,0</v>
      </c>
      <c r="M21" s="12" t="str">
        <f>"45,4700"</f>
        <v>45,4700</v>
      </c>
      <c r="N21" s="10" t="s">
        <v>54</v>
      </c>
    </row>
    <row r="22" spans="1:14">
      <c r="A22" s="33" t="s">
        <v>70</v>
      </c>
      <c r="B22" s="13" t="s">
        <v>180</v>
      </c>
      <c r="C22" s="13" t="s">
        <v>345</v>
      </c>
      <c r="D22" s="13" t="s">
        <v>105</v>
      </c>
      <c r="E22" s="14" t="s">
        <v>364</v>
      </c>
      <c r="F22" s="13" t="s">
        <v>82</v>
      </c>
      <c r="G22" s="13" t="s">
        <v>14</v>
      </c>
      <c r="H22" s="32" t="s">
        <v>79</v>
      </c>
      <c r="I22" s="32" t="s">
        <v>80</v>
      </c>
      <c r="J22" s="32" t="s">
        <v>18</v>
      </c>
      <c r="K22" s="33"/>
      <c r="L22" s="42" t="str">
        <f>"60,0"</f>
        <v>60,0</v>
      </c>
      <c r="M22" s="15" t="str">
        <f>"54,4388"</f>
        <v>54,4388</v>
      </c>
      <c r="N22" s="13" t="s">
        <v>85</v>
      </c>
    </row>
    <row r="24" spans="1:14" ht="16">
      <c r="A24" s="66" t="s">
        <v>86</v>
      </c>
      <c r="B24" s="66"/>
      <c r="C24" s="67"/>
      <c r="D24" s="67"/>
      <c r="E24" s="67"/>
      <c r="F24" s="67"/>
      <c r="G24" s="67"/>
      <c r="H24" s="67"/>
      <c r="I24" s="67"/>
      <c r="J24" s="67"/>
      <c r="K24" s="67"/>
    </row>
    <row r="25" spans="1:14">
      <c r="A25" s="27" t="s">
        <v>70</v>
      </c>
      <c r="B25" s="7" t="s">
        <v>181</v>
      </c>
      <c r="C25" s="7" t="s">
        <v>106</v>
      </c>
      <c r="D25" s="7" t="s">
        <v>107</v>
      </c>
      <c r="E25" s="8" t="s">
        <v>361</v>
      </c>
      <c r="F25" s="7" t="s">
        <v>13</v>
      </c>
      <c r="G25" s="7" t="s">
        <v>14</v>
      </c>
      <c r="H25" s="26" t="s">
        <v>96</v>
      </c>
      <c r="I25" s="26" t="s">
        <v>99</v>
      </c>
      <c r="J25" s="28" t="s">
        <v>79</v>
      </c>
      <c r="K25" s="27"/>
      <c r="L25" s="43" t="str">
        <f>"50,0"</f>
        <v>50,0</v>
      </c>
      <c r="M25" s="9" t="str">
        <f>"49,9750"</f>
        <v>49,9750</v>
      </c>
      <c r="N25" s="7" t="s">
        <v>24</v>
      </c>
    </row>
    <row r="27" spans="1:14" ht="16">
      <c r="A27" s="66" t="s">
        <v>25</v>
      </c>
      <c r="B27" s="66"/>
      <c r="C27" s="67"/>
      <c r="D27" s="67"/>
      <c r="E27" s="67"/>
      <c r="F27" s="67"/>
      <c r="G27" s="67"/>
      <c r="H27" s="67"/>
      <c r="I27" s="67"/>
      <c r="J27" s="67"/>
      <c r="K27" s="67"/>
    </row>
    <row r="28" spans="1:14">
      <c r="A28" s="31" t="s">
        <v>70</v>
      </c>
      <c r="B28" s="10" t="s">
        <v>182</v>
      </c>
      <c r="C28" s="10" t="s">
        <v>108</v>
      </c>
      <c r="D28" s="10" t="s">
        <v>109</v>
      </c>
      <c r="E28" s="11" t="s">
        <v>361</v>
      </c>
      <c r="F28" s="10" t="s">
        <v>110</v>
      </c>
      <c r="G28" s="10" t="s">
        <v>49</v>
      </c>
      <c r="H28" s="30" t="s">
        <v>19</v>
      </c>
      <c r="I28" s="29" t="s">
        <v>19</v>
      </c>
      <c r="J28" s="30" t="s">
        <v>111</v>
      </c>
      <c r="K28" s="31"/>
      <c r="L28" s="41" t="str">
        <f>"65,0"</f>
        <v>65,0</v>
      </c>
      <c r="M28" s="12" t="str">
        <f>"52,7215"</f>
        <v>52,7215</v>
      </c>
      <c r="N28" s="10" t="s">
        <v>112</v>
      </c>
    </row>
    <row r="29" spans="1:14">
      <c r="A29" s="38" t="s">
        <v>70</v>
      </c>
      <c r="B29" s="34" t="s">
        <v>183</v>
      </c>
      <c r="C29" s="34" t="s">
        <v>346</v>
      </c>
      <c r="D29" s="34" t="s">
        <v>109</v>
      </c>
      <c r="E29" s="35" t="s">
        <v>367</v>
      </c>
      <c r="F29" s="34" t="s">
        <v>13</v>
      </c>
      <c r="G29" s="34" t="s">
        <v>14</v>
      </c>
      <c r="H29" s="39" t="s">
        <v>113</v>
      </c>
      <c r="I29" s="39" t="s">
        <v>15</v>
      </c>
      <c r="J29" s="40" t="s">
        <v>16</v>
      </c>
      <c r="K29" s="38"/>
      <c r="L29" s="44" t="str">
        <f>"90,0"</f>
        <v>90,0</v>
      </c>
      <c r="M29" s="36" t="str">
        <f>"72,9990"</f>
        <v>72,9990</v>
      </c>
      <c r="N29" s="34" t="s">
        <v>24</v>
      </c>
    </row>
    <row r="30" spans="1:14">
      <c r="A30" s="38" t="s">
        <v>70</v>
      </c>
      <c r="B30" s="34" t="s">
        <v>184</v>
      </c>
      <c r="C30" s="34" t="s">
        <v>114</v>
      </c>
      <c r="D30" s="34" t="s">
        <v>115</v>
      </c>
      <c r="E30" s="35" t="s">
        <v>362</v>
      </c>
      <c r="F30" s="34" t="s">
        <v>82</v>
      </c>
      <c r="G30" s="34" t="s">
        <v>14</v>
      </c>
      <c r="H30" s="40" t="s">
        <v>16</v>
      </c>
      <c r="I30" s="39" t="s">
        <v>16</v>
      </c>
      <c r="J30" s="40" t="s">
        <v>21</v>
      </c>
      <c r="K30" s="38"/>
      <c r="L30" s="44" t="str">
        <f>"95,0"</f>
        <v>95,0</v>
      </c>
      <c r="M30" s="36" t="str">
        <f>"74,2235"</f>
        <v>74,2235</v>
      </c>
      <c r="N30" s="34" t="s">
        <v>85</v>
      </c>
    </row>
    <row r="31" spans="1:14">
      <c r="A31" s="38" t="s">
        <v>172</v>
      </c>
      <c r="B31" s="34" t="s">
        <v>185</v>
      </c>
      <c r="C31" s="34" t="s">
        <v>116</v>
      </c>
      <c r="D31" s="34" t="s">
        <v>117</v>
      </c>
      <c r="E31" s="35" t="s">
        <v>362</v>
      </c>
      <c r="F31" s="34" t="s">
        <v>110</v>
      </c>
      <c r="G31" s="34" t="s">
        <v>49</v>
      </c>
      <c r="H31" s="39" t="s">
        <v>93</v>
      </c>
      <c r="I31" s="39" t="s">
        <v>118</v>
      </c>
      <c r="J31" s="39" t="s">
        <v>119</v>
      </c>
      <c r="K31" s="38"/>
      <c r="L31" s="44" t="str">
        <f>"92,5"</f>
        <v>92,5</v>
      </c>
      <c r="M31" s="36" t="str">
        <f>"72,8160"</f>
        <v>72,8160</v>
      </c>
      <c r="N31" s="34" t="s">
        <v>112</v>
      </c>
    </row>
    <row r="32" spans="1:14">
      <c r="A32" s="33" t="s">
        <v>70</v>
      </c>
      <c r="B32" s="13" t="s">
        <v>186</v>
      </c>
      <c r="C32" s="13" t="s">
        <v>347</v>
      </c>
      <c r="D32" s="13" t="s">
        <v>120</v>
      </c>
      <c r="E32" s="14" t="s">
        <v>363</v>
      </c>
      <c r="F32" s="13" t="s">
        <v>82</v>
      </c>
      <c r="G32" s="13" t="s">
        <v>14</v>
      </c>
      <c r="H32" s="32" t="s">
        <v>96</v>
      </c>
      <c r="I32" s="32" t="s">
        <v>99</v>
      </c>
      <c r="J32" s="32" t="s">
        <v>79</v>
      </c>
      <c r="K32" s="33"/>
      <c r="L32" s="42" t="str">
        <f>"55,0"</f>
        <v>55,0</v>
      </c>
      <c r="M32" s="15" t="str">
        <f>"76,4467"</f>
        <v>76,4467</v>
      </c>
      <c r="N32" s="13" t="s">
        <v>85</v>
      </c>
    </row>
    <row r="34" spans="1:14" ht="16">
      <c r="A34" s="66" t="s">
        <v>100</v>
      </c>
      <c r="B34" s="66"/>
      <c r="C34" s="67"/>
      <c r="D34" s="67"/>
      <c r="E34" s="67"/>
      <c r="F34" s="67"/>
      <c r="G34" s="67"/>
      <c r="H34" s="67"/>
      <c r="I34" s="67"/>
      <c r="J34" s="67"/>
      <c r="K34" s="67"/>
    </row>
    <row r="35" spans="1:14">
      <c r="A35" s="31" t="s">
        <v>70</v>
      </c>
      <c r="B35" s="10" t="s">
        <v>187</v>
      </c>
      <c r="C35" s="10" t="s">
        <v>121</v>
      </c>
      <c r="D35" s="10" t="s">
        <v>122</v>
      </c>
      <c r="E35" s="11" t="s">
        <v>362</v>
      </c>
      <c r="F35" s="10" t="s">
        <v>110</v>
      </c>
      <c r="G35" s="10" t="s">
        <v>14</v>
      </c>
      <c r="H35" s="29" t="s">
        <v>39</v>
      </c>
      <c r="I35" s="29" t="s">
        <v>123</v>
      </c>
      <c r="J35" s="30" t="s">
        <v>124</v>
      </c>
      <c r="K35" s="31"/>
      <c r="L35" s="41" t="str">
        <f>"135,0"</f>
        <v>135,0</v>
      </c>
      <c r="M35" s="12" t="str">
        <f>"96,8355"</f>
        <v>96,8355</v>
      </c>
      <c r="N35" s="10" t="s">
        <v>358</v>
      </c>
    </row>
    <row r="36" spans="1:14">
      <c r="A36" s="38" t="s">
        <v>172</v>
      </c>
      <c r="B36" s="34" t="s">
        <v>188</v>
      </c>
      <c r="C36" s="34" t="s">
        <v>125</v>
      </c>
      <c r="D36" s="34" t="s">
        <v>126</v>
      </c>
      <c r="E36" s="35" t="s">
        <v>362</v>
      </c>
      <c r="F36" s="34" t="s">
        <v>82</v>
      </c>
      <c r="G36" s="34" t="s">
        <v>14</v>
      </c>
      <c r="H36" s="39" t="s">
        <v>23</v>
      </c>
      <c r="I36" s="39" t="s">
        <v>39</v>
      </c>
      <c r="J36" s="40" t="s">
        <v>31</v>
      </c>
      <c r="K36" s="38"/>
      <c r="L36" s="44" t="str">
        <f>"125,0"</f>
        <v>125,0</v>
      </c>
      <c r="M36" s="36" t="str">
        <f>"89,0750"</f>
        <v>89,0750</v>
      </c>
      <c r="N36" s="34" t="s">
        <v>85</v>
      </c>
    </row>
    <row r="37" spans="1:14">
      <c r="A37" s="38" t="s">
        <v>189</v>
      </c>
      <c r="B37" s="34" t="s">
        <v>190</v>
      </c>
      <c r="C37" s="34" t="s">
        <v>127</v>
      </c>
      <c r="D37" s="34" t="s">
        <v>128</v>
      </c>
      <c r="E37" s="35" t="s">
        <v>362</v>
      </c>
      <c r="F37" s="34" t="s">
        <v>48</v>
      </c>
      <c r="G37" s="34" t="s">
        <v>49</v>
      </c>
      <c r="H37" s="39" t="s">
        <v>22</v>
      </c>
      <c r="I37" s="39" t="s">
        <v>29</v>
      </c>
      <c r="J37" s="40" t="s">
        <v>129</v>
      </c>
      <c r="K37" s="38"/>
      <c r="L37" s="44" t="str">
        <f>"115,0"</f>
        <v>115,0</v>
      </c>
      <c r="M37" s="36" t="str">
        <f>"88,3545"</f>
        <v>88,3545</v>
      </c>
      <c r="N37" s="34" t="s">
        <v>54</v>
      </c>
    </row>
    <row r="38" spans="1:14">
      <c r="A38" s="38" t="s">
        <v>191</v>
      </c>
      <c r="B38" s="34" t="s">
        <v>192</v>
      </c>
      <c r="C38" s="34" t="s">
        <v>130</v>
      </c>
      <c r="D38" s="34" t="s">
        <v>131</v>
      </c>
      <c r="E38" s="35" t="s">
        <v>362</v>
      </c>
      <c r="F38" s="34" t="s">
        <v>48</v>
      </c>
      <c r="G38" s="34" t="s">
        <v>49</v>
      </c>
      <c r="H38" s="39" t="s">
        <v>19</v>
      </c>
      <c r="I38" s="39" t="s">
        <v>111</v>
      </c>
      <c r="J38" s="40" t="s">
        <v>20</v>
      </c>
      <c r="K38" s="38"/>
      <c r="L38" s="44" t="str">
        <f>"70,0"</f>
        <v>70,0</v>
      </c>
      <c r="M38" s="36" t="str">
        <f>"50,2530"</f>
        <v>50,2530</v>
      </c>
      <c r="N38" s="34" t="s">
        <v>54</v>
      </c>
    </row>
    <row r="39" spans="1:14">
      <c r="A39" s="33" t="s">
        <v>70</v>
      </c>
      <c r="B39" s="13" t="s">
        <v>193</v>
      </c>
      <c r="C39" s="13" t="s">
        <v>348</v>
      </c>
      <c r="D39" s="13" t="s">
        <v>122</v>
      </c>
      <c r="E39" s="14" t="s">
        <v>366</v>
      </c>
      <c r="F39" s="13" t="s">
        <v>13</v>
      </c>
      <c r="G39" s="13" t="s">
        <v>14</v>
      </c>
      <c r="H39" s="32" t="s">
        <v>23</v>
      </c>
      <c r="I39" s="32" t="s">
        <v>39</v>
      </c>
      <c r="J39" s="37" t="s">
        <v>132</v>
      </c>
      <c r="K39" s="33"/>
      <c r="L39" s="42" t="str">
        <f>"125,0"</f>
        <v>125,0</v>
      </c>
      <c r="M39" s="15" t="str">
        <f>"121,0444"</f>
        <v>121,0444</v>
      </c>
      <c r="N39" s="13" t="s">
        <v>358</v>
      </c>
    </row>
    <row r="41" spans="1:14" ht="16">
      <c r="A41" s="66" t="s">
        <v>35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</row>
    <row r="42" spans="1:14">
      <c r="A42" s="31" t="s">
        <v>70</v>
      </c>
      <c r="B42" s="10" t="s">
        <v>194</v>
      </c>
      <c r="C42" s="10" t="s">
        <v>133</v>
      </c>
      <c r="D42" s="10" t="s">
        <v>134</v>
      </c>
      <c r="E42" s="11" t="s">
        <v>361</v>
      </c>
      <c r="F42" s="10" t="s">
        <v>13</v>
      </c>
      <c r="G42" s="10" t="s">
        <v>14</v>
      </c>
      <c r="H42" s="29" t="s">
        <v>118</v>
      </c>
      <c r="I42" s="29" t="s">
        <v>119</v>
      </c>
      <c r="J42" s="29" t="s">
        <v>21</v>
      </c>
      <c r="K42" s="31"/>
      <c r="L42" s="41" t="str">
        <f>"100,0"</f>
        <v>100,0</v>
      </c>
      <c r="M42" s="12" t="str">
        <f>"67,3900"</f>
        <v>67,3900</v>
      </c>
      <c r="N42" s="10" t="s">
        <v>24</v>
      </c>
    </row>
    <row r="43" spans="1:14">
      <c r="A43" s="33" t="s">
        <v>70</v>
      </c>
      <c r="B43" s="13" t="s">
        <v>195</v>
      </c>
      <c r="C43" s="13" t="s">
        <v>136</v>
      </c>
      <c r="D43" s="13" t="s">
        <v>137</v>
      </c>
      <c r="E43" s="14" t="s">
        <v>362</v>
      </c>
      <c r="F43" s="13" t="s">
        <v>110</v>
      </c>
      <c r="G43" s="13" t="s">
        <v>49</v>
      </c>
      <c r="H43" s="32" t="s">
        <v>138</v>
      </c>
      <c r="I43" s="32" t="s">
        <v>139</v>
      </c>
      <c r="J43" s="37" t="s">
        <v>59</v>
      </c>
      <c r="K43" s="33"/>
      <c r="L43" s="42" t="str">
        <f>"167,5"</f>
        <v>167,5</v>
      </c>
      <c r="M43" s="15" t="str">
        <f>"113,9000"</f>
        <v>113,9000</v>
      </c>
      <c r="N43" s="13" t="s">
        <v>112</v>
      </c>
    </row>
    <row r="45" spans="1:14" ht="16">
      <c r="A45" s="66" t="s">
        <v>45</v>
      </c>
      <c r="B45" s="66"/>
      <c r="C45" s="67"/>
      <c r="D45" s="67"/>
      <c r="E45" s="67"/>
      <c r="F45" s="67"/>
      <c r="G45" s="67"/>
      <c r="H45" s="67"/>
      <c r="I45" s="67"/>
      <c r="J45" s="67"/>
      <c r="K45" s="67"/>
    </row>
    <row r="46" spans="1:14">
      <c r="A46" s="31" t="s">
        <v>70</v>
      </c>
      <c r="B46" s="10" t="s">
        <v>196</v>
      </c>
      <c r="C46" s="10" t="s">
        <v>349</v>
      </c>
      <c r="D46" s="10" t="s">
        <v>140</v>
      </c>
      <c r="E46" s="11" t="s">
        <v>367</v>
      </c>
      <c r="F46" s="10" t="s">
        <v>13</v>
      </c>
      <c r="G46" s="10" t="s">
        <v>14</v>
      </c>
      <c r="H46" s="29" t="s">
        <v>23</v>
      </c>
      <c r="I46" s="29" t="s">
        <v>132</v>
      </c>
      <c r="J46" s="29" t="s">
        <v>123</v>
      </c>
      <c r="K46" s="31"/>
      <c r="L46" s="41" t="str">
        <f>"135,0"</f>
        <v>135,0</v>
      </c>
      <c r="M46" s="12" t="str">
        <f>"89,5995"</f>
        <v>89,5995</v>
      </c>
      <c r="N46" s="10" t="s">
        <v>24</v>
      </c>
    </row>
    <row r="47" spans="1:14">
      <c r="A47" s="38" t="s">
        <v>70</v>
      </c>
      <c r="B47" s="34" t="s">
        <v>197</v>
      </c>
      <c r="C47" s="34" t="s">
        <v>142</v>
      </c>
      <c r="D47" s="34" t="s">
        <v>143</v>
      </c>
      <c r="E47" s="35" t="s">
        <v>362</v>
      </c>
      <c r="F47" s="34" t="s">
        <v>330</v>
      </c>
      <c r="G47" s="34" t="s">
        <v>144</v>
      </c>
      <c r="H47" s="39" t="s">
        <v>145</v>
      </c>
      <c r="I47" s="39" t="s">
        <v>146</v>
      </c>
      <c r="J47" s="40" t="s">
        <v>147</v>
      </c>
      <c r="K47" s="38"/>
      <c r="L47" s="44" t="str">
        <f>"220,0"</f>
        <v>220,0</v>
      </c>
      <c r="M47" s="36" t="str">
        <f>"142,4500"</f>
        <v>142,4500</v>
      </c>
      <c r="N47" s="34" t="s">
        <v>358</v>
      </c>
    </row>
    <row r="48" spans="1:14">
      <c r="A48" s="38" t="s">
        <v>172</v>
      </c>
      <c r="B48" s="34" t="s">
        <v>198</v>
      </c>
      <c r="C48" s="34" t="s">
        <v>148</v>
      </c>
      <c r="D48" s="34" t="s">
        <v>149</v>
      </c>
      <c r="E48" s="35" t="s">
        <v>362</v>
      </c>
      <c r="F48" s="34" t="s">
        <v>330</v>
      </c>
      <c r="G48" s="34" t="s">
        <v>14</v>
      </c>
      <c r="H48" s="39" t="s">
        <v>32</v>
      </c>
      <c r="I48" s="39" t="s">
        <v>50</v>
      </c>
      <c r="J48" s="38"/>
      <c r="K48" s="38"/>
      <c r="L48" s="44" t="str">
        <f>"150,0"</f>
        <v>150,0</v>
      </c>
      <c r="M48" s="36" t="str">
        <f>"95,7600"</f>
        <v>95,7600</v>
      </c>
      <c r="N48" s="34" t="s">
        <v>358</v>
      </c>
    </row>
    <row r="49" spans="1:14">
      <c r="A49" s="33" t="s">
        <v>189</v>
      </c>
      <c r="B49" s="13" t="s">
        <v>199</v>
      </c>
      <c r="C49" s="13" t="s">
        <v>150</v>
      </c>
      <c r="D49" s="13" t="s">
        <v>151</v>
      </c>
      <c r="E49" s="14" t="s">
        <v>362</v>
      </c>
      <c r="F49" s="13" t="s">
        <v>48</v>
      </c>
      <c r="G49" s="13" t="s">
        <v>49</v>
      </c>
      <c r="H49" s="32" t="s">
        <v>152</v>
      </c>
      <c r="I49" s="32" t="s">
        <v>29</v>
      </c>
      <c r="J49" s="37" t="s">
        <v>129</v>
      </c>
      <c r="K49" s="33"/>
      <c r="L49" s="42" t="str">
        <f>"115,0"</f>
        <v>115,0</v>
      </c>
      <c r="M49" s="15" t="str">
        <f>"75,9690"</f>
        <v>75,9690</v>
      </c>
      <c r="N49" s="13" t="s">
        <v>54</v>
      </c>
    </row>
    <row r="51" spans="1:14" ht="16">
      <c r="A51" s="66" t="s">
        <v>153</v>
      </c>
      <c r="B51" s="66"/>
      <c r="C51" s="67"/>
      <c r="D51" s="67"/>
      <c r="E51" s="67"/>
      <c r="F51" s="67"/>
      <c r="G51" s="67"/>
      <c r="H51" s="67"/>
      <c r="I51" s="67"/>
      <c r="J51" s="67"/>
      <c r="K51" s="67"/>
    </row>
    <row r="52" spans="1:14">
      <c r="A52" s="31" t="s">
        <v>70</v>
      </c>
      <c r="B52" s="10" t="s">
        <v>200</v>
      </c>
      <c r="C52" s="10" t="s">
        <v>154</v>
      </c>
      <c r="D52" s="10" t="s">
        <v>155</v>
      </c>
      <c r="E52" s="11" t="s">
        <v>362</v>
      </c>
      <c r="F52" s="10" t="s">
        <v>156</v>
      </c>
      <c r="G52" s="10" t="s">
        <v>14</v>
      </c>
      <c r="H52" s="29" t="s">
        <v>31</v>
      </c>
      <c r="I52" s="29" t="s">
        <v>32</v>
      </c>
      <c r="J52" s="29" t="s">
        <v>50</v>
      </c>
      <c r="K52" s="31"/>
      <c r="L52" s="41" t="str">
        <f>"150,0"</f>
        <v>150,0</v>
      </c>
      <c r="M52" s="12" t="str">
        <f>"92,1300"</f>
        <v>92,1300</v>
      </c>
      <c r="N52" s="10" t="s">
        <v>157</v>
      </c>
    </row>
    <row r="53" spans="1:14">
      <c r="A53" s="38" t="s">
        <v>172</v>
      </c>
      <c r="B53" s="34" t="s">
        <v>201</v>
      </c>
      <c r="C53" s="34" t="s">
        <v>158</v>
      </c>
      <c r="D53" s="34" t="s">
        <v>159</v>
      </c>
      <c r="E53" s="35" t="s">
        <v>362</v>
      </c>
      <c r="F53" s="34" t="s">
        <v>48</v>
      </c>
      <c r="G53" s="34" t="s">
        <v>49</v>
      </c>
      <c r="H53" s="39" t="s">
        <v>22</v>
      </c>
      <c r="I53" s="39" t="s">
        <v>29</v>
      </c>
      <c r="J53" s="40" t="s">
        <v>23</v>
      </c>
      <c r="K53" s="38"/>
      <c r="L53" s="44" t="str">
        <f>"115,0"</f>
        <v>115,0</v>
      </c>
      <c r="M53" s="36" t="str">
        <f>"72,5075"</f>
        <v>72,5075</v>
      </c>
      <c r="N53" s="34" t="s">
        <v>54</v>
      </c>
    </row>
    <row r="54" spans="1:14">
      <c r="A54" s="38" t="s">
        <v>202</v>
      </c>
      <c r="B54" s="34" t="s">
        <v>203</v>
      </c>
      <c r="C54" s="34" t="s">
        <v>160</v>
      </c>
      <c r="D54" s="34" t="s">
        <v>161</v>
      </c>
      <c r="E54" s="35" t="s">
        <v>362</v>
      </c>
      <c r="F54" s="34" t="s">
        <v>330</v>
      </c>
      <c r="G54" s="34" t="s">
        <v>355</v>
      </c>
      <c r="H54" s="40" t="s">
        <v>39</v>
      </c>
      <c r="I54" s="38"/>
      <c r="J54" s="38"/>
      <c r="K54" s="38"/>
      <c r="L54" s="44">
        <v>0</v>
      </c>
      <c r="M54" s="36" t="str">
        <f>"0,0000"</f>
        <v>0,0000</v>
      </c>
      <c r="N54" s="34" t="s">
        <v>358</v>
      </c>
    </row>
    <row r="55" spans="1:14">
      <c r="A55" s="33" t="s">
        <v>70</v>
      </c>
      <c r="B55" s="13" t="s">
        <v>204</v>
      </c>
      <c r="C55" s="13" t="s">
        <v>350</v>
      </c>
      <c r="D55" s="13" t="s">
        <v>162</v>
      </c>
      <c r="E55" s="14" t="s">
        <v>363</v>
      </c>
      <c r="F55" s="13" t="s">
        <v>330</v>
      </c>
      <c r="G55" s="13" t="s">
        <v>14</v>
      </c>
      <c r="H55" s="32" t="s">
        <v>22</v>
      </c>
      <c r="I55" s="32" t="s">
        <v>29</v>
      </c>
      <c r="J55" s="32" t="s">
        <v>129</v>
      </c>
      <c r="K55" s="33"/>
      <c r="L55" s="42" t="str">
        <f>"117,5"</f>
        <v>117,5</v>
      </c>
      <c r="M55" s="15" t="str">
        <f>"120,5075"</f>
        <v>120,5075</v>
      </c>
      <c r="N55" s="13" t="s">
        <v>358</v>
      </c>
    </row>
    <row r="57" spans="1:14" ht="16">
      <c r="A57" s="66" t="s">
        <v>55</v>
      </c>
      <c r="B57" s="66"/>
      <c r="C57" s="67"/>
      <c r="D57" s="67"/>
      <c r="E57" s="67"/>
      <c r="F57" s="67"/>
      <c r="G57" s="67"/>
      <c r="H57" s="67"/>
      <c r="I57" s="67"/>
      <c r="J57" s="67"/>
      <c r="K57" s="67"/>
    </row>
    <row r="58" spans="1:14">
      <c r="A58" s="27" t="s">
        <v>70</v>
      </c>
      <c r="B58" s="7" t="s">
        <v>205</v>
      </c>
      <c r="C58" s="7" t="s">
        <v>164</v>
      </c>
      <c r="D58" s="7" t="s">
        <v>165</v>
      </c>
      <c r="E58" s="8" t="s">
        <v>362</v>
      </c>
      <c r="F58" s="7" t="s">
        <v>156</v>
      </c>
      <c r="G58" s="7" t="s">
        <v>14</v>
      </c>
      <c r="H58" s="26" t="s">
        <v>44</v>
      </c>
      <c r="I58" s="26" t="s">
        <v>166</v>
      </c>
      <c r="J58" s="26" t="s">
        <v>167</v>
      </c>
      <c r="K58" s="27"/>
      <c r="L58" s="43" t="str">
        <f>"207,5"</f>
        <v>207,5</v>
      </c>
      <c r="M58" s="9" t="str">
        <f>"123,8775"</f>
        <v>123,8775</v>
      </c>
      <c r="N58" s="7" t="s">
        <v>358</v>
      </c>
    </row>
    <row r="60" spans="1:14">
      <c r="N60" s="6"/>
    </row>
    <row r="61" spans="1:14">
      <c r="N61" s="6"/>
    </row>
    <row r="62" spans="1:14" ht="18">
      <c r="B62" s="17" t="s">
        <v>61</v>
      </c>
      <c r="C62" s="17"/>
      <c r="E62" s="5"/>
      <c r="F62" s="16"/>
      <c r="N62" s="6"/>
    </row>
    <row r="63" spans="1:14" ht="16">
      <c r="B63" s="18" t="s">
        <v>62</v>
      </c>
      <c r="C63" s="18"/>
      <c r="E63" s="5"/>
      <c r="F63" s="16"/>
      <c r="N63" s="6"/>
    </row>
    <row r="64" spans="1:14" ht="14">
      <c r="B64" s="19"/>
      <c r="C64" s="20" t="s">
        <v>68</v>
      </c>
      <c r="E64" s="5"/>
      <c r="F64" s="16"/>
      <c r="N64" s="6"/>
    </row>
    <row r="65" spans="2:14" ht="14">
      <c r="B65" s="21" t="s">
        <v>63</v>
      </c>
      <c r="C65" s="21" t="s">
        <v>64</v>
      </c>
      <c r="D65" s="21" t="s">
        <v>354</v>
      </c>
      <c r="E65" s="22" t="s">
        <v>168</v>
      </c>
      <c r="F65" s="21" t="s">
        <v>65</v>
      </c>
      <c r="N65" s="6"/>
    </row>
    <row r="66" spans="2:14">
      <c r="B66" s="5" t="s">
        <v>141</v>
      </c>
      <c r="C66" s="5" t="s">
        <v>68</v>
      </c>
      <c r="D66" s="24" t="s">
        <v>66</v>
      </c>
      <c r="E66" s="25">
        <v>220</v>
      </c>
      <c r="F66" s="23">
        <v>142.44999527931199</v>
      </c>
      <c r="N66" s="6"/>
    </row>
    <row r="67" spans="2:14">
      <c r="B67" s="5" t="s">
        <v>163</v>
      </c>
      <c r="C67" s="5" t="s">
        <v>68</v>
      </c>
      <c r="D67" s="24" t="s">
        <v>67</v>
      </c>
      <c r="E67" s="25">
        <v>207.5</v>
      </c>
      <c r="F67" s="23">
        <v>123.87750059366201</v>
      </c>
      <c r="H67" s="5"/>
      <c r="N67" s="6"/>
    </row>
    <row r="68" spans="2:14">
      <c r="B68" s="5" t="s">
        <v>135</v>
      </c>
      <c r="C68" s="5" t="s">
        <v>68</v>
      </c>
      <c r="D68" s="24" t="s">
        <v>69</v>
      </c>
      <c r="E68" s="25">
        <v>167.5</v>
      </c>
      <c r="F68" s="23">
        <v>113.900001198053</v>
      </c>
      <c r="H68" s="5"/>
      <c r="N68" s="6"/>
    </row>
  </sheetData>
  <mergeCells count="24">
    <mergeCell ref="A34:K34"/>
    <mergeCell ref="A41:K41"/>
    <mergeCell ref="A45:K45"/>
    <mergeCell ref="A51:K51"/>
    <mergeCell ref="A57:K57"/>
    <mergeCell ref="A24:K24"/>
    <mergeCell ref="A27:K27"/>
    <mergeCell ref="L3:L4"/>
    <mergeCell ref="M3:M4"/>
    <mergeCell ref="N3:N4"/>
    <mergeCell ref="A5:K5"/>
    <mergeCell ref="B3:B4"/>
    <mergeCell ref="A9:K9"/>
    <mergeCell ref="A12:K12"/>
    <mergeCell ref="A17:K17"/>
    <mergeCell ref="A20:K20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22.16406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5.6640625" style="5" customWidth="1"/>
    <col min="8" max="10" width="5.5" style="24" customWidth="1"/>
    <col min="11" max="11" width="4.5" style="24" customWidth="1"/>
    <col min="12" max="12" width="10.5" style="25" bestFit="1" customWidth="1"/>
    <col min="13" max="13" width="8.5" style="6" bestFit="1" customWidth="1"/>
    <col min="14" max="14" width="24.33203125" style="5" customWidth="1"/>
    <col min="15" max="16384" width="9.1640625" style="3"/>
  </cols>
  <sheetData>
    <row r="1" spans="1:14" s="2" customFormat="1" ht="29" customHeight="1">
      <c r="A1" s="47" t="s">
        <v>334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8</v>
      </c>
      <c r="I3" s="55"/>
      <c r="J3" s="55"/>
      <c r="K3" s="55"/>
      <c r="L3" s="68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69"/>
      <c r="M4" s="46"/>
      <c r="N4" s="61"/>
    </row>
    <row r="5" spans="1:14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31" t="s">
        <v>70</v>
      </c>
      <c r="B6" s="10" t="s">
        <v>308</v>
      </c>
      <c r="C6" s="10" t="s">
        <v>286</v>
      </c>
      <c r="D6" s="10" t="s">
        <v>287</v>
      </c>
      <c r="E6" s="11" t="s">
        <v>362</v>
      </c>
      <c r="F6" s="10" t="s">
        <v>110</v>
      </c>
      <c r="G6" s="10" t="s">
        <v>49</v>
      </c>
      <c r="H6" s="29" t="s">
        <v>288</v>
      </c>
      <c r="I6" s="30" t="s">
        <v>50</v>
      </c>
      <c r="J6" s="30" t="s">
        <v>50</v>
      </c>
      <c r="K6" s="31"/>
      <c r="L6" s="41" t="str">
        <f>"145,0"</f>
        <v>145,0</v>
      </c>
      <c r="M6" s="12" t="str">
        <f>"121,4520"</f>
        <v>121,4520</v>
      </c>
      <c r="N6" s="10" t="s">
        <v>112</v>
      </c>
    </row>
    <row r="7" spans="1:14">
      <c r="A7" s="33" t="s">
        <v>202</v>
      </c>
      <c r="B7" s="13" t="s">
        <v>309</v>
      </c>
      <c r="C7" s="13" t="s">
        <v>289</v>
      </c>
      <c r="D7" s="13" t="s">
        <v>290</v>
      </c>
      <c r="E7" s="14" t="s">
        <v>362</v>
      </c>
      <c r="F7" s="13" t="s">
        <v>110</v>
      </c>
      <c r="G7" s="13" t="s">
        <v>14</v>
      </c>
      <c r="H7" s="37" t="s">
        <v>52</v>
      </c>
      <c r="I7" s="37" t="s">
        <v>52</v>
      </c>
      <c r="J7" s="37" t="s">
        <v>53</v>
      </c>
      <c r="K7" s="33"/>
      <c r="L7" s="42">
        <v>0</v>
      </c>
      <c r="M7" s="15" t="str">
        <f>"0,0000"</f>
        <v>0,0000</v>
      </c>
      <c r="N7" s="13" t="s">
        <v>112</v>
      </c>
    </row>
    <row r="9" spans="1:14" ht="16">
      <c r="A9" s="66" t="s">
        <v>35</v>
      </c>
      <c r="B9" s="66"/>
      <c r="C9" s="67"/>
      <c r="D9" s="67"/>
      <c r="E9" s="67"/>
      <c r="F9" s="67"/>
      <c r="G9" s="67"/>
      <c r="H9" s="67"/>
      <c r="I9" s="67"/>
      <c r="J9" s="67"/>
      <c r="K9" s="67"/>
    </row>
    <row r="10" spans="1:14">
      <c r="A10" s="31" t="s">
        <v>70</v>
      </c>
      <c r="B10" s="10" t="s">
        <v>195</v>
      </c>
      <c r="C10" s="10" t="s">
        <v>136</v>
      </c>
      <c r="D10" s="10" t="s">
        <v>137</v>
      </c>
      <c r="E10" s="11" t="s">
        <v>362</v>
      </c>
      <c r="F10" s="10" t="s">
        <v>110</v>
      </c>
      <c r="G10" s="10" t="s">
        <v>49</v>
      </c>
      <c r="H10" s="29" t="s">
        <v>217</v>
      </c>
      <c r="I10" s="30" t="s">
        <v>218</v>
      </c>
      <c r="J10" s="30" t="s">
        <v>291</v>
      </c>
      <c r="K10" s="31"/>
      <c r="L10" s="41" t="str">
        <f>"240,0"</f>
        <v>240,0</v>
      </c>
      <c r="M10" s="12" t="str">
        <f>"157,2120"</f>
        <v>157,2120</v>
      </c>
      <c r="N10" s="10" t="s">
        <v>112</v>
      </c>
    </row>
    <row r="11" spans="1:14">
      <c r="A11" s="38" t="s">
        <v>172</v>
      </c>
      <c r="B11" s="34" t="s">
        <v>310</v>
      </c>
      <c r="C11" s="34" t="s">
        <v>292</v>
      </c>
      <c r="D11" s="34" t="s">
        <v>293</v>
      </c>
      <c r="E11" s="35" t="s">
        <v>362</v>
      </c>
      <c r="F11" s="34" t="s">
        <v>110</v>
      </c>
      <c r="G11" s="34" t="s">
        <v>14</v>
      </c>
      <c r="H11" s="39" t="s">
        <v>51</v>
      </c>
      <c r="I11" s="39" t="s">
        <v>52</v>
      </c>
      <c r="J11" s="40" t="s">
        <v>166</v>
      </c>
      <c r="K11" s="38"/>
      <c r="L11" s="44" t="str">
        <f>"190,0"</f>
        <v>190,0</v>
      </c>
      <c r="M11" s="36" t="str">
        <f>"123,3575"</f>
        <v>123,3575</v>
      </c>
      <c r="N11" s="34" t="s">
        <v>112</v>
      </c>
    </row>
    <row r="12" spans="1:14">
      <c r="A12" s="33" t="s">
        <v>70</v>
      </c>
      <c r="B12" s="13" t="s">
        <v>195</v>
      </c>
      <c r="C12" s="13" t="s">
        <v>351</v>
      </c>
      <c r="D12" s="13" t="s">
        <v>137</v>
      </c>
      <c r="E12" s="14" t="s">
        <v>364</v>
      </c>
      <c r="F12" s="13" t="s">
        <v>110</v>
      </c>
      <c r="G12" s="13" t="s">
        <v>49</v>
      </c>
      <c r="H12" s="32" t="s">
        <v>217</v>
      </c>
      <c r="I12" s="37" t="s">
        <v>218</v>
      </c>
      <c r="J12" s="37" t="s">
        <v>291</v>
      </c>
      <c r="K12" s="33"/>
      <c r="L12" s="42" t="str">
        <f>"240,0"</f>
        <v>240,0</v>
      </c>
      <c r="M12" s="15" t="str">
        <f>"162,0856"</f>
        <v>162,0856</v>
      </c>
      <c r="N12" s="13" t="s">
        <v>112</v>
      </c>
    </row>
    <row r="14" spans="1:14" ht="16">
      <c r="A14" s="66" t="s">
        <v>45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14">
      <c r="A15" s="31" t="s">
        <v>70</v>
      </c>
      <c r="B15" s="10" t="s">
        <v>311</v>
      </c>
      <c r="C15" s="10" t="s">
        <v>294</v>
      </c>
      <c r="D15" s="10" t="s">
        <v>295</v>
      </c>
      <c r="E15" s="11" t="s">
        <v>362</v>
      </c>
      <c r="F15" s="10" t="s">
        <v>330</v>
      </c>
      <c r="G15" s="10" t="s">
        <v>296</v>
      </c>
      <c r="H15" s="30" t="s">
        <v>53</v>
      </c>
      <c r="I15" s="29" t="s">
        <v>53</v>
      </c>
      <c r="J15" s="30" t="s">
        <v>145</v>
      </c>
      <c r="K15" s="31"/>
      <c r="L15" s="41" t="str">
        <f>"200,0"</f>
        <v>200,0</v>
      </c>
      <c r="M15" s="12" t="str">
        <f>"126,2050"</f>
        <v>126,2050</v>
      </c>
      <c r="N15" s="10" t="s">
        <v>358</v>
      </c>
    </row>
    <row r="16" spans="1:14">
      <c r="A16" s="33" t="s">
        <v>172</v>
      </c>
      <c r="B16" s="13" t="s">
        <v>312</v>
      </c>
      <c r="C16" s="13" t="s">
        <v>297</v>
      </c>
      <c r="D16" s="13" t="s">
        <v>298</v>
      </c>
      <c r="E16" s="14" t="s">
        <v>362</v>
      </c>
      <c r="F16" s="13" t="s">
        <v>110</v>
      </c>
      <c r="G16" s="13" t="s">
        <v>49</v>
      </c>
      <c r="H16" s="32" t="s">
        <v>51</v>
      </c>
      <c r="I16" s="37" t="s">
        <v>52</v>
      </c>
      <c r="J16" s="32" t="s">
        <v>52</v>
      </c>
      <c r="K16" s="33"/>
      <c r="L16" s="42" t="str">
        <f>"190,0"</f>
        <v>190,0</v>
      </c>
      <c r="M16" s="15" t="str">
        <f>"116,9450"</f>
        <v>116,9450</v>
      </c>
      <c r="N16" s="13" t="s">
        <v>112</v>
      </c>
    </row>
    <row r="18" spans="1:14" ht="16">
      <c r="A18" s="66" t="s">
        <v>153</v>
      </c>
      <c r="B18" s="66"/>
      <c r="C18" s="67"/>
      <c r="D18" s="67"/>
      <c r="E18" s="67"/>
      <c r="F18" s="67"/>
      <c r="G18" s="67"/>
      <c r="H18" s="67"/>
      <c r="I18" s="67"/>
      <c r="J18" s="67"/>
      <c r="K18" s="67"/>
    </row>
    <row r="19" spans="1:14">
      <c r="A19" s="27" t="s">
        <v>70</v>
      </c>
      <c r="B19" s="7" t="s">
        <v>313</v>
      </c>
      <c r="C19" s="7" t="s">
        <v>299</v>
      </c>
      <c r="D19" s="7" t="s">
        <v>300</v>
      </c>
      <c r="E19" s="8" t="s">
        <v>362</v>
      </c>
      <c r="F19" s="7" t="s">
        <v>110</v>
      </c>
      <c r="G19" s="7" t="s">
        <v>49</v>
      </c>
      <c r="H19" s="28" t="s">
        <v>225</v>
      </c>
      <c r="I19" s="26" t="s">
        <v>225</v>
      </c>
      <c r="J19" s="26" t="s">
        <v>217</v>
      </c>
      <c r="K19" s="27"/>
      <c r="L19" s="43" t="str">
        <f>"240,0"</f>
        <v>240,0</v>
      </c>
      <c r="M19" s="9" t="str">
        <f>"141,3540"</f>
        <v>141,3540</v>
      </c>
      <c r="N19" s="7" t="s">
        <v>112</v>
      </c>
    </row>
    <row r="21" spans="1:14" ht="16">
      <c r="A21" s="66" t="s">
        <v>55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</row>
    <row r="22" spans="1:14">
      <c r="A22" s="31" t="s">
        <v>70</v>
      </c>
      <c r="B22" s="10" t="s">
        <v>314</v>
      </c>
      <c r="C22" s="10" t="s">
        <v>301</v>
      </c>
      <c r="D22" s="10" t="s">
        <v>302</v>
      </c>
      <c r="E22" s="11" t="s">
        <v>362</v>
      </c>
      <c r="F22" s="10" t="s">
        <v>110</v>
      </c>
      <c r="G22" s="10" t="s">
        <v>49</v>
      </c>
      <c r="H22" s="29" t="s">
        <v>303</v>
      </c>
      <c r="I22" s="29" t="s">
        <v>304</v>
      </c>
      <c r="J22" s="30" t="s">
        <v>305</v>
      </c>
      <c r="K22" s="31"/>
      <c r="L22" s="41" t="str">
        <f>"305,0"</f>
        <v>305,0</v>
      </c>
      <c r="M22" s="12" t="str">
        <f>"173,7738"</f>
        <v>173,7738</v>
      </c>
      <c r="N22" s="10" t="s">
        <v>358</v>
      </c>
    </row>
    <row r="23" spans="1:14">
      <c r="A23" s="33" t="s">
        <v>172</v>
      </c>
      <c r="B23" s="13" t="s">
        <v>315</v>
      </c>
      <c r="C23" s="13" t="s">
        <v>306</v>
      </c>
      <c r="D23" s="13" t="s">
        <v>307</v>
      </c>
      <c r="E23" s="14" t="s">
        <v>362</v>
      </c>
      <c r="F23" s="13" t="s">
        <v>13</v>
      </c>
      <c r="G23" s="13" t="s">
        <v>14</v>
      </c>
      <c r="H23" s="32" t="s">
        <v>146</v>
      </c>
      <c r="I23" s="32" t="s">
        <v>225</v>
      </c>
      <c r="J23" s="32" t="s">
        <v>217</v>
      </c>
      <c r="K23" s="33"/>
      <c r="L23" s="42" t="str">
        <f>"240,0"</f>
        <v>240,0</v>
      </c>
      <c r="M23" s="15" t="str">
        <f>"137,1000"</f>
        <v>137,1000</v>
      </c>
      <c r="N23" s="13" t="s">
        <v>358</v>
      </c>
    </row>
    <row r="25" spans="1:14">
      <c r="N25" s="6"/>
    </row>
    <row r="26" spans="1:14">
      <c r="N26" s="6"/>
    </row>
    <row r="27" spans="1:14" ht="18">
      <c r="B27" s="17" t="s">
        <v>61</v>
      </c>
      <c r="C27" s="17"/>
      <c r="E27" s="5"/>
      <c r="F27" s="16"/>
      <c r="N27" s="6"/>
    </row>
    <row r="28" spans="1:14" ht="16">
      <c r="B28" s="18" t="s">
        <v>62</v>
      </c>
      <c r="C28" s="18"/>
      <c r="E28" s="5"/>
      <c r="F28" s="16"/>
      <c r="N28" s="6"/>
    </row>
    <row r="29" spans="1:14" ht="14">
      <c r="B29" s="19"/>
      <c r="C29" s="20" t="s">
        <v>68</v>
      </c>
      <c r="E29" s="5"/>
      <c r="F29" s="16"/>
      <c r="N29" s="6"/>
    </row>
    <row r="30" spans="1:14" ht="14">
      <c r="B30" s="21" t="s">
        <v>63</v>
      </c>
      <c r="C30" s="21" t="s">
        <v>64</v>
      </c>
      <c r="D30" s="21" t="s">
        <v>354</v>
      </c>
      <c r="E30" s="22" t="s">
        <v>168</v>
      </c>
      <c r="F30" s="21" t="s">
        <v>248</v>
      </c>
      <c r="N30" s="6"/>
    </row>
    <row r="31" spans="1:14">
      <c r="B31" s="5" t="s">
        <v>112</v>
      </c>
      <c r="C31" s="5" t="s">
        <v>68</v>
      </c>
      <c r="D31" s="24" t="s">
        <v>67</v>
      </c>
      <c r="E31" s="25">
        <v>305</v>
      </c>
      <c r="F31" s="23">
        <v>173.77375334501301</v>
      </c>
      <c r="N31" s="6"/>
    </row>
    <row r="32" spans="1:14">
      <c r="B32" s="5" t="s">
        <v>135</v>
      </c>
      <c r="C32" s="5" t="s">
        <v>68</v>
      </c>
      <c r="D32" s="24" t="s">
        <v>69</v>
      </c>
      <c r="E32" s="25">
        <v>240</v>
      </c>
      <c r="F32" s="23">
        <v>157.21199512481701</v>
      </c>
      <c r="H32" s="5"/>
      <c r="N32" s="6"/>
    </row>
    <row r="33" spans="2:14">
      <c r="B33" s="5" t="s">
        <v>54</v>
      </c>
      <c r="C33" s="5" t="s">
        <v>68</v>
      </c>
      <c r="D33" s="24" t="s">
        <v>169</v>
      </c>
      <c r="E33" s="25">
        <v>240</v>
      </c>
      <c r="F33" s="23">
        <v>141.354002952576</v>
      </c>
      <c r="H33" s="5"/>
      <c r="N33" s="6"/>
    </row>
  </sheetData>
  <mergeCells count="17">
    <mergeCell ref="A9:K9"/>
    <mergeCell ref="A14:K14"/>
    <mergeCell ref="A18:K18"/>
    <mergeCell ref="A21:K21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E27" sqref="E27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7.5" style="5" bestFit="1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8.1640625" style="5" bestFit="1" customWidth="1"/>
    <col min="8" max="10" width="5.5" style="24" customWidth="1"/>
    <col min="11" max="11" width="4.5" style="24" customWidth="1"/>
    <col min="12" max="12" width="10.5" style="6" bestFit="1" customWidth="1"/>
    <col min="13" max="13" width="8.5" style="6" bestFit="1" customWidth="1"/>
    <col min="14" max="14" width="22.6640625" style="5" bestFit="1" customWidth="1"/>
    <col min="15" max="16384" width="9.1640625" style="3"/>
  </cols>
  <sheetData>
    <row r="1" spans="1:14" s="2" customFormat="1" ht="29" customHeight="1">
      <c r="A1" s="47" t="s">
        <v>335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8</v>
      </c>
      <c r="I3" s="55"/>
      <c r="J3" s="55"/>
      <c r="K3" s="55"/>
      <c r="L3" s="45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46"/>
      <c r="M4" s="46"/>
      <c r="N4" s="61"/>
    </row>
    <row r="5" spans="1:14" ht="16">
      <c r="A5" s="64" t="s">
        <v>86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7" t="s">
        <v>70</v>
      </c>
      <c r="B6" s="7" t="s">
        <v>327</v>
      </c>
      <c r="C6" s="7" t="s">
        <v>316</v>
      </c>
      <c r="D6" s="7" t="s">
        <v>317</v>
      </c>
      <c r="E6" s="8" t="s">
        <v>362</v>
      </c>
      <c r="F6" s="7" t="s">
        <v>110</v>
      </c>
      <c r="G6" s="7" t="s">
        <v>208</v>
      </c>
      <c r="H6" s="26" t="s">
        <v>96</v>
      </c>
      <c r="I6" s="28" t="s">
        <v>97</v>
      </c>
      <c r="J6" s="28" t="s">
        <v>97</v>
      </c>
      <c r="K6" s="27"/>
      <c r="L6" s="9" t="str">
        <f>"45,0"</f>
        <v>45,0</v>
      </c>
      <c r="M6" s="9" t="str">
        <f>"52,0290"</f>
        <v>52,0290</v>
      </c>
      <c r="N6" s="7" t="s">
        <v>209</v>
      </c>
    </row>
    <row r="8" spans="1:14" ht="16">
      <c r="A8" s="66" t="s">
        <v>25</v>
      </c>
      <c r="B8" s="66"/>
      <c r="C8" s="67"/>
      <c r="D8" s="67"/>
      <c r="E8" s="67"/>
      <c r="F8" s="67"/>
      <c r="G8" s="67"/>
      <c r="H8" s="67"/>
      <c r="I8" s="67"/>
      <c r="J8" s="67"/>
      <c r="K8" s="67"/>
    </row>
    <row r="9" spans="1:14">
      <c r="A9" s="27" t="s">
        <v>70</v>
      </c>
      <c r="B9" s="7" t="s">
        <v>255</v>
      </c>
      <c r="C9" s="7" t="s">
        <v>318</v>
      </c>
      <c r="D9" s="7" t="s">
        <v>253</v>
      </c>
      <c r="E9" s="8" t="s">
        <v>362</v>
      </c>
      <c r="F9" s="7" t="s">
        <v>82</v>
      </c>
      <c r="G9" s="7" t="s">
        <v>14</v>
      </c>
      <c r="H9" s="26" t="s">
        <v>22</v>
      </c>
      <c r="I9" s="26" t="s">
        <v>270</v>
      </c>
      <c r="J9" s="26" t="s">
        <v>29</v>
      </c>
      <c r="K9" s="27"/>
      <c r="L9" s="9" t="str">
        <f>"115,0"</f>
        <v>115,0</v>
      </c>
      <c r="M9" s="9" t="str">
        <f>"91,5630"</f>
        <v>91,5630</v>
      </c>
      <c r="N9" s="7" t="s">
        <v>254</v>
      </c>
    </row>
    <row r="11" spans="1:14" ht="16">
      <c r="A11" s="66" t="s">
        <v>100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</row>
    <row r="12" spans="1:14">
      <c r="A12" s="27" t="s">
        <v>70</v>
      </c>
      <c r="B12" s="7" t="s">
        <v>193</v>
      </c>
      <c r="C12" s="7" t="s">
        <v>319</v>
      </c>
      <c r="D12" s="7" t="s">
        <v>122</v>
      </c>
      <c r="E12" s="8" t="s">
        <v>365</v>
      </c>
      <c r="F12" s="7" t="s">
        <v>13</v>
      </c>
      <c r="G12" s="7" t="s">
        <v>14</v>
      </c>
      <c r="H12" s="26" t="s">
        <v>29</v>
      </c>
      <c r="I12" s="26" t="s">
        <v>23</v>
      </c>
      <c r="J12" s="28" t="s">
        <v>39</v>
      </c>
      <c r="K12" s="27"/>
      <c r="L12" s="9" t="str">
        <f>"120,0"</f>
        <v>120,0</v>
      </c>
      <c r="M12" s="9" t="str">
        <f>"116,2026"</f>
        <v>116,2026</v>
      </c>
      <c r="N12" s="7" t="s">
        <v>358</v>
      </c>
    </row>
    <row r="14" spans="1:14" ht="16">
      <c r="A14" s="66" t="s">
        <v>45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14">
      <c r="A15" s="27" t="s">
        <v>70</v>
      </c>
      <c r="B15" s="7" t="s">
        <v>328</v>
      </c>
      <c r="C15" s="7" t="s">
        <v>320</v>
      </c>
      <c r="D15" s="7" t="s">
        <v>216</v>
      </c>
      <c r="E15" s="8" t="s">
        <v>362</v>
      </c>
      <c r="F15" s="7" t="s">
        <v>82</v>
      </c>
      <c r="G15" s="7" t="s">
        <v>14</v>
      </c>
      <c r="H15" s="26" t="s">
        <v>29</v>
      </c>
      <c r="I15" s="28" t="s">
        <v>23</v>
      </c>
      <c r="J15" s="28" t="s">
        <v>23</v>
      </c>
      <c r="K15" s="27"/>
      <c r="L15" s="9" t="str">
        <f>"115,0"</f>
        <v>115,0</v>
      </c>
      <c r="M15" s="9" t="str">
        <f>"73,5425"</f>
        <v>73,5425</v>
      </c>
      <c r="N15" s="7" t="s">
        <v>85</v>
      </c>
    </row>
    <row r="17" spans="1:14" ht="16">
      <c r="A17" s="66" t="s">
        <v>153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</row>
    <row r="18" spans="1:14">
      <c r="A18" s="31" t="s">
        <v>70</v>
      </c>
      <c r="B18" s="10" t="s">
        <v>329</v>
      </c>
      <c r="C18" s="10" t="s">
        <v>321</v>
      </c>
      <c r="D18" s="10" t="s">
        <v>322</v>
      </c>
      <c r="E18" s="11" t="s">
        <v>362</v>
      </c>
      <c r="F18" s="10" t="s">
        <v>330</v>
      </c>
      <c r="G18" s="10" t="s">
        <v>49</v>
      </c>
      <c r="H18" s="29" t="s">
        <v>323</v>
      </c>
      <c r="I18" s="29" t="s">
        <v>60</v>
      </c>
      <c r="J18" s="29" t="s">
        <v>166</v>
      </c>
      <c r="K18" s="31"/>
      <c r="L18" s="12" t="str">
        <f>"202,5"</f>
        <v>202,5</v>
      </c>
      <c r="M18" s="12" t="str">
        <f>"125,7322"</f>
        <v>125,7322</v>
      </c>
      <c r="N18" s="10" t="s">
        <v>324</v>
      </c>
    </row>
    <row r="19" spans="1:14">
      <c r="A19" s="33" t="s">
        <v>70</v>
      </c>
      <c r="B19" s="13" t="s">
        <v>204</v>
      </c>
      <c r="C19" s="13" t="s">
        <v>252</v>
      </c>
      <c r="D19" s="13" t="s">
        <v>162</v>
      </c>
      <c r="E19" s="14" t="s">
        <v>368</v>
      </c>
      <c r="F19" s="13" t="s">
        <v>330</v>
      </c>
      <c r="G19" s="13" t="s">
        <v>14</v>
      </c>
      <c r="H19" s="32" t="s">
        <v>21</v>
      </c>
      <c r="I19" s="32" t="s">
        <v>29</v>
      </c>
      <c r="J19" s="32" t="s">
        <v>129</v>
      </c>
      <c r="K19" s="33"/>
      <c r="L19" s="15" t="str">
        <f>"117,5"</f>
        <v>117,5</v>
      </c>
      <c r="M19" s="15" t="str">
        <f>"120,5075"</f>
        <v>120,5075</v>
      </c>
      <c r="N19" s="13" t="s">
        <v>358</v>
      </c>
    </row>
    <row r="21" spans="1:14" ht="16">
      <c r="A21" s="66" t="s">
        <v>55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</row>
    <row r="22" spans="1:14">
      <c r="A22" s="31" t="s">
        <v>70</v>
      </c>
      <c r="B22" s="10" t="s">
        <v>314</v>
      </c>
      <c r="C22" s="10" t="s">
        <v>301</v>
      </c>
      <c r="D22" s="10" t="s">
        <v>302</v>
      </c>
      <c r="E22" s="11" t="s">
        <v>362</v>
      </c>
      <c r="F22" s="10" t="s">
        <v>110</v>
      </c>
      <c r="G22" s="10" t="s">
        <v>49</v>
      </c>
      <c r="H22" s="29" t="s">
        <v>51</v>
      </c>
      <c r="I22" s="29" t="s">
        <v>52</v>
      </c>
      <c r="J22" s="29" t="s">
        <v>166</v>
      </c>
      <c r="K22" s="31"/>
      <c r="L22" s="12" t="str">
        <f>"202,5"</f>
        <v>202,5</v>
      </c>
      <c r="M22" s="12" t="str">
        <f>"120,8115"</f>
        <v>120,8115</v>
      </c>
      <c r="N22" s="10" t="s">
        <v>358</v>
      </c>
    </row>
    <row r="23" spans="1:14">
      <c r="A23" s="33" t="s">
        <v>70</v>
      </c>
      <c r="B23" s="13" t="s">
        <v>247</v>
      </c>
      <c r="C23" s="13" t="s">
        <v>325</v>
      </c>
      <c r="D23" s="13" t="s">
        <v>244</v>
      </c>
      <c r="E23" s="14" t="s">
        <v>368</v>
      </c>
      <c r="F23" s="13" t="s">
        <v>48</v>
      </c>
      <c r="G23" s="13" t="s">
        <v>49</v>
      </c>
      <c r="H23" s="32" t="s">
        <v>29</v>
      </c>
      <c r="I23" s="32" t="s">
        <v>23</v>
      </c>
      <c r="J23" s="37" t="s">
        <v>38</v>
      </c>
      <c r="K23" s="33"/>
      <c r="L23" s="15" t="str">
        <f>"120,0"</f>
        <v>120,0</v>
      </c>
      <c r="M23" s="15" t="str">
        <f>"113,4124"</f>
        <v>113,4124</v>
      </c>
      <c r="N23" s="13" t="s">
        <v>358</v>
      </c>
    </row>
    <row r="25" spans="1:14" ht="16">
      <c r="A25" s="66" t="s">
        <v>228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</row>
    <row r="26" spans="1:14">
      <c r="A26" s="27" t="s">
        <v>70</v>
      </c>
      <c r="B26" s="7" t="s">
        <v>285</v>
      </c>
      <c r="C26" s="7" t="s">
        <v>283</v>
      </c>
      <c r="D26" s="7" t="s">
        <v>326</v>
      </c>
      <c r="E26" s="8" t="s">
        <v>362</v>
      </c>
      <c r="F26" s="7" t="s">
        <v>48</v>
      </c>
      <c r="G26" s="7" t="s">
        <v>49</v>
      </c>
      <c r="H26" s="26" t="s">
        <v>31</v>
      </c>
      <c r="I26" s="26" t="s">
        <v>32</v>
      </c>
      <c r="J26" s="26" t="s">
        <v>50</v>
      </c>
      <c r="K26" s="27"/>
      <c r="L26" s="9" t="str">
        <f>"150,0"</f>
        <v>150,0</v>
      </c>
      <c r="M26" s="9" t="str">
        <f>"86,2350"</f>
        <v>86,2350</v>
      </c>
      <c r="N26" s="7" t="s">
        <v>54</v>
      </c>
    </row>
  </sheetData>
  <mergeCells count="19">
    <mergeCell ref="A25:K25"/>
    <mergeCell ref="L3:L4"/>
    <mergeCell ref="M3:M4"/>
    <mergeCell ref="N3:N4"/>
    <mergeCell ref="A5:K5"/>
    <mergeCell ref="B3:B4"/>
    <mergeCell ref="A8:K8"/>
    <mergeCell ref="A11:K11"/>
    <mergeCell ref="A14:K14"/>
    <mergeCell ref="A17:K17"/>
    <mergeCell ref="A21:K21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7.5" style="5" bestFit="1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6" style="5" customWidth="1"/>
    <col min="8" max="10" width="5.5" style="24" customWidth="1"/>
    <col min="11" max="11" width="4.5" style="24" customWidth="1"/>
    <col min="12" max="12" width="10.5" style="6" bestFit="1" customWidth="1"/>
    <col min="13" max="13" width="8.5" style="6" bestFit="1" customWidth="1"/>
    <col min="14" max="14" width="20.6640625" style="5" customWidth="1"/>
    <col min="15" max="16384" width="9.1640625" style="3"/>
  </cols>
  <sheetData>
    <row r="1" spans="1:14" s="2" customFormat="1" ht="29" customHeight="1">
      <c r="A1" s="47" t="s">
        <v>336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8</v>
      </c>
      <c r="I3" s="55"/>
      <c r="J3" s="55"/>
      <c r="K3" s="55"/>
      <c r="L3" s="45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46"/>
      <c r="M4" s="46"/>
      <c r="N4" s="61"/>
    </row>
    <row r="5" spans="1:14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7" t="s">
        <v>70</v>
      </c>
      <c r="B6" s="7" t="s">
        <v>274</v>
      </c>
      <c r="C6" s="7" t="s">
        <v>256</v>
      </c>
      <c r="D6" s="7" t="s">
        <v>257</v>
      </c>
      <c r="E6" s="8" t="s">
        <v>362</v>
      </c>
      <c r="F6" s="7" t="s">
        <v>330</v>
      </c>
      <c r="G6" s="7" t="s">
        <v>49</v>
      </c>
      <c r="H6" s="26" t="s">
        <v>96</v>
      </c>
      <c r="I6" s="26" t="s">
        <v>97</v>
      </c>
      <c r="J6" s="28" t="s">
        <v>99</v>
      </c>
      <c r="K6" s="27"/>
      <c r="L6" s="9" t="str">
        <f>"47,5"</f>
        <v>47,5</v>
      </c>
      <c r="M6" s="9" t="str">
        <f>"40,6268"</f>
        <v>40,6268</v>
      </c>
      <c r="N6" s="7" t="s">
        <v>258</v>
      </c>
    </row>
    <row r="8" spans="1:14" ht="16">
      <c r="A8" s="66" t="s">
        <v>25</v>
      </c>
      <c r="B8" s="66"/>
      <c r="C8" s="67"/>
      <c r="D8" s="67"/>
      <c r="E8" s="67"/>
      <c r="F8" s="67"/>
      <c r="G8" s="67"/>
      <c r="H8" s="67"/>
      <c r="I8" s="67"/>
      <c r="J8" s="67"/>
      <c r="K8" s="67"/>
    </row>
    <row r="9" spans="1:14">
      <c r="A9" s="27" t="s">
        <v>70</v>
      </c>
      <c r="B9" s="7" t="s">
        <v>275</v>
      </c>
      <c r="C9" s="7" t="s">
        <v>259</v>
      </c>
      <c r="D9" s="7" t="s">
        <v>260</v>
      </c>
      <c r="E9" s="8" t="s">
        <v>362</v>
      </c>
      <c r="F9" s="7" t="s">
        <v>330</v>
      </c>
      <c r="G9" s="7" t="s">
        <v>14</v>
      </c>
      <c r="H9" s="26" t="s">
        <v>97</v>
      </c>
      <c r="I9" s="28" t="s">
        <v>89</v>
      </c>
      <c r="J9" s="28" t="s">
        <v>89</v>
      </c>
      <c r="K9" s="27"/>
      <c r="L9" s="9" t="str">
        <f>"47,5"</f>
        <v>47,5</v>
      </c>
      <c r="M9" s="9" t="str">
        <f>"36,7555"</f>
        <v>36,7555</v>
      </c>
      <c r="N9" s="7" t="s">
        <v>261</v>
      </c>
    </row>
    <row r="11" spans="1:14" ht="16">
      <c r="A11" s="66" t="s">
        <v>100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</row>
    <row r="12" spans="1:14">
      <c r="A12" s="27" t="s">
        <v>70</v>
      </c>
      <c r="B12" s="7" t="s">
        <v>276</v>
      </c>
      <c r="C12" s="7" t="s">
        <v>262</v>
      </c>
      <c r="D12" s="7" t="s">
        <v>263</v>
      </c>
      <c r="E12" s="8" t="s">
        <v>362</v>
      </c>
      <c r="F12" s="7" t="s">
        <v>156</v>
      </c>
      <c r="G12" s="7" t="s">
        <v>14</v>
      </c>
      <c r="H12" s="26" t="s">
        <v>264</v>
      </c>
      <c r="I12" s="26" t="s">
        <v>152</v>
      </c>
      <c r="J12" s="28" t="s">
        <v>22</v>
      </c>
      <c r="K12" s="27"/>
      <c r="L12" s="9" t="str">
        <f>"107,5"</f>
        <v>107,5</v>
      </c>
      <c r="M12" s="9" t="str">
        <f>"79,6167"</f>
        <v>79,6167</v>
      </c>
      <c r="N12" s="7" t="s">
        <v>265</v>
      </c>
    </row>
    <row r="14" spans="1:14" ht="16">
      <c r="A14" s="66" t="s">
        <v>45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14">
      <c r="A15" s="31" t="s">
        <v>70</v>
      </c>
      <c r="B15" s="10" t="s">
        <v>277</v>
      </c>
      <c r="C15" s="10" t="s">
        <v>266</v>
      </c>
      <c r="D15" s="10" t="s">
        <v>267</v>
      </c>
      <c r="E15" s="11" t="s">
        <v>362</v>
      </c>
      <c r="F15" s="10" t="s">
        <v>156</v>
      </c>
      <c r="G15" s="10" t="s">
        <v>14</v>
      </c>
      <c r="H15" s="29" t="s">
        <v>21</v>
      </c>
      <c r="I15" s="29" t="s">
        <v>17</v>
      </c>
      <c r="J15" s="30" t="s">
        <v>22</v>
      </c>
      <c r="K15" s="31"/>
      <c r="L15" s="12" t="str">
        <f>"105,0"</f>
        <v>105,0</v>
      </c>
      <c r="M15" s="12" t="str">
        <f>"65,9505"</f>
        <v>65,9505</v>
      </c>
      <c r="N15" s="10" t="s">
        <v>265</v>
      </c>
    </row>
    <row r="16" spans="1:14">
      <c r="A16" s="33" t="s">
        <v>70</v>
      </c>
      <c r="B16" s="13" t="s">
        <v>278</v>
      </c>
      <c r="C16" s="13" t="s">
        <v>268</v>
      </c>
      <c r="D16" s="13" t="s">
        <v>269</v>
      </c>
      <c r="E16" s="14" t="s">
        <v>368</v>
      </c>
      <c r="F16" s="13" t="s">
        <v>156</v>
      </c>
      <c r="G16" s="13" t="s">
        <v>14</v>
      </c>
      <c r="H16" s="32" t="s">
        <v>17</v>
      </c>
      <c r="I16" s="32" t="s">
        <v>270</v>
      </c>
      <c r="J16" s="32" t="s">
        <v>129</v>
      </c>
      <c r="K16" s="33"/>
      <c r="L16" s="15" t="str">
        <f>"117,5"</f>
        <v>117,5</v>
      </c>
      <c r="M16" s="15" t="str">
        <f>"107,5485"</f>
        <v>107,5485</v>
      </c>
      <c r="N16" s="13" t="s">
        <v>265</v>
      </c>
    </row>
    <row r="18" spans="1:14" ht="16">
      <c r="A18" s="66" t="s">
        <v>153</v>
      </c>
      <c r="B18" s="66"/>
      <c r="C18" s="67"/>
      <c r="D18" s="67"/>
      <c r="E18" s="67"/>
      <c r="F18" s="67"/>
      <c r="G18" s="67"/>
      <c r="H18" s="67"/>
      <c r="I18" s="67"/>
      <c r="J18" s="67"/>
      <c r="K18" s="67"/>
    </row>
    <row r="19" spans="1:14">
      <c r="A19" s="31" t="s">
        <v>70</v>
      </c>
      <c r="B19" s="10" t="s">
        <v>279</v>
      </c>
      <c r="C19" s="10" t="s">
        <v>271</v>
      </c>
      <c r="D19" s="10" t="s">
        <v>161</v>
      </c>
      <c r="E19" s="11" t="s">
        <v>362</v>
      </c>
      <c r="F19" s="10" t="s">
        <v>156</v>
      </c>
      <c r="G19" s="10" t="s">
        <v>14</v>
      </c>
      <c r="H19" s="29" t="s">
        <v>29</v>
      </c>
      <c r="I19" s="29" t="s">
        <v>23</v>
      </c>
      <c r="J19" s="29" t="s">
        <v>39</v>
      </c>
      <c r="K19" s="31"/>
      <c r="L19" s="12" t="str">
        <f>"125,0"</f>
        <v>125,0</v>
      </c>
      <c r="M19" s="12" t="str">
        <f>"73,5312"</f>
        <v>73,5312</v>
      </c>
      <c r="N19" s="10" t="s">
        <v>265</v>
      </c>
    </row>
    <row r="20" spans="1:14">
      <c r="A20" s="33" t="s">
        <v>172</v>
      </c>
      <c r="B20" s="13" t="s">
        <v>280</v>
      </c>
      <c r="C20" s="13" t="s">
        <v>272</v>
      </c>
      <c r="D20" s="13" t="s">
        <v>273</v>
      </c>
      <c r="E20" s="14" t="s">
        <v>362</v>
      </c>
      <c r="F20" s="13" t="s">
        <v>156</v>
      </c>
      <c r="G20" s="13" t="s">
        <v>14</v>
      </c>
      <c r="H20" s="32" t="s">
        <v>15</v>
      </c>
      <c r="I20" s="32" t="s">
        <v>16</v>
      </c>
      <c r="J20" s="32" t="s">
        <v>21</v>
      </c>
      <c r="K20" s="33"/>
      <c r="L20" s="15" t="str">
        <f>"100,0"</f>
        <v>100,0</v>
      </c>
      <c r="M20" s="15" t="str">
        <f>"60,7100"</f>
        <v>60,7100</v>
      </c>
      <c r="N20" s="13" t="s">
        <v>265</v>
      </c>
    </row>
    <row r="22" spans="1:14">
      <c r="E22" s="5"/>
      <c r="G22" s="16"/>
      <c r="H22" s="5"/>
      <c r="L22" s="24"/>
      <c r="N22" s="6"/>
    </row>
  </sheetData>
  <mergeCells count="17">
    <mergeCell ref="A8:K8"/>
    <mergeCell ref="A11:K11"/>
    <mergeCell ref="A14:K14"/>
    <mergeCell ref="A18:K18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7.83203125" style="5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8.1640625" style="5" bestFit="1" customWidth="1"/>
    <col min="8" max="10" width="5.5" style="24" customWidth="1"/>
    <col min="11" max="11" width="4.5" style="24" customWidth="1"/>
    <col min="12" max="12" width="10.5" style="6" bestFit="1" customWidth="1"/>
    <col min="13" max="13" width="8.5" style="6" bestFit="1" customWidth="1"/>
    <col min="14" max="14" width="22.6640625" style="5" bestFit="1" customWidth="1"/>
    <col min="15" max="16384" width="9.1640625" style="3"/>
  </cols>
  <sheetData>
    <row r="1" spans="1:14" s="2" customFormat="1" ht="29" customHeight="1">
      <c r="A1" s="47" t="s">
        <v>337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9</v>
      </c>
      <c r="I3" s="55"/>
      <c r="J3" s="55"/>
      <c r="K3" s="55"/>
      <c r="L3" s="45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46"/>
      <c r="M4" s="46"/>
      <c r="N4" s="61"/>
    </row>
    <row r="5" spans="1:14" ht="16">
      <c r="A5" s="64" t="s">
        <v>25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7" t="s">
        <v>70</v>
      </c>
      <c r="B6" s="7" t="s">
        <v>231</v>
      </c>
      <c r="C6" s="7" t="s">
        <v>206</v>
      </c>
      <c r="D6" s="7" t="s">
        <v>207</v>
      </c>
      <c r="E6" s="8" t="s">
        <v>361</v>
      </c>
      <c r="F6" s="7" t="s">
        <v>330</v>
      </c>
      <c r="G6" s="7" t="s">
        <v>208</v>
      </c>
      <c r="H6" s="28" t="s">
        <v>15</v>
      </c>
      <c r="I6" s="26" t="s">
        <v>15</v>
      </c>
      <c r="J6" s="26" t="s">
        <v>21</v>
      </c>
      <c r="K6" s="27"/>
      <c r="L6" s="9" t="str">
        <f>"100,0"</f>
        <v>100,0</v>
      </c>
      <c r="M6" s="9" t="str">
        <f>"111,0600"</f>
        <v>111,0600</v>
      </c>
      <c r="N6" s="7" t="s">
        <v>209</v>
      </c>
    </row>
    <row r="8" spans="1:14" ht="16">
      <c r="A8" s="66" t="s">
        <v>35</v>
      </c>
      <c r="B8" s="66"/>
      <c r="C8" s="67"/>
      <c r="D8" s="67"/>
      <c r="E8" s="67"/>
      <c r="F8" s="67"/>
      <c r="G8" s="67"/>
      <c r="H8" s="67"/>
      <c r="I8" s="67"/>
      <c r="J8" s="67"/>
      <c r="K8" s="67"/>
    </row>
    <row r="9" spans="1:14">
      <c r="A9" s="27" t="s">
        <v>70</v>
      </c>
      <c r="B9" s="7" t="s">
        <v>179</v>
      </c>
      <c r="C9" s="7" t="s">
        <v>103</v>
      </c>
      <c r="D9" s="7" t="s">
        <v>104</v>
      </c>
      <c r="E9" s="8" t="s">
        <v>362</v>
      </c>
      <c r="F9" s="7" t="s">
        <v>48</v>
      </c>
      <c r="G9" s="7" t="s">
        <v>49</v>
      </c>
      <c r="H9" s="26" t="s">
        <v>21</v>
      </c>
      <c r="I9" s="26" t="s">
        <v>22</v>
      </c>
      <c r="J9" s="26" t="s">
        <v>29</v>
      </c>
      <c r="K9" s="27"/>
      <c r="L9" s="9" t="str">
        <f>"115,0"</f>
        <v>115,0</v>
      </c>
      <c r="M9" s="9" t="str">
        <f>"104,5810"</f>
        <v>104,5810</v>
      </c>
      <c r="N9" s="7" t="s">
        <v>54</v>
      </c>
    </row>
    <row r="11" spans="1:14" ht="16">
      <c r="A11" s="66" t="s">
        <v>100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</row>
    <row r="12" spans="1:14">
      <c r="A12" s="27" t="s">
        <v>70</v>
      </c>
      <c r="B12" s="7" t="s">
        <v>232</v>
      </c>
      <c r="C12" s="7" t="s">
        <v>210</v>
      </c>
      <c r="D12" s="7" t="s">
        <v>211</v>
      </c>
      <c r="E12" s="8" t="s">
        <v>361</v>
      </c>
      <c r="F12" s="7" t="s">
        <v>330</v>
      </c>
      <c r="G12" s="7" t="s">
        <v>14</v>
      </c>
      <c r="H12" s="26" t="s">
        <v>22</v>
      </c>
      <c r="I12" s="26" t="s">
        <v>23</v>
      </c>
      <c r="J12" s="26" t="s">
        <v>31</v>
      </c>
      <c r="K12" s="27"/>
      <c r="L12" s="9" t="str">
        <f>"130,0"</f>
        <v>130,0</v>
      </c>
      <c r="M12" s="9" t="str">
        <f>"95,7710"</f>
        <v>95,7710</v>
      </c>
      <c r="N12" s="7" t="s">
        <v>212</v>
      </c>
    </row>
    <row r="14" spans="1:14" ht="16">
      <c r="A14" s="66" t="s">
        <v>35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14">
      <c r="A15" s="27" t="s">
        <v>70</v>
      </c>
      <c r="B15" s="7" t="s">
        <v>233</v>
      </c>
      <c r="C15" s="7" t="s">
        <v>213</v>
      </c>
      <c r="D15" s="7" t="s">
        <v>214</v>
      </c>
      <c r="E15" s="8" t="s">
        <v>361</v>
      </c>
      <c r="F15" s="7" t="s">
        <v>13</v>
      </c>
      <c r="G15" s="7" t="s">
        <v>14</v>
      </c>
      <c r="H15" s="26" t="s">
        <v>23</v>
      </c>
      <c r="I15" s="26" t="s">
        <v>132</v>
      </c>
      <c r="J15" s="26" t="s">
        <v>123</v>
      </c>
      <c r="K15" s="27"/>
      <c r="L15" s="9" t="str">
        <f>"135,0"</f>
        <v>135,0</v>
      </c>
      <c r="M15" s="9" t="str">
        <f>"91,3140"</f>
        <v>91,3140</v>
      </c>
      <c r="N15" s="7" t="s">
        <v>315</v>
      </c>
    </row>
    <row r="17" spans="1:14" ht="16">
      <c r="A17" s="66" t="s">
        <v>45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</row>
    <row r="18" spans="1:14">
      <c r="A18" s="27" t="s">
        <v>70</v>
      </c>
      <c r="B18" s="7" t="s">
        <v>234</v>
      </c>
      <c r="C18" s="7" t="s">
        <v>215</v>
      </c>
      <c r="D18" s="7" t="s">
        <v>216</v>
      </c>
      <c r="E18" s="8" t="s">
        <v>362</v>
      </c>
      <c r="F18" s="7" t="s">
        <v>82</v>
      </c>
      <c r="G18" s="7" t="s">
        <v>14</v>
      </c>
      <c r="H18" s="26" t="s">
        <v>217</v>
      </c>
      <c r="I18" s="28" t="s">
        <v>218</v>
      </c>
      <c r="J18" s="26" t="s">
        <v>218</v>
      </c>
      <c r="K18" s="27"/>
      <c r="L18" s="9" t="str">
        <f>"250,0"</f>
        <v>250,0</v>
      </c>
      <c r="M18" s="9" t="str">
        <f>"159,8750"</f>
        <v>159,8750</v>
      </c>
      <c r="N18" s="7" t="s">
        <v>358</v>
      </c>
    </row>
    <row r="20" spans="1:14" ht="16">
      <c r="A20" s="66" t="s">
        <v>153</v>
      </c>
      <c r="B20" s="66"/>
      <c r="C20" s="67"/>
      <c r="D20" s="67"/>
      <c r="E20" s="67"/>
      <c r="F20" s="67"/>
      <c r="G20" s="67"/>
      <c r="H20" s="67"/>
      <c r="I20" s="67"/>
      <c r="J20" s="67"/>
      <c r="K20" s="67"/>
    </row>
    <row r="21" spans="1:14">
      <c r="A21" s="31" t="s">
        <v>70</v>
      </c>
      <c r="B21" s="10" t="s">
        <v>235</v>
      </c>
      <c r="C21" s="10" t="s">
        <v>219</v>
      </c>
      <c r="D21" s="10" t="s">
        <v>220</v>
      </c>
      <c r="E21" s="11" t="s">
        <v>362</v>
      </c>
      <c r="F21" s="10" t="s">
        <v>110</v>
      </c>
      <c r="G21" s="10" t="s">
        <v>49</v>
      </c>
      <c r="H21" s="29" t="s">
        <v>221</v>
      </c>
      <c r="I21" s="29" t="s">
        <v>222</v>
      </c>
      <c r="J21" s="29" t="s">
        <v>218</v>
      </c>
      <c r="K21" s="31"/>
      <c r="L21" s="12" t="str">
        <f>"250,0"</f>
        <v>250,0</v>
      </c>
      <c r="M21" s="12" t="str">
        <f>"154,2250"</f>
        <v>154,2250</v>
      </c>
      <c r="N21" s="10" t="s">
        <v>112</v>
      </c>
    </row>
    <row r="22" spans="1:14">
      <c r="A22" s="33" t="s">
        <v>172</v>
      </c>
      <c r="B22" s="13" t="s">
        <v>236</v>
      </c>
      <c r="C22" s="13" t="s">
        <v>223</v>
      </c>
      <c r="D22" s="13" t="s">
        <v>224</v>
      </c>
      <c r="E22" s="14" t="s">
        <v>362</v>
      </c>
      <c r="F22" s="13" t="s">
        <v>110</v>
      </c>
      <c r="G22" s="13" t="s">
        <v>49</v>
      </c>
      <c r="H22" s="32" t="s">
        <v>225</v>
      </c>
      <c r="I22" s="37" t="s">
        <v>217</v>
      </c>
      <c r="J22" s="37" t="s">
        <v>218</v>
      </c>
      <c r="K22" s="33"/>
      <c r="L22" s="15" t="str">
        <f>"230,0"</f>
        <v>230,0</v>
      </c>
      <c r="M22" s="15" t="str">
        <f>"141,3120"</f>
        <v>141,3120</v>
      </c>
      <c r="N22" s="13" t="s">
        <v>112</v>
      </c>
    </row>
    <row r="24" spans="1:14" ht="16">
      <c r="A24" s="66" t="s">
        <v>55</v>
      </c>
      <c r="B24" s="66"/>
      <c r="C24" s="67"/>
      <c r="D24" s="67"/>
      <c r="E24" s="67"/>
      <c r="F24" s="67"/>
      <c r="G24" s="67"/>
      <c r="H24" s="67"/>
      <c r="I24" s="67"/>
      <c r="J24" s="67"/>
      <c r="K24" s="67"/>
    </row>
    <row r="25" spans="1:14">
      <c r="A25" s="27" t="s">
        <v>70</v>
      </c>
      <c r="B25" s="7" t="s">
        <v>237</v>
      </c>
      <c r="C25" s="7" t="s">
        <v>226</v>
      </c>
      <c r="D25" s="7" t="s">
        <v>227</v>
      </c>
      <c r="E25" s="8" t="s">
        <v>361</v>
      </c>
      <c r="F25" s="7" t="s">
        <v>13</v>
      </c>
      <c r="G25" s="7" t="s">
        <v>14</v>
      </c>
      <c r="H25" s="26" t="s">
        <v>51</v>
      </c>
      <c r="I25" s="26" t="s">
        <v>52</v>
      </c>
      <c r="J25" s="26" t="s">
        <v>53</v>
      </c>
      <c r="K25" s="27"/>
      <c r="L25" s="9" t="str">
        <f>"200,0"</f>
        <v>200,0</v>
      </c>
      <c r="M25" s="9" t="str">
        <f>"118,8200"</f>
        <v>118,8200</v>
      </c>
      <c r="N25" s="7" t="s">
        <v>24</v>
      </c>
    </row>
    <row r="27" spans="1:14" ht="16">
      <c r="A27" s="66" t="s">
        <v>228</v>
      </c>
      <c r="B27" s="66"/>
      <c r="C27" s="67"/>
      <c r="D27" s="67"/>
      <c r="E27" s="67"/>
      <c r="F27" s="67"/>
      <c r="G27" s="67"/>
      <c r="H27" s="67"/>
      <c r="I27" s="67"/>
      <c r="J27" s="67"/>
      <c r="K27" s="67"/>
    </row>
    <row r="28" spans="1:14">
      <c r="A28" s="27" t="s">
        <v>70</v>
      </c>
      <c r="B28" s="7" t="s">
        <v>238</v>
      </c>
      <c r="C28" s="7" t="s">
        <v>229</v>
      </c>
      <c r="D28" s="7" t="s">
        <v>230</v>
      </c>
      <c r="E28" s="8" t="s">
        <v>362</v>
      </c>
      <c r="F28" s="7" t="s">
        <v>48</v>
      </c>
      <c r="G28" s="7" t="s">
        <v>49</v>
      </c>
      <c r="H28" s="26" t="s">
        <v>22</v>
      </c>
      <c r="I28" s="26" t="s">
        <v>23</v>
      </c>
      <c r="J28" s="26" t="s">
        <v>32</v>
      </c>
      <c r="K28" s="27"/>
      <c r="L28" s="9" t="str">
        <f>"140,0"</f>
        <v>140,0</v>
      </c>
      <c r="M28" s="9" t="str">
        <f>"81,8860"</f>
        <v>81,8860</v>
      </c>
      <c r="N28" s="7" t="s">
        <v>54</v>
      </c>
    </row>
    <row r="30" spans="1:14">
      <c r="E30" s="5"/>
      <c r="G30" s="16"/>
      <c r="H30" s="5"/>
      <c r="L30" s="24"/>
      <c r="N30" s="6"/>
    </row>
  </sheetData>
  <mergeCells count="20">
    <mergeCell ref="A27:K27"/>
    <mergeCell ref="B3:B4"/>
    <mergeCell ref="A8:K8"/>
    <mergeCell ref="A11:K11"/>
    <mergeCell ref="A14:K14"/>
    <mergeCell ref="A17:K17"/>
    <mergeCell ref="A20:K20"/>
    <mergeCell ref="A24:K2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3"/>
  <sheetViews>
    <sheetView tabSelected="1" workbookViewId="0">
      <selection activeCell="E22" sqref="E22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8.6640625" style="5" bestFit="1" customWidth="1"/>
    <col min="4" max="4" width="20.83203125" style="5" bestFit="1" customWidth="1"/>
    <col min="5" max="5" width="10.1640625" style="16" bestFit="1" customWidth="1"/>
    <col min="6" max="6" width="21.83203125" style="5" customWidth="1"/>
    <col min="7" max="7" width="25.83203125" style="5" customWidth="1"/>
    <col min="8" max="10" width="5.5" style="24" customWidth="1"/>
    <col min="11" max="11" width="4.5" style="24" customWidth="1"/>
    <col min="12" max="12" width="10.5" style="6" bestFit="1" customWidth="1"/>
    <col min="13" max="13" width="7.5" style="6" bestFit="1" customWidth="1"/>
    <col min="14" max="14" width="22.6640625" style="5" bestFit="1" customWidth="1"/>
    <col min="15" max="16384" width="9.1640625" style="3"/>
  </cols>
  <sheetData>
    <row r="1" spans="1:14" s="2" customFormat="1" ht="29" customHeight="1">
      <c r="A1" s="47" t="s">
        <v>338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s="1" customFormat="1" ht="12.75" customHeight="1">
      <c r="A3" s="56" t="s">
        <v>357</v>
      </c>
      <c r="B3" s="62" t="s">
        <v>0</v>
      </c>
      <c r="C3" s="58" t="s">
        <v>359</v>
      </c>
      <c r="D3" s="58" t="s">
        <v>6</v>
      </c>
      <c r="E3" s="45" t="s">
        <v>360</v>
      </c>
      <c r="F3" s="55"/>
      <c r="G3" s="55" t="s">
        <v>5</v>
      </c>
      <c r="H3" s="55" t="s">
        <v>356</v>
      </c>
      <c r="I3" s="55"/>
      <c r="J3" s="55"/>
      <c r="K3" s="55"/>
      <c r="L3" s="45" t="s">
        <v>170</v>
      </c>
      <c r="M3" s="45" t="s">
        <v>3</v>
      </c>
      <c r="N3" s="60" t="s">
        <v>2</v>
      </c>
    </row>
    <row r="4" spans="1:14" s="1" customFormat="1" ht="21" customHeight="1" thickBot="1">
      <c r="A4" s="57"/>
      <c r="B4" s="63"/>
      <c r="C4" s="59"/>
      <c r="D4" s="59"/>
      <c r="E4" s="46"/>
      <c r="F4" s="59"/>
      <c r="G4" s="59"/>
      <c r="H4" s="4">
        <v>1</v>
      </c>
      <c r="I4" s="4">
        <v>2</v>
      </c>
      <c r="J4" s="4">
        <v>3</v>
      </c>
      <c r="K4" s="4" t="s">
        <v>4</v>
      </c>
      <c r="L4" s="46"/>
      <c r="M4" s="46"/>
      <c r="N4" s="61"/>
    </row>
    <row r="5" spans="1:14" ht="16">
      <c r="A5" s="64" t="s">
        <v>86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7" t="s">
        <v>70</v>
      </c>
      <c r="B6" s="7" t="s">
        <v>174</v>
      </c>
      <c r="C6" s="7" t="s">
        <v>87</v>
      </c>
      <c r="D6" s="7" t="s">
        <v>88</v>
      </c>
      <c r="E6" s="8" t="s">
        <v>362</v>
      </c>
      <c r="F6" s="7" t="s">
        <v>82</v>
      </c>
      <c r="G6" s="7" t="s">
        <v>14</v>
      </c>
      <c r="H6" s="26" t="s">
        <v>83</v>
      </c>
      <c r="I6" s="28" t="s">
        <v>249</v>
      </c>
      <c r="J6" s="28" t="s">
        <v>249</v>
      </c>
      <c r="K6" s="27"/>
      <c r="L6" s="9" t="str">
        <f>"30,0"</f>
        <v>30,0</v>
      </c>
      <c r="M6" s="9" t="str">
        <f>"33,2790"</f>
        <v>33,2790</v>
      </c>
      <c r="N6" s="7" t="s">
        <v>85</v>
      </c>
    </row>
    <row r="8" spans="1:14" ht="16">
      <c r="A8" s="66" t="s">
        <v>10</v>
      </c>
      <c r="B8" s="66"/>
      <c r="C8" s="67"/>
      <c r="D8" s="67"/>
      <c r="E8" s="67"/>
      <c r="F8" s="67"/>
      <c r="G8" s="67"/>
      <c r="H8" s="67"/>
      <c r="I8" s="67"/>
      <c r="J8" s="67"/>
      <c r="K8" s="67"/>
    </row>
    <row r="9" spans="1:14">
      <c r="A9" s="27" t="s">
        <v>70</v>
      </c>
      <c r="B9" s="7" t="s">
        <v>177</v>
      </c>
      <c r="C9" s="7" t="s">
        <v>352</v>
      </c>
      <c r="D9" s="7" t="s">
        <v>98</v>
      </c>
      <c r="E9" s="8" t="s">
        <v>364</v>
      </c>
      <c r="F9" s="7" t="s">
        <v>82</v>
      </c>
      <c r="G9" s="7" t="s">
        <v>14</v>
      </c>
      <c r="H9" s="26" t="s">
        <v>84</v>
      </c>
      <c r="I9" s="28" t="s">
        <v>251</v>
      </c>
      <c r="J9" s="28" t="s">
        <v>251</v>
      </c>
      <c r="K9" s="27"/>
      <c r="L9" s="9" t="str">
        <f>"35,0"</f>
        <v>35,0</v>
      </c>
      <c r="M9" s="9" t="str">
        <f>"36,4671"</f>
        <v>36,4671</v>
      </c>
      <c r="N9" s="7" t="s">
        <v>85</v>
      </c>
    </row>
    <row r="11" spans="1:14" ht="16">
      <c r="A11" s="66" t="s">
        <v>45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</row>
    <row r="12" spans="1:14">
      <c r="A12" s="27" t="s">
        <v>70</v>
      </c>
      <c r="B12" s="7" t="s">
        <v>196</v>
      </c>
      <c r="C12" s="7" t="s">
        <v>349</v>
      </c>
      <c r="D12" s="7" t="s">
        <v>281</v>
      </c>
      <c r="E12" s="8" t="s">
        <v>367</v>
      </c>
      <c r="F12" s="7" t="s">
        <v>13</v>
      </c>
      <c r="G12" s="7" t="s">
        <v>14</v>
      </c>
      <c r="H12" s="26" t="s">
        <v>96</v>
      </c>
      <c r="I12" s="26" t="s">
        <v>99</v>
      </c>
      <c r="J12" s="26" t="s">
        <v>79</v>
      </c>
      <c r="K12" s="27"/>
      <c r="L12" s="9" t="str">
        <f>"55,0"</f>
        <v>55,0</v>
      </c>
      <c r="M12" s="9" t="str">
        <f>"35,1148"</f>
        <v>35,1148</v>
      </c>
      <c r="N12" s="7" t="s">
        <v>24</v>
      </c>
    </row>
    <row r="14" spans="1:14" ht="16">
      <c r="A14" s="66" t="s">
        <v>153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</row>
    <row r="15" spans="1:14">
      <c r="A15" s="27" t="s">
        <v>70</v>
      </c>
      <c r="B15" s="7" t="s">
        <v>236</v>
      </c>
      <c r="C15" s="7" t="s">
        <v>223</v>
      </c>
      <c r="D15" s="7" t="s">
        <v>224</v>
      </c>
      <c r="E15" s="8" t="s">
        <v>362</v>
      </c>
      <c r="F15" s="7" t="s">
        <v>110</v>
      </c>
      <c r="G15" s="7" t="s">
        <v>49</v>
      </c>
      <c r="H15" s="26" t="s">
        <v>96</v>
      </c>
      <c r="I15" s="26" t="s">
        <v>79</v>
      </c>
      <c r="J15" s="26" t="s">
        <v>19</v>
      </c>
      <c r="K15" s="27"/>
      <c r="L15" s="9" t="str">
        <f>"65,0"</f>
        <v>65,0</v>
      </c>
      <c r="M15" s="9" t="str">
        <f>"38,1647"</f>
        <v>38,1647</v>
      </c>
      <c r="N15" s="7" t="s">
        <v>112</v>
      </c>
    </row>
    <row r="17" spans="1:14" ht="16">
      <c r="A17" s="66" t="s">
        <v>55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</row>
    <row r="18" spans="1:14">
      <c r="A18" s="27" t="s">
        <v>70</v>
      </c>
      <c r="B18" s="7" t="s">
        <v>76</v>
      </c>
      <c r="C18" s="7" t="s">
        <v>353</v>
      </c>
      <c r="D18" s="7" t="s">
        <v>282</v>
      </c>
      <c r="E18" s="8" t="s">
        <v>361</v>
      </c>
      <c r="F18" s="7" t="s">
        <v>13</v>
      </c>
      <c r="G18" s="7" t="s">
        <v>14</v>
      </c>
      <c r="H18" s="26" t="s">
        <v>250</v>
      </c>
      <c r="I18" s="26" t="s">
        <v>96</v>
      </c>
      <c r="J18" s="28" t="s">
        <v>99</v>
      </c>
      <c r="K18" s="27"/>
      <c r="L18" s="9" t="str">
        <f>"45,0"</f>
        <v>45,0</v>
      </c>
      <c r="M18" s="9" t="str">
        <f>"25,3744"</f>
        <v>25,3744</v>
      </c>
      <c r="N18" s="7" t="s">
        <v>24</v>
      </c>
    </row>
    <row r="20" spans="1:14" ht="16">
      <c r="A20" s="66" t="s">
        <v>228</v>
      </c>
      <c r="B20" s="66"/>
      <c r="C20" s="67"/>
      <c r="D20" s="67"/>
      <c r="E20" s="67"/>
      <c r="F20" s="67"/>
      <c r="G20" s="67"/>
      <c r="H20" s="67"/>
      <c r="I20" s="67"/>
      <c r="J20" s="67"/>
      <c r="K20" s="67"/>
    </row>
    <row r="21" spans="1:14">
      <c r="A21" s="27" t="s">
        <v>70</v>
      </c>
      <c r="B21" s="7" t="s">
        <v>285</v>
      </c>
      <c r="C21" s="7" t="s">
        <v>283</v>
      </c>
      <c r="D21" s="7" t="s">
        <v>284</v>
      </c>
      <c r="E21" s="8" t="s">
        <v>362</v>
      </c>
      <c r="F21" s="7" t="s">
        <v>48</v>
      </c>
      <c r="G21" s="7" t="s">
        <v>49</v>
      </c>
      <c r="H21" s="26" t="s">
        <v>99</v>
      </c>
      <c r="I21" s="26" t="s">
        <v>18</v>
      </c>
      <c r="J21" s="28" t="s">
        <v>102</v>
      </c>
      <c r="K21" s="27"/>
      <c r="L21" s="9" t="str">
        <f>"60,0"</f>
        <v>60,0</v>
      </c>
      <c r="M21" s="9" t="str">
        <f>"33,0600"</f>
        <v>33,0600</v>
      </c>
      <c r="N21" s="7" t="s">
        <v>54</v>
      </c>
    </row>
    <row r="23" spans="1:14">
      <c r="E23" s="5"/>
      <c r="G23" s="16"/>
      <c r="H23" s="5"/>
      <c r="L23" s="24"/>
      <c r="N23" s="6"/>
    </row>
  </sheetData>
  <mergeCells count="18">
    <mergeCell ref="A20:K20"/>
    <mergeCell ref="A5:K5"/>
    <mergeCell ref="A8:K8"/>
    <mergeCell ref="A11:K11"/>
    <mergeCell ref="A14:K14"/>
    <mergeCell ref="A17:K17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IPL ПЛ без экипировки</vt:lpstr>
      <vt:lpstr>IPL Двоеборье без экип</vt:lpstr>
      <vt:lpstr>IPL Жим без экипировки</vt:lpstr>
      <vt:lpstr>СПР Жим софт однопетельная</vt:lpstr>
      <vt:lpstr>WRPF Военный жим</vt:lpstr>
      <vt:lpstr>СПР Жим СФО</vt:lpstr>
      <vt:lpstr>IPL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2023-02-20T14:41:28Z</dcterms:modified>
</cp:coreProperties>
</file>