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3/Март/"/>
    </mc:Choice>
  </mc:AlternateContent>
  <xr:revisionPtr revIDLastSave="0" documentId="13_ncr:1_{FEA529CC-0221-AB47-9C20-770CCA3F13A9}" xr6:coauthVersionLast="45" xr6:coauthVersionMax="45" xr10:uidLastSave="{00000000-0000-0000-0000-000000000000}"/>
  <bookViews>
    <workbookView xWindow="480" yWindow="460" windowWidth="28160" windowHeight="15840" firstSheet="6" activeTab="10" xr2:uid="{00000000-000D-0000-FFFF-FFFF00000000}"/>
  </bookViews>
  <sheets>
    <sheet name="WRPF ПЛ без экипировки ДК" sheetId="26" r:id="rId1"/>
    <sheet name="WRPF ПЛ без экипировки" sheetId="25" r:id="rId2"/>
    <sheet name="WRPF Двоеборье без экип ДК" sheetId="46" r:id="rId3"/>
    <sheet name="WRPF Жим лежа без экип ДК" sheetId="32" r:id="rId4"/>
    <sheet name="WRPF Жим лежа без экип" sheetId="31" r:id="rId5"/>
    <sheet name="WEPF Жим софт однопетельная ДК" sheetId="33" r:id="rId6"/>
    <sheet name="WEPF Жим софт однопетельная" sheetId="29" r:id="rId7"/>
    <sheet name="WRPF Военный жим ДК" sheetId="36" r:id="rId8"/>
    <sheet name="WRPF Тяга без экипировки ДК" sheetId="42" r:id="rId9"/>
    <sheet name="WRPF Тяга без экипировки" sheetId="41" r:id="rId10"/>
    <sheet name="WRPF Подъем на бицепс ДК" sheetId="20" r:id="rId11"/>
    <sheet name="WRPF Подъем на бицепс" sheetId="1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46" l="1"/>
  <c r="O7" i="46"/>
  <c r="P6" i="46"/>
  <c r="O6" i="46"/>
  <c r="L10" i="42"/>
  <c r="K10" i="42"/>
  <c r="L7" i="42"/>
  <c r="K7" i="42"/>
  <c r="L6" i="42"/>
  <c r="K6" i="42"/>
  <c r="L6" i="41"/>
  <c r="K6" i="41"/>
  <c r="E6" i="41"/>
  <c r="L13" i="36"/>
  <c r="K13" i="36"/>
  <c r="L12" i="36"/>
  <c r="K12" i="36"/>
  <c r="L9" i="36"/>
  <c r="K9" i="36"/>
  <c r="L6" i="36"/>
  <c r="K6" i="36"/>
  <c r="L14" i="33"/>
  <c r="K14" i="33"/>
  <c r="L11" i="33"/>
  <c r="K11" i="33"/>
  <c r="L10" i="33"/>
  <c r="K10" i="33"/>
  <c r="L9" i="33"/>
  <c r="K9" i="33"/>
  <c r="L6" i="33"/>
  <c r="K6" i="33"/>
  <c r="L40" i="32"/>
  <c r="K40" i="32"/>
  <c r="L39" i="32"/>
  <c r="K39" i="32"/>
  <c r="L36" i="32"/>
  <c r="K36" i="32"/>
  <c r="L35" i="32"/>
  <c r="K35" i="32"/>
  <c r="L34" i="32"/>
  <c r="K34" i="32"/>
  <c r="L31" i="32"/>
  <c r="K31" i="32"/>
  <c r="L30" i="32"/>
  <c r="K30" i="32"/>
  <c r="L29" i="32"/>
  <c r="K29" i="32"/>
  <c r="L26" i="32"/>
  <c r="K26" i="32"/>
  <c r="L25" i="32"/>
  <c r="K25" i="32"/>
  <c r="L22" i="32"/>
  <c r="K22" i="32"/>
  <c r="L21" i="32"/>
  <c r="K21" i="32"/>
  <c r="L20" i="32"/>
  <c r="K20" i="32"/>
  <c r="L19" i="32"/>
  <c r="K19" i="32"/>
  <c r="L16" i="32"/>
  <c r="K16" i="32"/>
  <c r="L13" i="32"/>
  <c r="K13" i="32"/>
  <c r="L10" i="32"/>
  <c r="K10" i="32"/>
  <c r="L9" i="32"/>
  <c r="K9" i="32"/>
  <c r="L6" i="32"/>
  <c r="K6" i="32"/>
  <c r="L6" i="31"/>
  <c r="K6" i="31"/>
  <c r="L6" i="29"/>
  <c r="K6" i="29"/>
  <c r="T12" i="26"/>
  <c r="S12" i="26"/>
  <c r="T9" i="26"/>
  <c r="S9" i="26"/>
  <c r="T6" i="26"/>
  <c r="S6" i="26"/>
  <c r="T13" i="25"/>
  <c r="S13" i="25"/>
  <c r="T10" i="25"/>
  <c r="S10" i="25"/>
  <c r="T7" i="25"/>
  <c r="S7" i="25"/>
  <c r="T6" i="25"/>
  <c r="S6" i="25"/>
  <c r="L30" i="20"/>
  <c r="K30" i="20"/>
  <c r="L29" i="20"/>
  <c r="K29" i="20"/>
  <c r="L28" i="20"/>
  <c r="K28" i="20"/>
  <c r="L25" i="20"/>
  <c r="K25" i="20"/>
  <c r="L22" i="20"/>
  <c r="K22" i="20"/>
  <c r="L19" i="20"/>
  <c r="K19" i="20"/>
  <c r="L18" i="20"/>
  <c r="L15" i="20"/>
  <c r="K15" i="20"/>
  <c r="L12" i="20"/>
  <c r="K12" i="20"/>
  <c r="L9" i="20"/>
  <c r="K9" i="20"/>
  <c r="L6" i="20"/>
  <c r="K6" i="20"/>
  <c r="L10" i="19"/>
  <c r="K10" i="19"/>
  <c r="L9" i="19"/>
  <c r="K9" i="19"/>
  <c r="L6" i="19"/>
  <c r="K6" i="19"/>
</calcChain>
</file>

<file path=xl/sharedStrings.xml><?xml version="1.0" encoding="utf-8"?>
<sst xmlns="http://schemas.openxmlformats.org/spreadsheetml/2006/main" count="781" uniqueCount="269">
  <si>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</si>
  <si>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</si>
  <si>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</si>
  <si>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</si>
  <si>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</si>
  <si>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</si>
  <si>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</si>
  <si>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ВЕСОВАЯ КАТЕГОРИЯ   75</t>
  </si>
  <si>
    <t>73,50</t>
  </si>
  <si>
    <t xml:space="preserve">Пермь/Пермский край </t>
  </si>
  <si>
    <t>65,0</t>
  </si>
  <si>
    <t>72,5</t>
  </si>
  <si>
    <t>77,5</t>
  </si>
  <si>
    <t>80,0</t>
  </si>
  <si>
    <t>Результат</t>
  </si>
  <si>
    <t>1</t>
  </si>
  <si>
    <t>Чалпанов Иван</t>
  </si>
  <si>
    <t>Подъем на бицепс</t>
  </si>
  <si>
    <t>ВЕСОВАЯ КАТЕГОРИЯ   60</t>
  </si>
  <si>
    <t>Мастера 60+ (24.12.1956)/66</t>
  </si>
  <si>
    <t>59,20</t>
  </si>
  <si>
    <t>42,5</t>
  </si>
  <si>
    <t>45,0</t>
  </si>
  <si>
    <t>47,5</t>
  </si>
  <si>
    <t>ВЕСОВАЯ КАТЕГОРИЯ   90</t>
  </si>
  <si>
    <t>Открытая (19.01.1991)/32</t>
  </si>
  <si>
    <t>87,90</t>
  </si>
  <si>
    <t>60,0</t>
  </si>
  <si>
    <t>70,0</t>
  </si>
  <si>
    <t>75,0</t>
  </si>
  <si>
    <t>86,90</t>
  </si>
  <si>
    <t>57,5</t>
  </si>
  <si>
    <t>62,5</t>
  </si>
  <si>
    <t>Тихомиров Николай</t>
  </si>
  <si>
    <t>Безрук Александр</t>
  </si>
  <si>
    <t>Турчин Владимир</t>
  </si>
  <si>
    <t>ВЕСОВАЯ КАТЕГОРИЯ   56</t>
  </si>
  <si>
    <t>55,20</t>
  </si>
  <si>
    <t>35,0</t>
  </si>
  <si>
    <t>37,5</t>
  </si>
  <si>
    <t>40,5</t>
  </si>
  <si>
    <t xml:space="preserve">Павленко Денис </t>
  </si>
  <si>
    <t>ВЕСОВАЯ КАТЕГОРИЯ   67.5</t>
  </si>
  <si>
    <t>Открытая (22.10.1986)/36</t>
  </si>
  <si>
    <t>64,60</t>
  </si>
  <si>
    <t>25,0</t>
  </si>
  <si>
    <t>27,5</t>
  </si>
  <si>
    <t>30,0</t>
  </si>
  <si>
    <t>Открытая (27.12.1994)/28</t>
  </si>
  <si>
    <t>67,40</t>
  </si>
  <si>
    <t>52,5</t>
  </si>
  <si>
    <t>50,0</t>
  </si>
  <si>
    <t xml:space="preserve">Алисов Алексей </t>
  </si>
  <si>
    <t>67,5</t>
  </si>
  <si>
    <t>ВЕСОВАЯ КАТЕГОРИЯ   82.5</t>
  </si>
  <si>
    <t>Открытая (16.07.1997)/25</t>
  </si>
  <si>
    <t>81,80</t>
  </si>
  <si>
    <t>88,40</t>
  </si>
  <si>
    <t>ВЕСОВАЯ КАТЕГОРИЯ   110</t>
  </si>
  <si>
    <t>Открытая (02.10.1990)/32</t>
  </si>
  <si>
    <t>101,30</t>
  </si>
  <si>
    <t>82,5</t>
  </si>
  <si>
    <t xml:space="preserve">Ивненко Николай </t>
  </si>
  <si>
    <t>Открытая (19.06.1990)/32</t>
  </si>
  <si>
    <t>103,80</t>
  </si>
  <si>
    <t>55,0</t>
  </si>
  <si>
    <t>Мастера 60+ (02.12.1960)/62</t>
  </si>
  <si>
    <t>107,80</t>
  </si>
  <si>
    <t xml:space="preserve">Салават/Башкортостан </t>
  </si>
  <si>
    <t>Разумова Наталья</t>
  </si>
  <si>
    <t>Чернова Оксана</t>
  </si>
  <si>
    <t>Карасёв Артём</t>
  </si>
  <si>
    <t>-</t>
  </si>
  <si>
    <t>Акименко Даниил</t>
  </si>
  <si>
    <t>Кузнецов Александр</t>
  </si>
  <si>
    <t>Авакян Арсен</t>
  </si>
  <si>
    <t>Карсаков Дмитрий</t>
  </si>
  <si>
    <t>2</t>
  </si>
  <si>
    <t>Кирюхин Иван</t>
  </si>
  <si>
    <t>Семенченко Николай</t>
  </si>
  <si>
    <t>Приседание</t>
  </si>
  <si>
    <t>Жим лёжа</t>
  </si>
  <si>
    <t>Становая тяга</t>
  </si>
  <si>
    <t>Юноши 14-16 (01.03.2009)/14</t>
  </si>
  <si>
    <t>56,00</t>
  </si>
  <si>
    <t>85,0</t>
  </si>
  <si>
    <t>40,0</t>
  </si>
  <si>
    <t>90,0</t>
  </si>
  <si>
    <t>100,0</t>
  </si>
  <si>
    <t xml:space="preserve">Поддубный Даниил </t>
  </si>
  <si>
    <t>Открытая (28.01.1997)/26</t>
  </si>
  <si>
    <t>87,5</t>
  </si>
  <si>
    <t>92,5</t>
  </si>
  <si>
    <t>Юноши 17-19 (03.11.2005)/17</t>
  </si>
  <si>
    <t>75,00</t>
  </si>
  <si>
    <t>120,0</t>
  </si>
  <si>
    <t>130,0</t>
  </si>
  <si>
    <t>140,0</t>
  </si>
  <si>
    <t>150,0</t>
  </si>
  <si>
    <t>Открытая (28.08.1999)/23</t>
  </si>
  <si>
    <t>81,00</t>
  </si>
  <si>
    <t>200,0</t>
  </si>
  <si>
    <t>215,0</t>
  </si>
  <si>
    <t>220,0</t>
  </si>
  <si>
    <t>145,0</t>
  </si>
  <si>
    <t>155,0</t>
  </si>
  <si>
    <t>235,0</t>
  </si>
  <si>
    <t>250,0</t>
  </si>
  <si>
    <t xml:space="preserve">Эреджепов Тимур </t>
  </si>
  <si>
    <t>Уланов Тимофей</t>
  </si>
  <si>
    <t>Шнайдер Алёна</t>
  </si>
  <si>
    <t>Сароян Давид</t>
  </si>
  <si>
    <t>Судак Вадим</t>
  </si>
  <si>
    <t>ВЕСОВАЯ КАТЕГОРИЯ   52</t>
  </si>
  <si>
    <t>Юноши 14-16 (03.08.2009)/13</t>
  </si>
  <si>
    <t>51,50</t>
  </si>
  <si>
    <t>97,5</t>
  </si>
  <si>
    <t>Юноши 14-16 (02.04.2008)/14</t>
  </si>
  <si>
    <t>66,30</t>
  </si>
  <si>
    <t>95,0</t>
  </si>
  <si>
    <t xml:space="preserve">Литовчук Эдгар </t>
  </si>
  <si>
    <t>Открытая (17.01.1987)/36</t>
  </si>
  <si>
    <t>88,10</t>
  </si>
  <si>
    <t>160,0</t>
  </si>
  <si>
    <t>170,0</t>
  </si>
  <si>
    <t>110,0</t>
  </si>
  <si>
    <t>115,0</t>
  </si>
  <si>
    <t>210,0</t>
  </si>
  <si>
    <t>Кормилицын Роман</t>
  </si>
  <si>
    <t>Таран Кирилл</t>
  </si>
  <si>
    <t>Османов Решит</t>
  </si>
  <si>
    <t>ВЕСОВАЯ КАТЕГОРИЯ   100</t>
  </si>
  <si>
    <t>Мастера 50-59 (06.04.1967)/55</t>
  </si>
  <si>
    <t>92,80</t>
  </si>
  <si>
    <t>217,5</t>
  </si>
  <si>
    <t>225,0</t>
  </si>
  <si>
    <t>Леоненко Василий</t>
  </si>
  <si>
    <t>Открытая (21.01.1994)/29</t>
  </si>
  <si>
    <t>74,00</t>
  </si>
  <si>
    <t>157,5</t>
  </si>
  <si>
    <t>165,0</t>
  </si>
  <si>
    <t>Поддубный Даниил</t>
  </si>
  <si>
    <t>Открытая (05.07.1976)/46</t>
  </si>
  <si>
    <t>Открытая (14.11.1986)/36</t>
  </si>
  <si>
    <t>57,60</t>
  </si>
  <si>
    <t xml:space="preserve">Григорян Эдуард </t>
  </si>
  <si>
    <t>Открытая (13.02.1988)/35</t>
  </si>
  <si>
    <t>57,80</t>
  </si>
  <si>
    <t>Открытая (12.06.1986)/36</t>
  </si>
  <si>
    <t>66,60</t>
  </si>
  <si>
    <t>107,5</t>
  </si>
  <si>
    <t>Юноши 14-16 (01.07.2007)/15</t>
  </si>
  <si>
    <t>71,30</t>
  </si>
  <si>
    <t xml:space="preserve">Гончаров Антон </t>
  </si>
  <si>
    <t>Юноши 14-16 (15.11.2006)/16</t>
  </si>
  <si>
    <t>69,20</t>
  </si>
  <si>
    <t xml:space="preserve">Ротнов Игорь </t>
  </si>
  <si>
    <t>Юниоры (23.03.2002)/20</t>
  </si>
  <si>
    <t>127,5</t>
  </si>
  <si>
    <t>135,0</t>
  </si>
  <si>
    <t>Открытая (11.01.1991)/32</t>
  </si>
  <si>
    <t>74,50</t>
  </si>
  <si>
    <t>Юноши 14-16 (29.03.2007)/15</t>
  </si>
  <si>
    <t>80,50</t>
  </si>
  <si>
    <t>Мастера 40-49 (11.07.1973)/49</t>
  </si>
  <si>
    <t>79,50</t>
  </si>
  <si>
    <t>132,5</t>
  </si>
  <si>
    <t>137,5</t>
  </si>
  <si>
    <t>Открытая (01.06.1980)/42</t>
  </si>
  <si>
    <t>Мастера 40-49 (01.06.1980)/42</t>
  </si>
  <si>
    <t>Мастера 40-49 (09.06.1979)/43</t>
  </si>
  <si>
    <t>Юноши 17-19 (08.12.2003)/19</t>
  </si>
  <si>
    <t>96,80</t>
  </si>
  <si>
    <t>Открытая (16.03.1980)/42</t>
  </si>
  <si>
    <t>99,00</t>
  </si>
  <si>
    <t>175,0</t>
  </si>
  <si>
    <t>177,5</t>
  </si>
  <si>
    <t xml:space="preserve">Пряхин Станислав </t>
  </si>
  <si>
    <t>Мастера 50-59 (21.03.1970)/52</t>
  </si>
  <si>
    <t>94,20</t>
  </si>
  <si>
    <t xml:space="preserve">Белаш Дмитрий </t>
  </si>
  <si>
    <t>Открытая (18.06.1990)/32</t>
  </si>
  <si>
    <t>102,30</t>
  </si>
  <si>
    <t>180,0</t>
  </si>
  <si>
    <t>Мастера 60-69 (02.12.1960)/62</t>
  </si>
  <si>
    <t>Холкун Надежда</t>
  </si>
  <si>
    <t>Аблякимова Эльзара</t>
  </si>
  <si>
    <t>Лобода Дмитрий</t>
  </si>
  <si>
    <t>Дьяков Иван</t>
  </si>
  <si>
    <t>Хохлов Егор</t>
  </si>
  <si>
    <t>Шкетин Артем</t>
  </si>
  <si>
    <t>Голованов Никита</t>
  </si>
  <si>
    <t>Москалец Павел</t>
  </si>
  <si>
    <t>Агафонов Антон</t>
  </si>
  <si>
    <t>Чжан Даниил</t>
  </si>
  <si>
    <t>Шаталин Игорь</t>
  </si>
  <si>
    <t>Саньков Леонид</t>
  </si>
  <si>
    <t>Белаш Дмитрий</t>
  </si>
  <si>
    <t>Открытая (30.11.1983)/39</t>
  </si>
  <si>
    <t>87,50</t>
  </si>
  <si>
    <t>240,0</t>
  </si>
  <si>
    <t>Открытая (09.04.1981)/41</t>
  </si>
  <si>
    <t>95,60</t>
  </si>
  <si>
    <t>232,5</t>
  </si>
  <si>
    <t>Мастера 40-49 (09.04.1981)/41</t>
  </si>
  <si>
    <t>Открытая (22.05.1989)/33</t>
  </si>
  <si>
    <t>107,60</t>
  </si>
  <si>
    <t>190,0</t>
  </si>
  <si>
    <t>Алексеев Илья</t>
  </si>
  <si>
    <t>Ткаченко Дмитрий</t>
  </si>
  <si>
    <t>Белаш Сергей</t>
  </si>
  <si>
    <t>Открытая (25.05.1986)/36</t>
  </si>
  <si>
    <t>53,90</t>
  </si>
  <si>
    <t>52,0</t>
  </si>
  <si>
    <t>125,0</t>
  </si>
  <si>
    <t>Дейнеко Светлана</t>
  </si>
  <si>
    <t>Открытая (30.04.1983)/39</t>
  </si>
  <si>
    <t>95,00</t>
  </si>
  <si>
    <t xml:space="preserve">Темрюк/Краснодарский край </t>
  </si>
  <si>
    <t>230,0</t>
  </si>
  <si>
    <t>245,0</t>
  </si>
  <si>
    <t>Сладенко Сергей</t>
  </si>
  <si>
    <t>Открытая (12.11.1994)/28</t>
  </si>
  <si>
    <t>67,50</t>
  </si>
  <si>
    <t>195,0</t>
  </si>
  <si>
    <t>205,0</t>
  </si>
  <si>
    <t>Присакарь Виталий</t>
  </si>
  <si>
    <t>Открытая (12.04.1975)/47</t>
  </si>
  <si>
    <t>50,50</t>
  </si>
  <si>
    <t>105,0</t>
  </si>
  <si>
    <t xml:space="preserve">Пинчук Алексей </t>
  </si>
  <si>
    <t>Мастера 40-49 (12.04.1975)/47</t>
  </si>
  <si>
    <t>Субботина Валентина</t>
  </si>
  <si>
    <t>Мастера 40-49 (05.07.1976)/46</t>
  </si>
  <si>
    <t>Юноши 13-19 (21.01.2007)/16</t>
  </si>
  <si>
    <t>Юниоры 20-23 (23.03.2002)/20</t>
  </si>
  <si>
    <t>Мастера 40-49 (27.08.1976)/46</t>
  </si>
  <si>
    <t>Открытый Чемпионат Южного Федерального округа
WRPF Пауэрлифтинг без экипировки ДК
Симферополь/Республика Крым, 12 марта 2023 года</t>
  </si>
  <si>
    <t>Открытый Чемпионат Южного Федерального округа
WRPF Пауэрлифтинг без экипировки
Симферополь/Республика Крым, 12 марта 2023 года</t>
  </si>
  <si>
    <t>Открытый Чемпионат Южного Федерального округа
WRPF Силовое двоеборье без экипировки ДК
Симферополь/Республика Крым, 12 марта 2023 года</t>
  </si>
  <si>
    <t>Открытый Чемпионат Южного Федерального округа
WRPF Жим лежа без экипировки ДК
Симферополь/Республика Крым, 12 марта 2023 года</t>
  </si>
  <si>
    <t xml:space="preserve">Севастополь/Республика Крым </t>
  </si>
  <si>
    <t xml:space="preserve">Симферополь/Республика Крым </t>
  </si>
  <si>
    <t>Открытый Чемпионат Южного Федерального округа
WRPF Жим лежа без экипировки
Симферополь/Республика Крым, 12 марта 2023 года</t>
  </si>
  <si>
    <t>Открытый Чемпионат Южного Федерального округа
WEPF Жим лежа в однопетельной софт экипировке ДК
Симферополь/Республика Крым, 12 марта 2023 года</t>
  </si>
  <si>
    <t>Открытый Чемпионат Южного Федерального округа
WEPF Жим лежа в однопетельной софт экипировке
Симферополь/Республика Крым, 12 марта 2023 года</t>
  </si>
  <si>
    <t>Открытый Чемпионат Южного Федерального округа
WRPF Военный жим лежа с ДК
Симферополь/Республика Крым, 12 марта 2023 года</t>
  </si>
  <si>
    <t>Открытый Чемпионат Южного Федерального округа
WRPF Становая тяга без экипировки ДК
Симферополь/Республика Крым, 12 марта 2023 года</t>
  </si>
  <si>
    <t>Открытый Чемпионат Южного Федерального округа
WRPF Становая тяга без экипировки
Симферополь/Республика Крым, 12 марта 2023 года</t>
  </si>
  <si>
    <t>Открытый Чемпионат Южного Федерального округа
WRPF Строгий подъем штанги на бицепс ДК
Симферополь/Республика Крым, 12 марта 2023 года</t>
  </si>
  <si>
    <t>Открытый Чемпионат Южного Федерального округа
WRPF Строгий подъем штанги на бицепс
Симферополь/Республика Крым, 12 марта 2023 года</t>
  </si>
  <si>
    <t xml:space="preserve">Феодосия/Республика Крым </t>
  </si>
  <si>
    <t xml:space="preserve">Саки/Республика Крым </t>
  </si>
  <si>
    <t xml:space="preserve">Ялта/Республика Крым </t>
  </si>
  <si>
    <t xml:space="preserve">Алушта/Республика Крым </t>
  </si>
  <si>
    <t>Богданов Кирилл</t>
  </si>
  <si>
    <t xml:space="preserve">Похватько Роман </t>
  </si>
  <si>
    <t xml:space="preserve">Новофедоровка/Республика Крым </t>
  </si>
  <si>
    <t>№</t>
  </si>
  <si>
    <t xml:space="preserve">
Дата рождения/Возраст</t>
  </si>
  <si>
    <t>Возрастная группа</t>
  </si>
  <si>
    <t>M3</t>
  </si>
  <si>
    <t>O</t>
  </si>
  <si>
    <t>M1</t>
  </si>
  <si>
    <t>T1</t>
  </si>
  <si>
    <t>T2</t>
  </si>
  <si>
    <t>J</t>
  </si>
  <si>
    <t>M2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</si>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</sst>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12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33.33203125" style="5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6" bestFit="1" customWidth="1"/>
    <col min="20" max="20" width="8.5" style="6" bestFit="1" customWidth="1"/>
    <col min="21" max="21" width="26.5" style="5" bestFit="1" customWidth="1"/>
    <col min="22" max="16384" width="9.1640625" style="3"/>
  </cols>
  <sheetData>
    <row r="1" spans="1:21" s="2" customFormat="1" ht="29" customHeight="1">
      <c r="A1" s="42" t="s">
        <v>237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80</v>
      </c>
      <c r="H3" s="56"/>
      <c r="I3" s="56"/>
      <c r="J3" s="56"/>
      <c r="K3" s="56" t="s">
        <v>81</v>
      </c>
      <c r="L3" s="56"/>
      <c r="M3" s="56"/>
      <c r="N3" s="56"/>
      <c r="O3" s="56" t="s">
        <v>82</v>
      </c>
      <c r="P3" s="56"/>
      <c r="Q3" s="56"/>
      <c r="R3" s="56"/>
      <c r="S3" s="54" t="s">
        <v>1</v>
      </c>
      <c r="T3" s="54" t="s">
        <v>3</v>
      </c>
      <c r="U3" s="38" t="s">
        <v>2</v>
      </c>
    </row>
    <row r="4" spans="1:21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39"/>
    </row>
    <row r="5" spans="1:21" ht="16">
      <c r="A5" s="40" t="s">
        <v>113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13" t="s">
        <v>15</v>
      </c>
      <c r="B6" s="7" t="s">
        <v>128</v>
      </c>
      <c r="C6" s="7" t="s">
        <v>114</v>
      </c>
      <c r="D6" s="7" t="s">
        <v>115</v>
      </c>
      <c r="E6" s="8" t="s">
        <v>264</v>
      </c>
      <c r="F6" s="7" t="s">
        <v>251</v>
      </c>
      <c r="G6" s="14" t="s">
        <v>53</v>
      </c>
      <c r="H6" s="14" t="s">
        <v>28</v>
      </c>
      <c r="I6" s="14" t="s">
        <v>29</v>
      </c>
      <c r="J6" s="13"/>
      <c r="K6" s="14" t="s">
        <v>23</v>
      </c>
      <c r="L6" s="14" t="s">
        <v>51</v>
      </c>
      <c r="M6" s="15" t="s">
        <v>50</v>
      </c>
      <c r="N6" s="13"/>
      <c r="O6" s="14" t="s">
        <v>87</v>
      </c>
      <c r="P6" s="14" t="s">
        <v>92</v>
      </c>
      <c r="Q6" s="14" t="s">
        <v>116</v>
      </c>
      <c r="R6" s="13"/>
      <c r="S6" s="9" t="str">
        <f>"222,5"</f>
        <v>222,5</v>
      </c>
      <c r="T6" s="9" t="str">
        <f>"220,5642"</f>
        <v>220,5642</v>
      </c>
      <c r="U6" s="7" t="s">
        <v>255</v>
      </c>
    </row>
    <row r="8" spans="1:21" ht="16">
      <c r="A8" s="57" t="s">
        <v>42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21">
      <c r="A9" s="13" t="s">
        <v>15</v>
      </c>
      <c r="B9" s="7" t="s">
        <v>129</v>
      </c>
      <c r="C9" s="7" t="s">
        <v>117</v>
      </c>
      <c r="D9" s="7" t="s">
        <v>118</v>
      </c>
      <c r="E9" s="8" t="s">
        <v>264</v>
      </c>
      <c r="F9" s="7" t="s">
        <v>242</v>
      </c>
      <c r="G9" s="15" t="s">
        <v>28</v>
      </c>
      <c r="H9" s="15" t="s">
        <v>11</v>
      </c>
      <c r="I9" s="14" t="s">
        <v>11</v>
      </c>
      <c r="J9" s="13"/>
      <c r="K9" s="14" t="s">
        <v>65</v>
      </c>
      <c r="L9" s="15" t="s">
        <v>27</v>
      </c>
      <c r="M9" s="15" t="s">
        <v>27</v>
      </c>
      <c r="N9" s="13"/>
      <c r="O9" s="14" t="s">
        <v>29</v>
      </c>
      <c r="P9" s="14" t="s">
        <v>91</v>
      </c>
      <c r="Q9" s="14" t="s">
        <v>119</v>
      </c>
      <c r="R9" s="13"/>
      <c r="S9" s="9" t="str">
        <f>"222,5"</f>
        <v>222,5</v>
      </c>
      <c r="T9" s="9" t="str">
        <f>"174,0617"</f>
        <v>174,0617</v>
      </c>
      <c r="U9" s="7" t="s">
        <v>120</v>
      </c>
    </row>
    <row r="11" spans="1:21" ht="16">
      <c r="A11" s="57" t="s">
        <v>24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21">
      <c r="A12" s="13" t="s">
        <v>15</v>
      </c>
      <c r="B12" s="7" t="s">
        <v>130</v>
      </c>
      <c r="C12" s="7" t="s">
        <v>121</v>
      </c>
      <c r="D12" s="7" t="s">
        <v>122</v>
      </c>
      <c r="E12" s="8" t="s">
        <v>262</v>
      </c>
      <c r="F12" s="7" t="s">
        <v>242</v>
      </c>
      <c r="G12" s="14" t="s">
        <v>123</v>
      </c>
      <c r="H12" s="15" t="s">
        <v>124</v>
      </c>
      <c r="I12" s="14" t="s">
        <v>124</v>
      </c>
      <c r="J12" s="13"/>
      <c r="K12" s="14" t="s">
        <v>88</v>
      </c>
      <c r="L12" s="14" t="s">
        <v>125</v>
      </c>
      <c r="M12" s="15" t="s">
        <v>126</v>
      </c>
      <c r="N12" s="13"/>
      <c r="O12" s="14" t="s">
        <v>101</v>
      </c>
      <c r="P12" s="14" t="s">
        <v>127</v>
      </c>
      <c r="Q12" s="15" t="s">
        <v>102</v>
      </c>
      <c r="R12" s="13"/>
      <c r="S12" s="9" t="str">
        <f>"490,0"</f>
        <v>490,0</v>
      </c>
      <c r="T12" s="9" t="str">
        <f>"316,2950"</f>
        <v>316,2950</v>
      </c>
      <c r="U12" s="7" t="s">
        <v>52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6"/>
  <sheetViews>
    <sheetView workbookViewId="0">
      <selection activeCell="A5" sqref="A5:J5"/>
    </sheetView>
  </sheetViews>
  <sheetFormatPr baseColWidth="10" defaultColWidth="9.1640625" defaultRowHeight="13"/>
  <cols>
    <col min="1" max="1" width="7.5" style="5" bestFit="1" customWidth="1"/>
    <col min="2" max="2" width="19.5" style="5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6.832031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2" t="s">
        <v>248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82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131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221</v>
      </c>
      <c r="C6" s="7" t="s">
        <v>216</v>
      </c>
      <c r="D6" s="7" t="s">
        <v>217</v>
      </c>
      <c r="E6" s="8" t="str">
        <f>"0,6220"</f>
        <v>0,6220</v>
      </c>
      <c r="F6" s="7" t="s">
        <v>218</v>
      </c>
      <c r="G6" s="15" t="s">
        <v>103</v>
      </c>
      <c r="H6" s="14" t="s">
        <v>219</v>
      </c>
      <c r="I6" s="14" t="s">
        <v>220</v>
      </c>
      <c r="J6" s="13"/>
      <c r="K6" s="9" t="str">
        <f>"245,0"</f>
        <v>245,0</v>
      </c>
      <c r="L6" s="9" t="str">
        <f>"152,3900"</f>
        <v>152,3900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30"/>
  <sheetViews>
    <sheetView tabSelected="1" workbookViewId="0">
      <selection activeCell="E31" sqref="E3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83203125" style="5" bestFit="1" customWidth="1"/>
    <col min="7" max="10" width="5.5" style="11" customWidth="1"/>
    <col min="11" max="11" width="10.5" style="12" bestFit="1" customWidth="1"/>
    <col min="12" max="12" width="7.6640625" style="6" bestFit="1" customWidth="1"/>
    <col min="13" max="13" width="20.5" style="5" customWidth="1"/>
    <col min="14" max="16384" width="9.1640625" style="3"/>
  </cols>
  <sheetData>
    <row r="1" spans="1:13" s="2" customFormat="1" ht="29" customHeight="1">
      <c r="A1" s="42" t="s">
        <v>249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17</v>
      </c>
      <c r="H3" s="56"/>
      <c r="I3" s="56"/>
      <c r="J3" s="56"/>
      <c r="K3" s="61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62"/>
      <c r="L4" s="55"/>
      <c r="M4" s="39"/>
    </row>
    <row r="5" spans="1:13" ht="16">
      <c r="A5" s="40" t="s">
        <v>36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69</v>
      </c>
      <c r="C6" s="7" t="s">
        <v>233</v>
      </c>
      <c r="D6" s="7" t="s">
        <v>37</v>
      </c>
      <c r="E6" s="8" t="s">
        <v>263</v>
      </c>
      <c r="F6" s="7" t="s">
        <v>242</v>
      </c>
      <c r="G6" s="14" t="s">
        <v>38</v>
      </c>
      <c r="H6" s="14" t="s">
        <v>39</v>
      </c>
      <c r="I6" s="14" t="s">
        <v>40</v>
      </c>
      <c r="J6" s="15" t="s">
        <v>21</v>
      </c>
      <c r="K6" s="34" t="str">
        <f>"40,5"</f>
        <v>40,5</v>
      </c>
      <c r="L6" s="9" t="str">
        <f>"45,6805"</f>
        <v>45,6805</v>
      </c>
      <c r="M6" s="7" t="s">
        <v>41</v>
      </c>
    </row>
    <row r="8" spans="1:13" ht="16">
      <c r="A8" s="57" t="s">
        <v>42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15</v>
      </c>
      <c r="B9" s="7" t="s">
        <v>70</v>
      </c>
      <c r="C9" s="7" t="s">
        <v>43</v>
      </c>
      <c r="D9" s="7" t="s">
        <v>44</v>
      </c>
      <c r="E9" s="8" t="s">
        <v>262</v>
      </c>
      <c r="F9" s="7" t="s">
        <v>242</v>
      </c>
      <c r="G9" s="14" t="s">
        <v>45</v>
      </c>
      <c r="H9" s="14" t="s">
        <v>46</v>
      </c>
      <c r="I9" s="14" t="s">
        <v>47</v>
      </c>
      <c r="J9" s="13"/>
      <c r="K9" s="34" t="str">
        <f>"30,0"</f>
        <v>30,0</v>
      </c>
      <c r="L9" s="9" t="str">
        <f>"27,9345"</f>
        <v>27,9345</v>
      </c>
      <c r="M9" s="7"/>
    </row>
    <row r="11" spans="1:13" ht="16">
      <c r="A11" s="57" t="s">
        <v>18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13" t="s">
        <v>15</v>
      </c>
      <c r="B12" s="7" t="s">
        <v>33</v>
      </c>
      <c r="C12" s="7" t="s">
        <v>19</v>
      </c>
      <c r="D12" s="7" t="s">
        <v>20</v>
      </c>
      <c r="E12" s="8" t="s">
        <v>261</v>
      </c>
      <c r="F12" s="7" t="s">
        <v>242</v>
      </c>
      <c r="G12" s="14" t="s">
        <v>21</v>
      </c>
      <c r="H12" s="14" t="s">
        <v>22</v>
      </c>
      <c r="I12" s="14" t="s">
        <v>23</v>
      </c>
      <c r="J12" s="13"/>
      <c r="K12" s="34" t="str">
        <f>"47,5"</f>
        <v>47,5</v>
      </c>
      <c r="L12" s="9" t="str">
        <f>"60,5724"</f>
        <v>60,5724</v>
      </c>
      <c r="M12" s="7"/>
    </row>
    <row r="14" spans="1:13" ht="16">
      <c r="A14" s="57" t="s">
        <v>42</v>
      </c>
      <c r="B14" s="57"/>
      <c r="C14" s="58"/>
      <c r="D14" s="58"/>
      <c r="E14" s="58"/>
      <c r="F14" s="58"/>
      <c r="G14" s="58"/>
      <c r="H14" s="58"/>
      <c r="I14" s="58"/>
      <c r="J14" s="58"/>
    </row>
    <row r="15" spans="1:13">
      <c r="A15" s="13" t="s">
        <v>15</v>
      </c>
      <c r="B15" s="7" t="s">
        <v>71</v>
      </c>
      <c r="C15" s="7" t="s">
        <v>48</v>
      </c>
      <c r="D15" s="7" t="s">
        <v>49</v>
      </c>
      <c r="E15" s="8" t="s">
        <v>262</v>
      </c>
      <c r="F15" s="7" t="s">
        <v>253</v>
      </c>
      <c r="G15" s="14" t="s">
        <v>22</v>
      </c>
      <c r="H15" s="14" t="s">
        <v>23</v>
      </c>
      <c r="I15" s="14" t="s">
        <v>50</v>
      </c>
      <c r="J15" s="13"/>
      <c r="K15" s="34" t="str">
        <f>"52,5"</f>
        <v>52,5</v>
      </c>
      <c r="L15" s="9" t="str">
        <f>"39,3409"</f>
        <v>39,3409</v>
      </c>
      <c r="M15" s="7" t="s">
        <v>180</v>
      </c>
    </row>
    <row r="17" spans="1:13" ht="16">
      <c r="A17" s="57" t="s">
        <v>7</v>
      </c>
      <c r="B17" s="57"/>
      <c r="C17" s="58"/>
      <c r="D17" s="58"/>
      <c r="E17" s="58"/>
      <c r="F17" s="58"/>
      <c r="G17" s="58"/>
      <c r="H17" s="58"/>
      <c r="I17" s="58"/>
      <c r="J17" s="58"/>
    </row>
    <row r="18" spans="1:13">
      <c r="A18" s="22" t="s">
        <v>72</v>
      </c>
      <c r="B18" s="16" t="s">
        <v>73</v>
      </c>
      <c r="C18" s="16" t="s">
        <v>234</v>
      </c>
      <c r="D18" s="16" t="s">
        <v>8</v>
      </c>
      <c r="E18" s="17" t="s">
        <v>268</v>
      </c>
      <c r="F18" s="16" t="s">
        <v>242</v>
      </c>
      <c r="G18" s="30" t="s">
        <v>51</v>
      </c>
      <c r="H18" s="30" t="s">
        <v>51</v>
      </c>
      <c r="I18" s="30" t="s">
        <v>51</v>
      </c>
      <c r="J18" s="22"/>
      <c r="K18" s="35">
        <v>0</v>
      </c>
      <c r="L18" s="18" t="str">
        <f>"0,0000"</f>
        <v>0,0000</v>
      </c>
      <c r="M18" s="16" t="s">
        <v>52</v>
      </c>
    </row>
    <row r="19" spans="1:13">
      <c r="A19" s="24" t="s">
        <v>15</v>
      </c>
      <c r="B19" s="19" t="s">
        <v>16</v>
      </c>
      <c r="C19" s="19" t="s">
        <v>235</v>
      </c>
      <c r="D19" s="19" t="s">
        <v>8</v>
      </c>
      <c r="E19" s="20" t="s">
        <v>266</v>
      </c>
      <c r="F19" s="19" t="s">
        <v>9</v>
      </c>
      <c r="G19" s="25" t="s">
        <v>31</v>
      </c>
      <c r="H19" s="26" t="s">
        <v>53</v>
      </c>
      <c r="I19" s="26" t="s">
        <v>53</v>
      </c>
      <c r="J19" s="24"/>
      <c r="K19" s="36" t="str">
        <f>"57,5"</f>
        <v>57,5</v>
      </c>
      <c r="L19" s="21" t="str">
        <f>"40,1925"</f>
        <v>40,1925</v>
      </c>
      <c r="M19" s="19"/>
    </row>
    <row r="21" spans="1:13" ht="16">
      <c r="A21" s="57" t="s">
        <v>54</v>
      </c>
      <c r="B21" s="57"/>
      <c r="C21" s="58"/>
      <c r="D21" s="58"/>
      <c r="E21" s="58"/>
      <c r="F21" s="58"/>
      <c r="G21" s="58"/>
      <c r="H21" s="58"/>
      <c r="I21" s="58"/>
      <c r="J21" s="58"/>
    </row>
    <row r="22" spans="1:13">
      <c r="A22" s="13" t="s">
        <v>15</v>
      </c>
      <c r="B22" s="7" t="s">
        <v>74</v>
      </c>
      <c r="C22" s="7" t="s">
        <v>55</v>
      </c>
      <c r="D22" s="7" t="s">
        <v>56</v>
      </c>
      <c r="E22" s="8" t="s">
        <v>262</v>
      </c>
      <c r="F22" s="7" t="s">
        <v>242</v>
      </c>
      <c r="G22" s="14" t="s">
        <v>32</v>
      </c>
      <c r="H22" s="14" t="s">
        <v>10</v>
      </c>
      <c r="I22" s="14" t="s">
        <v>53</v>
      </c>
      <c r="J22" s="13"/>
      <c r="K22" s="34" t="str">
        <f>"67,5"</f>
        <v>67,5</v>
      </c>
      <c r="L22" s="9" t="str">
        <f>"43,7535"</f>
        <v>43,7535</v>
      </c>
      <c r="M22" s="7"/>
    </row>
    <row r="24" spans="1:13" ht="16">
      <c r="A24" s="57" t="s">
        <v>24</v>
      </c>
      <c r="B24" s="57"/>
      <c r="C24" s="58"/>
      <c r="D24" s="58"/>
      <c r="E24" s="58"/>
      <c r="F24" s="58"/>
      <c r="G24" s="58"/>
      <c r="H24" s="58"/>
      <c r="I24" s="58"/>
      <c r="J24" s="58"/>
    </row>
    <row r="25" spans="1:13">
      <c r="A25" s="13" t="s">
        <v>15</v>
      </c>
      <c r="B25" s="7" t="s">
        <v>75</v>
      </c>
      <c r="C25" s="7" t="s">
        <v>170</v>
      </c>
      <c r="D25" s="7" t="s">
        <v>57</v>
      </c>
      <c r="E25" s="8" t="s">
        <v>263</v>
      </c>
      <c r="F25" s="7" t="s">
        <v>242</v>
      </c>
      <c r="G25" s="14" t="s">
        <v>50</v>
      </c>
      <c r="H25" s="14" t="s">
        <v>27</v>
      </c>
      <c r="I25" s="15" t="s">
        <v>53</v>
      </c>
      <c r="J25" s="13"/>
      <c r="K25" s="34" t="str">
        <f>"60,0"</f>
        <v>60,0</v>
      </c>
      <c r="L25" s="9" t="str">
        <f>"38,2357"</f>
        <v>38,2357</v>
      </c>
      <c r="M25" s="7" t="s">
        <v>141</v>
      </c>
    </row>
    <row r="27" spans="1:13" ht="16">
      <c r="A27" s="57" t="s">
        <v>58</v>
      </c>
      <c r="B27" s="57"/>
      <c r="C27" s="58"/>
      <c r="D27" s="58"/>
      <c r="E27" s="58"/>
      <c r="F27" s="58"/>
      <c r="G27" s="58"/>
      <c r="H27" s="58"/>
      <c r="I27" s="58"/>
      <c r="J27" s="58"/>
    </row>
    <row r="28" spans="1:13">
      <c r="A28" s="22" t="s">
        <v>15</v>
      </c>
      <c r="B28" s="16" t="s">
        <v>76</v>
      </c>
      <c r="C28" s="16" t="s">
        <v>59</v>
      </c>
      <c r="D28" s="16" t="s">
        <v>60</v>
      </c>
      <c r="E28" s="17" t="s">
        <v>262</v>
      </c>
      <c r="F28" s="16" t="s">
        <v>242</v>
      </c>
      <c r="G28" s="23" t="s">
        <v>12</v>
      </c>
      <c r="H28" s="30" t="s">
        <v>61</v>
      </c>
      <c r="I28" s="23" t="s">
        <v>61</v>
      </c>
      <c r="J28" s="22"/>
      <c r="K28" s="35" t="str">
        <f>"82,5"</f>
        <v>82,5</v>
      </c>
      <c r="L28" s="18" t="str">
        <f>"47,7056"</f>
        <v>47,7056</v>
      </c>
      <c r="M28" s="16" t="s">
        <v>62</v>
      </c>
    </row>
    <row r="29" spans="1:13">
      <c r="A29" s="31" t="s">
        <v>77</v>
      </c>
      <c r="B29" s="27" t="s">
        <v>78</v>
      </c>
      <c r="C29" s="27" t="s">
        <v>63</v>
      </c>
      <c r="D29" s="27" t="s">
        <v>64</v>
      </c>
      <c r="E29" s="28" t="s">
        <v>262</v>
      </c>
      <c r="F29" s="27" t="s">
        <v>254</v>
      </c>
      <c r="G29" s="32" t="s">
        <v>65</v>
      </c>
      <c r="H29" s="32" t="s">
        <v>53</v>
      </c>
      <c r="I29" s="32" t="s">
        <v>29</v>
      </c>
      <c r="J29" s="31"/>
      <c r="K29" s="37" t="str">
        <f>"75,0"</f>
        <v>75,0</v>
      </c>
      <c r="L29" s="29" t="str">
        <f>"42,9713"</f>
        <v>42,9713</v>
      </c>
      <c r="M29" s="27"/>
    </row>
    <row r="30" spans="1:13">
      <c r="A30" s="24" t="s">
        <v>15</v>
      </c>
      <c r="B30" s="19" t="s">
        <v>79</v>
      </c>
      <c r="C30" s="19" t="s">
        <v>66</v>
      </c>
      <c r="D30" s="19" t="s">
        <v>67</v>
      </c>
      <c r="E30" s="20" t="s">
        <v>261</v>
      </c>
      <c r="F30" s="19" t="s">
        <v>68</v>
      </c>
      <c r="G30" s="25" t="s">
        <v>51</v>
      </c>
      <c r="H30" s="25" t="s">
        <v>31</v>
      </c>
      <c r="I30" s="25" t="s">
        <v>32</v>
      </c>
      <c r="J30" s="24"/>
      <c r="K30" s="36" t="str">
        <f>"62,5"</f>
        <v>62,5</v>
      </c>
      <c r="L30" s="21" t="str">
        <f>"49,2600"</f>
        <v>49,2600</v>
      </c>
      <c r="M30" s="19"/>
    </row>
  </sheetData>
  <mergeCells count="19">
    <mergeCell ref="A27:J27"/>
    <mergeCell ref="B3:B4"/>
    <mergeCell ref="A8:J8"/>
    <mergeCell ref="A11:J11"/>
    <mergeCell ref="A14:J14"/>
    <mergeCell ref="A17:J17"/>
    <mergeCell ref="A21:J21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0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33203125" style="5" bestFit="1" customWidth="1"/>
    <col min="3" max="3" width="28.5" style="5" bestFit="1" customWidth="1"/>
    <col min="4" max="4" width="21.5" style="5" bestFit="1" customWidth="1"/>
    <col min="5" max="5" width="10.5" style="10" bestFit="1" customWidth="1"/>
    <col min="6" max="6" width="29.832031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17.6640625" style="5" customWidth="1"/>
    <col min="14" max="16384" width="9.1640625" style="3"/>
  </cols>
  <sheetData>
    <row r="1" spans="1:13" s="2" customFormat="1" ht="29" customHeight="1">
      <c r="A1" s="42" t="s">
        <v>250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17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18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33</v>
      </c>
      <c r="C6" s="7" t="s">
        <v>19</v>
      </c>
      <c r="D6" s="7" t="s">
        <v>20</v>
      </c>
      <c r="E6" s="8" t="s">
        <v>261</v>
      </c>
      <c r="F6" s="7" t="s">
        <v>242</v>
      </c>
      <c r="G6" s="14" t="s">
        <v>21</v>
      </c>
      <c r="H6" s="14" t="s">
        <v>22</v>
      </c>
      <c r="I6" s="14" t="s">
        <v>23</v>
      </c>
      <c r="J6" s="13"/>
      <c r="K6" s="9" t="str">
        <f>"47,5"</f>
        <v>47,5</v>
      </c>
      <c r="L6" s="9" t="str">
        <f>"60,5724"</f>
        <v>60,5724</v>
      </c>
      <c r="M6" s="7"/>
    </row>
    <row r="8" spans="1:13" ht="16">
      <c r="A8" s="57" t="s">
        <v>24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2" t="s">
        <v>15</v>
      </c>
      <c r="B9" s="16" t="s">
        <v>34</v>
      </c>
      <c r="C9" s="16" t="s">
        <v>25</v>
      </c>
      <c r="D9" s="16" t="s">
        <v>26</v>
      </c>
      <c r="E9" s="17" t="s">
        <v>262</v>
      </c>
      <c r="F9" s="16" t="s">
        <v>253</v>
      </c>
      <c r="G9" s="23" t="s">
        <v>27</v>
      </c>
      <c r="H9" s="23" t="s">
        <v>28</v>
      </c>
      <c r="I9" s="23" t="s">
        <v>29</v>
      </c>
      <c r="J9" s="22"/>
      <c r="K9" s="18" t="str">
        <f>"75,0"</f>
        <v>75,0</v>
      </c>
      <c r="L9" s="18" t="str">
        <f>"46,5075"</f>
        <v>46,5075</v>
      </c>
      <c r="M9" s="16"/>
    </row>
    <row r="10" spans="1:13">
      <c r="A10" s="24" t="s">
        <v>15</v>
      </c>
      <c r="B10" s="19" t="s">
        <v>35</v>
      </c>
      <c r="C10" s="19" t="s">
        <v>236</v>
      </c>
      <c r="D10" s="19" t="s">
        <v>30</v>
      </c>
      <c r="E10" s="20" t="s">
        <v>263</v>
      </c>
      <c r="F10" s="19" t="s">
        <v>257</v>
      </c>
      <c r="G10" s="25" t="s">
        <v>31</v>
      </c>
      <c r="H10" s="25" t="s">
        <v>32</v>
      </c>
      <c r="I10" s="26" t="s">
        <v>10</v>
      </c>
      <c r="J10" s="24"/>
      <c r="K10" s="21" t="str">
        <f>"62,5"</f>
        <v>62,5</v>
      </c>
      <c r="L10" s="21" t="str">
        <f>"41,6687"</f>
        <v>41,6687</v>
      </c>
      <c r="M10" s="19"/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U13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2.83203125" style="5" customWidth="1"/>
    <col min="3" max="3" width="26.5" style="5" bestFit="1" customWidth="1"/>
    <col min="4" max="4" width="21.5" style="5" bestFit="1" customWidth="1"/>
    <col min="5" max="5" width="10.5" style="10" bestFit="1" customWidth="1"/>
    <col min="6" max="6" width="29.83203125" style="5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7" width="5.5" style="11" customWidth="1"/>
    <col min="18" max="18" width="4.83203125" style="11" customWidth="1"/>
    <col min="19" max="19" width="7.83203125" style="6" bestFit="1" customWidth="1"/>
    <col min="20" max="20" width="8.5" style="6" bestFit="1" customWidth="1"/>
    <col min="21" max="21" width="18.5" style="5" bestFit="1" customWidth="1"/>
    <col min="22" max="16384" width="9.1640625" style="3"/>
  </cols>
  <sheetData>
    <row r="1" spans="1:21" s="2" customFormat="1" ht="29" customHeight="1">
      <c r="A1" s="42" t="s">
        <v>238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5"/>
    </row>
    <row r="2" spans="1:21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/>
    </row>
    <row r="3" spans="1:21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80</v>
      </c>
      <c r="H3" s="56"/>
      <c r="I3" s="56"/>
      <c r="J3" s="56"/>
      <c r="K3" s="56" t="s">
        <v>81</v>
      </c>
      <c r="L3" s="56"/>
      <c r="M3" s="56"/>
      <c r="N3" s="56"/>
      <c r="O3" s="56" t="s">
        <v>82</v>
      </c>
      <c r="P3" s="56"/>
      <c r="Q3" s="56"/>
      <c r="R3" s="56"/>
      <c r="S3" s="54" t="s">
        <v>1</v>
      </c>
      <c r="T3" s="54" t="s">
        <v>3</v>
      </c>
      <c r="U3" s="38" t="s">
        <v>2</v>
      </c>
    </row>
    <row r="4" spans="1:21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5"/>
      <c r="T4" s="55"/>
      <c r="U4" s="39"/>
    </row>
    <row r="5" spans="1:21" ht="16">
      <c r="A5" s="40" t="s">
        <v>36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21">
      <c r="A6" s="22" t="s">
        <v>15</v>
      </c>
      <c r="B6" s="16" t="s">
        <v>109</v>
      </c>
      <c r="C6" s="16" t="s">
        <v>83</v>
      </c>
      <c r="D6" s="16" t="s">
        <v>84</v>
      </c>
      <c r="E6" s="17" t="s">
        <v>264</v>
      </c>
      <c r="F6" s="16" t="s">
        <v>242</v>
      </c>
      <c r="G6" s="23" t="s">
        <v>12</v>
      </c>
      <c r="H6" s="30" t="s">
        <v>85</v>
      </c>
      <c r="I6" s="23" t="s">
        <v>85</v>
      </c>
      <c r="J6" s="22"/>
      <c r="K6" s="30" t="s">
        <v>86</v>
      </c>
      <c r="L6" s="23" t="s">
        <v>86</v>
      </c>
      <c r="M6" s="30" t="s">
        <v>51</v>
      </c>
      <c r="N6" s="22"/>
      <c r="O6" s="23" t="s">
        <v>61</v>
      </c>
      <c r="P6" s="23" t="s">
        <v>87</v>
      </c>
      <c r="Q6" s="23" t="s">
        <v>88</v>
      </c>
      <c r="R6" s="22"/>
      <c r="S6" s="18" t="str">
        <f>"225,0"</f>
        <v>225,0</v>
      </c>
      <c r="T6" s="18" t="str">
        <f>"204,8175"</f>
        <v>204,8175</v>
      </c>
      <c r="U6" s="16" t="s">
        <v>89</v>
      </c>
    </row>
    <row r="7" spans="1:21">
      <c r="A7" s="24" t="s">
        <v>15</v>
      </c>
      <c r="B7" s="19" t="s">
        <v>110</v>
      </c>
      <c r="C7" s="19" t="s">
        <v>90</v>
      </c>
      <c r="D7" s="19" t="s">
        <v>37</v>
      </c>
      <c r="E7" s="20" t="s">
        <v>262</v>
      </c>
      <c r="F7" s="19" t="s">
        <v>242</v>
      </c>
      <c r="G7" s="25" t="s">
        <v>13</v>
      </c>
      <c r="H7" s="25" t="s">
        <v>91</v>
      </c>
      <c r="I7" s="25" t="s">
        <v>92</v>
      </c>
      <c r="J7" s="24"/>
      <c r="K7" s="25" t="s">
        <v>39</v>
      </c>
      <c r="L7" s="25" t="s">
        <v>21</v>
      </c>
      <c r="M7" s="25" t="s">
        <v>23</v>
      </c>
      <c r="N7" s="24"/>
      <c r="O7" s="25" t="s">
        <v>85</v>
      </c>
      <c r="P7" s="25" t="s">
        <v>87</v>
      </c>
      <c r="Q7" s="25" t="s">
        <v>88</v>
      </c>
      <c r="R7" s="24"/>
      <c r="S7" s="21" t="str">
        <f>"240,0"</f>
        <v>240,0</v>
      </c>
      <c r="T7" s="21" t="str">
        <f>"221,5920"</f>
        <v>221,5920</v>
      </c>
      <c r="U7" s="19" t="s">
        <v>89</v>
      </c>
    </row>
    <row r="9" spans="1:21" ht="16">
      <c r="A9" s="57" t="s">
        <v>7</v>
      </c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21">
      <c r="A10" s="13" t="s">
        <v>15</v>
      </c>
      <c r="B10" s="7" t="s">
        <v>111</v>
      </c>
      <c r="C10" s="7" t="s">
        <v>93</v>
      </c>
      <c r="D10" s="7" t="s">
        <v>94</v>
      </c>
      <c r="E10" s="8" t="s">
        <v>265</v>
      </c>
      <c r="F10" s="7" t="s">
        <v>242</v>
      </c>
      <c r="G10" s="14" t="s">
        <v>95</v>
      </c>
      <c r="H10" s="15" t="s">
        <v>96</v>
      </c>
      <c r="I10" s="14" t="s">
        <v>96</v>
      </c>
      <c r="J10" s="13"/>
      <c r="K10" s="14" t="s">
        <v>29</v>
      </c>
      <c r="L10" s="14" t="s">
        <v>13</v>
      </c>
      <c r="M10" s="15" t="s">
        <v>85</v>
      </c>
      <c r="N10" s="13"/>
      <c r="O10" s="14" t="s">
        <v>96</v>
      </c>
      <c r="P10" s="14" t="s">
        <v>97</v>
      </c>
      <c r="Q10" s="14" t="s">
        <v>98</v>
      </c>
      <c r="R10" s="13"/>
      <c r="S10" s="9" t="str">
        <f>"360,0"</f>
        <v>360,0</v>
      </c>
      <c r="T10" s="9" t="str">
        <f>"256,5360"</f>
        <v>256,5360</v>
      </c>
      <c r="U10" s="7"/>
    </row>
    <row r="12" spans="1:21" ht="16">
      <c r="A12" s="57" t="s">
        <v>54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1:21">
      <c r="A13" s="13" t="s">
        <v>15</v>
      </c>
      <c r="B13" s="7" t="s">
        <v>112</v>
      </c>
      <c r="C13" s="7" t="s">
        <v>99</v>
      </c>
      <c r="D13" s="7" t="s">
        <v>100</v>
      </c>
      <c r="E13" s="8" t="s">
        <v>262</v>
      </c>
      <c r="F13" s="7" t="s">
        <v>242</v>
      </c>
      <c r="G13" s="14" t="s">
        <v>101</v>
      </c>
      <c r="H13" s="14" t="s">
        <v>102</v>
      </c>
      <c r="I13" s="14" t="s">
        <v>103</v>
      </c>
      <c r="J13" s="13"/>
      <c r="K13" s="14" t="s">
        <v>104</v>
      </c>
      <c r="L13" s="14" t="s">
        <v>98</v>
      </c>
      <c r="M13" s="14" t="s">
        <v>105</v>
      </c>
      <c r="N13" s="13"/>
      <c r="O13" s="14" t="s">
        <v>106</v>
      </c>
      <c r="P13" s="14" t="s">
        <v>107</v>
      </c>
      <c r="Q13" s="13"/>
      <c r="R13" s="13"/>
      <c r="S13" s="9" t="str">
        <f>"625,0"</f>
        <v>625,0</v>
      </c>
      <c r="T13" s="9" t="str">
        <f>"423,3750"</f>
        <v>423,3750</v>
      </c>
      <c r="U13" s="7" t="s">
        <v>108</v>
      </c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7"/>
  <sheetViews>
    <sheetView workbookViewId="0">
      <selection activeCell="E8" sqref="E8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5.1640625" style="5" customWidth="1"/>
    <col min="7" max="9" width="5.5" style="11" customWidth="1"/>
    <col min="10" max="10" width="4.83203125" style="11" customWidth="1"/>
    <col min="11" max="13" width="5.5" style="11" customWidth="1"/>
    <col min="14" max="14" width="4.83203125" style="11" customWidth="1"/>
    <col min="15" max="15" width="7.83203125" style="6" bestFit="1" customWidth="1"/>
    <col min="16" max="16" width="8.5" style="6" bestFit="1" customWidth="1"/>
    <col min="17" max="17" width="18.83203125" style="5" customWidth="1"/>
    <col min="18" max="16384" width="9.1640625" style="3"/>
  </cols>
  <sheetData>
    <row r="1" spans="1:17" s="2" customFormat="1" ht="29" customHeight="1">
      <c r="A1" s="42" t="s">
        <v>239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5"/>
    </row>
    <row r="2" spans="1:17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6" t="s">
        <v>82</v>
      </c>
      <c r="L3" s="56"/>
      <c r="M3" s="56"/>
      <c r="N3" s="56"/>
      <c r="O3" s="54" t="s">
        <v>1</v>
      </c>
      <c r="P3" s="54" t="s">
        <v>3</v>
      </c>
      <c r="Q3" s="38" t="s">
        <v>2</v>
      </c>
    </row>
    <row r="4" spans="1:17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5"/>
      <c r="P4" s="55"/>
      <c r="Q4" s="39"/>
    </row>
    <row r="5" spans="1:17" ht="16">
      <c r="A5" s="40" t="s">
        <v>113</v>
      </c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7">
      <c r="A6" s="22" t="s">
        <v>15</v>
      </c>
      <c r="B6" s="16" t="s">
        <v>232</v>
      </c>
      <c r="C6" s="16" t="s">
        <v>227</v>
      </c>
      <c r="D6" s="16" t="s">
        <v>228</v>
      </c>
      <c r="E6" s="17" t="s">
        <v>262</v>
      </c>
      <c r="F6" s="16" t="s">
        <v>252</v>
      </c>
      <c r="G6" s="30" t="s">
        <v>22</v>
      </c>
      <c r="H6" s="23" t="s">
        <v>22</v>
      </c>
      <c r="I6" s="23" t="s">
        <v>23</v>
      </c>
      <c r="J6" s="22"/>
      <c r="K6" s="30" t="s">
        <v>88</v>
      </c>
      <c r="L6" s="30" t="s">
        <v>88</v>
      </c>
      <c r="M6" s="23" t="s">
        <v>229</v>
      </c>
      <c r="N6" s="22"/>
      <c r="O6" s="18" t="str">
        <f>"152,5"</f>
        <v>152,5</v>
      </c>
      <c r="P6" s="18" t="str">
        <f>"194,4375"</f>
        <v>194,4375</v>
      </c>
      <c r="Q6" s="16" t="s">
        <v>230</v>
      </c>
    </row>
    <row r="7" spans="1:17">
      <c r="A7" s="24" t="s">
        <v>15</v>
      </c>
      <c r="B7" s="19" t="s">
        <v>232</v>
      </c>
      <c r="C7" s="19" t="s">
        <v>231</v>
      </c>
      <c r="D7" s="19" t="s">
        <v>228</v>
      </c>
      <c r="E7" s="20" t="s">
        <v>263</v>
      </c>
      <c r="F7" s="19" t="s">
        <v>252</v>
      </c>
      <c r="G7" s="26" t="s">
        <v>22</v>
      </c>
      <c r="H7" s="25" t="s">
        <v>22</v>
      </c>
      <c r="I7" s="25" t="s">
        <v>23</v>
      </c>
      <c r="J7" s="24"/>
      <c r="K7" s="26" t="s">
        <v>88</v>
      </c>
      <c r="L7" s="26" t="s">
        <v>88</v>
      </c>
      <c r="M7" s="25" t="s">
        <v>229</v>
      </c>
      <c r="N7" s="24"/>
      <c r="O7" s="21" t="str">
        <f>"152,5"</f>
        <v>152,5</v>
      </c>
      <c r="P7" s="21" t="str">
        <f>"213,1035"</f>
        <v>213,1035</v>
      </c>
      <c r="Q7" s="19" t="s">
        <v>230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40"/>
  <sheetViews>
    <sheetView topLeftCell="A11" workbookViewId="0">
      <selection activeCell="E41" sqref="E41"/>
    </sheetView>
  </sheetViews>
  <sheetFormatPr baseColWidth="10" defaultColWidth="9.1640625" defaultRowHeight="13"/>
  <cols>
    <col min="1" max="1" width="7.5" style="5" bestFit="1" customWidth="1"/>
    <col min="2" max="2" width="23.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9.832031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6640625" style="6" bestFit="1" customWidth="1"/>
    <col min="13" max="13" width="23" style="5" customWidth="1"/>
    <col min="14" max="16384" width="9.1640625" style="3"/>
  </cols>
  <sheetData>
    <row r="1" spans="1:13" s="2" customFormat="1" ht="29" customHeight="1">
      <c r="A1" s="42" t="s">
        <v>240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36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69</v>
      </c>
      <c r="C6" s="7" t="s">
        <v>142</v>
      </c>
      <c r="D6" s="7" t="s">
        <v>37</v>
      </c>
      <c r="E6" s="8" t="s">
        <v>262</v>
      </c>
      <c r="F6" s="7" t="s">
        <v>242</v>
      </c>
      <c r="G6" s="14" t="s">
        <v>29</v>
      </c>
      <c r="H6" s="14" t="s">
        <v>13</v>
      </c>
      <c r="I6" s="15" t="s">
        <v>61</v>
      </c>
      <c r="J6" s="13"/>
      <c r="K6" s="9" t="str">
        <f>"80,0"</f>
        <v>80,0</v>
      </c>
      <c r="L6" s="9" t="str">
        <f>"95,2000"</f>
        <v>95,2000</v>
      </c>
      <c r="M6" s="7" t="s">
        <v>41</v>
      </c>
    </row>
    <row r="8" spans="1:13" ht="16">
      <c r="A8" s="57" t="s">
        <v>18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2" t="s">
        <v>15</v>
      </c>
      <c r="B9" s="16" t="s">
        <v>185</v>
      </c>
      <c r="C9" s="16" t="s">
        <v>143</v>
      </c>
      <c r="D9" s="16" t="s">
        <v>144</v>
      </c>
      <c r="E9" s="17" t="s">
        <v>262</v>
      </c>
      <c r="F9" s="16" t="s">
        <v>242</v>
      </c>
      <c r="G9" s="23" t="s">
        <v>11</v>
      </c>
      <c r="H9" s="23" t="s">
        <v>29</v>
      </c>
      <c r="I9" s="30" t="s">
        <v>12</v>
      </c>
      <c r="J9" s="22"/>
      <c r="K9" s="18" t="str">
        <f>"75,0"</f>
        <v>75,0</v>
      </c>
      <c r="L9" s="18" t="str">
        <f>"86,3175"</f>
        <v>86,3175</v>
      </c>
      <c r="M9" s="16" t="s">
        <v>145</v>
      </c>
    </row>
    <row r="10" spans="1:13">
      <c r="A10" s="24" t="s">
        <v>77</v>
      </c>
      <c r="B10" s="19" t="s">
        <v>186</v>
      </c>
      <c r="C10" s="19" t="s">
        <v>146</v>
      </c>
      <c r="D10" s="19" t="s">
        <v>147</v>
      </c>
      <c r="E10" s="20" t="s">
        <v>262</v>
      </c>
      <c r="F10" s="19" t="s">
        <v>242</v>
      </c>
      <c r="G10" s="25" t="s">
        <v>27</v>
      </c>
      <c r="H10" s="26" t="s">
        <v>10</v>
      </c>
      <c r="I10" s="26" t="s">
        <v>10</v>
      </c>
      <c r="J10" s="24"/>
      <c r="K10" s="21" t="str">
        <f>"60,0"</f>
        <v>60,0</v>
      </c>
      <c r="L10" s="21" t="str">
        <f>"68,8680"</f>
        <v>68,8680</v>
      </c>
      <c r="M10" s="19"/>
    </row>
    <row r="12" spans="1:13" ht="16">
      <c r="A12" s="57" t="s">
        <v>42</v>
      </c>
      <c r="B12" s="57"/>
      <c r="C12" s="58"/>
      <c r="D12" s="58"/>
      <c r="E12" s="58"/>
      <c r="F12" s="58"/>
      <c r="G12" s="58"/>
      <c r="H12" s="58"/>
      <c r="I12" s="58"/>
      <c r="J12" s="58"/>
    </row>
    <row r="13" spans="1:13">
      <c r="A13" s="13" t="s">
        <v>15</v>
      </c>
      <c r="B13" s="7" t="s">
        <v>70</v>
      </c>
      <c r="C13" s="7" t="s">
        <v>43</v>
      </c>
      <c r="D13" s="7" t="s">
        <v>44</v>
      </c>
      <c r="E13" s="8" t="s">
        <v>262</v>
      </c>
      <c r="F13" s="7" t="s">
        <v>242</v>
      </c>
      <c r="G13" s="15" t="s">
        <v>50</v>
      </c>
      <c r="H13" s="14" t="s">
        <v>50</v>
      </c>
      <c r="I13" s="15" t="s">
        <v>65</v>
      </c>
      <c r="J13" s="13"/>
      <c r="K13" s="9" t="str">
        <f>"52,5"</f>
        <v>52,5</v>
      </c>
      <c r="L13" s="9" t="str">
        <f>"55,3298"</f>
        <v>55,3298</v>
      </c>
      <c r="M13" s="7"/>
    </row>
    <row r="15" spans="1:13" ht="16">
      <c r="A15" s="57" t="s">
        <v>42</v>
      </c>
      <c r="B15" s="57"/>
      <c r="C15" s="58"/>
      <c r="D15" s="58"/>
      <c r="E15" s="58"/>
      <c r="F15" s="58"/>
      <c r="G15" s="58"/>
      <c r="H15" s="58"/>
      <c r="I15" s="58"/>
      <c r="J15" s="58"/>
    </row>
    <row r="16" spans="1:13">
      <c r="A16" s="13" t="s">
        <v>15</v>
      </c>
      <c r="B16" s="7" t="s">
        <v>187</v>
      </c>
      <c r="C16" s="7" t="s">
        <v>148</v>
      </c>
      <c r="D16" s="7" t="s">
        <v>149</v>
      </c>
      <c r="E16" s="8" t="s">
        <v>262</v>
      </c>
      <c r="F16" s="7" t="s">
        <v>242</v>
      </c>
      <c r="G16" s="14" t="s">
        <v>88</v>
      </c>
      <c r="H16" s="14" t="s">
        <v>150</v>
      </c>
      <c r="I16" s="14" t="s">
        <v>125</v>
      </c>
      <c r="J16" s="13"/>
      <c r="K16" s="9" t="str">
        <f>"110,0"</f>
        <v>110,0</v>
      </c>
      <c r="L16" s="9" t="str">
        <f>"85,7340"</f>
        <v>85,7340</v>
      </c>
      <c r="M16" s="7"/>
    </row>
    <row r="18" spans="1:13" ht="16">
      <c r="A18" s="57" t="s">
        <v>7</v>
      </c>
      <c r="B18" s="57"/>
      <c r="C18" s="58"/>
      <c r="D18" s="58"/>
      <c r="E18" s="58"/>
      <c r="F18" s="58"/>
      <c r="G18" s="58"/>
      <c r="H18" s="58"/>
      <c r="I18" s="58"/>
      <c r="J18" s="58"/>
    </row>
    <row r="19" spans="1:13">
      <c r="A19" s="22" t="s">
        <v>15</v>
      </c>
      <c r="B19" s="16" t="s">
        <v>188</v>
      </c>
      <c r="C19" s="16" t="s">
        <v>151</v>
      </c>
      <c r="D19" s="16" t="s">
        <v>152</v>
      </c>
      <c r="E19" s="17" t="s">
        <v>264</v>
      </c>
      <c r="F19" s="16" t="s">
        <v>251</v>
      </c>
      <c r="G19" s="23" t="s">
        <v>87</v>
      </c>
      <c r="H19" s="23" t="s">
        <v>119</v>
      </c>
      <c r="I19" s="23" t="s">
        <v>88</v>
      </c>
      <c r="J19" s="22"/>
      <c r="K19" s="18" t="str">
        <f>"100,0"</f>
        <v>100,0</v>
      </c>
      <c r="L19" s="18" t="str">
        <f>"73,9000"</f>
        <v>73,9000</v>
      </c>
      <c r="M19" s="16" t="s">
        <v>153</v>
      </c>
    </row>
    <row r="20" spans="1:13">
      <c r="A20" s="31" t="s">
        <v>77</v>
      </c>
      <c r="B20" s="27" t="s">
        <v>189</v>
      </c>
      <c r="C20" s="27" t="s">
        <v>154</v>
      </c>
      <c r="D20" s="27" t="s">
        <v>155</v>
      </c>
      <c r="E20" s="28" t="s">
        <v>264</v>
      </c>
      <c r="F20" s="27" t="s">
        <v>242</v>
      </c>
      <c r="G20" s="33" t="s">
        <v>28</v>
      </c>
      <c r="H20" s="33" t="s">
        <v>28</v>
      </c>
      <c r="I20" s="32" t="s">
        <v>28</v>
      </c>
      <c r="J20" s="31"/>
      <c r="K20" s="29" t="str">
        <f>"70,0"</f>
        <v>70,0</v>
      </c>
      <c r="L20" s="29" t="str">
        <f>"52,9270"</f>
        <v>52,9270</v>
      </c>
      <c r="M20" s="27" t="s">
        <v>156</v>
      </c>
    </row>
    <row r="21" spans="1:13">
      <c r="A21" s="31" t="s">
        <v>15</v>
      </c>
      <c r="B21" s="27" t="s">
        <v>16</v>
      </c>
      <c r="C21" s="27" t="s">
        <v>157</v>
      </c>
      <c r="D21" s="27" t="s">
        <v>8</v>
      </c>
      <c r="E21" s="28" t="s">
        <v>266</v>
      </c>
      <c r="F21" s="27" t="s">
        <v>9</v>
      </c>
      <c r="G21" s="32" t="s">
        <v>158</v>
      </c>
      <c r="H21" s="32" t="s">
        <v>159</v>
      </c>
      <c r="I21" s="33" t="s">
        <v>97</v>
      </c>
      <c r="J21" s="31"/>
      <c r="K21" s="29" t="str">
        <f>"135,0"</f>
        <v>135,0</v>
      </c>
      <c r="L21" s="29" t="str">
        <f>"97,5780"</f>
        <v>97,5780</v>
      </c>
      <c r="M21" s="27"/>
    </row>
    <row r="22" spans="1:13">
      <c r="A22" s="24" t="s">
        <v>15</v>
      </c>
      <c r="B22" s="19" t="s">
        <v>190</v>
      </c>
      <c r="C22" s="19" t="s">
        <v>160</v>
      </c>
      <c r="D22" s="19" t="s">
        <v>161</v>
      </c>
      <c r="E22" s="20" t="s">
        <v>262</v>
      </c>
      <c r="F22" s="19" t="s">
        <v>241</v>
      </c>
      <c r="G22" s="25" t="s">
        <v>105</v>
      </c>
      <c r="H22" s="25" t="s">
        <v>123</v>
      </c>
      <c r="I22" s="25" t="s">
        <v>140</v>
      </c>
      <c r="J22" s="24"/>
      <c r="K22" s="21" t="str">
        <f>"165,0"</f>
        <v>165,0</v>
      </c>
      <c r="L22" s="21" t="str">
        <f>"118,1235"</f>
        <v>118,1235</v>
      </c>
      <c r="M22" s="19"/>
    </row>
    <row r="24" spans="1:13" ht="16">
      <c r="A24" s="57" t="s">
        <v>54</v>
      </c>
      <c r="B24" s="57"/>
      <c r="C24" s="58"/>
      <c r="D24" s="58"/>
      <c r="E24" s="58"/>
      <c r="F24" s="58"/>
      <c r="G24" s="58"/>
      <c r="H24" s="58"/>
      <c r="I24" s="58"/>
      <c r="J24" s="58"/>
    </row>
    <row r="25" spans="1:13">
      <c r="A25" s="22" t="s">
        <v>15</v>
      </c>
      <c r="B25" s="16" t="s">
        <v>191</v>
      </c>
      <c r="C25" s="16" t="s">
        <v>162</v>
      </c>
      <c r="D25" s="16" t="s">
        <v>163</v>
      </c>
      <c r="E25" s="17" t="s">
        <v>264</v>
      </c>
      <c r="F25" s="16" t="s">
        <v>242</v>
      </c>
      <c r="G25" s="23" t="s">
        <v>87</v>
      </c>
      <c r="H25" s="23" t="s">
        <v>92</v>
      </c>
      <c r="I25" s="23" t="s">
        <v>119</v>
      </c>
      <c r="J25" s="22"/>
      <c r="K25" s="18" t="str">
        <f>"95,0"</f>
        <v>95,0</v>
      </c>
      <c r="L25" s="18" t="str">
        <f>"64,6000"</f>
        <v>64,6000</v>
      </c>
      <c r="M25" s="16" t="s">
        <v>120</v>
      </c>
    </row>
    <row r="26" spans="1:13">
      <c r="A26" s="24" t="s">
        <v>15</v>
      </c>
      <c r="B26" s="19" t="s">
        <v>192</v>
      </c>
      <c r="C26" s="19" t="s">
        <v>164</v>
      </c>
      <c r="D26" s="19" t="s">
        <v>165</v>
      </c>
      <c r="E26" s="20" t="s">
        <v>263</v>
      </c>
      <c r="F26" s="19" t="s">
        <v>242</v>
      </c>
      <c r="G26" s="25" t="s">
        <v>158</v>
      </c>
      <c r="H26" s="25" t="s">
        <v>166</v>
      </c>
      <c r="I26" s="26" t="s">
        <v>167</v>
      </c>
      <c r="J26" s="24"/>
      <c r="K26" s="21" t="str">
        <f>"132,5"</f>
        <v>132,5</v>
      </c>
      <c r="L26" s="21" t="str">
        <f>"102,8031"</f>
        <v>102,8031</v>
      </c>
      <c r="M26" s="19"/>
    </row>
    <row r="28" spans="1:13" ht="16">
      <c r="A28" s="57" t="s">
        <v>24</v>
      </c>
      <c r="B28" s="57"/>
      <c r="C28" s="58"/>
      <c r="D28" s="58"/>
      <c r="E28" s="58"/>
      <c r="F28" s="58"/>
      <c r="G28" s="58"/>
      <c r="H28" s="58"/>
      <c r="I28" s="58"/>
      <c r="J28" s="58"/>
    </row>
    <row r="29" spans="1:13">
      <c r="A29" s="22" t="s">
        <v>15</v>
      </c>
      <c r="B29" s="16" t="s">
        <v>193</v>
      </c>
      <c r="C29" s="16" t="s">
        <v>168</v>
      </c>
      <c r="D29" s="16" t="s">
        <v>57</v>
      </c>
      <c r="E29" s="17" t="s">
        <v>262</v>
      </c>
      <c r="F29" s="16" t="s">
        <v>242</v>
      </c>
      <c r="G29" s="23" t="s">
        <v>95</v>
      </c>
      <c r="H29" s="23" t="s">
        <v>158</v>
      </c>
      <c r="I29" s="30" t="s">
        <v>166</v>
      </c>
      <c r="J29" s="22"/>
      <c r="K29" s="18" t="str">
        <f>"127,5"</f>
        <v>127,5</v>
      </c>
      <c r="L29" s="18" t="str">
        <f>"82,1610"</f>
        <v>82,1610</v>
      </c>
      <c r="M29" s="16" t="s">
        <v>145</v>
      </c>
    </row>
    <row r="30" spans="1:13">
      <c r="A30" s="31" t="s">
        <v>15</v>
      </c>
      <c r="B30" s="27" t="s">
        <v>193</v>
      </c>
      <c r="C30" s="27" t="s">
        <v>169</v>
      </c>
      <c r="D30" s="27" t="s">
        <v>57</v>
      </c>
      <c r="E30" s="28" t="s">
        <v>263</v>
      </c>
      <c r="F30" s="27" t="s">
        <v>242</v>
      </c>
      <c r="G30" s="32" t="s">
        <v>95</v>
      </c>
      <c r="H30" s="32" t="s">
        <v>158</v>
      </c>
      <c r="I30" s="33" t="s">
        <v>166</v>
      </c>
      <c r="J30" s="31"/>
      <c r="K30" s="29" t="str">
        <f>"127,5"</f>
        <v>127,5</v>
      </c>
      <c r="L30" s="29" t="str">
        <f>"83,3113"</f>
        <v>83,3113</v>
      </c>
      <c r="M30" s="27" t="s">
        <v>145</v>
      </c>
    </row>
    <row r="31" spans="1:13">
      <c r="A31" s="24" t="s">
        <v>77</v>
      </c>
      <c r="B31" s="19" t="s">
        <v>75</v>
      </c>
      <c r="C31" s="19" t="s">
        <v>170</v>
      </c>
      <c r="D31" s="19" t="s">
        <v>57</v>
      </c>
      <c r="E31" s="20" t="s">
        <v>263</v>
      </c>
      <c r="F31" s="19" t="s">
        <v>242</v>
      </c>
      <c r="G31" s="25" t="s">
        <v>95</v>
      </c>
      <c r="H31" s="26" t="s">
        <v>166</v>
      </c>
      <c r="I31" s="26" t="s">
        <v>166</v>
      </c>
      <c r="J31" s="24"/>
      <c r="K31" s="21" t="str">
        <f>"120,0"</f>
        <v>120,0</v>
      </c>
      <c r="L31" s="21" t="str">
        <f>"79,4932"</f>
        <v>79,4932</v>
      </c>
      <c r="M31" s="19" t="s">
        <v>141</v>
      </c>
    </row>
    <row r="33" spans="1:13" ht="16">
      <c r="A33" s="57" t="s">
        <v>131</v>
      </c>
      <c r="B33" s="57"/>
      <c r="C33" s="58"/>
      <c r="D33" s="58"/>
      <c r="E33" s="58"/>
      <c r="F33" s="58"/>
      <c r="G33" s="58"/>
      <c r="H33" s="58"/>
      <c r="I33" s="58"/>
      <c r="J33" s="58"/>
    </row>
    <row r="34" spans="1:13">
      <c r="A34" s="22" t="s">
        <v>15</v>
      </c>
      <c r="B34" s="16" t="s">
        <v>194</v>
      </c>
      <c r="C34" s="16" t="s">
        <v>171</v>
      </c>
      <c r="D34" s="16" t="s">
        <v>172</v>
      </c>
      <c r="E34" s="17" t="s">
        <v>265</v>
      </c>
      <c r="F34" s="16" t="s">
        <v>242</v>
      </c>
      <c r="G34" s="23" t="s">
        <v>158</v>
      </c>
      <c r="H34" s="30" t="s">
        <v>159</v>
      </c>
      <c r="I34" s="30" t="s">
        <v>159</v>
      </c>
      <c r="J34" s="22"/>
      <c r="K34" s="18" t="str">
        <f>"127,5"</f>
        <v>127,5</v>
      </c>
      <c r="L34" s="18" t="str">
        <f>"78,6548"</f>
        <v>78,6548</v>
      </c>
      <c r="M34" s="16" t="s">
        <v>41</v>
      </c>
    </row>
    <row r="35" spans="1:13">
      <c r="A35" s="31" t="s">
        <v>15</v>
      </c>
      <c r="B35" s="27" t="s">
        <v>195</v>
      </c>
      <c r="C35" s="27" t="s">
        <v>173</v>
      </c>
      <c r="D35" s="27" t="s">
        <v>174</v>
      </c>
      <c r="E35" s="28" t="s">
        <v>262</v>
      </c>
      <c r="F35" s="27" t="s">
        <v>242</v>
      </c>
      <c r="G35" s="32" t="s">
        <v>124</v>
      </c>
      <c r="H35" s="32" t="s">
        <v>175</v>
      </c>
      <c r="I35" s="33" t="s">
        <v>176</v>
      </c>
      <c r="J35" s="31"/>
      <c r="K35" s="29" t="str">
        <f>"175,0"</f>
        <v>175,0</v>
      </c>
      <c r="L35" s="29" t="str">
        <f>"106,9425"</f>
        <v>106,9425</v>
      </c>
      <c r="M35" s="27" t="s">
        <v>177</v>
      </c>
    </row>
    <row r="36" spans="1:13">
      <c r="A36" s="24" t="s">
        <v>15</v>
      </c>
      <c r="B36" s="19" t="s">
        <v>196</v>
      </c>
      <c r="C36" s="19" t="s">
        <v>178</v>
      </c>
      <c r="D36" s="19" t="s">
        <v>179</v>
      </c>
      <c r="E36" s="20" t="s">
        <v>267</v>
      </c>
      <c r="F36" s="19" t="s">
        <v>242</v>
      </c>
      <c r="G36" s="25" t="s">
        <v>104</v>
      </c>
      <c r="H36" s="25" t="s">
        <v>105</v>
      </c>
      <c r="I36" s="25" t="s">
        <v>123</v>
      </c>
      <c r="J36" s="24"/>
      <c r="K36" s="21" t="str">
        <f>"160,0"</f>
        <v>160,0</v>
      </c>
      <c r="L36" s="21" t="str">
        <f>"118,5861"</f>
        <v>118,5861</v>
      </c>
      <c r="M36" s="19" t="s">
        <v>141</v>
      </c>
    </row>
    <row r="38" spans="1:13" ht="16">
      <c r="A38" s="57" t="s">
        <v>58</v>
      </c>
      <c r="B38" s="57"/>
      <c r="C38" s="58"/>
      <c r="D38" s="58"/>
      <c r="E38" s="58"/>
      <c r="F38" s="58"/>
      <c r="G38" s="58"/>
      <c r="H38" s="58"/>
      <c r="I38" s="58"/>
      <c r="J38" s="58"/>
    </row>
    <row r="39" spans="1:13">
      <c r="A39" s="22" t="s">
        <v>15</v>
      </c>
      <c r="B39" s="16" t="s">
        <v>197</v>
      </c>
      <c r="C39" s="16" t="s">
        <v>181</v>
      </c>
      <c r="D39" s="16" t="s">
        <v>182</v>
      </c>
      <c r="E39" s="17" t="s">
        <v>262</v>
      </c>
      <c r="F39" s="16" t="s">
        <v>253</v>
      </c>
      <c r="G39" s="23" t="s">
        <v>124</v>
      </c>
      <c r="H39" s="23" t="s">
        <v>175</v>
      </c>
      <c r="I39" s="23" t="s">
        <v>183</v>
      </c>
      <c r="J39" s="22"/>
      <c r="K39" s="18" t="str">
        <f>"180,0"</f>
        <v>180,0</v>
      </c>
      <c r="L39" s="18" t="str">
        <f>"108,5760"</f>
        <v>108,5760</v>
      </c>
      <c r="M39" s="16"/>
    </row>
    <row r="40" spans="1:13">
      <c r="A40" s="24" t="s">
        <v>15</v>
      </c>
      <c r="B40" s="19" t="s">
        <v>79</v>
      </c>
      <c r="C40" s="19" t="s">
        <v>184</v>
      </c>
      <c r="D40" s="19" t="s">
        <v>67</v>
      </c>
      <c r="E40" s="20" t="s">
        <v>261</v>
      </c>
      <c r="F40" s="19" t="s">
        <v>68</v>
      </c>
      <c r="G40" s="25" t="s">
        <v>97</v>
      </c>
      <c r="H40" s="26" t="s">
        <v>98</v>
      </c>
      <c r="I40" s="26" t="s">
        <v>98</v>
      </c>
      <c r="J40" s="24"/>
      <c r="K40" s="21" t="str">
        <f>"140,0"</f>
        <v>140,0</v>
      </c>
      <c r="L40" s="21" t="str">
        <f>"119,4077"</f>
        <v>119,4077</v>
      </c>
      <c r="M40" s="19"/>
    </row>
  </sheetData>
  <mergeCells count="20">
    <mergeCell ref="A33:J33"/>
    <mergeCell ref="A38:J38"/>
    <mergeCell ref="B3:B4"/>
    <mergeCell ref="A8:J8"/>
    <mergeCell ref="A12:J12"/>
    <mergeCell ref="A15:J15"/>
    <mergeCell ref="A18:J18"/>
    <mergeCell ref="A24:J24"/>
    <mergeCell ref="A28:J28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7.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6640625" style="6" bestFit="1" customWidth="1"/>
    <col min="13" max="13" width="15.6640625" style="5" bestFit="1" customWidth="1"/>
    <col min="14" max="16384" width="9.1640625" style="3"/>
  </cols>
  <sheetData>
    <row r="1" spans="1:13" s="2" customFormat="1" ht="29" customHeight="1">
      <c r="A1" s="42" t="s">
        <v>243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7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141</v>
      </c>
      <c r="C6" s="7" t="s">
        <v>137</v>
      </c>
      <c r="D6" s="7" t="s">
        <v>138</v>
      </c>
      <c r="E6" s="8" t="s">
        <v>262</v>
      </c>
      <c r="F6" s="7" t="s">
        <v>242</v>
      </c>
      <c r="G6" s="14" t="s">
        <v>98</v>
      </c>
      <c r="H6" s="14" t="s">
        <v>139</v>
      </c>
      <c r="I6" s="15" t="s">
        <v>140</v>
      </c>
      <c r="J6" s="13"/>
      <c r="K6" s="9" t="str">
        <f>"157,5"</f>
        <v>157,5</v>
      </c>
      <c r="L6" s="9" t="str">
        <f>"113,2897"</f>
        <v>113,2897</v>
      </c>
      <c r="M6" s="7"/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4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7.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6640625" style="6" bestFit="1" customWidth="1"/>
    <col min="13" max="13" width="18.83203125" style="5" customWidth="1"/>
    <col min="14" max="16384" width="9.1640625" style="3"/>
  </cols>
  <sheetData>
    <row r="1" spans="1:13" s="2" customFormat="1" ht="29" customHeight="1">
      <c r="A1" s="42" t="s">
        <v>244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24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208</v>
      </c>
      <c r="C6" s="7" t="s">
        <v>198</v>
      </c>
      <c r="D6" s="7" t="s">
        <v>199</v>
      </c>
      <c r="E6" s="8" t="s">
        <v>262</v>
      </c>
      <c r="F6" s="7" t="s">
        <v>253</v>
      </c>
      <c r="G6" s="14" t="s">
        <v>127</v>
      </c>
      <c r="H6" s="14" t="s">
        <v>134</v>
      </c>
      <c r="I6" s="15" t="s">
        <v>200</v>
      </c>
      <c r="J6" s="13"/>
      <c r="K6" s="9" t="str">
        <f>"217,5"</f>
        <v>217,5</v>
      </c>
      <c r="L6" s="9" t="str">
        <f>"135,2306"</f>
        <v>135,2306</v>
      </c>
      <c r="M6" s="7" t="s">
        <v>180</v>
      </c>
    </row>
    <row r="8" spans="1:13" ht="16">
      <c r="A8" s="57" t="s">
        <v>131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22" t="s">
        <v>15</v>
      </c>
      <c r="B9" s="16" t="s">
        <v>209</v>
      </c>
      <c r="C9" s="16" t="s">
        <v>201</v>
      </c>
      <c r="D9" s="16" t="s">
        <v>202</v>
      </c>
      <c r="E9" s="17" t="s">
        <v>262</v>
      </c>
      <c r="F9" s="16" t="s">
        <v>242</v>
      </c>
      <c r="G9" s="23" t="s">
        <v>135</v>
      </c>
      <c r="H9" s="23" t="s">
        <v>203</v>
      </c>
      <c r="I9" s="23" t="s">
        <v>200</v>
      </c>
      <c r="J9" s="22"/>
      <c r="K9" s="18" t="str">
        <f>"240,0"</f>
        <v>240,0</v>
      </c>
      <c r="L9" s="18" t="str">
        <f>"142,3560"</f>
        <v>142,3560</v>
      </c>
      <c r="M9" s="16"/>
    </row>
    <row r="10" spans="1:13">
      <c r="A10" s="31" t="s">
        <v>15</v>
      </c>
      <c r="B10" s="27" t="s">
        <v>209</v>
      </c>
      <c r="C10" s="27" t="s">
        <v>204</v>
      </c>
      <c r="D10" s="27" t="s">
        <v>202</v>
      </c>
      <c r="E10" s="28" t="s">
        <v>263</v>
      </c>
      <c r="F10" s="27" t="s">
        <v>242</v>
      </c>
      <c r="G10" s="32" t="s">
        <v>135</v>
      </c>
      <c r="H10" s="32" t="s">
        <v>203</v>
      </c>
      <c r="I10" s="32" t="s">
        <v>200</v>
      </c>
      <c r="J10" s="31"/>
      <c r="K10" s="29" t="str">
        <f>"240,0"</f>
        <v>240,0</v>
      </c>
      <c r="L10" s="29" t="str">
        <f>"143,7796"</f>
        <v>143,7796</v>
      </c>
      <c r="M10" s="27"/>
    </row>
    <row r="11" spans="1:13">
      <c r="A11" s="24" t="s">
        <v>15</v>
      </c>
      <c r="B11" s="19" t="s">
        <v>136</v>
      </c>
      <c r="C11" s="19" t="s">
        <v>132</v>
      </c>
      <c r="D11" s="19" t="s">
        <v>133</v>
      </c>
      <c r="E11" s="20" t="s">
        <v>267</v>
      </c>
      <c r="F11" s="19" t="s">
        <v>254</v>
      </c>
      <c r="G11" s="25" t="s">
        <v>127</v>
      </c>
      <c r="H11" s="25" t="s">
        <v>134</v>
      </c>
      <c r="I11" s="26" t="s">
        <v>135</v>
      </c>
      <c r="J11" s="24"/>
      <c r="K11" s="21" t="str">
        <f>"217,5"</f>
        <v>217,5</v>
      </c>
      <c r="L11" s="21" t="str">
        <f>"160,3821"</f>
        <v>160,3821</v>
      </c>
      <c r="M11" s="19" t="s">
        <v>256</v>
      </c>
    </row>
    <row r="13" spans="1:13" ht="16">
      <c r="A13" s="57" t="s">
        <v>58</v>
      </c>
      <c r="B13" s="57"/>
      <c r="C13" s="58"/>
      <c r="D13" s="58"/>
      <c r="E13" s="58"/>
      <c r="F13" s="58"/>
      <c r="G13" s="58"/>
      <c r="H13" s="58"/>
      <c r="I13" s="58"/>
      <c r="J13" s="58"/>
    </row>
    <row r="14" spans="1:13">
      <c r="A14" s="13" t="s">
        <v>15</v>
      </c>
      <c r="B14" s="7" t="s">
        <v>210</v>
      </c>
      <c r="C14" s="7" t="s">
        <v>205</v>
      </c>
      <c r="D14" s="7" t="s">
        <v>206</v>
      </c>
      <c r="E14" s="8" t="s">
        <v>262</v>
      </c>
      <c r="F14" s="7" t="s">
        <v>253</v>
      </c>
      <c r="G14" s="14" t="s">
        <v>207</v>
      </c>
      <c r="H14" s="14" t="s">
        <v>101</v>
      </c>
      <c r="I14" s="14" t="s">
        <v>127</v>
      </c>
      <c r="J14" s="13"/>
      <c r="K14" s="9" t="str">
        <f>"210,0"</f>
        <v>210,0</v>
      </c>
      <c r="L14" s="9" t="str">
        <f>"118,8810"</f>
        <v>118,8810</v>
      </c>
      <c r="M14" s="7" t="s">
        <v>180</v>
      </c>
    </row>
  </sheetData>
  <mergeCells count="14">
    <mergeCell ref="A8:J8"/>
    <mergeCell ref="A13:J13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6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7.33203125" style="5" bestFit="1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2.16406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5" style="6" bestFit="1" customWidth="1"/>
    <col min="13" max="13" width="18.33203125" style="5" customWidth="1"/>
    <col min="14" max="16384" width="9.1640625" style="3"/>
  </cols>
  <sheetData>
    <row r="1" spans="1:13" s="2" customFormat="1" ht="29" customHeight="1">
      <c r="A1" s="42" t="s">
        <v>245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131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136</v>
      </c>
      <c r="C6" s="7" t="s">
        <v>132</v>
      </c>
      <c r="D6" s="7" t="s">
        <v>133</v>
      </c>
      <c r="E6" s="8" t="s">
        <v>267</v>
      </c>
      <c r="F6" s="7" t="s">
        <v>254</v>
      </c>
      <c r="G6" s="14" t="s">
        <v>127</v>
      </c>
      <c r="H6" s="14" t="s">
        <v>134</v>
      </c>
      <c r="I6" s="15" t="s">
        <v>135</v>
      </c>
      <c r="J6" s="13"/>
      <c r="K6" s="9" t="str">
        <f>"217,5"</f>
        <v>217,5</v>
      </c>
      <c r="L6" s="9" t="str">
        <f>"160,3821"</f>
        <v>160,3821</v>
      </c>
      <c r="M6" s="7" t="s">
        <v>256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24" style="5" customWidth="1"/>
    <col min="3" max="3" width="27.5" style="5" bestFit="1" customWidth="1"/>
    <col min="4" max="4" width="21.5" style="5" bestFit="1" customWidth="1"/>
    <col min="5" max="5" width="10.5" style="10" bestFit="1" customWidth="1"/>
    <col min="6" max="6" width="27.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7.6640625" style="6" bestFit="1" customWidth="1"/>
    <col min="13" max="13" width="20" style="5" customWidth="1"/>
    <col min="14" max="16384" width="9.1640625" style="3"/>
  </cols>
  <sheetData>
    <row r="1" spans="1:13" s="2" customFormat="1" ht="29" customHeight="1">
      <c r="A1" s="42" t="s">
        <v>246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81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36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13" t="s">
        <v>15</v>
      </c>
      <c r="B6" s="7" t="s">
        <v>215</v>
      </c>
      <c r="C6" s="7" t="s">
        <v>211</v>
      </c>
      <c r="D6" s="7" t="s">
        <v>212</v>
      </c>
      <c r="E6" s="8" t="s">
        <v>262</v>
      </c>
      <c r="F6" s="7" t="s">
        <v>253</v>
      </c>
      <c r="G6" s="14" t="s">
        <v>213</v>
      </c>
      <c r="H6" s="14" t="s">
        <v>65</v>
      </c>
      <c r="I6" s="15" t="s">
        <v>31</v>
      </c>
      <c r="J6" s="13"/>
      <c r="K6" s="9" t="str">
        <f>"55,0"</f>
        <v>55,0</v>
      </c>
      <c r="L6" s="9" t="str">
        <f>"66,6765"</f>
        <v>66,6765</v>
      </c>
      <c r="M6" s="7" t="s">
        <v>197</v>
      </c>
    </row>
    <row r="8" spans="1:13" ht="16">
      <c r="A8" s="57" t="s">
        <v>42</v>
      </c>
      <c r="B8" s="57"/>
      <c r="C8" s="58"/>
      <c r="D8" s="58"/>
      <c r="E8" s="58"/>
      <c r="F8" s="58"/>
      <c r="G8" s="58"/>
      <c r="H8" s="58"/>
      <c r="I8" s="58"/>
      <c r="J8" s="58"/>
    </row>
    <row r="9" spans="1:13">
      <c r="A9" s="13" t="s">
        <v>15</v>
      </c>
      <c r="B9" s="7" t="s">
        <v>70</v>
      </c>
      <c r="C9" s="7" t="s">
        <v>43</v>
      </c>
      <c r="D9" s="7" t="s">
        <v>44</v>
      </c>
      <c r="E9" s="8" t="s">
        <v>262</v>
      </c>
      <c r="F9" s="7" t="s">
        <v>242</v>
      </c>
      <c r="G9" s="14" t="s">
        <v>22</v>
      </c>
      <c r="H9" s="14" t="s">
        <v>23</v>
      </c>
      <c r="I9" s="15" t="s">
        <v>51</v>
      </c>
      <c r="J9" s="13"/>
      <c r="K9" s="9" t="str">
        <f>"47,5"</f>
        <v>47,5</v>
      </c>
      <c r="L9" s="9" t="str">
        <f>"50,0603"</f>
        <v>50,0603</v>
      </c>
      <c r="M9" s="7"/>
    </row>
    <row r="11" spans="1:13" ht="16">
      <c r="A11" s="57" t="s">
        <v>24</v>
      </c>
      <c r="B11" s="57"/>
      <c r="C11" s="58"/>
      <c r="D11" s="58"/>
      <c r="E11" s="58"/>
      <c r="F11" s="58"/>
      <c r="G11" s="58"/>
      <c r="H11" s="58"/>
      <c r="I11" s="58"/>
      <c r="J11" s="58"/>
    </row>
    <row r="12" spans="1:13">
      <c r="A12" s="22" t="s">
        <v>15</v>
      </c>
      <c r="B12" s="16" t="s">
        <v>208</v>
      </c>
      <c r="C12" s="16" t="s">
        <v>198</v>
      </c>
      <c r="D12" s="16" t="s">
        <v>199</v>
      </c>
      <c r="E12" s="17" t="s">
        <v>262</v>
      </c>
      <c r="F12" s="16" t="s">
        <v>253</v>
      </c>
      <c r="G12" s="23" t="s">
        <v>96</v>
      </c>
      <c r="H12" s="23" t="s">
        <v>167</v>
      </c>
      <c r="I12" s="22"/>
      <c r="J12" s="22"/>
      <c r="K12" s="18" t="str">
        <f>"137,5"</f>
        <v>137,5</v>
      </c>
      <c r="L12" s="18" t="str">
        <f>"89,0862"</f>
        <v>89,0862</v>
      </c>
      <c r="M12" s="16" t="s">
        <v>180</v>
      </c>
    </row>
    <row r="13" spans="1:13">
      <c r="A13" s="24" t="s">
        <v>15</v>
      </c>
      <c r="B13" s="19" t="s">
        <v>75</v>
      </c>
      <c r="C13" s="19" t="s">
        <v>170</v>
      </c>
      <c r="D13" s="19" t="s">
        <v>57</v>
      </c>
      <c r="E13" s="20" t="s">
        <v>263</v>
      </c>
      <c r="F13" s="19" t="s">
        <v>242</v>
      </c>
      <c r="G13" s="25" t="s">
        <v>95</v>
      </c>
      <c r="H13" s="25" t="s">
        <v>214</v>
      </c>
      <c r="I13" s="24"/>
      <c r="J13" s="24"/>
      <c r="K13" s="21" t="str">
        <f>"125,0"</f>
        <v>125,0</v>
      </c>
      <c r="L13" s="21" t="str">
        <f>"82,8054"</f>
        <v>82,8054</v>
      </c>
      <c r="M13" s="19" t="s">
        <v>141</v>
      </c>
    </row>
    <row r="15" spans="1:13">
      <c r="E15" s="5"/>
      <c r="F15" s="10"/>
      <c r="G15" s="5"/>
      <c r="K15" s="11"/>
      <c r="M15" s="6"/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1640625" style="5" bestFit="1" customWidth="1"/>
    <col min="3" max="3" width="26.33203125" style="5" bestFit="1" customWidth="1"/>
    <col min="4" max="4" width="21.5" style="5" bestFit="1" customWidth="1"/>
    <col min="5" max="5" width="10.5" style="10" bestFit="1" customWidth="1"/>
    <col min="6" max="6" width="29.83203125" style="5" bestFit="1" customWidth="1"/>
    <col min="7" max="9" width="5.5" style="11" customWidth="1"/>
    <col min="10" max="10" width="4.83203125" style="11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42" t="s">
        <v>247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2" customFormat="1" ht="62" customHeight="1" thickBot="1">
      <c r="A2" s="46"/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>
      <c r="A3" s="50" t="s">
        <v>258</v>
      </c>
      <c r="B3" s="59" t="s">
        <v>0</v>
      </c>
      <c r="C3" s="52" t="s">
        <v>259</v>
      </c>
      <c r="D3" s="52" t="s">
        <v>6</v>
      </c>
      <c r="E3" s="54" t="s">
        <v>260</v>
      </c>
      <c r="F3" s="56" t="s">
        <v>5</v>
      </c>
      <c r="G3" s="56" t="s">
        <v>82</v>
      </c>
      <c r="H3" s="56"/>
      <c r="I3" s="56"/>
      <c r="J3" s="56"/>
      <c r="K3" s="54" t="s">
        <v>14</v>
      </c>
      <c r="L3" s="54" t="s">
        <v>3</v>
      </c>
      <c r="M3" s="38" t="s">
        <v>2</v>
      </c>
    </row>
    <row r="4" spans="1:13" s="1" customFormat="1" ht="21" customHeight="1" thickBot="1">
      <c r="A4" s="51"/>
      <c r="B4" s="60"/>
      <c r="C4" s="53"/>
      <c r="D4" s="53"/>
      <c r="E4" s="55"/>
      <c r="F4" s="53"/>
      <c r="G4" s="4">
        <v>1</v>
      </c>
      <c r="H4" s="4">
        <v>2</v>
      </c>
      <c r="I4" s="4">
        <v>3</v>
      </c>
      <c r="J4" s="4" t="s">
        <v>4</v>
      </c>
      <c r="K4" s="55"/>
      <c r="L4" s="55"/>
      <c r="M4" s="39"/>
    </row>
    <row r="5" spans="1:13" ht="16">
      <c r="A5" s="40" t="s">
        <v>42</v>
      </c>
      <c r="B5" s="40"/>
      <c r="C5" s="41"/>
      <c r="D5" s="41"/>
      <c r="E5" s="41"/>
      <c r="F5" s="41"/>
      <c r="G5" s="41"/>
      <c r="H5" s="41"/>
      <c r="I5" s="41"/>
      <c r="J5" s="41"/>
    </row>
    <row r="6" spans="1:13">
      <c r="A6" s="22" t="s">
        <v>15</v>
      </c>
      <c r="B6" s="16" t="s">
        <v>226</v>
      </c>
      <c r="C6" s="16" t="s">
        <v>222</v>
      </c>
      <c r="D6" s="16" t="s">
        <v>223</v>
      </c>
      <c r="E6" s="17" t="s">
        <v>262</v>
      </c>
      <c r="F6" s="16" t="s">
        <v>242</v>
      </c>
      <c r="G6" s="23" t="s">
        <v>183</v>
      </c>
      <c r="H6" s="23" t="s">
        <v>224</v>
      </c>
      <c r="I6" s="23" t="s">
        <v>225</v>
      </c>
      <c r="J6" s="22"/>
      <c r="K6" s="18" t="str">
        <f>"205,0"</f>
        <v>205,0</v>
      </c>
      <c r="L6" s="18" t="str">
        <f>"158,0550"</f>
        <v>158,0550</v>
      </c>
      <c r="M6" s="16"/>
    </row>
    <row r="7" spans="1:13">
      <c r="A7" s="24" t="s">
        <v>77</v>
      </c>
      <c r="B7" s="19" t="s">
        <v>71</v>
      </c>
      <c r="C7" s="19" t="s">
        <v>48</v>
      </c>
      <c r="D7" s="19" t="s">
        <v>49</v>
      </c>
      <c r="E7" s="20" t="s">
        <v>262</v>
      </c>
      <c r="F7" s="19" t="s">
        <v>253</v>
      </c>
      <c r="G7" s="25" t="s">
        <v>123</v>
      </c>
      <c r="H7" s="26" t="s">
        <v>124</v>
      </c>
      <c r="I7" s="25" t="s">
        <v>124</v>
      </c>
      <c r="J7" s="24"/>
      <c r="K7" s="21" t="str">
        <f>"170,0"</f>
        <v>170,0</v>
      </c>
      <c r="L7" s="21" t="str">
        <f>"131,2230"</f>
        <v>131,2230</v>
      </c>
      <c r="M7" s="19" t="s">
        <v>180</v>
      </c>
    </row>
    <row r="9" spans="1:13" ht="16">
      <c r="A9" s="57" t="s">
        <v>54</v>
      </c>
      <c r="B9" s="57"/>
      <c r="C9" s="58"/>
      <c r="D9" s="58"/>
      <c r="E9" s="58"/>
      <c r="F9" s="58"/>
      <c r="G9" s="58"/>
      <c r="H9" s="58"/>
      <c r="I9" s="58"/>
      <c r="J9" s="58"/>
    </row>
    <row r="10" spans="1:13">
      <c r="A10" s="13" t="s">
        <v>15</v>
      </c>
      <c r="B10" s="7" t="s">
        <v>74</v>
      </c>
      <c r="C10" s="7" t="s">
        <v>55</v>
      </c>
      <c r="D10" s="7" t="s">
        <v>56</v>
      </c>
      <c r="E10" s="8" t="s">
        <v>262</v>
      </c>
      <c r="F10" s="7" t="s">
        <v>242</v>
      </c>
      <c r="G10" s="14" t="s">
        <v>101</v>
      </c>
      <c r="H10" s="14" t="s">
        <v>103</v>
      </c>
      <c r="I10" s="14" t="s">
        <v>219</v>
      </c>
      <c r="J10" s="13"/>
      <c r="K10" s="9" t="str">
        <f>"230,0"</f>
        <v>230,0</v>
      </c>
      <c r="L10" s="9" t="str">
        <f>"154,8820"</f>
        <v>154,8820</v>
      </c>
      <c r="M10" s="7"/>
    </row>
  </sheetData>
  <mergeCells count="13">
    <mergeCell ref="A9:J9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Двоеборье без экип ДК</vt:lpstr>
      <vt:lpstr>WRPF Жим лежа без экип ДК</vt:lpstr>
      <vt:lpstr>WRPF Жим лежа без экип</vt:lpstr>
      <vt:lpstr>WEPF Жим софт однопетельная ДК</vt:lpstr>
      <vt:lpstr>WEPF Жим софт однопетельная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2023-03-17T13:36:50Z</dcterms:modified>
</cp:coreProperties>
</file>