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Апрель/"/>
    </mc:Choice>
  </mc:AlternateContent>
  <xr:revisionPtr revIDLastSave="0" documentId="13_ncr:1_{10D5DBCD-4F2B-D743-8E46-1AEC0A02F78F}" xr6:coauthVersionLast="45" xr6:coauthVersionMax="45" xr10:uidLastSave="{00000000-0000-0000-0000-000000000000}"/>
  <bookViews>
    <workbookView xWindow="480" yWindow="460" windowWidth="26100" windowHeight="15960" firstSheet="5" activeTab="9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Жим лежа без экип ДК" sheetId="11" r:id="rId5"/>
    <sheet name="WRPF Жим лежа без экип" sheetId="10" r:id="rId6"/>
    <sheet name="WRPF Тяга без экипировки ДК" sheetId="16" r:id="rId7"/>
    <sheet name="WRPF Тяга без экипировки" sheetId="15" r:id="rId8"/>
    <sheet name="WEPF Тяга экип ДК" sheetId="18" r:id="rId9"/>
    <sheet name="WRPF Подъем на бицепс" sheetId="19" r:id="rId10"/>
  </sheets>
  <definedNames>
    <definedName name="_FilterDatabase" localSheetId="3" hidden="1">'WRPF ПЛ в бинтах'!$A$1:$S$3</definedName>
    <definedName name="_FilterDatabase" localSheetId="9" hidden="1">'WRPF Подъем на бицепс'!$A$1:$K$3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9" l="1"/>
  <c r="L6" i="19"/>
  <c r="K9" i="19"/>
  <c r="L9" i="19"/>
  <c r="K12" i="19"/>
  <c r="L12" i="19"/>
  <c r="K15" i="19"/>
  <c r="L15" i="19"/>
  <c r="K16" i="19"/>
  <c r="L16" i="19"/>
  <c r="K19" i="19"/>
  <c r="L19" i="19"/>
  <c r="K20" i="19"/>
  <c r="L20" i="19"/>
  <c r="K21" i="19"/>
  <c r="L21" i="19"/>
  <c r="K24" i="19"/>
  <c r="L24" i="19"/>
  <c r="L6" i="18"/>
  <c r="K6" i="18"/>
  <c r="L30" i="16"/>
  <c r="K30" i="16"/>
  <c r="L27" i="16"/>
  <c r="K27" i="16"/>
  <c r="L24" i="16"/>
  <c r="K24" i="16"/>
  <c r="L23" i="16"/>
  <c r="K23" i="16"/>
  <c r="L20" i="16"/>
  <c r="K20" i="16"/>
  <c r="L17" i="16"/>
  <c r="K17" i="16"/>
  <c r="L14" i="16"/>
  <c r="K14" i="16"/>
  <c r="L11" i="16"/>
  <c r="K11" i="16"/>
  <c r="L10" i="16"/>
  <c r="K10" i="16"/>
  <c r="L7" i="16"/>
  <c r="K7" i="16"/>
  <c r="L6" i="16"/>
  <c r="K6" i="16"/>
  <c r="L6" i="15"/>
  <c r="K6" i="15"/>
  <c r="L29" i="11"/>
  <c r="K29" i="11"/>
  <c r="L26" i="11"/>
  <c r="K26" i="11"/>
  <c r="L23" i="11"/>
  <c r="K23" i="11"/>
  <c r="L22" i="11"/>
  <c r="K22" i="11"/>
  <c r="L21" i="11"/>
  <c r="K21" i="11"/>
  <c r="L18" i="11"/>
  <c r="K18" i="11"/>
  <c r="L15" i="11"/>
  <c r="K15" i="11"/>
  <c r="L12" i="11"/>
  <c r="K12" i="11"/>
  <c r="L9" i="11"/>
  <c r="K9" i="11"/>
  <c r="L6" i="11"/>
  <c r="K6" i="11"/>
  <c r="L21" i="10"/>
  <c r="K21" i="10"/>
  <c r="L18" i="10"/>
  <c r="K18" i="10"/>
  <c r="L15" i="10"/>
  <c r="K15" i="10"/>
  <c r="L12" i="10"/>
  <c r="K12" i="10"/>
  <c r="L9" i="10"/>
  <c r="K9" i="10"/>
  <c r="L6" i="10"/>
  <c r="K6" i="10"/>
  <c r="T15" i="8"/>
  <c r="S15" i="8"/>
  <c r="T12" i="8"/>
  <c r="T9" i="8"/>
  <c r="S9" i="8"/>
  <c r="T6" i="8"/>
  <c r="S6" i="8"/>
  <c r="T33" i="7"/>
  <c r="S33" i="7"/>
  <c r="T32" i="7"/>
  <c r="S32" i="7"/>
  <c r="T29" i="7"/>
  <c r="S29" i="7"/>
  <c r="T28" i="7"/>
  <c r="S28" i="7"/>
  <c r="T25" i="7"/>
  <c r="S25" i="7"/>
  <c r="T24" i="7"/>
  <c r="S24" i="7"/>
  <c r="T23" i="7"/>
  <c r="S23" i="7"/>
  <c r="T20" i="7"/>
  <c r="S20" i="7"/>
  <c r="T17" i="7"/>
  <c r="S17" i="7"/>
  <c r="T16" i="7"/>
  <c r="S16" i="7"/>
  <c r="T15" i="7"/>
  <c r="S15" i="7"/>
  <c r="T12" i="7"/>
  <c r="S12" i="7"/>
  <c r="T9" i="7"/>
  <c r="S9" i="7"/>
  <c r="T6" i="7"/>
  <c r="S6" i="7"/>
  <c r="T12" i="6"/>
  <c r="T9" i="6"/>
  <c r="S9" i="6"/>
  <c r="T6" i="6"/>
  <c r="S6" i="6"/>
  <c r="T6" i="5"/>
  <c r="S6" i="5"/>
</calcChain>
</file>

<file path=xl/sharedStrings.xml><?xml version="1.0" encoding="utf-8"?>
<sst xmlns="http://schemas.openxmlformats.org/spreadsheetml/2006/main" count="938" uniqueCount="322">
  <si>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</si>
  <si>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</si>
  <si>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</si>
  <si>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</si>
  <si>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</si>
  <si>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</si>
  <si>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</si>
  <si>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</si>
  <si>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</si>
  <si>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</si>
  <si>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125</t>
  </si>
  <si>
    <t>Открытая (18.04.1999)/24</t>
  </si>
  <si>
    <t>110,70</t>
  </si>
  <si>
    <t xml:space="preserve">Владивосток/Приморский край </t>
  </si>
  <si>
    <t>275,0</t>
  </si>
  <si>
    <t>280,0</t>
  </si>
  <si>
    <t>300,0</t>
  </si>
  <si>
    <t>180,0</t>
  </si>
  <si>
    <t>190,0</t>
  </si>
  <si>
    <t>285,0</t>
  </si>
  <si>
    <t>312,5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</si>
  <si>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</si>
  <si>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</si>
  <si>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</si>
  <si>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</si>
  <si>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</si>
  <si>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</si>
  <si>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</si>
  <si>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1</t>
  </si>
  <si>
    <t>Акишин Александр</t>
  </si>
  <si>
    <t>Место</t>
  </si>
  <si>
    <t>ВЕСОВАЯ КАТЕГОРИЯ   75</t>
  </si>
  <si>
    <t>Юниоры (28.06.2000)/22</t>
  </si>
  <si>
    <t>73,60</t>
  </si>
  <si>
    <t>200,0</t>
  </si>
  <si>
    <t>210,0</t>
  </si>
  <si>
    <t>120,0</t>
  </si>
  <si>
    <t>125,0</t>
  </si>
  <si>
    <t>130,0</t>
  </si>
  <si>
    <t>ВЕСОВАЯ КАТЕГОРИЯ   82.5</t>
  </si>
  <si>
    <t>Юниоры (15.01.2001)/22</t>
  </si>
  <si>
    <t>81,70</t>
  </si>
  <si>
    <t>222,5</t>
  </si>
  <si>
    <t>230,0</t>
  </si>
  <si>
    <t>140,0</t>
  </si>
  <si>
    <t>150,0</t>
  </si>
  <si>
    <t>160,0</t>
  </si>
  <si>
    <t>212,5</t>
  </si>
  <si>
    <t>220,0</t>
  </si>
  <si>
    <t>240,0</t>
  </si>
  <si>
    <t>ВЕСОВАЯ КАТЕГОРИЯ   90</t>
  </si>
  <si>
    <t>Юниоры (18.10.2002)/20</t>
  </si>
  <si>
    <t>85,10</t>
  </si>
  <si>
    <t>145,0</t>
  </si>
  <si>
    <t>155,0</t>
  </si>
  <si>
    <t>95,0</t>
  </si>
  <si>
    <t>82.5</t>
  </si>
  <si>
    <t>Киселев Аркадий</t>
  </si>
  <si>
    <t>Керимов Шахлар</t>
  </si>
  <si>
    <t>-</t>
  </si>
  <si>
    <t>Гриценко Роман</t>
  </si>
  <si>
    <t>ВЕСОВАЯ КАТЕГОРИЯ   52</t>
  </si>
  <si>
    <t>Открытая (24.02.2002)/21</t>
  </si>
  <si>
    <t>50,60</t>
  </si>
  <si>
    <t xml:space="preserve">Уссурийск/Приморский край </t>
  </si>
  <si>
    <t>50,0</t>
  </si>
  <si>
    <t>55,0</t>
  </si>
  <si>
    <t>60,0</t>
  </si>
  <si>
    <t>25,0</t>
  </si>
  <si>
    <t>ВЕСОВАЯ КАТЕГОРИЯ   60</t>
  </si>
  <si>
    <t>Открытая (12.05.2004)/18</t>
  </si>
  <si>
    <t>58,00</t>
  </si>
  <si>
    <t>92,5</t>
  </si>
  <si>
    <t>97,5</t>
  </si>
  <si>
    <t>100,0</t>
  </si>
  <si>
    <t>47,5</t>
  </si>
  <si>
    <t>52,5</t>
  </si>
  <si>
    <t>77,5</t>
  </si>
  <si>
    <t>82,5</t>
  </si>
  <si>
    <t>87,5</t>
  </si>
  <si>
    <t>ВЕСОВАЯ КАТЕГОРИЯ   56</t>
  </si>
  <si>
    <t>Открытая (18.10.2005)/17</t>
  </si>
  <si>
    <t>55,00</t>
  </si>
  <si>
    <t>105,0</t>
  </si>
  <si>
    <t>57,5</t>
  </si>
  <si>
    <t>65,0</t>
  </si>
  <si>
    <t>70,0</t>
  </si>
  <si>
    <t xml:space="preserve">Битнер Андрей </t>
  </si>
  <si>
    <t>Открытая (28.02.2006)/17</t>
  </si>
  <si>
    <t>58,40</t>
  </si>
  <si>
    <t>115,0</t>
  </si>
  <si>
    <t>122,5</t>
  </si>
  <si>
    <t>127,5</t>
  </si>
  <si>
    <t>170,0</t>
  </si>
  <si>
    <t>175,0</t>
  </si>
  <si>
    <t>Открытая (15.07.2005)/17</t>
  </si>
  <si>
    <t>57,00</t>
  </si>
  <si>
    <t>110,0</t>
  </si>
  <si>
    <t>72,5</t>
  </si>
  <si>
    <t>Открытая (24.11.2007)/15</t>
  </si>
  <si>
    <t>59,80</t>
  </si>
  <si>
    <t xml:space="preserve">Маслов Денис </t>
  </si>
  <si>
    <t>Открытая (21.06.2001)/21</t>
  </si>
  <si>
    <t>75,80</t>
  </si>
  <si>
    <t>107,5</t>
  </si>
  <si>
    <t>112,5</t>
  </si>
  <si>
    <t>Открытая (14.02.2005)/18</t>
  </si>
  <si>
    <t>84,30</t>
  </si>
  <si>
    <t>162,5</t>
  </si>
  <si>
    <t>Открытая (07.08.2000)/22</t>
  </si>
  <si>
    <t>88,90</t>
  </si>
  <si>
    <t>90,0</t>
  </si>
  <si>
    <t>102,5</t>
  </si>
  <si>
    <t>Открытая (14.02.2007)/16</t>
  </si>
  <si>
    <t>75,0</t>
  </si>
  <si>
    <t>ВЕСОВАЯ КАТЕГОРИЯ   100</t>
  </si>
  <si>
    <t xml:space="preserve">Тартышный Василий </t>
  </si>
  <si>
    <t>Открытая (06.03.1998)/25</t>
  </si>
  <si>
    <t>99,80</t>
  </si>
  <si>
    <t xml:space="preserve">Артём/Приморский край </t>
  </si>
  <si>
    <t>250,0</t>
  </si>
  <si>
    <t>255,0</t>
  </si>
  <si>
    <t>165,0</t>
  </si>
  <si>
    <t>270,0</t>
  </si>
  <si>
    <t>Мастера 40-49 (25.03.1979)/44</t>
  </si>
  <si>
    <t>93,60</t>
  </si>
  <si>
    <t xml:space="preserve">Арсеньев/Приморский край </t>
  </si>
  <si>
    <t>ВЕСОВАЯ КАТЕГОРИЯ   110</t>
  </si>
  <si>
    <t>Открытая (16.11.2001)/21</t>
  </si>
  <si>
    <t>102,30</t>
  </si>
  <si>
    <t>80,0</t>
  </si>
  <si>
    <t>85,0</t>
  </si>
  <si>
    <t>Открытая (03.06.2005)/17</t>
  </si>
  <si>
    <t>105,60</t>
  </si>
  <si>
    <t xml:space="preserve">Женщины </t>
  </si>
  <si>
    <t>60</t>
  </si>
  <si>
    <t>100</t>
  </si>
  <si>
    <t>Крохмалёва Анна</t>
  </si>
  <si>
    <t>Кулакова Валерия</t>
  </si>
  <si>
    <t>Окладников Дитрий</t>
  </si>
  <si>
    <t>Битнер Андрей</t>
  </si>
  <si>
    <t>2</t>
  </si>
  <si>
    <t>Ким Алексей</t>
  </si>
  <si>
    <t>3</t>
  </si>
  <si>
    <t>Мин Артём</t>
  </si>
  <si>
    <t>Маслов Денис</t>
  </si>
  <si>
    <t>Гаврилов Дмитрий</t>
  </si>
  <si>
    <t>Нагорнов Сергей</t>
  </si>
  <si>
    <t>Кулаков Сергей</t>
  </si>
  <si>
    <t>Тартышный Василий</t>
  </si>
  <si>
    <t>Потапов Павел</t>
  </si>
  <si>
    <t>Бабийчук Максим</t>
  </si>
  <si>
    <t>Князев Данил</t>
  </si>
  <si>
    <t>ВЕСОВАЯ КАТЕГОРИЯ   44</t>
  </si>
  <si>
    <t xml:space="preserve">Шарипова Малика </t>
  </si>
  <si>
    <t>Открытая (03.01.2012)/11</t>
  </si>
  <si>
    <t>35,60</t>
  </si>
  <si>
    <t xml:space="preserve">Партизанск/Приморский край </t>
  </si>
  <si>
    <t>62,5</t>
  </si>
  <si>
    <t>67,5</t>
  </si>
  <si>
    <t>45,0</t>
  </si>
  <si>
    <t xml:space="preserve">Егорова Ольга </t>
  </si>
  <si>
    <t>Открытая (06.12.1998)/24</t>
  </si>
  <si>
    <t>58,80</t>
  </si>
  <si>
    <t>Открытая (28.07.2005)/17</t>
  </si>
  <si>
    <t>72,60</t>
  </si>
  <si>
    <t>157,5</t>
  </si>
  <si>
    <t>Открытая (07.12.1988)/34</t>
  </si>
  <si>
    <t>97,30</t>
  </si>
  <si>
    <t>135,0</t>
  </si>
  <si>
    <t>195,0</t>
  </si>
  <si>
    <t>44</t>
  </si>
  <si>
    <t>Шарипова Малика</t>
  </si>
  <si>
    <t>Егорова Ольга</t>
  </si>
  <si>
    <t>Коробов Павел</t>
  </si>
  <si>
    <t>Кравчук Олег</t>
  </si>
  <si>
    <t>Результат</t>
  </si>
  <si>
    <t>ВЕСОВАЯ КАТЕГОРИЯ   67.5</t>
  </si>
  <si>
    <t>Открытая (31.03.2003)/20</t>
  </si>
  <si>
    <t>61,90</t>
  </si>
  <si>
    <t>20,0</t>
  </si>
  <si>
    <t>30,0</t>
  </si>
  <si>
    <t>Открытая (14.03.2004)/19</t>
  </si>
  <si>
    <t>85,30</t>
  </si>
  <si>
    <t>Открытая (09.12.1980)/42</t>
  </si>
  <si>
    <t>94,30</t>
  </si>
  <si>
    <t>Открытая (28.11.1989)/33</t>
  </si>
  <si>
    <t>119,50</t>
  </si>
  <si>
    <t>202,5</t>
  </si>
  <si>
    <t xml:space="preserve">Результат </t>
  </si>
  <si>
    <t>Вовченко Анастасия</t>
  </si>
  <si>
    <t>Ронжин Александр</t>
  </si>
  <si>
    <t>Белянко Роман</t>
  </si>
  <si>
    <t>Багаев Александр</t>
  </si>
  <si>
    <t xml:space="preserve">Пичугина Алинна </t>
  </si>
  <si>
    <t>Открытая (01.09.2004)/18</t>
  </si>
  <si>
    <t>55,20</t>
  </si>
  <si>
    <t>Открытая (10.07.1998)/24</t>
  </si>
  <si>
    <t>74,50</t>
  </si>
  <si>
    <t>117,5</t>
  </si>
  <si>
    <t xml:space="preserve">Савченко Никита </t>
  </si>
  <si>
    <t>Открытая (16.12.2001)/21</t>
  </si>
  <si>
    <t>82,10</t>
  </si>
  <si>
    <t>152,5</t>
  </si>
  <si>
    <t xml:space="preserve">Соболев Андрей </t>
  </si>
  <si>
    <t>Открытая (15.10.1981)/41</t>
  </si>
  <si>
    <t>172,5</t>
  </si>
  <si>
    <t>Открытая (18.04.1989)/34</t>
  </si>
  <si>
    <t>90,00</t>
  </si>
  <si>
    <t>147,5</t>
  </si>
  <si>
    <t>Открытая (21.09.2003)/19</t>
  </si>
  <si>
    <t>85,20</t>
  </si>
  <si>
    <t>Открытая (15.09.1998)/24</t>
  </si>
  <si>
    <t>94,50</t>
  </si>
  <si>
    <t xml:space="preserve">Былков Артём </t>
  </si>
  <si>
    <t>Открытая (02.04.1998)/25</t>
  </si>
  <si>
    <t>107,80</t>
  </si>
  <si>
    <t>167,5</t>
  </si>
  <si>
    <t>56</t>
  </si>
  <si>
    <t>90</t>
  </si>
  <si>
    <t>110</t>
  </si>
  <si>
    <t>Пичугина Алинна</t>
  </si>
  <si>
    <t>Бегун Владимир</t>
  </si>
  <si>
    <t>Савченко Никита</t>
  </si>
  <si>
    <t>Соболев Андрей</t>
  </si>
  <si>
    <t>Коваль Алексей</t>
  </si>
  <si>
    <t>Шупиков Дмитрий</t>
  </si>
  <si>
    <t>Калин Иван</t>
  </si>
  <si>
    <t>Былков Артём</t>
  </si>
  <si>
    <t>Девушки 17-19 (01.09.2004)/18</t>
  </si>
  <si>
    <t>Открытая (29.11.1988)/34</t>
  </si>
  <si>
    <t>55,90</t>
  </si>
  <si>
    <t>Открытая (01.02.1985)/38</t>
  </si>
  <si>
    <t>59,90</t>
  </si>
  <si>
    <t>Открытая (25.06.1988)/34</t>
  </si>
  <si>
    <t>132,5</t>
  </si>
  <si>
    <t>Открытая (28.09.1997)/25</t>
  </si>
  <si>
    <t>83,90</t>
  </si>
  <si>
    <t>Юноши 14-16 (24.12.2007)/15</t>
  </si>
  <si>
    <t>55,80</t>
  </si>
  <si>
    <t>Открытая (06.06.1988)/34</t>
  </si>
  <si>
    <t>65,00</t>
  </si>
  <si>
    <t>Открытая (19.09.1987)/35</t>
  </si>
  <si>
    <t>72,80</t>
  </si>
  <si>
    <t>237,5</t>
  </si>
  <si>
    <t>Открытая (17.12.2005)/17</t>
  </si>
  <si>
    <t>73,70</t>
  </si>
  <si>
    <t>177,5</t>
  </si>
  <si>
    <t>182,5</t>
  </si>
  <si>
    <t>Открытая (27.06.2002)/20</t>
  </si>
  <si>
    <t>89,20</t>
  </si>
  <si>
    <t>Кихаял Екатерина</t>
  </si>
  <si>
    <t>Ерофеева Жанна</t>
  </si>
  <si>
    <t>Бирюкова Юлия</t>
  </si>
  <si>
    <t>Курятникова Инна</t>
  </si>
  <si>
    <t>Прилепо Владислав</t>
  </si>
  <si>
    <t>Сабуров Виктор</t>
  </si>
  <si>
    <t>Котов Алексей</t>
  </si>
  <si>
    <t>Грабов Илья</t>
  </si>
  <si>
    <t>Колпинец Савелий</t>
  </si>
  <si>
    <t>75</t>
  </si>
  <si>
    <t xml:space="preserve">Третьяков Алексей </t>
  </si>
  <si>
    <t xml:space="preserve">Тимофеев Кирилл </t>
  </si>
  <si>
    <t xml:space="preserve">Коваль Алексей </t>
  </si>
  <si>
    <t xml:space="preserve">Gloss </t>
  </si>
  <si>
    <t>92,60</t>
  </si>
  <si>
    <t>Открытая (03.03.2003)/20</t>
  </si>
  <si>
    <t>Белогубцев Даниил</t>
  </si>
  <si>
    <t>Открытая (18.07.2003)/19</t>
  </si>
  <si>
    <t>Баланев Никита</t>
  </si>
  <si>
    <t xml:space="preserve">Чугуевка/Приморский край </t>
  </si>
  <si>
    <t>79,10</t>
  </si>
  <si>
    <t>Открытая (08.09.2005)/17</t>
  </si>
  <si>
    <t>Тимофеев Кирилл</t>
  </si>
  <si>
    <t>80,90</t>
  </si>
  <si>
    <t>Казанцев Владислав</t>
  </si>
  <si>
    <t>72,00</t>
  </si>
  <si>
    <t>Открытая (26.07.2005)/17</t>
  </si>
  <si>
    <t>Третьяков Алексей</t>
  </si>
  <si>
    <t>40,0</t>
  </si>
  <si>
    <t>66,40</t>
  </si>
  <si>
    <t>Открытая (06.08.1997)/25</t>
  </si>
  <si>
    <t>Першинов Егор</t>
  </si>
  <si>
    <t>27,5</t>
  </si>
  <si>
    <t>17,5</t>
  </si>
  <si>
    <t>Шуляк И.</t>
  </si>
  <si>
    <t>Бурцев А.</t>
  </si>
  <si>
    <t>Всероссийский мастерский турнир «Время Сильных III»
WRPF Пауэрлифтинг без экипировки ДК
Арсеньев/Приморский край, 21-23 апреля 2023 года</t>
  </si>
  <si>
    <t>Всероссийский мастерский турнир «Время Сильных III»
WRPF Пауэрлифтинг без экипировки
Арсеньев/Приморский край, 21-23 апреля 2023 года</t>
  </si>
  <si>
    <t>Всероссийский мастерский турнир «Время Сильных III»
WRPF Пауэрлифтинг классический в бинтах ДК
Арсеньев/Приморский край, 21-23 апреля 2023 года</t>
  </si>
  <si>
    <t>Всероссийский мастерский турнир «Время Сильных III»
WRPF Пауэрлифтинг классический в бинтах
Арсеньев/Приморский край, 21-23 апреля 2023 года</t>
  </si>
  <si>
    <t>Всероссийский мастерский турнир «Время Сильных III»
WRPF Жим лежа без экипировки ДК
Арсеньев/Приморский край, 21-23 апреля 2023 года</t>
  </si>
  <si>
    <t>Всероссийский мастерский турнир «Время Сильных III»
WRPF Жим лежа без экипировки
Арсеньев/Приморский край, 21-23 апреля 2023 года</t>
  </si>
  <si>
    <t>Всероссийский мастерский турнир «Время Сильных III»
WRPF Становая тяга без экипировки ДК
Арсеньев/Приморский край, 21-23 апреля 2023 года</t>
  </si>
  <si>
    <t>Всероссийский мастерский турнир «Время Сильных III»
WRPF Становая тяга без экипировки
Арсеньев/Приморский край, 21-23 апреля 2023 года</t>
  </si>
  <si>
    <t>Всероссийский мастерский турнир «Время Сильных III»
WEPF Становая тяга в экипировке ДК
Арсеньев/Приморский край, 21-23 апреля 2023 года</t>
  </si>
  <si>
    <t>Весовая категория</t>
  </si>
  <si>
    <t xml:space="preserve">Хакимов Б. </t>
  </si>
  <si>
    <t xml:space="preserve">Крохмалёв Л. </t>
  </si>
  <si>
    <t xml:space="preserve">Метелкин М. </t>
  </si>
  <si>
    <t>Киримов Ш.</t>
  </si>
  <si>
    <t>Швец М.</t>
  </si>
  <si>
    <t>Пичугина Алина</t>
  </si>
  <si>
    <t xml:space="preserve">Шуляк И. </t>
  </si>
  <si>
    <t xml:space="preserve">Бурцев А. </t>
  </si>
  <si>
    <t xml:space="preserve"> Шуляк И. </t>
  </si>
  <si>
    <t xml:space="preserve">Швец М. </t>
  </si>
  <si>
    <t xml:space="preserve">Метёлкин М. </t>
  </si>
  <si>
    <t xml:space="preserve">Турпак А. </t>
  </si>
  <si>
    <t xml:space="preserve">Яковлевка/Приморский край </t>
  </si>
  <si>
    <t>Всероссийский мастерский турнир «Время Сильных III»
WRPF Строгий подъем штанги на бицепс
Арсеньев/Приморский край, 21-23 апреля 2023 года</t>
  </si>
  <si>
    <t>Юниоры 20-23 (04.01.2001)/22</t>
  </si>
  <si>
    <t xml:space="preserve">Котов А. </t>
  </si>
  <si>
    <t xml:space="preserve">Юськив Б. </t>
  </si>
  <si>
    <t>Жим</t>
  </si>
  <si>
    <t xml:space="preserve">
Дата рождения/Возраст</t>
  </si>
  <si>
    <t>Возрастная группа</t>
  </si>
  <si>
    <t>O</t>
  </si>
  <si>
    <t>M1</t>
  </si>
  <si>
    <t>J</t>
  </si>
  <si>
    <t>T2</t>
  </si>
  <si>
    <t>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</si>
</sst>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7"/>
  <sheetViews>
    <sheetView workbookViewId="0">
      <selection activeCell="E16" sqref="E16"/>
    </sheetView>
  </sheetViews>
  <sheetFormatPr baseColWidth="10" defaultColWidth="9.1640625" defaultRowHeight="13"/>
  <cols>
    <col min="1" max="1" width="7.5" style="6" bestFit="1" customWidth="1"/>
    <col min="2" max="2" width="19.1640625" style="6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21" bestFit="1" customWidth="1"/>
    <col min="20" max="20" width="8.5" style="7" bestFit="1" customWidth="1"/>
    <col min="21" max="21" width="18.83203125" style="6" customWidth="1"/>
    <col min="22" max="16384" width="9.1640625" style="3"/>
  </cols>
  <sheetData>
    <row r="1" spans="1:21" s="2" customFormat="1" ht="29" customHeight="1">
      <c r="A1" s="92" t="s">
        <v>287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</row>
    <row r="2" spans="1:21" s="2" customFormat="1" ht="62" customHeight="1" thickBot="1">
      <c r="A2" s="9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s="1" customFormat="1" ht="12.75" customHeight="1">
      <c r="A3" s="100" t="s">
        <v>30</v>
      </c>
      <c r="B3" s="82" t="s">
        <v>0</v>
      </c>
      <c r="C3" s="102" t="s">
        <v>315</v>
      </c>
      <c r="D3" s="102" t="s">
        <v>6</v>
      </c>
      <c r="E3" s="86" t="s">
        <v>316</v>
      </c>
      <c r="F3" s="104" t="s">
        <v>5</v>
      </c>
      <c r="G3" s="104" t="s">
        <v>7</v>
      </c>
      <c r="H3" s="104"/>
      <c r="I3" s="104"/>
      <c r="J3" s="104"/>
      <c r="K3" s="104" t="s">
        <v>8</v>
      </c>
      <c r="L3" s="104"/>
      <c r="M3" s="104"/>
      <c r="N3" s="104"/>
      <c r="O3" s="104" t="s">
        <v>9</v>
      </c>
      <c r="P3" s="104"/>
      <c r="Q3" s="104"/>
      <c r="R3" s="104"/>
      <c r="S3" s="84" t="s">
        <v>1</v>
      </c>
      <c r="T3" s="86" t="s">
        <v>3</v>
      </c>
      <c r="U3" s="88" t="s">
        <v>2</v>
      </c>
    </row>
    <row r="4" spans="1:21" s="1" customFormat="1" ht="21" customHeight="1" thickBot="1">
      <c r="A4" s="101"/>
      <c r="B4" s="83"/>
      <c r="C4" s="103"/>
      <c r="D4" s="103"/>
      <c r="E4" s="87"/>
      <c r="F4" s="10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5"/>
      <c r="T4" s="87"/>
      <c r="U4" s="89"/>
    </row>
    <row r="5" spans="1:21" ht="16">
      <c r="A5" s="90" t="s">
        <v>153</v>
      </c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1">
      <c r="A6" s="24" t="s">
        <v>28</v>
      </c>
      <c r="B6" s="8" t="s">
        <v>172</v>
      </c>
      <c r="C6" s="8" t="s">
        <v>155</v>
      </c>
      <c r="D6" s="8" t="s">
        <v>156</v>
      </c>
      <c r="E6" s="9" t="s">
        <v>317</v>
      </c>
      <c r="F6" s="8" t="s">
        <v>157</v>
      </c>
      <c r="G6" s="23" t="s">
        <v>158</v>
      </c>
      <c r="H6" s="23" t="s">
        <v>159</v>
      </c>
      <c r="I6" s="23" t="s">
        <v>98</v>
      </c>
      <c r="J6" s="24"/>
      <c r="K6" s="23" t="s">
        <v>160</v>
      </c>
      <c r="L6" s="23" t="s">
        <v>75</v>
      </c>
      <c r="M6" s="22" t="s">
        <v>65</v>
      </c>
      <c r="N6" s="24"/>
      <c r="O6" s="23" t="s">
        <v>85</v>
      </c>
      <c r="P6" s="23" t="s">
        <v>86</v>
      </c>
      <c r="Q6" s="23" t="s">
        <v>114</v>
      </c>
      <c r="R6" s="24"/>
      <c r="S6" s="49" t="str">
        <f>"195,0"</f>
        <v>195,0</v>
      </c>
      <c r="T6" s="10" t="str">
        <f>"291,2520"</f>
        <v>291,2520</v>
      </c>
      <c r="U6" s="44" t="s">
        <v>285</v>
      </c>
    </row>
    <row r="8" spans="1:21" ht="16">
      <c r="A8" s="80" t="s">
        <v>69</v>
      </c>
      <c r="B8" s="80"/>
      <c r="C8" s="80"/>
      <c r="D8" s="80"/>
      <c r="E8" s="81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21">
      <c r="A9" s="24" t="s">
        <v>28</v>
      </c>
      <c r="B9" s="8" t="s">
        <v>173</v>
      </c>
      <c r="C9" s="8" t="s">
        <v>162</v>
      </c>
      <c r="D9" s="8" t="s">
        <v>163</v>
      </c>
      <c r="E9" s="9" t="s">
        <v>317</v>
      </c>
      <c r="F9" s="8" t="s">
        <v>119</v>
      </c>
      <c r="G9" s="23" t="s">
        <v>83</v>
      </c>
      <c r="H9" s="23" t="s">
        <v>97</v>
      </c>
      <c r="I9" s="22" t="s">
        <v>90</v>
      </c>
      <c r="J9" s="24"/>
      <c r="K9" s="23" t="s">
        <v>67</v>
      </c>
      <c r="L9" s="22" t="s">
        <v>158</v>
      </c>
      <c r="M9" s="22" t="s">
        <v>85</v>
      </c>
      <c r="N9" s="24"/>
      <c r="O9" s="23" t="s">
        <v>97</v>
      </c>
      <c r="P9" s="22" t="s">
        <v>36</v>
      </c>
      <c r="Q9" s="24"/>
      <c r="R9" s="24"/>
      <c r="S9" s="49" t="str">
        <f>"280,0"</f>
        <v>280,0</v>
      </c>
      <c r="T9" s="10" t="str">
        <f>"317,1000"</f>
        <v>317,1000</v>
      </c>
      <c r="U9" s="44" t="s">
        <v>286</v>
      </c>
    </row>
    <row r="11" spans="1:21" ht="16">
      <c r="A11" s="80" t="s">
        <v>31</v>
      </c>
      <c r="B11" s="80"/>
      <c r="C11" s="80"/>
      <c r="D11" s="80"/>
      <c r="E11" s="81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21">
      <c r="A12" s="24" t="s">
        <v>59</v>
      </c>
      <c r="B12" s="8" t="s">
        <v>174</v>
      </c>
      <c r="C12" s="8" t="s">
        <v>164</v>
      </c>
      <c r="D12" s="8" t="s">
        <v>165</v>
      </c>
      <c r="E12" s="9" t="s">
        <v>317</v>
      </c>
      <c r="F12" s="8" t="s">
        <v>64</v>
      </c>
      <c r="G12" s="23" t="s">
        <v>166</v>
      </c>
      <c r="H12" s="23" t="s">
        <v>108</v>
      </c>
      <c r="I12" s="22" t="s">
        <v>122</v>
      </c>
      <c r="J12" s="24"/>
      <c r="K12" s="22" t="s">
        <v>74</v>
      </c>
      <c r="L12" s="22" t="s">
        <v>74</v>
      </c>
      <c r="M12" s="22" t="s">
        <v>74</v>
      </c>
      <c r="N12" s="24"/>
      <c r="O12" s="24"/>
      <c r="P12" s="24"/>
      <c r="Q12" s="24"/>
      <c r="R12" s="24"/>
      <c r="S12" s="49">
        <v>0</v>
      </c>
      <c r="T12" s="10" t="str">
        <f>"0,0000"</f>
        <v>0,0000</v>
      </c>
      <c r="U12" s="8"/>
    </row>
    <row r="14" spans="1:21" ht="16">
      <c r="A14" s="80" t="s">
        <v>115</v>
      </c>
      <c r="B14" s="80"/>
      <c r="C14" s="80"/>
      <c r="D14" s="80"/>
      <c r="E14" s="81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21">
      <c r="A15" s="24" t="s">
        <v>28</v>
      </c>
      <c r="B15" s="8" t="s">
        <v>175</v>
      </c>
      <c r="C15" s="8" t="s">
        <v>167</v>
      </c>
      <c r="D15" s="8" t="s">
        <v>168</v>
      </c>
      <c r="E15" s="9" t="s">
        <v>317</v>
      </c>
      <c r="F15" s="8" t="s">
        <v>13</v>
      </c>
      <c r="G15" s="23" t="s">
        <v>46</v>
      </c>
      <c r="H15" s="23" t="s">
        <v>93</v>
      </c>
      <c r="I15" s="22" t="s">
        <v>17</v>
      </c>
      <c r="J15" s="24"/>
      <c r="K15" s="23" t="s">
        <v>36</v>
      </c>
      <c r="L15" s="23" t="s">
        <v>38</v>
      </c>
      <c r="M15" s="23" t="s">
        <v>169</v>
      </c>
      <c r="N15" s="24"/>
      <c r="O15" s="23" t="s">
        <v>17</v>
      </c>
      <c r="P15" s="23" t="s">
        <v>170</v>
      </c>
      <c r="Q15" s="23" t="s">
        <v>35</v>
      </c>
      <c r="R15" s="24"/>
      <c r="S15" s="49" t="str">
        <f>"515,0"</f>
        <v>515,0</v>
      </c>
      <c r="T15" s="10" t="str">
        <f>"316,9825"</f>
        <v>316,9825</v>
      </c>
      <c r="U15" s="8"/>
    </row>
    <row r="17" spans="5:7">
      <c r="E17" s="6"/>
      <c r="F17" s="11"/>
      <c r="G17" s="6"/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B3:B4"/>
    <mergeCell ref="S3:S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4"/>
  <sheetViews>
    <sheetView tabSelected="1" workbookViewId="0">
      <selection activeCell="E25" sqref="E25"/>
    </sheetView>
  </sheetViews>
  <sheetFormatPr baseColWidth="10" defaultColWidth="9.1640625" defaultRowHeight="13"/>
  <cols>
    <col min="1" max="1" width="7.5" style="6" bestFit="1" customWidth="1"/>
    <col min="2" max="2" width="19.33203125" style="6" bestFit="1" customWidth="1"/>
    <col min="3" max="3" width="28.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1" width="10.5" style="7" bestFit="1" customWidth="1"/>
    <col min="12" max="12" width="7.5" style="7" bestFit="1" customWidth="1"/>
    <col min="13" max="13" width="17.83203125" style="6" customWidth="1"/>
    <col min="14" max="16384" width="9.1640625" style="3"/>
  </cols>
  <sheetData>
    <row r="1" spans="1:13" s="2" customFormat="1" ht="29" customHeight="1">
      <c r="A1" s="92" t="s">
        <v>310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s="2" customFormat="1" ht="62" customHeight="1" thickBot="1">
      <c r="A2" s="9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1" customFormat="1" ht="12.75" customHeight="1">
      <c r="A3" s="100" t="s">
        <v>30</v>
      </c>
      <c r="B3" s="82" t="s">
        <v>0</v>
      </c>
      <c r="C3" s="102" t="s">
        <v>315</v>
      </c>
      <c r="D3" s="102" t="s">
        <v>6</v>
      </c>
      <c r="E3" s="86" t="s">
        <v>316</v>
      </c>
      <c r="F3" s="104" t="s">
        <v>5</v>
      </c>
      <c r="G3" s="104" t="s">
        <v>314</v>
      </c>
      <c r="H3" s="104"/>
      <c r="I3" s="104"/>
      <c r="J3" s="104"/>
      <c r="K3" s="86" t="s">
        <v>176</v>
      </c>
      <c r="L3" s="86" t="s">
        <v>3</v>
      </c>
      <c r="M3" s="88" t="s">
        <v>2</v>
      </c>
    </row>
    <row r="4" spans="1:13" s="1" customFormat="1" ht="21" customHeight="1" thickBot="1">
      <c r="A4" s="101"/>
      <c r="B4" s="83"/>
      <c r="C4" s="103"/>
      <c r="D4" s="103"/>
      <c r="E4" s="87"/>
      <c r="F4" s="103"/>
      <c r="G4" s="5">
        <v>1</v>
      </c>
      <c r="H4" s="5">
        <v>2</v>
      </c>
      <c r="I4" s="5">
        <v>3</v>
      </c>
      <c r="J4" s="5" t="s">
        <v>4</v>
      </c>
      <c r="K4" s="87"/>
      <c r="L4" s="87"/>
      <c r="M4" s="89"/>
    </row>
    <row r="5" spans="1:13" ht="16">
      <c r="A5" s="90" t="s">
        <v>177</v>
      </c>
      <c r="B5" s="90"/>
      <c r="C5" s="91"/>
      <c r="D5" s="91"/>
      <c r="E5" s="91"/>
      <c r="F5" s="91"/>
      <c r="G5" s="91"/>
      <c r="H5" s="91"/>
      <c r="I5" s="91"/>
      <c r="J5" s="91"/>
    </row>
    <row r="6" spans="1:13">
      <c r="A6" s="24" t="s">
        <v>28</v>
      </c>
      <c r="B6" s="8" t="s">
        <v>190</v>
      </c>
      <c r="C6" s="8" t="s">
        <v>178</v>
      </c>
      <c r="D6" s="8" t="s">
        <v>179</v>
      </c>
      <c r="E6" s="9" t="s">
        <v>317</v>
      </c>
      <c r="F6" s="8" t="s">
        <v>13</v>
      </c>
      <c r="G6" s="23" t="s">
        <v>284</v>
      </c>
      <c r="H6" s="23" t="s">
        <v>68</v>
      </c>
      <c r="I6" s="23" t="s">
        <v>283</v>
      </c>
      <c r="J6" s="24"/>
      <c r="K6" s="10" t="str">
        <f>"27,5"</f>
        <v>27,5</v>
      </c>
      <c r="L6" s="10" t="str">
        <f>"26,4894"</f>
        <v>26,4894</v>
      </c>
      <c r="M6" s="8"/>
    </row>
    <row r="8" spans="1:13" ht="16">
      <c r="A8" s="80" t="s">
        <v>177</v>
      </c>
      <c r="B8" s="80"/>
      <c r="C8" s="80"/>
      <c r="D8" s="80"/>
      <c r="E8" s="81"/>
      <c r="F8" s="80"/>
      <c r="G8" s="80"/>
      <c r="H8" s="80"/>
      <c r="I8" s="80"/>
      <c r="J8" s="80"/>
    </row>
    <row r="9" spans="1:13">
      <c r="A9" s="24" t="s">
        <v>28</v>
      </c>
      <c r="B9" s="8" t="s">
        <v>282</v>
      </c>
      <c r="C9" s="8" t="s">
        <v>281</v>
      </c>
      <c r="D9" s="8" t="s">
        <v>280</v>
      </c>
      <c r="E9" s="9" t="s">
        <v>317</v>
      </c>
      <c r="F9" s="8" t="s">
        <v>13</v>
      </c>
      <c r="G9" s="23" t="s">
        <v>279</v>
      </c>
      <c r="H9" s="23" t="s">
        <v>160</v>
      </c>
      <c r="I9" s="22" t="s">
        <v>76</v>
      </c>
      <c r="J9" s="24"/>
      <c r="K9" s="10" t="str">
        <f>"45,0"</f>
        <v>45,0</v>
      </c>
      <c r="L9" s="10" t="str">
        <f>"34,1550"</f>
        <v>34,1550</v>
      </c>
      <c r="M9" s="8" t="s">
        <v>312</v>
      </c>
    </row>
    <row r="11" spans="1:13" ht="16">
      <c r="A11" s="80" t="s">
        <v>31</v>
      </c>
      <c r="B11" s="80"/>
      <c r="C11" s="80"/>
      <c r="D11" s="80"/>
      <c r="E11" s="81"/>
      <c r="F11" s="80"/>
      <c r="G11" s="80"/>
      <c r="H11" s="80"/>
      <c r="I11" s="80"/>
      <c r="J11" s="80"/>
    </row>
    <row r="12" spans="1:13">
      <c r="A12" s="24" t="s">
        <v>28</v>
      </c>
      <c r="B12" s="8" t="s">
        <v>278</v>
      </c>
      <c r="C12" s="8" t="s">
        <v>277</v>
      </c>
      <c r="D12" s="8" t="s">
        <v>276</v>
      </c>
      <c r="E12" s="9" t="s">
        <v>317</v>
      </c>
      <c r="F12" s="8" t="s">
        <v>270</v>
      </c>
      <c r="G12" s="23" t="s">
        <v>66</v>
      </c>
      <c r="H12" s="23" t="s">
        <v>84</v>
      </c>
      <c r="I12" s="22" t="s">
        <v>85</v>
      </c>
      <c r="J12" s="24"/>
      <c r="K12" s="10" t="str">
        <f>"57,5"</f>
        <v>57,5</v>
      </c>
      <c r="L12" s="10" t="str">
        <f>"40,8365"</f>
        <v>40,8365</v>
      </c>
      <c r="M12" s="44" t="s">
        <v>313</v>
      </c>
    </row>
    <row r="14" spans="1:13" ht="16">
      <c r="A14" s="80" t="s">
        <v>39</v>
      </c>
      <c r="B14" s="80"/>
      <c r="C14" s="80"/>
      <c r="D14" s="80"/>
      <c r="E14" s="81"/>
      <c r="F14" s="80"/>
      <c r="G14" s="80"/>
      <c r="H14" s="80"/>
      <c r="I14" s="80"/>
      <c r="J14" s="80"/>
    </row>
    <row r="15" spans="1:13">
      <c r="A15" s="36" t="s">
        <v>28</v>
      </c>
      <c r="B15" s="26" t="s">
        <v>275</v>
      </c>
      <c r="C15" s="26" t="s">
        <v>311</v>
      </c>
      <c r="D15" s="26" t="s">
        <v>274</v>
      </c>
      <c r="E15" s="27" t="s">
        <v>319</v>
      </c>
      <c r="F15" s="26" t="s">
        <v>13</v>
      </c>
      <c r="G15" s="35" t="s">
        <v>66</v>
      </c>
      <c r="H15" s="35" t="s">
        <v>67</v>
      </c>
      <c r="I15" s="35" t="s">
        <v>158</v>
      </c>
      <c r="J15" s="36"/>
      <c r="K15" s="28" t="str">
        <f>"62,5"</f>
        <v>62,5</v>
      </c>
      <c r="L15" s="28" t="str">
        <f>"40,8062"</f>
        <v>40,8062</v>
      </c>
      <c r="M15" s="26"/>
    </row>
    <row r="16" spans="1:13">
      <c r="A16" s="41" t="s">
        <v>28</v>
      </c>
      <c r="B16" s="32" t="s">
        <v>273</v>
      </c>
      <c r="C16" s="32" t="s">
        <v>272</v>
      </c>
      <c r="D16" s="32" t="s">
        <v>271</v>
      </c>
      <c r="E16" s="33" t="s">
        <v>317</v>
      </c>
      <c r="F16" s="32" t="s">
        <v>270</v>
      </c>
      <c r="G16" s="40" t="s">
        <v>84</v>
      </c>
      <c r="H16" s="40" t="s">
        <v>67</v>
      </c>
      <c r="I16" s="40" t="s">
        <v>158</v>
      </c>
      <c r="J16" s="41"/>
      <c r="K16" s="34" t="str">
        <f>"62,5"</f>
        <v>62,5</v>
      </c>
      <c r="L16" s="34" t="str">
        <f>"41,4312"</f>
        <v>41,4312</v>
      </c>
      <c r="M16" s="47" t="s">
        <v>313</v>
      </c>
    </row>
    <row r="18" spans="1:13" ht="16">
      <c r="A18" s="80" t="s">
        <v>50</v>
      </c>
      <c r="B18" s="80"/>
      <c r="C18" s="80"/>
      <c r="D18" s="80"/>
      <c r="E18" s="81"/>
      <c r="F18" s="80"/>
      <c r="G18" s="80"/>
      <c r="H18" s="80"/>
      <c r="I18" s="80"/>
      <c r="J18" s="80"/>
    </row>
    <row r="19" spans="1:13">
      <c r="A19" s="36" t="s">
        <v>28</v>
      </c>
      <c r="B19" s="26" t="s">
        <v>225</v>
      </c>
      <c r="C19" s="26" t="s">
        <v>207</v>
      </c>
      <c r="D19" s="26" t="s">
        <v>208</v>
      </c>
      <c r="E19" s="27" t="s">
        <v>317</v>
      </c>
      <c r="F19" s="26" t="s">
        <v>119</v>
      </c>
      <c r="G19" s="35" t="s">
        <v>67</v>
      </c>
      <c r="H19" s="35" t="s">
        <v>86</v>
      </c>
      <c r="I19" s="35" t="s">
        <v>114</v>
      </c>
      <c r="J19" s="36"/>
      <c r="K19" s="28" t="str">
        <f>"75,0"</f>
        <v>75,0</v>
      </c>
      <c r="L19" s="28" t="str">
        <f>"45,8888"</f>
        <v>45,8888</v>
      </c>
      <c r="M19" s="45" t="s">
        <v>304</v>
      </c>
    </row>
    <row r="20" spans="1:13">
      <c r="A20" s="39" t="s">
        <v>141</v>
      </c>
      <c r="B20" s="29" t="s">
        <v>269</v>
      </c>
      <c r="C20" s="29" t="s">
        <v>268</v>
      </c>
      <c r="D20" s="29" t="s">
        <v>237</v>
      </c>
      <c r="E20" s="30" t="s">
        <v>317</v>
      </c>
      <c r="F20" s="29" t="s">
        <v>13</v>
      </c>
      <c r="G20" s="38" t="s">
        <v>75</v>
      </c>
      <c r="H20" s="38" t="s">
        <v>66</v>
      </c>
      <c r="I20" s="38" t="s">
        <v>84</v>
      </c>
      <c r="J20" s="39"/>
      <c r="K20" s="31" t="str">
        <f>"57,5"</f>
        <v>57,5</v>
      </c>
      <c r="L20" s="31" t="str">
        <f>"36,6706"</f>
        <v>36,6706</v>
      </c>
      <c r="M20" s="29"/>
    </row>
    <row r="21" spans="1:13">
      <c r="A21" s="41" t="s">
        <v>143</v>
      </c>
      <c r="B21" s="32" t="s">
        <v>191</v>
      </c>
      <c r="C21" s="32" t="s">
        <v>182</v>
      </c>
      <c r="D21" s="32" t="s">
        <v>183</v>
      </c>
      <c r="E21" s="33" t="s">
        <v>317</v>
      </c>
      <c r="F21" s="32" t="s">
        <v>13</v>
      </c>
      <c r="G21" s="40" t="s">
        <v>75</v>
      </c>
      <c r="H21" s="40" t="s">
        <v>76</v>
      </c>
      <c r="I21" s="43" t="s">
        <v>84</v>
      </c>
      <c r="J21" s="41"/>
      <c r="K21" s="34" t="str">
        <f>"52,5"</f>
        <v>52,5</v>
      </c>
      <c r="L21" s="34" t="str">
        <f>"33,1406"</f>
        <v>33,1406</v>
      </c>
      <c r="M21" s="32"/>
    </row>
    <row r="23" spans="1:13" ht="16">
      <c r="A23" s="80" t="s">
        <v>115</v>
      </c>
      <c r="B23" s="80"/>
      <c r="C23" s="80"/>
      <c r="D23" s="80"/>
      <c r="E23" s="81"/>
      <c r="F23" s="80"/>
      <c r="G23" s="80"/>
      <c r="H23" s="80"/>
      <c r="I23" s="80"/>
      <c r="J23" s="80"/>
    </row>
    <row r="24" spans="1:13">
      <c r="A24" s="24" t="s">
        <v>28</v>
      </c>
      <c r="B24" s="8" t="s">
        <v>267</v>
      </c>
      <c r="C24" s="8" t="s">
        <v>266</v>
      </c>
      <c r="D24" s="8" t="s">
        <v>265</v>
      </c>
      <c r="E24" s="9" t="s">
        <v>317</v>
      </c>
      <c r="F24" s="8" t="s">
        <v>13</v>
      </c>
      <c r="G24" s="23" t="s">
        <v>75</v>
      </c>
      <c r="H24" s="23" t="s">
        <v>76</v>
      </c>
      <c r="I24" s="23" t="s">
        <v>66</v>
      </c>
      <c r="J24" s="24"/>
      <c r="K24" s="10" t="str">
        <f>"55,0"</f>
        <v>55,0</v>
      </c>
      <c r="L24" s="10" t="str">
        <f>"33,1457"</f>
        <v>33,1457</v>
      </c>
      <c r="M24" s="8"/>
    </row>
    <row r="26" spans="1:13">
      <c r="G26" s="6"/>
      <c r="K26" s="20"/>
      <c r="M26" s="7"/>
    </row>
    <row r="27" spans="1:13">
      <c r="K27" s="20"/>
      <c r="M27" s="7"/>
    </row>
    <row r="28" spans="1:13" ht="18">
      <c r="B28" s="13" t="s">
        <v>21</v>
      </c>
      <c r="C28" s="13"/>
      <c r="K28" s="20"/>
      <c r="M28" s="7"/>
    </row>
    <row r="29" spans="1:13" ht="16">
      <c r="B29" s="25" t="s">
        <v>22</v>
      </c>
      <c r="C29" s="25"/>
      <c r="K29" s="20"/>
      <c r="M29" s="7"/>
    </row>
    <row r="30" spans="1:13" ht="14">
      <c r="B30" s="15"/>
      <c r="C30" s="16" t="s">
        <v>23</v>
      </c>
      <c r="K30" s="20"/>
      <c r="M30" s="7"/>
    </row>
    <row r="31" spans="1:13" ht="14">
      <c r="B31" s="17" t="s">
        <v>24</v>
      </c>
      <c r="C31" s="17" t="s">
        <v>25</v>
      </c>
      <c r="D31" s="17" t="s">
        <v>296</v>
      </c>
      <c r="E31" s="18" t="s">
        <v>189</v>
      </c>
      <c r="F31" s="17" t="s">
        <v>264</v>
      </c>
      <c r="K31" s="20"/>
      <c r="M31" s="7"/>
    </row>
    <row r="32" spans="1:13">
      <c r="B32" s="6" t="s">
        <v>263</v>
      </c>
      <c r="C32" s="6" t="s">
        <v>23</v>
      </c>
      <c r="D32" s="20" t="s">
        <v>219</v>
      </c>
      <c r="E32" s="21">
        <v>75</v>
      </c>
      <c r="F32" s="19">
        <v>45.888751745223999</v>
      </c>
      <c r="K32" s="20"/>
      <c r="M32" s="7"/>
    </row>
    <row r="33" spans="2:13" s="3" customFormat="1">
      <c r="B33" s="6" t="s">
        <v>262</v>
      </c>
      <c r="C33" s="6" t="s">
        <v>23</v>
      </c>
      <c r="D33" s="20" t="s">
        <v>56</v>
      </c>
      <c r="E33" s="21">
        <v>62.5</v>
      </c>
      <c r="F33" s="19">
        <v>41.431248188018799</v>
      </c>
      <c r="H33" s="20"/>
      <c r="I33" s="20"/>
      <c r="J33" s="20"/>
      <c r="K33" s="20"/>
      <c r="L33" s="7"/>
      <c r="M33" s="7"/>
    </row>
    <row r="34" spans="2:13" s="3" customFormat="1">
      <c r="B34" s="6" t="s">
        <v>261</v>
      </c>
      <c r="C34" s="6" t="s">
        <v>23</v>
      </c>
      <c r="D34" s="20" t="s">
        <v>260</v>
      </c>
      <c r="E34" s="21">
        <v>57.5</v>
      </c>
      <c r="F34" s="19">
        <v>40.836500674486203</v>
      </c>
      <c r="G34" s="6"/>
      <c r="H34" s="20"/>
      <c r="I34" s="20"/>
      <c r="J34" s="20"/>
      <c r="K34" s="20"/>
      <c r="L34" s="7"/>
      <c r="M34" s="7"/>
    </row>
  </sheetData>
  <mergeCells count="17">
    <mergeCell ref="A23:J23"/>
    <mergeCell ref="B3:B4"/>
    <mergeCell ref="A5:J5"/>
    <mergeCell ref="A8:J8"/>
    <mergeCell ref="A11:J11"/>
    <mergeCell ref="A14:J14"/>
    <mergeCell ref="A18:J18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4"/>
  <sheetViews>
    <sheetView workbookViewId="0">
      <selection activeCell="E34" sqref="E34"/>
    </sheetView>
  </sheetViews>
  <sheetFormatPr baseColWidth="10" defaultColWidth="9.1640625" defaultRowHeight="13"/>
  <cols>
    <col min="1" max="1" width="7.5" style="6" bestFit="1" customWidth="1"/>
    <col min="2" max="2" width="19" style="6" bestFit="1" customWidth="1"/>
    <col min="3" max="3" width="27.5" style="6" bestFit="1" customWidth="1"/>
    <col min="4" max="4" width="21.5" style="6" bestFit="1" customWidth="1"/>
    <col min="5" max="5" width="10.5" style="11" bestFit="1" customWidth="1"/>
    <col min="6" max="6" width="26.5" style="6" bestFit="1" customWidth="1"/>
    <col min="7" max="7" width="5.6640625" style="20" bestFit="1" customWidth="1"/>
    <col min="8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7" bestFit="1" customWidth="1"/>
    <col min="20" max="20" width="8.5" style="7" bestFit="1" customWidth="1"/>
    <col min="21" max="21" width="20" style="6" customWidth="1"/>
    <col min="22" max="16384" width="9.1640625" style="3"/>
  </cols>
  <sheetData>
    <row r="1" spans="1:21" s="2" customFormat="1" ht="29" customHeight="1">
      <c r="A1" s="92" t="s">
        <v>288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</row>
    <row r="2" spans="1:21" s="2" customFormat="1" ht="62" customHeight="1" thickBot="1">
      <c r="A2" s="9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s="1" customFormat="1" ht="12.75" customHeight="1">
      <c r="A3" s="100" t="s">
        <v>30</v>
      </c>
      <c r="B3" s="82" t="s">
        <v>0</v>
      </c>
      <c r="C3" s="102" t="s">
        <v>315</v>
      </c>
      <c r="D3" s="102" t="s">
        <v>6</v>
      </c>
      <c r="E3" s="86" t="s">
        <v>316</v>
      </c>
      <c r="F3" s="104" t="s">
        <v>5</v>
      </c>
      <c r="G3" s="104" t="s">
        <v>7</v>
      </c>
      <c r="H3" s="104"/>
      <c r="I3" s="104"/>
      <c r="J3" s="104"/>
      <c r="K3" s="104" t="s">
        <v>8</v>
      </c>
      <c r="L3" s="104"/>
      <c r="M3" s="104"/>
      <c r="N3" s="104"/>
      <c r="O3" s="104" t="s">
        <v>9</v>
      </c>
      <c r="P3" s="104"/>
      <c r="Q3" s="104"/>
      <c r="R3" s="104"/>
      <c r="S3" s="86" t="s">
        <v>1</v>
      </c>
      <c r="T3" s="86" t="s">
        <v>3</v>
      </c>
      <c r="U3" s="88" t="s">
        <v>2</v>
      </c>
    </row>
    <row r="4" spans="1:21" s="1" customFormat="1" ht="21" customHeight="1" thickBot="1">
      <c r="A4" s="101"/>
      <c r="B4" s="83"/>
      <c r="C4" s="103"/>
      <c r="D4" s="103"/>
      <c r="E4" s="87"/>
      <c r="F4" s="10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7"/>
      <c r="T4" s="87"/>
      <c r="U4" s="89"/>
    </row>
    <row r="5" spans="1:21" ht="16">
      <c r="A5" s="90" t="s">
        <v>61</v>
      </c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1">
      <c r="A6" s="24" t="s">
        <v>28</v>
      </c>
      <c r="B6" s="8" t="s">
        <v>137</v>
      </c>
      <c r="C6" s="8" t="s">
        <v>62</v>
      </c>
      <c r="D6" s="8" t="s">
        <v>63</v>
      </c>
      <c r="E6" s="9" t="s">
        <v>317</v>
      </c>
      <c r="F6" s="8" t="s">
        <v>64</v>
      </c>
      <c r="G6" s="23" t="s">
        <v>65</v>
      </c>
      <c r="H6" s="23" t="s">
        <v>66</v>
      </c>
      <c r="I6" s="22" t="s">
        <v>67</v>
      </c>
      <c r="J6" s="24"/>
      <c r="K6" s="23" t="s">
        <v>68</v>
      </c>
      <c r="L6" s="24"/>
      <c r="M6" s="24"/>
      <c r="N6" s="24"/>
      <c r="O6" s="23" t="s">
        <v>65</v>
      </c>
      <c r="P6" s="23" t="s">
        <v>66</v>
      </c>
      <c r="Q6" s="24"/>
      <c r="R6" s="24"/>
      <c r="S6" s="10" t="str">
        <f>"135,0"</f>
        <v>135,0</v>
      </c>
      <c r="T6" s="10" t="str">
        <f>"171,8550"</f>
        <v>171,8550</v>
      </c>
      <c r="U6" s="8" t="s">
        <v>298</v>
      </c>
    </row>
    <row r="8" spans="1:21" ht="16">
      <c r="A8" s="80" t="s">
        <v>69</v>
      </c>
      <c r="B8" s="80"/>
      <c r="C8" s="80"/>
      <c r="D8" s="80"/>
      <c r="E8" s="81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21">
      <c r="A9" s="24" t="s">
        <v>28</v>
      </c>
      <c r="B9" s="8" t="s">
        <v>138</v>
      </c>
      <c r="C9" s="8" t="s">
        <v>70</v>
      </c>
      <c r="D9" s="8" t="s">
        <v>71</v>
      </c>
      <c r="E9" s="9" t="s">
        <v>317</v>
      </c>
      <c r="F9" s="8" t="s">
        <v>64</v>
      </c>
      <c r="G9" s="23" t="s">
        <v>72</v>
      </c>
      <c r="H9" s="23" t="s">
        <v>73</v>
      </c>
      <c r="I9" s="23" t="s">
        <v>74</v>
      </c>
      <c r="J9" s="24"/>
      <c r="K9" s="23" t="s">
        <v>75</v>
      </c>
      <c r="L9" s="23" t="s">
        <v>65</v>
      </c>
      <c r="M9" s="23" t="s">
        <v>76</v>
      </c>
      <c r="N9" s="24"/>
      <c r="O9" s="23" t="s">
        <v>77</v>
      </c>
      <c r="P9" s="23" t="s">
        <v>78</v>
      </c>
      <c r="Q9" s="23" t="s">
        <v>79</v>
      </c>
      <c r="R9" s="24"/>
      <c r="S9" s="10" t="str">
        <f>"240,0"</f>
        <v>240,0</v>
      </c>
      <c r="T9" s="10" t="str">
        <f>"274,7280"</f>
        <v>274,7280</v>
      </c>
      <c r="U9" s="8" t="s">
        <v>297</v>
      </c>
    </row>
    <row r="11" spans="1:21" ht="16">
      <c r="A11" s="80" t="s">
        <v>80</v>
      </c>
      <c r="B11" s="80"/>
      <c r="C11" s="80"/>
      <c r="D11" s="80"/>
      <c r="E11" s="81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21">
      <c r="A12" s="24" t="s">
        <v>28</v>
      </c>
      <c r="B12" s="8" t="s">
        <v>139</v>
      </c>
      <c r="C12" s="8" t="s">
        <v>81</v>
      </c>
      <c r="D12" s="8" t="s">
        <v>82</v>
      </c>
      <c r="E12" s="9" t="s">
        <v>317</v>
      </c>
      <c r="F12" s="8" t="s">
        <v>64</v>
      </c>
      <c r="G12" s="23" t="s">
        <v>72</v>
      </c>
      <c r="H12" s="23" t="s">
        <v>74</v>
      </c>
      <c r="I12" s="22" t="s">
        <v>83</v>
      </c>
      <c r="J12" s="24"/>
      <c r="K12" s="23" t="s">
        <v>84</v>
      </c>
      <c r="L12" s="23" t="s">
        <v>85</v>
      </c>
      <c r="M12" s="22" t="s">
        <v>86</v>
      </c>
      <c r="N12" s="24"/>
      <c r="O12" s="23" t="s">
        <v>79</v>
      </c>
      <c r="P12" s="22" t="s">
        <v>74</v>
      </c>
      <c r="Q12" s="23" t="s">
        <v>74</v>
      </c>
      <c r="R12" s="24"/>
      <c r="S12" s="10" t="str">
        <f>"265,0"</f>
        <v>265,0</v>
      </c>
      <c r="T12" s="10" t="str">
        <f>"245,5755"</f>
        <v>245,5755</v>
      </c>
      <c r="U12" s="8" t="s">
        <v>297</v>
      </c>
    </row>
    <row r="14" spans="1:21" ht="16">
      <c r="A14" s="80" t="s">
        <v>69</v>
      </c>
      <c r="B14" s="80"/>
      <c r="C14" s="80"/>
      <c r="D14" s="80"/>
      <c r="E14" s="81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21">
      <c r="A15" s="36" t="s">
        <v>28</v>
      </c>
      <c r="B15" s="26" t="s">
        <v>140</v>
      </c>
      <c r="C15" s="26" t="s">
        <v>88</v>
      </c>
      <c r="D15" s="26" t="s">
        <v>89</v>
      </c>
      <c r="E15" s="27" t="s">
        <v>317</v>
      </c>
      <c r="F15" s="26" t="s">
        <v>64</v>
      </c>
      <c r="G15" s="35" t="s">
        <v>90</v>
      </c>
      <c r="H15" s="35" t="s">
        <v>91</v>
      </c>
      <c r="I15" s="35" t="s">
        <v>92</v>
      </c>
      <c r="J15" s="36"/>
      <c r="K15" s="35" t="s">
        <v>86</v>
      </c>
      <c r="L15" s="37" t="s">
        <v>77</v>
      </c>
      <c r="M15" s="37" t="s">
        <v>77</v>
      </c>
      <c r="N15" s="36"/>
      <c r="O15" s="35" t="s">
        <v>46</v>
      </c>
      <c r="P15" s="35" t="s">
        <v>93</v>
      </c>
      <c r="Q15" s="37" t="s">
        <v>94</v>
      </c>
      <c r="R15" s="36"/>
      <c r="S15" s="28" t="str">
        <f>"367,5"</f>
        <v>367,5</v>
      </c>
      <c r="T15" s="28" t="str">
        <f>"321,3787"</f>
        <v>321,3787</v>
      </c>
      <c r="U15" s="45" t="s">
        <v>297</v>
      </c>
    </row>
    <row r="16" spans="1:21">
      <c r="A16" s="39" t="s">
        <v>141</v>
      </c>
      <c r="B16" s="29" t="s">
        <v>142</v>
      </c>
      <c r="C16" s="29" t="s">
        <v>95</v>
      </c>
      <c r="D16" s="29" t="s">
        <v>96</v>
      </c>
      <c r="E16" s="30" t="s">
        <v>317</v>
      </c>
      <c r="F16" s="29" t="s">
        <v>64</v>
      </c>
      <c r="G16" s="38" t="s">
        <v>97</v>
      </c>
      <c r="H16" s="38" t="s">
        <v>36</v>
      </c>
      <c r="I16" s="38" t="s">
        <v>91</v>
      </c>
      <c r="J16" s="39"/>
      <c r="K16" s="38" t="s">
        <v>85</v>
      </c>
      <c r="L16" s="38" t="s">
        <v>86</v>
      </c>
      <c r="M16" s="38" t="s">
        <v>98</v>
      </c>
      <c r="N16" s="39"/>
      <c r="O16" s="38" t="s">
        <v>74</v>
      </c>
      <c r="P16" s="38" t="s">
        <v>97</v>
      </c>
      <c r="Q16" s="38" t="s">
        <v>36</v>
      </c>
      <c r="R16" s="39"/>
      <c r="S16" s="31" t="str">
        <f>"315,0"</f>
        <v>315,0</v>
      </c>
      <c r="T16" s="31" t="str">
        <f>"281,8935"</f>
        <v>281,8935</v>
      </c>
      <c r="U16" s="29"/>
    </row>
    <row r="17" spans="1:21">
      <c r="A17" s="41" t="s">
        <v>143</v>
      </c>
      <c r="B17" s="32" t="s">
        <v>144</v>
      </c>
      <c r="C17" s="32" t="s">
        <v>99</v>
      </c>
      <c r="D17" s="32" t="s">
        <v>100</v>
      </c>
      <c r="E17" s="33" t="s">
        <v>317</v>
      </c>
      <c r="F17" s="32" t="s">
        <v>64</v>
      </c>
      <c r="G17" s="40" t="s">
        <v>86</v>
      </c>
      <c r="H17" s="40" t="s">
        <v>77</v>
      </c>
      <c r="I17" s="40" t="s">
        <v>78</v>
      </c>
      <c r="J17" s="41"/>
      <c r="K17" s="40" t="s">
        <v>75</v>
      </c>
      <c r="L17" s="40" t="s">
        <v>65</v>
      </c>
      <c r="M17" s="40" t="s">
        <v>76</v>
      </c>
      <c r="N17" s="41"/>
      <c r="O17" s="40" t="s">
        <v>78</v>
      </c>
      <c r="P17" s="40" t="s">
        <v>79</v>
      </c>
      <c r="Q17" s="40" t="s">
        <v>72</v>
      </c>
      <c r="R17" s="41"/>
      <c r="S17" s="34" t="str">
        <f>"227,5"</f>
        <v>227,5</v>
      </c>
      <c r="T17" s="34" t="str">
        <f>"194,6262"</f>
        <v>194,6262</v>
      </c>
      <c r="U17" s="47" t="s">
        <v>297</v>
      </c>
    </row>
    <row r="19" spans="1:21" ht="16">
      <c r="A19" s="80" t="s">
        <v>39</v>
      </c>
      <c r="B19" s="80"/>
      <c r="C19" s="80"/>
      <c r="D19" s="80"/>
      <c r="E19" s="81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</row>
    <row r="20" spans="1:21">
      <c r="A20" s="24" t="s">
        <v>28</v>
      </c>
      <c r="B20" s="8" t="s">
        <v>145</v>
      </c>
      <c r="C20" s="8" t="s">
        <v>102</v>
      </c>
      <c r="D20" s="8" t="s">
        <v>103</v>
      </c>
      <c r="E20" s="9" t="s">
        <v>317</v>
      </c>
      <c r="F20" s="8" t="s">
        <v>64</v>
      </c>
      <c r="G20" s="23" t="s">
        <v>45</v>
      </c>
      <c r="H20" s="23" t="s">
        <v>46</v>
      </c>
      <c r="I20" s="23" t="s">
        <v>93</v>
      </c>
      <c r="J20" s="24"/>
      <c r="K20" s="23" t="s">
        <v>83</v>
      </c>
      <c r="L20" s="23" t="s">
        <v>104</v>
      </c>
      <c r="M20" s="23" t="s">
        <v>105</v>
      </c>
      <c r="N20" s="24"/>
      <c r="O20" s="23" t="s">
        <v>45</v>
      </c>
      <c r="P20" s="23" t="s">
        <v>46</v>
      </c>
      <c r="Q20" s="23" t="s">
        <v>93</v>
      </c>
      <c r="R20" s="24"/>
      <c r="S20" s="10" t="str">
        <f>"452,5"</f>
        <v>452,5</v>
      </c>
      <c r="T20" s="10" t="str">
        <f>"320,0985"</f>
        <v>320,0985</v>
      </c>
      <c r="U20" s="8" t="s">
        <v>297</v>
      </c>
    </row>
    <row r="22" spans="1:21" ht="16">
      <c r="A22" s="80" t="s">
        <v>50</v>
      </c>
      <c r="B22" s="80"/>
      <c r="C22" s="80"/>
      <c r="D22" s="80"/>
      <c r="E22" s="81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21">
      <c r="A23" s="36" t="s">
        <v>28</v>
      </c>
      <c r="B23" s="26" t="s">
        <v>146</v>
      </c>
      <c r="C23" s="26" t="s">
        <v>106</v>
      </c>
      <c r="D23" s="26" t="s">
        <v>107</v>
      </c>
      <c r="E23" s="27" t="s">
        <v>317</v>
      </c>
      <c r="F23" s="26" t="s">
        <v>64</v>
      </c>
      <c r="G23" s="35" t="s">
        <v>45</v>
      </c>
      <c r="H23" s="37" t="s">
        <v>46</v>
      </c>
      <c r="I23" s="35" t="s">
        <v>108</v>
      </c>
      <c r="J23" s="36"/>
      <c r="K23" s="35" t="s">
        <v>72</v>
      </c>
      <c r="L23" s="35" t="s">
        <v>73</v>
      </c>
      <c r="M23" s="37" t="s">
        <v>74</v>
      </c>
      <c r="N23" s="36"/>
      <c r="O23" s="35" t="s">
        <v>17</v>
      </c>
      <c r="P23" s="35" t="s">
        <v>18</v>
      </c>
      <c r="Q23" s="37" t="s">
        <v>34</v>
      </c>
      <c r="R23" s="36"/>
      <c r="S23" s="28" t="str">
        <f>"450,0"</f>
        <v>450,0</v>
      </c>
      <c r="T23" s="28" t="str">
        <f>"297,6750"</f>
        <v>297,6750</v>
      </c>
      <c r="U23" s="45" t="s">
        <v>297</v>
      </c>
    </row>
    <row r="24" spans="1:21">
      <c r="A24" s="39" t="s">
        <v>141</v>
      </c>
      <c r="B24" s="29" t="s">
        <v>147</v>
      </c>
      <c r="C24" s="29" t="s">
        <v>109</v>
      </c>
      <c r="D24" s="29" t="s">
        <v>110</v>
      </c>
      <c r="E24" s="30" t="s">
        <v>317</v>
      </c>
      <c r="F24" s="29" t="s">
        <v>64</v>
      </c>
      <c r="G24" s="38" t="s">
        <v>38</v>
      </c>
      <c r="H24" s="38" t="s">
        <v>44</v>
      </c>
      <c r="I24" s="38" t="s">
        <v>53</v>
      </c>
      <c r="J24" s="39"/>
      <c r="K24" s="38" t="s">
        <v>111</v>
      </c>
      <c r="L24" s="38" t="s">
        <v>74</v>
      </c>
      <c r="M24" s="42" t="s">
        <v>112</v>
      </c>
      <c r="N24" s="39"/>
      <c r="O24" s="38" t="s">
        <v>45</v>
      </c>
      <c r="P24" s="38" t="s">
        <v>54</v>
      </c>
      <c r="Q24" s="42" t="s">
        <v>46</v>
      </c>
      <c r="R24" s="39"/>
      <c r="S24" s="31" t="str">
        <f>"400,0"</f>
        <v>400,0</v>
      </c>
      <c r="T24" s="31" t="str">
        <f>"256,9600"</f>
        <v>256,9600</v>
      </c>
      <c r="U24" s="46" t="s">
        <v>297</v>
      </c>
    </row>
    <row r="25" spans="1:21">
      <c r="A25" s="41" t="s">
        <v>143</v>
      </c>
      <c r="B25" s="32" t="s">
        <v>148</v>
      </c>
      <c r="C25" s="32" t="s">
        <v>113</v>
      </c>
      <c r="D25" s="32" t="s">
        <v>52</v>
      </c>
      <c r="E25" s="33" t="s">
        <v>317</v>
      </c>
      <c r="F25" s="32" t="s">
        <v>64</v>
      </c>
      <c r="G25" s="40" t="s">
        <v>83</v>
      </c>
      <c r="H25" s="40" t="s">
        <v>97</v>
      </c>
      <c r="I25" s="40" t="s">
        <v>90</v>
      </c>
      <c r="J25" s="41"/>
      <c r="K25" s="40" t="s">
        <v>86</v>
      </c>
      <c r="L25" s="40" t="s">
        <v>98</v>
      </c>
      <c r="M25" s="40" t="s">
        <v>114</v>
      </c>
      <c r="N25" s="41"/>
      <c r="O25" s="40" t="s">
        <v>36</v>
      </c>
      <c r="P25" s="43" t="s">
        <v>37</v>
      </c>
      <c r="Q25" s="43" t="s">
        <v>37</v>
      </c>
      <c r="R25" s="41"/>
      <c r="S25" s="34" t="str">
        <f>"310,0"</f>
        <v>310,0</v>
      </c>
      <c r="T25" s="34" t="str">
        <f>"203,9490"</f>
        <v>203,9490</v>
      </c>
      <c r="U25" s="47" t="s">
        <v>297</v>
      </c>
    </row>
    <row r="27" spans="1:21" ht="16">
      <c r="A27" s="80" t="s">
        <v>115</v>
      </c>
      <c r="B27" s="80"/>
      <c r="C27" s="80"/>
      <c r="D27" s="80"/>
      <c r="E27" s="81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  <row r="28" spans="1:21">
      <c r="A28" s="36" t="s">
        <v>28</v>
      </c>
      <c r="B28" s="26" t="s">
        <v>149</v>
      </c>
      <c r="C28" s="26" t="s">
        <v>117</v>
      </c>
      <c r="D28" s="26" t="s">
        <v>118</v>
      </c>
      <c r="E28" s="27" t="s">
        <v>317</v>
      </c>
      <c r="F28" s="26" t="s">
        <v>119</v>
      </c>
      <c r="G28" s="35" t="s">
        <v>49</v>
      </c>
      <c r="H28" s="35" t="s">
        <v>120</v>
      </c>
      <c r="I28" s="35" t="s">
        <v>121</v>
      </c>
      <c r="J28" s="36"/>
      <c r="K28" s="35" t="s">
        <v>46</v>
      </c>
      <c r="L28" s="35" t="s">
        <v>122</v>
      </c>
      <c r="M28" s="35" t="s">
        <v>93</v>
      </c>
      <c r="N28" s="36"/>
      <c r="O28" s="35" t="s">
        <v>120</v>
      </c>
      <c r="P28" s="35" t="s">
        <v>123</v>
      </c>
      <c r="Q28" s="35" t="s">
        <v>15</v>
      </c>
      <c r="R28" s="36"/>
      <c r="S28" s="28" t="str">
        <f>"705,0"</f>
        <v>705,0</v>
      </c>
      <c r="T28" s="28" t="str">
        <f>"429,4155"</f>
        <v>429,4155</v>
      </c>
      <c r="U28" s="26"/>
    </row>
    <row r="29" spans="1:21">
      <c r="A29" s="41" t="s">
        <v>28</v>
      </c>
      <c r="B29" s="32" t="s">
        <v>150</v>
      </c>
      <c r="C29" s="32" t="s">
        <v>124</v>
      </c>
      <c r="D29" s="32" t="s">
        <v>125</v>
      </c>
      <c r="E29" s="33" t="s">
        <v>318</v>
      </c>
      <c r="F29" s="32" t="s">
        <v>126</v>
      </c>
      <c r="G29" s="40" t="s">
        <v>48</v>
      </c>
      <c r="H29" s="40" t="s">
        <v>43</v>
      </c>
      <c r="I29" s="43" t="s">
        <v>49</v>
      </c>
      <c r="J29" s="41"/>
      <c r="K29" s="40" t="s">
        <v>46</v>
      </c>
      <c r="L29" s="41"/>
      <c r="M29" s="41"/>
      <c r="N29" s="41"/>
      <c r="O29" s="40" t="s">
        <v>43</v>
      </c>
      <c r="P29" s="41"/>
      <c r="Q29" s="41"/>
      <c r="R29" s="41"/>
      <c r="S29" s="34" t="str">
        <f>"620,0"</f>
        <v>620,0</v>
      </c>
      <c r="T29" s="34" t="str">
        <f>"405,3914"</f>
        <v>405,3914</v>
      </c>
      <c r="U29" s="32" t="s">
        <v>299</v>
      </c>
    </row>
    <row r="31" spans="1:21" ht="16">
      <c r="A31" s="80" t="s">
        <v>127</v>
      </c>
      <c r="B31" s="80"/>
      <c r="C31" s="80"/>
      <c r="D31" s="80"/>
      <c r="E31" s="81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21">
      <c r="A32" s="36" t="s">
        <v>28</v>
      </c>
      <c r="B32" s="26" t="s">
        <v>151</v>
      </c>
      <c r="C32" s="26" t="s">
        <v>128</v>
      </c>
      <c r="D32" s="26" t="s">
        <v>129</v>
      </c>
      <c r="E32" s="27" t="s">
        <v>317</v>
      </c>
      <c r="F32" s="26" t="s">
        <v>64</v>
      </c>
      <c r="G32" s="35" t="s">
        <v>36</v>
      </c>
      <c r="H32" s="37" t="s">
        <v>38</v>
      </c>
      <c r="I32" s="35" t="s">
        <v>38</v>
      </c>
      <c r="J32" s="36"/>
      <c r="K32" s="35" t="s">
        <v>130</v>
      </c>
      <c r="L32" s="35" t="s">
        <v>131</v>
      </c>
      <c r="M32" s="35" t="s">
        <v>111</v>
      </c>
      <c r="N32" s="36"/>
      <c r="O32" s="35" t="s">
        <v>38</v>
      </c>
      <c r="P32" s="35" t="s">
        <v>53</v>
      </c>
      <c r="Q32" s="37" t="s">
        <v>46</v>
      </c>
      <c r="R32" s="36"/>
      <c r="S32" s="28" t="str">
        <f>"365,0"</f>
        <v>365,0</v>
      </c>
      <c r="T32" s="28" t="str">
        <f>"220,1680"</f>
        <v>220,1680</v>
      </c>
      <c r="U32" s="26" t="s">
        <v>297</v>
      </c>
    </row>
    <row r="33" spans="1:21">
      <c r="A33" s="41" t="s">
        <v>141</v>
      </c>
      <c r="B33" s="32" t="s">
        <v>152</v>
      </c>
      <c r="C33" s="32" t="s">
        <v>132</v>
      </c>
      <c r="D33" s="32" t="s">
        <v>133</v>
      </c>
      <c r="E33" s="33" t="s">
        <v>317</v>
      </c>
      <c r="F33" s="32" t="s">
        <v>64</v>
      </c>
      <c r="G33" s="40" t="s">
        <v>97</v>
      </c>
      <c r="H33" s="40" t="s">
        <v>90</v>
      </c>
      <c r="I33" s="40" t="s">
        <v>38</v>
      </c>
      <c r="J33" s="41"/>
      <c r="K33" s="40" t="s">
        <v>130</v>
      </c>
      <c r="L33" s="40" t="s">
        <v>131</v>
      </c>
      <c r="M33" s="40" t="s">
        <v>72</v>
      </c>
      <c r="N33" s="41"/>
      <c r="O33" s="40" t="s">
        <v>92</v>
      </c>
      <c r="P33" s="40" t="s">
        <v>44</v>
      </c>
      <c r="Q33" s="43" t="s">
        <v>45</v>
      </c>
      <c r="R33" s="41"/>
      <c r="S33" s="34" t="str">
        <f>"362,5"</f>
        <v>362,5</v>
      </c>
      <c r="T33" s="34" t="str">
        <f>"216,1950"</f>
        <v>216,1950</v>
      </c>
      <c r="U33" s="32"/>
    </row>
    <row r="35" spans="1:21" ht="16">
      <c r="F35" s="12"/>
      <c r="G35" s="6"/>
    </row>
    <row r="36" spans="1:21">
      <c r="G36" s="6"/>
    </row>
    <row r="37" spans="1:21" ht="18">
      <c r="B37" s="13" t="s">
        <v>21</v>
      </c>
      <c r="C37" s="13"/>
    </row>
    <row r="38" spans="1:21" ht="16">
      <c r="B38" s="14" t="s">
        <v>22</v>
      </c>
      <c r="C38" s="14"/>
    </row>
    <row r="39" spans="1:21" ht="14">
      <c r="B39" s="15"/>
      <c r="C39" s="16" t="s">
        <v>23</v>
      </c>
    </row>
    <row r="40" spans="1:21" ht="14">
      <c r="B40" s="17" t="s">
        <v>24</v>
      </c>
      <c r="C40" s="17" t="s">
        <v>25</v>
      </c>
      <c r="D40" s="17" t="s">
        <v>296</v>
      </c>
      <c r="E40" s="18" t="s">
        <v>26</v>
      </c>
      <c r="F40" s="17" t="s">
        <v>27</v>
      </c>
    </row>
    <row r="41" spans="1:21">
      <c r="B41" s="6" t="s">
        <v>116</v>
      </c>
      <c r="C41" s="6" t="s">
        <v>23</v>
      </c>
      <c r="D41" s="20" t="s">
        <v>136</v>
      </c>
      <c r="E41" s="21">
        <v>705</v>
      </c>
      <c r="F41" s="19">
        <v>429.41548883914902</v>
      </c>
    </row>
    <row r="42" spans="1:21">
      <c r="B42" s="6" t="s">
        <v>87</v>
      </c>
      <c r="C42" s="6" t="s">
        <v>23</v>
      </c>
      <c r="D42" s="20" t="s">
        <v>135</v>
      </c>
      <c r="E42" s="21">
        <v>367.5</v>
      </c>
      <c r="F42" s="19">
        <v>321.37874141335499</v>
      </c>
    </row>
    <row r="43" spans="1:21">
      <c r="B43" s="6" t="s">
        <v>101</v>
      </c>
      <c r="C43" s="6" t="s">
        <v>23</v>
      </c>
      <c r="D43" s="20" t="s">
        <v>56</v>
      </c>
      <c r="E43" s="21">
        <v>452.5</v>
      </c>
      <c r="F43" s="19">
        <v>320.09851083159401</v>
      </c>
    </row>
    <row r="44" spans="1:21">
      <c r="E44" s="6"/>
      <c r="F44" s="11"/>
      <c r="G44" s="6"/>
    </row>
  </sheetData>
  <mergeCells count="21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1:R31"/>
    <mergeCell ref="B3:B4"/>
    <mergeCell ref="A8:R8"/>
    <mergeCell ref="A11:R11"/>
    <mergeCell ref="A14:R14"/>
    <mergeCell ref="A19:R19"/>
    <mergeCell ref="A22:R22"/>
    <mergeCell ref="A27:R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2"/>
  <sheetViews>
    <sheetView workbookViewId="0">
      <selection activeCell="E13" sqref="E13"/>
    </sheetView>
  </sheetViews>
  <sheetFormatPr baseColWidth="10" defaultColWidth="9.1640625" defaultRowHeight="13"/>
  <cols>
    <col min="1" max="1" width="7.5" style="6" bestFit="1" customWidth="1"/>
    <col min="2" max="2" width="16.1640625" style="6" bestFit="1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21" bestFit="1" customWidth="1"/>
    <col min="20" max="20" width="8.5" style="7" bestFit="1" customWidth="1"/>
    <col min="21" max="21" width="22.5" style="6" customWidth="1"/>
    <col min="22" max="16384" width="9.1640625" style="3"/>
  </cols>
  <sheetData>
    <row r="1" spans="1:21" s="2" customFormat="1" ht="29" customHeight="1">
      <c r="A1" s="92" t="s">
        <v>289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</row>
    <row r="2" spans="1:21" s="2" customFormat="1" ht="62" customHeight="1" thickBot="1">
      <c r="A2" s="9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s="1" customFormat="1" ht="12.75" customHeight="1">
      <c r="A3" s="100" t="s">
        <v>30</v>
      </c>
      <c r="B3" s="82" t="s">
        <v>0</v>
      </c>
      <c r="C3" s="102" t="s">
        <v>315</v>
      </c>
      <c r="D3" s="102" t="s">
        <v>6</v>
      </c>
      <c r="E3" s="86" t="s">
        <v>316</v>
      </c>
      <c r="F3" s="104" t="s">
        <v>5</v>
      </c>
      <c r="G3" s="104" t="s">
        <v>7</v>
      </c>
      <c r="H3" s="104"/>
      <c r="I3" s="104"/>
      <c r="J3" s="104"/>
      <c r="K3" s="104" t="s">
        <v>8</v>
      </c>
      <c r="L3" s="104"/>
      <c r="M3" s="104"/>
      <c r="N3" s="104"/>
      <c r="O3" s="104" t="s">
        <v>9</v>
      </c>
      <c r="P3" s="104"/>
      <c r="Q3" s="104"/>
      <c r="R3" s="104"/>
      <c r="S3" s="84" t="s">
        <v>1</v>
      </c>
      <c r="T3" s="86" t="s">
        <v>3</v>
      </c>
      <c r="U3" s="88" t="s">
        <v>2</v>
      </c>
    </row>
    <row r="4" spans="1:21" s="1" customFormat="1" ht="21" customHeight="1" thickBot="1">
      <c r="A4" s="101"/>
      <c r="B4" s="83"/>
      <c r="C4" s="103"/>
      <c r="D4" s="103"/>
      <c r="E4" s="87"/>
      <c r="F4" s="10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5"/>
      <c r="T4" s="87"/>
      <c r="U4" s="89"/>
    </row>
    <row r="5" spans="1:21" ht="16">
      <c r="A5" s="90" t="s">
        <v>31</v>
      </c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1">
      <c r="A6" s="24" t="s">
        <v>28</v>
      </c>
      <c r="B6" s="8" t="s">
        <v>57</v>
      </c>
      <c r="C6" s="8" t="s">
        <v>32</v>
      </c>
      <c r="D6" s="8" t="s">
        <v>33</v>
      </c>
      <c r="E6" s="9" t="s">
        <v>319</v>
      </c>
      <c r="F6" s="8" t="s">
        <v>13</v>
      </c>
      <c r="G6" s="23" t="s">
        <v>18</v>
      </c>
      <c r="H6" s="23" t="s">
        <v>34</v>
      </c>
      <c r="I6" s="22" t="s">
        <v>35</v>
      </c>
      <c r="J6" s="24"/>
      <c r="K6" s="23" t="s">
        <v>36</v>
      </c>
      <c r="L6" s="23" t="s">
        <v>37</v>
      </c>
      <c r="M6" s="23" t="s">
        <v>38</v>
      </c>
      <c r="N6" s="24"/>
      <c r="O6" s="23" t="s">
        <v>17</v>
      </c>
      <c r="P6" s="23" t="s">
        <v>18</v>
      </c>
      <c r="Q6" s="23" t="s">
        <v>34</v>
      </c>
      <c r="R6" s="24"/>
      <c r="S6" s="49" t="str">
        <f>"530,0"</f>
        <v>530,0</v>
      </c>
      <c r="T6" s="10" t="str">
        <f>"382,7130"</f>
        <v>382,7130</v>
      </c>
      <c r="U6" s="8" t="s">
        <v>300</v>
      </c>
    </row>
    <row r="8" spans="1:21" ht="16">
      <c r="A8" s="80" t="s">
        <v>39</v>
      </c>
      <c r="B8" s="80"/>
      <c r="C8" s="80"/>
      <c r="D8" s="80"/>
      <c r="E8" s="81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21">
      <c r="A9" s="24" t="s">
        <v>28</v>
      </c>
      <c r="B9" s="8" t="s">
        <v>58</v>
      </c>
      <c r="C9" s="8" t="s">
        <v>40</v>
      </c>
      <c r="D9" s="8" t="s">
        <v>41</v>
      </c>
      <c r="E9" s="9" t="s">
        <v>319</v>
      </c>
      <c r="F9" s="8" t="s">
        <v>13</v>
      </c>
      <c r="G9" s="23" t="s">
        <v>35</v>
      </c>
      <c r="H9" s="23" t="s">
        <v>42</v>
      </c>
      <c r="I9" s="23" t="s">
        <v>43</v>
      </c>
      <c r="J9" s="24"/>
      <c r="K9" s="23" t="s">
        <v>44</v>
      </c>
      <c r="L9" s="23" t="s">
        <v>45</v>
      </c>
      <c r="M9" s="22" t="s">
        <v>46</v>
      </c>
      <c r="N9" s="24"/>
      <c r="O9" s="23" t="s">
        <v>47</v>
      </c>
      <c r="P9" s="23" t="s">
        <v>48</v>
      </c>
      <c r="Q9" s="23" t="s">
        <v>49</v>
      </c>
      <c r="R9" s="24"/>
      <c r="S9" s="49" t="str">
        <f>"620,0"</f>
        <v>620,0</v>
      </c>
      <c r="T9" s="10" t="str">
        <f>"417,8180"</f>
        <v>417,8180</v>
      </c>
      <c r="U9" s="8" t="s">
        <v>301</v>
      </c>
    </row>
    <row r="11" spans="1:21" ht="16">
      <c r="A11" s="80" t="s">
        <v>50</v>
      </c>
      <c r="B11" s="80"/>
      <c r="C11" s="80"/>
      <c r="D11" s="80"/>
      <c r="E11" s="81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21">
      <c r="A12" s="24" t="s">
        <v>59</v>
      </c>
      <c r="B12" s="8" t="s">
        <v>60</v>
      </c>
      <c r="C12" s="8" t="s">
        <v>51</v>
      </c>
      <c r="D12" s="8" t="s">
        <v>52</v>
      </c>
      <c r="E12" s="9" t="s">
        <v>319</v>
      </c>
      <c r="F12" s="8" t="s">
        <v>13</v>
      </c>
      <c r="G12" s="23" t="s">
        <v>53</v>
      </c>
      <c r="H12" s="22" t="s">
        <v>54</v>
      </c>
      <c r="I12" s="22" t="s">
        <v>54</v>
      </c>
      <c r="J12" s="24"/>
      <c r="K12" s="22" t="s">
        <v>55</v>
      </c>
      <c r="L12" s="22" t="s">
        <v>55</v>
      </c>
      <c r="M12" s="22" t="s">
        <v>55</v>
      </c>
      <c r="N12" s="24"/>
      <c r="O12" s="24"/>
      <c r="P12" s="24"/>
      <c r="Q12" s="24"/>
      <c r="R12" s="24"/>
      <c r="S12" s="49">
        <v>0</v>
      </c>
      <c r="T12" s="10" t="str">
        <f>"0,0000"</f>
        <v>0,0000</v>
      </c>
      <c r="U12" s="44" t="s">
        <v>301</v>
      </c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B3:B4"/>
    <mergeCell ref="S3:S4"/>
    <mergeCell ref="T3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5">
    <pageSetUpPr fitToPage="1"/>
  </sheetPr>
  <dimension ref="A1:U8"/>
  <sheetViews>
    <sheetView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17.83203125" style="6" bestFit="1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7" bestFit="1" customWidth="1"/>
    <col min="20" max="20" width="8.5" style="7" bestFit="1" customWidth="1"/>
    <col min="21" max="21" width="19.5" style="6" customWidth="1"/>
    <col min="22" max="16384" width="9.1640625" style="3"/>
  </cols>
  <sheetData>
    <row r="1" spans="1:21" s="2" customFormat="1" ht="29" customHeight="1">
      <c r="A1" s="92" t="s">
        <v>290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</row>
    <row r="2" spans="1:21" s="2" customFormat="1" ht="62" customHeight="1" thickBot="1">
      <c r="A2" s="9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s="1" customFormat="1" ht="12.75" customHeight="1">
      <c r="A3" s="100" t="s">
        <v>30</v>
      </c>
      <c r="B3" s="82" t="s">
        <v>0</v>
      </c>
      <c r="C3" s="102" t="s">
        <v>315</v>
      </c>
      <c r="D3" s="102" t="s">
        <v>6</v>
      </c>
      <c r="E3" s="86" t="s">
        <v>316</v>
      </c>
      <c r="F3" s="104" t="s">
        <v>5</v>
      </c>
      <c r="G3" s="104" t="s">
        <v>7</v>
      </c>
      <c r="H3" s="104"/>
      <c r="I3" s="104"/>
      <c r="J3" s="104"/>
      <c r="K3" s="104" t="s">
        <v>8</v>
      </c>
      <c r="L3" s="104"/>
      <c r="M3" s="104"/>
      <c r="N3" s="104"/>
      <c r="O3" s="104" t="s">
        <v>9</v>
      </c>
      <c r="P3" s="104"/>
      <c r="Q3" s="104"/>
      <c r="R3" s="104"/>
      <c r="S3" s="86" t="s">
        <v>1</v>
      </c>
      <c r="T3" s="86" t="s">
        <v>3</v>
      </c>
      <c r="U3" s="88" t="s">
        <v>2</v>
      </c>
    </row>
    <row r="4" spans="1:21" s="1" customFormat="1" ht="21" customHeight="1" thickBot="1">
      <c r="A4" s="101"/>
      <c r="B4" s="83"/>
      <c r="C4" s="103"/>
      <c r="D4" s="103"/>
      <c r="E4" s="87"/>
      <c r="F4" s="10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7"/>
      <c r="T4" s="87"/>
      <c r="U4" s="89"/>
    </row>
    <row r="5" spans="1:21" ht="16">
      <c r="A5" s="90" t="s">
        <v>10</v>
      </c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1">
      <c r="A6" s="24" t="s">
        <v>28</v>
      </c>
      <c r="B6" s="8" t="s">
        <v>29</v>
      </c>
      <c r="C6" s="8" t="s">
        <v>11</v>
      </c>
      <c r="D6" s="8" t="s">
        <v>12</v>
      </c>
      <c r="E6" s="9" t="s">
        <v>317</v>
      </c>
      <c r="F6" s="8" t="s">
        <v>13</v>
      </c>
      <c r="G6" s="22" t="s">
        <v>14</v>
      </c>
      <c r="H6" s="23" t="s">
        <v>15</v>
      </c>
      <c r="I6" s="22" t="s">
        <v>16</v>
      </c>
      <c r="J6" s="24"/>
      <c r="K6" s="22" t="s">
        <v>17</v>
      </c>
      <c r="L6" s="23" t="s">
        <v>17</v>
      </c>
      <c r="M6" s="22" t="s">
        <v>18</v>
      </c>
      <c r="N6" s="24"/>
      <c r="O6" s="23" t="s">
        <v>19</v>
      </c>
      <c r="P6" s="23" t="s">
        <v>16</v>
      </c>
      <c r="Q6" s="23" t="s">
        <v>20</v>
      </c>
      <c r="R6" s="24"/>
      <c r="S6" s="10" t="str">
        <f>"772,5"</f>
        <v>772,5</v>
      </c>
      <c r="T6" s="10" t="str">
        <f>"453,7665"</f>
        <v>453,7665</v>
      </c>
      <c r="U6" s="44" t="s">
        <v>301</v>
      </c>
    </row>
    <row r="8" spans="1:21">
      <c r="E8" s="6"/>
      <c r="F8" s="11"/>
      <c r="G8" s="6"/>
    </row>
  </sheetData>
  <mergeCells count="14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B3:B4"/>
    <mergeCell ref="E3:E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6"/>
  <sheetViews>
    <sheetView workbookViewId="0">
      <selection activeCell="E30" sqref="E30"/>
    </sheetView>
  </sheetViews>
  <sheetFormatPr baseColWidth="10" defaultColWidth="9.1640625" defaultRowHeight="13"/>
  <cols>
    <col min="1" max="1" width="7.5" style="6" bestFit="1" customWidth="1"/>
    <col min="2" max="2" width="20.5" style="6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7" width="5.6640625" style="20" bestFit="1" customWidth="1"/>
    <col min="8" max="9" width="5.5" style="20" customWidth="1"/>
    <col min="10" max="10" width="4.83203125" style="20" customWidth="1"/>
    <col min="11" max="11" width="10.5" style="7" bestFit="1" customWidth="1"/>
    <col min="12" max="12" width="8.5" style="7" bestFit="1" customWidth="1"/>
    <col min="13" max="13" width="19.83203125" style="6" customWidth="1"/>
    <col min="14" max="16384" width="9.1640625" style="3"/>
  </cols>
  <sheetData>
    <row r="1" spans="1:13" s="2" customFormat="1" ht="29" customHeight="1">
      <c r="A1" s="92" t="s">
        <v>291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s="2" customFormat="1" ht="62" customHeight="1" thickBot="1">
      <c r="A2" s="9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1" customFormat="1" ht="12.75" customHeight="1">
      <c r="A3" s="100" t="s">
        <v>30</v>
      </c>
      <c r="B3" s="82" t="s">
        <v>0</v>
      </c>
      <c r="C3" s="102" t="s">
        <v>315</v>
      </c>
      <c r="D3" s="102" t="s">
        <v>6</v>
      </c>
      <c r="E3" s="86" t="s">
        <v>316</v>
      </c>
      <c r="F3" s="104" t="s">
        <v>5</v>
      </c>
      <c r="G3" s="104" t="s">
        <v>8</v>
      </c>
      <c r="H3" s="104"/>
      <c r="I3" s="104"/>
      <c r="J3" s="104"/>
      <c r="K3" s="86" t="s">
        <v>176</v>
      </c>
      <c r="L3" s="86" t="s">
        <v>3</v>
      </c>
      <c r="M3" s="88" t="s">
        <v>2</v>
      </c>
    </row>
    <row r="4" spans="1:13" s="1" customFormat="1" ht="21" customHeight="1" thickBot="1">
      <c r="A4" s="101"/>
      <c r="B4" s="83"/>
      <c r="C4" s="103"/>
      <c r="D4" s="103"/>
      <c r="E4" s="87"/>
      <c r="F4" s="103"/>
      <c r="G4" s="4">
        <v>1</v>
      </c>
      <c r="H4" s="4">
        <v>2</v>
      </c>
      <c r="I4" s="4">
        <v>3</v>
      </c>
      <c r="J4" s="4" t="s">
        <v>4</v>
      </c>
      <c r="K4" s="87"/>
      <c r="L4" s="87"/>
      <c r="M4" s="89"/>
    </row>
    <row r="5" spans="1:13" ht="16">
      <c r="A5" s="90" t="s">
        <v>153</v>
      </c>
      <c r="B5" s="90"/>
      <c r="C5" s="91"/>
      <c r="D5" s="91"/>
      <c r="E5" s="91"/>
      <c r="F5" s="91"/>
      <c r="G5" s="91"/>
      <c r="H5" s="91"/>
      <c r="I5" s="91"/>
      <c r="J5" s="91"/>
    </row>
    <row r="6" spans="1:13">
      <c r="A6" s="24" t="s">
        <v>28</v>
      </c>
      <c r="B6" s="8" t="s">
        <v>172</v>
      </c>
      <c r="C6" s="8" t="s">
        <v>155</v>
      </c>
      <c r="D6" s="8" t="s">
        <v>156</v>
      </c>
      <c r="E6" s="9" t="s">
        <v>317</v>
      </c>
      <c r="F6" s="8" t="s">
        <v>157</v>
      </c>
      <c r="G6" s="23" t="s">
        <v>160</v>
      </c>
      <c r="H6" s="23" t="s">
        <v>75</v>
      </c>
      <c r="I6" s="22" t="s">
        <v>65</v>
      </c>
      <c r="J6" s="24"/>
      <c r="K6" s="10" t="str">
        <f>"47,5"</f>
        <v>47,5</v>
      </c>
      <c r="L6" s="10" t="str">
        <f>"70,9460"</f>
        <v>70,9460</v>
      </c>
      <c r="M6" s="44" t="s">
        <v>303</v>
      </c>
    </row>
    <row r="8" spans="1:13" ht="16">
      <c r="A8" s="80" t="s">
        <v>80</v>
      </c>
      <c r="B8" s="80"/>
      <c r="C8" s="80"/>
      <c r="D8" s="80"/>
      <c r="E8" s="81"/>
      <c r="F8" s="80"/>
      <c r="G8" s="80"/>
      <c r="H8" s="80"/>
      <c r="I8" s="80"/>
      <c r="J8" s="80"/>
    </row>
    <row r="9" spans="1:13">
      <c r="A9" s="24" t="s">
        <v>28</v>
      </c>
      <c r="B9" s="8" t="s">
        <v>302</v>
      </c>
      <c r="C9" s="8" t="s">
        <v>195</v>
      </c>
      <c r="D9" s="8" t="s">
        <v>196</v>
      </c>
      <c r="E9" s="9" t="s">
        <v>317</v>
      </c>
      <c r="F9" s="8" t="s">
        <v>13</v>
      </c>
      <c r="G9" s="23" t="s">
        <v>75</v>
      </c>
      <c r="H9" s="22" t="s">
        <v>76</v>
      </c>
      <c r="I9" s="22" t="s">
        <v>76</v>
      </c>
      <c r="J9" s="24"/>
      <c r="K9" s="10" t="str">
        <f>"47,5"</f>
        <v>47,5</v>
      </c>
      <c r="L9" s="10" t="str">
        <f>"56,5250"</f>
        <v>56,5250</v>
      </c>
      <c r="M9" s="8"/>
    </row>
    <row r="11" spans="1:13" ht="16">
      <c r="A11" s="80" t="s">
        <v>69</v>
      </c>
      <c r="B11" s="80"/>
      <c r="C11" s="80"/>
      <c r="D11" s="80"/>
      <c r="E11" s="81"/>
      <c r="F11" s="80"/>
      <c r="G11" s="80"/>
      <c r="H11" s="80"/>
      <c r="I11" s="80"/>
      <c r="J11" s="80"/>
    </row>
    <row r="12" spans="1:13">
      <c r="A12" s="24" t="s">
        <v>28</v>
      </c>
      <c r="B12" s="8" t="s">
        <v>173</v>
      </c>
      <c r="C12" s="8" t="s">
        <v>162</v>
      </c>
      <c r="D12" s="8" t="s">
        <v>163</v>
      </c>
      <c r="E12" s="9" t="s">
        <v>317</v>
      </c>
      <c r="F12" s="8" t="s">
        <v>119</v>
      </c>
      <c r="G12" s="23" t="s">
        <v>67</v>
      </c>
      <c r="H12" s="22" t="s">
        <v>158</v>
      </c>
      <c r="I12" s="22" t="s">
        <v>85</v>
      </c>
      <c r="J12" s="24"/>
      <c r="K12" s="10" t="str">
        <f>"60,0"</f>
        <v>60,0</v>
      </c>
      <c r="L12" s="10" t="str">
        <f>"67,9500"</f>
        <v>67,9500</v>
      </c>
      <c r="M12" s="44" t="s">
        <v>304</v>
      </c>
    </row>
    <row r="14" spans="1:13" ht="16">
      <c r="A14" s="80" t="s">
        <v>31</v>
      </c>
      <c r="B14" s="80"/>
      <c r="C14" s="80"/>
      <c r="D14" s="80"/>
      <c r="E14" s="81"/>
      <c r="F14" s="80"/>
      <c r="G14" s="80"/>
      <c r="H14" s="80"/>
      <c r="I14" s="80"/>
      <c r="J14" s="80"/>
    </row>
    <row r="15" spans="1:13">
      <c r="A15" s="24" t="s">
        <v>28</v>
      </c>
      <c r="B15" s="8" t="s">
        <v>222</v>
      </c>
      <c r="C15" s="8" t="s">
        <v>197</v>
      </c>
      <c r="D15" s="8" t="s">
        <v>198</v>
      </c>
      <c r="E15" s="9" t="s">
        <v>317</v>
      </c>
      <c r="F15" s="8" t="s">
        <v>126</v>
      </c>
      <c r="G15" s="23" t="s">
        <v>97</v>
      </c>
      <c r="H15" s="23" t="s">
        <v>90</v>
      </c>
      <c r="I15" s="22" t="s">
        <v>199</v>
      </c>
      <c r="J15" s="24"/>
      <c r="K15" s="10" t="str">
        <f>"115,0"</f>
        <v>115,0</v>
      </c>
      <c r="L15" s="10" t="str">
        <f>"82,3285"</f>
        <v>82,3285</v>
      </c>
      <c r="M15" s="8"/>
    </row>
    <row r="17" spans="1:13" ht="16">
      <c r="A17" s="80" t="s">
        <v>39</v>
      </c>
      <c r="B17" s="80"/>
      <c r="C17" s="80"/>
      <c r="D17" s="80"/>
      <c r="E17" s="81"/>
      <c r="F17" s="80"/>
      <c r="G17" s="80"/>
      <c r="H17" s="80"/>
      <c r="I17" s="80"/>
      <c r="J17" s="80"/>
    </row>
    <row r="18" spans="1:13">
      <c r="A18" s="24" t="s">
        <v>28</v>
      </c>
      <c r="B18" s="8" t="s">
        <v>223</v>
      </c>
      <c r="C18" s="8" t="s">
        <v>201</v>
      </c>
      <c r="D18" s="8" t="s">
        <v>202</v>
      </c>
      <c r="E18" s="9" t="s">
        <v>317</v>
      </c>
      <c r="F18" s="8" t="s">
        <v>157</v>
      </c>
      <c r="G18" s="22" t="s">
        <v>203</v>
      </c>
      <c r="H18" s="22" t="s">
        <v>203</v>
      </c>
      <c r="I18" s="23" t="s">
        <v>203</v>
      </c>
      <c r="J18" s="24"/>
      <c r="K18" s="10" t="str">
        <f>"152,5"</f>
        <v>152,5</v>
      </c>
      <c r="L18" s="10" t="str">
        <f>"102,4647"</f>
        <v>102,4647</v>
      </c>
      <c r="M18" s="44" t="s">
        <v>305</v>
      </c>
    </row>
    <row r="20" spans="1:13" ht="16">
      <c r="A20" s="80" t="s">
        <v>50</v>
      </c>
      <c r="B20" s="80"/>
      <c r="C20" s="80"/>
      <c r="D20" s="80"/>
      <c r="E20" s="81"/>
      <c r="F20" s="80"/>
      <c r="G20" s="80"/>
      <c r="H20" s="80"/>
      <c r="I20" s="80"/>
      <c r="J20" s="80"/>
    </row>
    <row r="21" spans="1:13">
      <c r="A21" s="36" t="s">
        <v>28</v>
      </c>
      <c r="B21" s="26" t="s">
        <v>224</v>
      </c>
      <c r="C21" s="26" t="s">
        <v>205</v>
      </c>
      <c r="D21" s="26" t="s">
        <v>110</v>
      </c>
      <c r="E21" s="27" t="s">
        <v>317</v>
      </c>
      <c r="F21" s="26" t="s">
        <v>157</v>
      </c>
      <c r="G21" s="35" t="s">
        <v>122</v>
      </c>
      <c r="H21" s="35" t="s">
        <v>93</v>
      </c>
      <c r="I21" s="35" t="s">
        <v>206</v>
      </c>
      <c r="J21" s="36"/>
      <c r="K21" s="28" t="str">
        <f>"172,5"</f>
        <v>172,5</v>
      </c>
      <c r="L21" s="28" t="str">
        <f>"110,8140"</f>
        <v>110,8140</v>
      </c>
      <c r="M21" s="26"/>
    </row>
    <row r="22" spans="1:13">
      <c r="A22" s="39" t="s">
        <v>141</v>
      </c>
      <c r="B22" s="29" t="s">
        <v>225</v>
      </c>
      <c r="C22" s="29" t="s">
        <v>207</v>
      </c>
      <c r="D22" s="29" t="s">
        <v>208</v>
      </c>
      <c r="E22" s="30" t="s">
        <v>317</v>
      </c>
      <c r="F22" s="29" t="s">
        <v>119</v>
      </c>
      <c r="G22" s="38" t="s">
        <v>209</v>
      </c>
      <c r="H22" s="42" t="s">
        <v>203</v>
      </c>
      <c r="I22" s="42" t="s">
        <v>203</v>
      </c>
      <c r="J22" s="39"/>
      <c r="K22" s="31" t="str">
        <f>"147,5"</f>
        <v>147,5</v>
      </c>
      <c r="L22" s="31" t="str">
        <f>"94,1640"</f>
        <v>94,1640</v>
      </c>
      <c r="M22" s="46" t="s">
        <v>304</v>
      </c>
    </row>
    <row r="23" spans="1:13">
      <c r="A23" s="41" t="s">
        <v>143</v>
      </c>
      <c r="B23" s="32" t="s">
        <v>226</v>
      </c>
      <c r="C23" s="32" t="s">
        <v>210</v>
      </c>
      <c r="D23" s="32" t="s">
        <v>211</v>
      </c>
      <c r="E23" s="33" t="s">
        <v>317</v>
      </c>
      <c r="F23" s="32" t="s">
        <v>13</v>
      </c>
      <c r="G23" s="43" t="s">
        <v>36</v>
      </c>
      <c r="H23" s="43" t="s">
        <v>36</v>
      </c>
      <c r="I23" s="40" t="s">
        <v>36</v>
      </c>
      <c r="J23" s="41"/>
      <c r="K23" s="34" t="str">
        <f>"120,0"</f>
        <v>120,0</v>
      </c>
      <c r="L23" s="34" t="str">
        <f>"78,9000"</f>
        <v>78,9000</v>
      </c>
      <c r="M23" s="32" t="s">
        <v>306</v>
      </c>
    </row>
    <row r="25" spans="1:13" ht="16">
      <c r="A25" s="80" t="s">
        <v>115</v>
      </c>
      <c r="B25" s="80"/>
      <c r="C25" s="80"/>
      <c r="D25" s="80"/>
      <c r="E25" s="81"/>
      <c r="F25" s="80"/>
      <c r="G25" s="80"/>
      <c r="H25" s="80"/>
      <c r="I25" s="80"/>
      <c r="J25" s="80"/>
    </row>
    <row r="26" spans="1:13">
      <c r="A26" s="24" t="s">
        <v>28</v>
      </c>
      <c r="B26" s="8" t="s">
        <v>227</v>
      </c>
      <c r="C26" s="8" t="s">
        <v>212</v>
      </c>
      <c r="D26" s="8" t="s">
        <v>213</v>
      </c>
      <c r="E26" s="9" t="s">
        <v>317</v>
      </c>
      <c r="F26" s="8" t="s">
        <v>13</v>
      </c>
      <c r="G26" s="22" t="s">
        <v>36</v>
      </c>
      <c r="H26" s="23" t="s">
        <v>44</v>
      </c>
      <c r="I26" s="23" t="s">
        <v>45</v>
      </c>
      <c r="J26" s="24"/>
      <c r="K26" s="10" t="str">
        <f>"150,0"</f>
        <v>150,0</v>
      </c>
      <c r="L26" s="10" t="str">
        <f>"93,5250"</f>
        <v>93,5250</v>
      </c>
      <c r="M26" s="8"/>
    </row>
    <row r="28" spans="1:13" ht="16">
      <c r="A28" s="80" t="s">
        <v>127</v>
      </c>
      <c r="B28" s="80"/>
      <c r="C28" s="80"/>
      <c r="D28" s="80"/>
      <c r="E28" s="81"/>
      <c r="F28" s="80"/>
      <c r="G28" s="80"/>
      <c r="H28" s="80"/>
      <c r="I28" s="80"/>
      <c r="J28" s="80"/>
    </row>
    <row r="29" spans="1:13">
      <c r="A29" s="24" t="s">
        <v>28</v>
      </c>
      <c r="B29" s="8" t="s">
        <v>228</v>
      </c>
      <c r="C29" s="8" t="s">
        <v>215</v>
      </c>
      <c r="D29" s="8" t="s">
        <v>216</v>
      </c>
      <c r="E29" s="9" t="s">
        <v>317</v>
      </c>
      <c r="F29" s="8" t="s">
        <v>126</v>
      </c>
      <c r="G29" s="23" t="s">
        <v>217</v>
      </c>
      <c r="H29" s="23" t="s">
        <v>206</v>
      </c>
      <c r="I29" s="24"/>
      <c r="J29" s="24"/>
      <c r="K29" s="10" t="str">
        <f>"172,5"</f>
        <v>172,5</v>
      </c>
      <c r="L29" s="10" t="str">
        <f>"102,1717"</f>
        <v>102,1717</v>
      </c>
      <c r="M29" s="8"/>
    </row>
    <row r="31" spans="1:13">
      <c r="G31" s="6"/>
      <c r="K31" s="20"/>
      <c r="M31" s="7"/>
    </row>
    <row r="32" spans="1:13">
      <c r="K32" s="20"/>
      <c r="M32" s="7"/>
    </row>
    <row r="33" spans="2:13" ht="18">
      <c r="B33" s="13" t="s">
        <v>21</v>
      </c>
      <c r="C33" s="13"/>
      <c r="K33" s="20"/>
      <c r="M33" s="7"/>
    </row>
    <row r="34" spans="2:13" ht="16">
      <c r="B34" s="14" t="s">
        <v>134</v>
      </c>
      <c r="C34" s="14"/>
      <c r="K34" s="20"/>
      <c r="M34" s="7"/>
    </row>
    <row r="35" spans="2:13" ht="14">
      <c r="B35" s="15"/>
      <c r="C35" s="16" t="s">
        <v>23</v>
      </c>
      <c r="K35" s="20"/>
      <c r="M35" s="7"/>
    </row>
    <row r="36" spans="2:13" ht="14">
      <c r="B36" s="17" t="s">
        <v>24</v>
      </c>
      <c r="C36" s="17" t="s">
        <v>25</v>
      </c>
      <c r="D36" s="17" t="s">
        <v>296</v>
      </c>
      <c r="E36" s="18" t="s">
        <v>189</v>
      </c>
      <c r="F36" s="17" t="s">
        <v>27</v>
      </c>
      <c r="K36" s="20"/>
      <c r="M36" s="7"/>
    </row>
    <row r="37" spans="2:13">
      <c r="B37" s="6" t="s">
        <v>154</v>
      </c>
      <c r="C37" s="6" t="s">
        <v>23</v>
      </c>
      <c r="D37" s="20" t="s">
        <v>171</v>
      </c>
      <c r="E37" s="21">
        <v>47.5</v>
      </c>
      <c r="F37" s="19">
        <v>70.9460005164146</v>
      </c>
      <c r="K37" s="20"/>
      <c r="M37" s="7"/>
    </row>
    <row r="38" spans="2:13">
      <c r="B38" s="6" t="s">
        <v>161</v>
      </c>
      <c r="C38" s="6" t="s">
        <v>23</v>
      </c>
      <c r="D38" s="20" t="s">
        <v>135</v>
      </c>
      <c r="E38" s="21">
        <v>60</v>
      </c>
      <c r="F38" s="19">
        <v>67.950003147125202</v>
      </c>
      <c r="K38" s="20"/>
      <c r="M38" s="7"/>
    </row>
    <row r="39" spans="2:13">
      <c r="B39" s="6" t="s">
        <v>194</v>
      </c>
      <c r="C39" s="6" t="s">
        <v>23</v>
      </c>
      <c r="D39" s="20" t="s">
        <v>218</v>
      </c>
      <c r="E39" s="21">
        <v>47.5</v>
      </c>
      <c r="F39" s="19">
        <v>56.525002717971802</v>
      </c>
      <c r="K39" s="20"/>
      <c r="M39" s="7"/>
    </row>
    <row r="40" spans="2:13">
      <c r="G40" s="3"/>
      <c r="K40" s="20"/>
      <c r="M40" s="7"/>
    </row>
    <row r="41" spans="2:13" ht="16">
      <c r="B41" s="14" t="s">
        <v>22</v>
      </c>
      <c r="C41" s="14"/>
      <c r="G41" s="3"/>
      <c r="K41" s="20"/>
      <c r="M41" s="7"/>
    </row>
    <row r="42" spans="2:13" ht="14">
      <c r="B42" s="15"/>
      <c r="C42" s="16" t="s">
        <v>23</v>
      </c>
      <c r="G42" s="3"/>
      <c r="K42" s="20"/>
      <c r="M42" s="7"/>
    </row>
    <row r="43" spans="2:13" ht="14">
      <c r="B43" s="17" t="s">
        <v>24</v>
      </c>
      <c r="C43" s="17" t="s">
        <v>25</v>
      </c>
      <c r="D43" s="17" t="s">
        <v>296</v>
      </c>
      <c r="E43" s="18" t="s">
        <v>189</v>
      </c>
      <c r="F43" s="17" t="s">
        <v>27</v>
      </c>
      <c r="G43" s="3"/>
      <c r="K43" s="20"/>
      <c r="M43" s="7"/>
    </row>
    <row r="44" spans="2:13">
      <c r="B44" s="6" t="s">
        <v>204</v>
      </c>
      <c r="C44" s="6" t="s">
        <v>23</v>
      </c>
      <c r="D44" s="20" t="s">
        <v>219</v>
      </c>
      <c r="E44" s="21">
        <v>172.5</v>
      </c>
      <c r="F44" s="19">
        <v>110.81400454044299</v>
      </c>
      <c r="G44" s="3"/>
      <c r="K44" s="20"/>
      <c r="M44" s="7"/>
    </row>
    <row r="45" spans="2:13">
      <c r="B45" s="6" t="s">
        <v>200</v>
      </c>
      <c r="C45" s="6" t="s">
        <v>23</v>
      </c>
      <c r="D45" s="20" t="s">
        <v>56</v>
      </c>
      <c r="E45" s="21">
        <v>152.5</v>
      </c>
      <c r="F45" s="19">
        <v>102.46474608779</v>
      </c>
      <c r="G45" s="3"/>
      <c r="K45" s="20"/>
      <c r="M45" s="7"/>
    </row>
    <row r="46" spans="2:13">
      <c r="B46" s="6" t="s">
        <v>214</v>
      </c>
      <c r="C46" s="6" t="s">
        <v>23</v>
      </c>
      <c r="D46" s="20" t="s">
        <v>220</v>
      </c>
      <c r="E46" s="21">
        <v>172.5</v>
      </c>
      <c r="F46" s="19">
        <v>102.17174962163</v>
      </c>
      <c r="G46" s="6"/>
      <c r="K46" s="20"/>
      <c r="M46" s="7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8:J28"/>
    <mergeCell ref="B3:B4"/>
    <mergeCell ref="A8:J8"/>
    <mergeCell ref="A11:J11"/>
    <mergeCell ref="A14:J14"/>
    <mergeCell ref="A17:J17"/>
    <mergeCell ref="A20:J20"/>
    <mergeCell ref="A25:J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3"/>
  <sheetViews>
    <sheetView workbookViewId="0">
      <selection activeCell="E22" sqref="E22"/>
    </sheetView>
  </sheetViews>
  <sheetFormatPr baseColWidth="10" defaultColWidth="9.1640625" defaultRowHeight="13"/>
  <cols>
    <col min="1" max="1" width="7.5" style="6" bestFit="1" customWidth="1"/>
    <col min="2" max="2" width="19" style="6" bestFit="1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1" width="10.5" style="7" bestFit="1" customWidth="1"/>
    <col min="12" max="12" width="8.5" style="7" bestFit="1" customWidth="1"/>
    <col min="13" max="13" width="21.1640625" style="6" customWidth="1"/>
    <col min="14" max="16384" width="9.1640625" style="3"/>
  </cols>
  <sheetData>
    <row r="1" spans="1:13" s="2" customFormat="1" ht="29" customHeight="1">
      <c r="A1" s="92" t="s">
        <v>292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s="2" customFormat="1" ht="62" customHeight="1" thickBot="1">
      <c r="A2" s="9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1" customFormat="1" ht="12.75" customHeight="1">
      <c r="A3" s="100" t="s">
        <v>30</v>
      </c>
      <c r="B3" s="82" t="s">
        <v>0</v>
      </c>
      <c r="C3" s="102" t="s">
        <v>315</v>
      </c>
      <c r="D3" s="102" t="s">
        <v>6</v>
      </c>
      <c r="E3" s="86" t="s">
        <v>316</v>
      </c>
      <c r="F3" s="104" t="s">
        <v>5</v>
      </c>
      <c r="G3" s="104" t="s">
        <v>8</v>
      </c>
      <c r="H3" s="104"/>
      <c r="I3" s="104"/>
      <c r="J3" s="104"/>
      <c r="K3" s="86" t="s">
        <v>176</v>
      </c>
      <c r="L3" s="86" t="s">
        <v>3</v>
      </c>
      <c r="M3" s="88" t="s">
        <v>2</v>
      </c>
    </row>
    <row r="4" spans="1:13" s="1" customFormat="1" ht="21" customHeight="1" thickBot="1">
      <c r="A4" s="101"/>
      <c r="B4" s="83"/>
      <c r="C4" s="103"/>
      <c r="D4" s="103"/>
      <c r="E4" s="87"/>
      <c r="F4" s="103"/>
      <c r="G4" s="4">
        <v>1</v>
      </c>
      <c r="H4" s="4">
        <v>2</v>
      </c>
      <c r="I4" s="4">
        <v>3</v>
      </c>
      <c r="J4" s="4" t="s">
        <v>4</v>
      </c>
      <c r="K4" s="87"/>
      <c r="L4" s="87"/>
      <c r="M4" s="89"/>
    </row>
    <row r="5" spans="1:13" ht="16">
      <c r="A5" s="90" t="s">
        <v>69</v>
      </c>
      <c r="B5" s="90"/>
      <c r="C5" s="91"/>
      <c r="D5" s="91"/>
      <c r="E5" s="91"/>
      <c r="F5" s="91"/>
      <c r="G5" s="91"/>
      <c r="H5" s="91"/>
      <c r="I5" s="91"/>
      <c r="J5" s="91"/>
    </row>
    <row r="6" spans="1:13">
      <c r="A6" s="24" t="s">
        <v>28</v>
      </c>
      <c r="B6" s="8" t="s">
        <v>138</v>
      </c>
      <c r="C6" s="8" t="s">
        <v>70</v>
      </c>
      <c r="D6" s="8" t="s">
        <v>71</v>
      </c>
      <c r="E6" s="9" t="s">
        <v>317</v>
      </c>
      <c r="F6" s="8" t="s">
        <v>64</v>
      </c>
      <c r="G6" s="23" t="s">
        <v>75</v>
      </c>
      <c r="H6" s="23" t="s">
        <v>65</v>
      </c>
      <c r="I6" s="23" t="s">
        <v>76</v>
      </c>
      <c r="J6" s="24"/>
      <c r="K6" s="10" t="str">
        <f>"52,5"</f>
        <v>52,5</v>
      </c>
      <c r="L6" s="10" t="str">
        <f>"60,0968"</f>
        <v>60,0968</v>
      </c>
      <c r="M6" s="44" t="s">
        <v>297</v>
      </c>
    </row>
    <row r="8" spans="1:13" ht="16">
      <c r="A8" s="80" t="s">
        <v>177</v>
      </c>
      <c r="B8" s="80"/>
      <c r="C8" s="80"/>
      <c r="D8" s="80"/>
      <c r="E8" s="81"/>
      <c r="F8" s="80"/>
      <c r="G8" s="80"/>
      <c r="H8" s="80"/>
      <c r="I8" s="80"/>
      <c r="J8" s="80"/>
    </row>
    <row r="9" spans="1:13">
      <c r="A9" s="24" t="s">
        <v>28</v>
      </c>
      <c r="B9" s="8" t="s">
        <v>190</v>
      </c>
      <c r="C9" s="8" t="s">
        <v>178</v>
      </c>
      <c r="D9" s="8" t="s">
        <v>179</v>
      </c>
      <c r="E9" s="9" t="s">
        <v>317</v>
      </c>
      <c r="F9" s="8" t="s">
        <v>13</v>
      </c>
      <c r="G9" s="23" t="s">
        <v>180</v>
      </c>
      <c r="H9" s="23" t="s">
        <v>68</v>
      </c>
      <c r="I9" s="23" t="s">
        <v>181</v>
      </c>
      <c r="J9" s="24"/>
      <c r="K9" s="10" t="str">
        <f>"30,0"</f>
        <v>30,0</v>
      </c>
      <c r="L9" s="10" t="str">
        <f>"32,6520"</f>
        <v>32,6520</v>
      </c>
      <c r="M9" s="8"/>
    </row>
    <row r="11" spans="1:13" ht="16">
      <c r="A11" s="80" t="s">
        <v>39</v>
      </c>
      <c r="B11" s="80"/>
      <c r="C11" s="80"/>
      <c r="D11" s="80"/>
      <c r="E11" s="81"/>
      <c r="F11" s="80"/>
      <c r="G11" s="80"/>
      <c r="H11" s="80"/>
      <c r="I11" s="80"/>
      <c r="J11" s="80"/>
    </row>
    <row r="12" spans="1:13">
      <c r="A12" s="24" t="s">
        <v>28</v>
      </c>
      <c r="B12" s="8" t="s">
        <v>145</v>
      </c>
      <c r="C12" s="8" t="s">
        <v>102</v>
      </c>
      <c r="D12" s="8" t="s">
        <v>103</v>
      </c>
      <c r="E12" s="9" t="s">
        <v>317</v>
      </c>
      <c r="F12" s="8" t="s">
        <v>64</v>
      </c>
      <c r="G12" s="23" t="s">
        <v>83</v>
      </c>
      <c r="H12" s="23" t="s">
        <v>104</v>
      </c>
      <c r="I12" s="23" t="s">
        <v>105</v>
      </c>
      <c r="J12" s="24"/>
      <c r="K12" s="10" t="str">
        <f>"112,5"</f>
        <v>112,5</v>
      </c>
      <c r="L12" s="10" t="str">
        <f>"79,5825"</f>
        <v>79,5825</v>
      </c>
      <c r="M12" s="8" t="s">
        <v>297</v>
      </c>
    </row>
    <row r="14" spans="1:13" ht="16">
      <c r="A14" s="80" t="s">
        <v>50</v>
      </c>
      <c r="B14" s="80"/>
      <c r="C14" s="80"/>
      <c r="D14" s="80"/>
      <c r="E14" s="81"/>
      <c r="F14" s="80"/>
      <c r="G14" s="80"/>
      <c r="H14" s="80"/>
      <c r="I14" s="80"/>
      <c r="J14" s="80"/>
    </row>
    <row r="15" spans="1:13">
      <c r="A15" s="24" t="s">
        <v>28</v>
      </c>
      <c r="B15" s="8" t="s">
        <v>191</v>
      </c>
      <c r="C15" s="8" t="s">
        <v>182</v>
      </c>
      <c r="D15" s="8" t="s">
        <v>183</v>
      </c>
      <c r="E15" s="9" t="s">
        <v>317</v>
      </c>
      <c r="F15" s="8" t="s">
        <v>13</v>
      </c>
      <c r="G15" s="23" t="s">
        <v>131</v>
      </c>
      <c r="H15" s="22" t="s">
        <v>111</v>
      </c>
      <c r="I15" s="23" t="s">
        <v>72</v>
      </c>
      <c r="J15" s="24"/>
      <c r="K15" s="10" t="str">
        <f>"92,5"</f>
        <v>92,5</v>
      </c>
      <c r="L15" s="10" t="str">
        <f>"60,7725"</f>
        <v>60,7725</v>
      </c>
      <c r="M15" s="8"/>
    </row>
    <row r="17" spans="1:13" ht="16">
      <c r="A17" s="80" t="s">
        <v>115</v>
      </c>
      <c r="B17" s="80"/>
      <c r="C17" s="80"/>
      <c r="D17" s="80"/>
      <c r="E17" s="81"/>
      <c r="F17" s="80"/>
      <c r="G17" s="80"/>
      <c r="H17" s="80"/>
      <c r="I17" s="80"/>
      <c r="J17" s="80"/>
    </row>
    <row r="18" spans="1:13">
      <c r="A18" s="24" t="s">
        <v>28</v>
      </c>
      <c r="B18" s="8" t="s">
        <v>192</v>
      </c>
      <c r="C18" s="8" t="s">
        <v>184</v>
      </c>
      <c r="D18" s="8" t="s">
        <v>185</v>
      </c>
      <c r="E18" s="9" t="s">
        <v>317</v>
      </c>
      <c r="F18" s="8" t="s">
        <v>126</v>
      </c>
      <c r="G18" s="23" t="s">
        <v>38</v>
      </c>
      <c r="H18" s="23" t="s">
        <v>169</v>
      </c>
      <c r="I18" s="24"/>
      <c r="J18" s="24"/>
      <c r="K18" s="10" t="str">
        <f>"135,0"</f>
        <v>135,0</v>
      </c>
      <c r="L18" s="10" t="str">
        <f>"84,2535"</f>
        <v>84,2535</v>
      </c>
      <c r="M18" s="8" t="s">
        <v>307</v>
      </c>
    </row>
    <row r="20" spans="1:13" ht="16">
      <c r="A20" s="80" t="s">
        <v>10</v>
      </c>
      <c r="B20" s="80"/>
      <c r="C20" s="80"/>
      <c r="D20" s="80"/>
      <c r="E20" s="81"/>
      <c r="F20" s="80"/>
      <c r="G20" s="80"/>
      <c r="H20" s="80"/>
      <c r="I20" s="80"/>
      <c r="J20" s="80"/>
    </row>
    <row r="21" spans="1:13">
      <c r="A21" s="24" t="s">
        <v>28</v>
      </c>
      <c r="B21" s="8" t="s">
        <v>193</v>
      </c>
      <c r="C21" s="8" t="s">
        <v>186</v>
      </c>
      <c r="D21" s="8" t="s">
        <v>187</v>
      </c>
      <c r="E21" s="9" t="s">
        <v>317</v>
      </c>
      <c r="F21" s="8" t="s">
        <v>13</v>
      </c>
      <c r="G21" s="22" t="s">
        <v>170</v>
      </c>
      <c r="H21" s="23" t="s">
        <v>34</v>
      </c>
      <c r="I21" s="22" t="s">
        <v>188</v>
      </c>
      <c r="J21" s="24"/>
      <c r="K21" s="10" t="str">
        <f>"200,0"</f>
        <v>200,0</v>
      </c>
      <c r="L21" s="10" t="str">
        <f>"115,1000"</f>
        <v>115,1000</v>
      </c>
      <c r="M21" s="8" t="s">
        <v>306</v>
      </c>
    </row>
    <row r="23" spans="1:13">
      <c r="E23" s="6"/>
      <c r="F23" s="11"/>
      <c r="G23" s="6"/>
      <c r="K23" s="20"/>
      <c r="M23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0:J20"/>
    <mergeCell ref="A5:J5"/>
    <mergeCell ref="A8:J8"/>
    <mergeCell ref="A11:J11"/>
    <mergeCell ref="A14:J14"/>
    <mergeCell ref="A17:J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workbookViewId="0">
      <selection activeCell="E31" sqref="E31"/>
    </sheetView>
  </sheetViews>
  <sheetFormatPr baseColWidth="10" defaultColWidth="9.1640625" defaultRowHeight="13"/>
  <cols>
    <col min="1" max="1" width="7.5" style="6" bestFit="1" customWidth="1"/>
    <col min="2" max="2" width="18.5" style="6" bestFit="1" customWidth="1"/>
    <col min="3" max="3" width="27.83203125" style="6" customWidth="1"/>
    <col min="4" max="4" width="21.5" style="6" bestFit="1" customWidth="1"/>
    <col min="5" max="5" width="10.5" style="11" bestFit="1" customWidth="1"/>
    <col min="6" max="6" width="28.6640625" style="6" bestFit="1" customWidth="1"/>
    <col min="7" max="9" width="5.5" style="20" customWidth="1"/>
    <col min="10" max="10" width="4.83203125" style="20" customWidth="1"/>
    <col min="11" max="11" width="10.5" style="21" bestFit="1" customWidth="1"/>
    <col min="12" max="12" width="8.5" style="19" bestFit="1" customWidth="1"/>
    <col min="13" max="13" width="17.33203125" style="6" bestFit="1" customWidth="1"/>
    <col min="14" max="16384" width="9.1640625" style="3"/>
  </cols>
  <sheetData>
    <row r="1" spans="1:13" s="2" customFormat="1" ht="29" customHeight="1">
      <c r="A1" s="92" t="s">
        <v>293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s="2" customFormat="1" ht="62" customHeight="1" thickBot="1">
      <c r="A2" s="9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1" customFormat="1" ht="12.75" customHeight="1">
      <c r="A3" s="100" t="s">
        <v>30</v>
      </c>
      <c r="B3" s="82" t="s">
        <v>0</v>
      </c>
      <c r="C3" s="102" t="s">
        <v>315</v>
      </c>
      <c r="D3" s="102" t="s">
        <v>6</v>
      </c>
      <c r="E3" s="86" t="s">
        <v>316</v>
      </c>
      <c r="F3" s="104" t="s">
        <v>5</v>
      </c>
      <c r="G3" s="104" t="s">
        <v>9</v>
      </c>
      <c r="H3" s="104"/>
      <c r="I3" s="104"/>
      <c r="J3" s="104"/>
      <c r="K3" s="84" t="s">
        <v>176</v>
      </c>
      <c r="L3" s="105" t="s">
        <v>3</v>
      </c>
      <c r="M3" s="88" t="s">
        <v>2</v>
      </c>
    </row>
    <row r="4" spans="1:13" s="1" customFormat="1" ht="21" customHeight="1" thickBot="1">
      <c r="A4" s="101"/>
      <c r="B4" s="83"/>
      <c r="C4" s="103"/>
      <c r="D4" s="103"/>
      <c r="E4" s="87"/>
      <c r="F4" s="103"/>
      <c r="G4" s="4">
        <v>1</v>
      </c>
      <c r="H4" s="4">
        <v>2</v>
      </c>
      <c r="I4" s="4">
        <v>3</v>
      </c>
      <c r="J4" s="4" t="s">
        <v>4</v>
      </c>
      <c r="K4" s="85"/>
      <c r="L4" s="106"/>
      <c r="M4" s="89"/>
    </row>
    <row r="5" spans="1:13" ht="16">
      <c r="A5" s="90" t="s">
        <v>80</v>
      </c>
      <c r="B5" s="90"/>
      <c r="C5" s="91"/>
      <c r="D5" s="91"/>
      <c r="E5" s="91"/>
      <c r="F5" s="91"/>
      <c r="G5" s="91"/>
      <c r="H5" s="91"/>
      <c r="I5" s="91"/>
      <c r="J5" s="91"/>
    </row>
    <row r="6" spans="1:13">
      <c r="A6" s="36" t="s">
        <v>28</v>
      </c>
      <c r="B6" s="26" t="s">
        <v>221</v>
      </c>
      <c r="C6" s="26" t="s">
        <v>229</v>
      </c>
      <c r="D6" s="26" t="s">
        <v>196</v>
      </c>
      <c r="E6" s="27" t="s">
        <v>320</v>
      </c>
      <c r="F6" s="26" t="s">
        <v>13</v>
      </c>
      <c r="G6" s="35" t="s">
        <v>111</v>
      </c>
      <c r="H6" s="35" t="s">
        <v>55</v>
      </c>
      <c r="I6" s="35" t="s">
        <v>74</v>
      </c>
      <c r="J6" s="36"/>
      <c r="K6" s="50" t="str">
        <f>"100,0"</f>
        <v>100,0</v>
      </c>
      <c r="L6" s="52" t="str">
        <f>"119,0000"</f>
        <v>119,0000</v>
      </c>
      <c r="M6" s="26"/>
    </row>
    <row r="7" spans="1:13">
      <c r="A7" s="41" t="s">
        <v>28</v>
      </c>
      <c r="B7" s="32" t="s">
        <v>251</v>
      </c>
      <c r="C7" s="32" t="s">
        <v>230</v>
      </c>
      <c r="D7" s="32" t="s">
        <v>231</v>
      </c>
      <c r="E7" s="33" t="s">
        <v>317</v>
      </c>
      <c r="F7" s="32" t="s">
        <v>13</v>
      </c>
      <c r="G7" s="43" t="s">
        <v>97</v>
      </c>
      <c r="H7" s="40" t="s">
        <v>97</v>
      </c>
      <c r="I7" s="43" t="s">
        <v>36</v>
      </c>
      <c r="J7" s="41"/>
      <c r="K7" s="51" t="str">
        <f>"110,0"</f>
        <v>110,0</v>
      </c>
      <c r="L7" s="53" t="str">
        <f>"129,6130"</f>
        <v>129,6130</v>
      </c>
      <c r="M7" s="32"/>
    </row>
    <row r="9" spans="1:13" ht="16">
      <c r="A9" s="80" t="s">
        <v>69</v>
      </c>
      <c r="B9" s="80"/>
      <c r="C9" s="80"/>
      <c r="D9" s="80"/>
      <c r="E9" s="81"/>
      <c r="F9" s="80"/>
      <c r="G9" s="80"/>
      <c r="H9" s="80"/>
      <c r="I9" s="80"/>
      <c r="J9" s="80"/>
    </row>
    <row r="10" spans="1:13">
      <c r="A10" s="36" t="s">
        <v>28</v>
      </c>
      <c r="B10" s="26" t="s">
        <v>252</v>
      </c>
      <c r="C10" s="26" t="s">
        <v>232</v>
      </c>
      <c r="D10" s="26" t="s">
        <v>233</v>
      </c>
      <c r="E10" s="27" t="s">
        <v>317</v>
      </c>
      <c r="F10" s="26" t="s">
        <v>126</v>
      </c>
      <c r="G10" s="35" t="s">
        <v>38</v>
      </c>
      <c r="H10" s="35" t="s">
        <v>169</v>
      </c>
      <c r="I10" s="37" t="s">
        <v>44</v>
      </c>
      <c r="J10" s="36"/>
      <c r="K10" s="50" t="str">
        <f>"135,0"</f>
        <v>135,0</v>
      </c>
      <c r="L10" s="52" t="str">
        <f>"150,7005"</f>
        <v>150,7005</v>
      </c>
      <c r="M10" s="45" t="s">
        <v>308</v>
      </c>
    </row>
    <row r="11" spans="1:13">
      <c r="A11" s="41" t="s">
        <v>141</v>
      </c>
      <c r="B11" s="32" t="s">
        <v>253</v>
      </c>
      <c r="C11" s="32" t="s">
        <v>234</v>
      </c>
      <c r="D11" s="32" t="s">
        <v>89</v>
      </c>
      <c r="E11" s="33" t="s">
        <v>317</v>
      </c>
      <c r="F11" s="32" t="s">
        <v>126</v>
      </c>
      <c r="G11" s="40" t="s">
        <v>91</v>
      </c>
      <c r="H11" s="40" t="s">
        <v>92</v>
      </c>
      <c r="I11" s="40" t="s">
        <v>235</v>
      </c>
      <c r="J11" s="41"/>
      <c r="K11" s="51" t="str">
        <f>"132,5"</f>
        <v>132,5</v>
      </c>
      <c r="L11" s="53" t="str">
        <f>"150,8645"</f>
        <v>150,8645</v>
      </c>
      <c r="M11" s="32"/>
    </row>
    <row r="13" spans="1:13" ht="16">
      <c r="A13" s="80" t="s">
        <v>50</v>
      </c>
      <c r="B13" s="80"/>
      <c r="C13" s="80"/>
      <c r="D13" s="80"/>
      <c r="E13" s="81"/>
      <c r="F13" s="80"/>
      <c r="G13" s="80"/>
      <c r="H13" s="80"/>
      <c r="I13" s="80"/>
      <c r="J13" s="80"/>
    </row>
    <row r="14" spans="1:13">
      <c r="A14" s="24" t="s">
        <v>28</v>
      </c>
      <c r="B14" s="8" t="s">
        <v>254</v>
      </c>
      <c r="C14" s="8" t="s">
        <v>236</v>
      </c>
      <c r="D14" s="8" t="s">
        <v>237</v>
      </c>
      <c r="E14" s="9" t="s">
        <v>317</v>
      </c>
      <c r="F14" s="8" t="s">
        <v>13</v>
      </c>
      <c r="G14" s="23" t="s">
        <v>97</v>
      </c>
      <c r="H14" s="22" t="s">
        <v>199</v>
      </c>
      <c r="I14" s="22" t="s">
        <v>199</v>
      </c>
      <c r="J14" s="24"/>
      <c r="K14" s="49" t="str">
        <f>"110,0"</f>
        <v>110,0</v>
      </c>
      <c r="L14" s="54" t="str">
        <f>"98,1530"</f>
        <v>98,1530</v>
      </c>
      <c r="M14" s="8"/>
    </row>
    <row r="16" spans="1:13" ht="16">
      <c r="A16" s="80" t="s">
        <v>80</v>
      </c>
      <c r="B16" s="80"/>
      <c r="C16" s="80"/>
      <c r="D16" s="80"/>
      <c r="E16" s="81"/>
      <c r="F16" s="80"/>
      <c r="G16" s="80"/>
      <c r="H16" s="80"/>
      <c r="I16" s="80"/>
      <c r="J16" s="80"/>
    </row>
    <row r="17" spans="1:13">
      <c r="A17" s="24" t="s">
        <v>28</v>
      </c>
      <c r="B17" s="8" t="s">
        <v>255</v>
      </c>
      <c r="C17" s="8" t="s">
        <v>238</v>
      </c>
      <c r="D17" s="8" t="s">
        <v>239</v>
      </c>
      <c r="E17" s="9" t="s">
        <v>321</v>
      </c>
      <c r="F17" s="8" t="s">
        <v>126</v>
      </c>
      <c r="G17" s="23" t="s">
        <v>97</v>
      </c>
      <c r="H17" s="22" t="s">
        <v>90</v>
      </c>
      <c r="I17" s="22" t="s">
        <v>90</v>
      </c>
      <c r="J17" s="24"/>
      <c r="K17" s="49" t="str">
        <f>"110,0"</f>
        <v>110,0</v>
      </c>
      <c r="L17" s="54" t="str">
        <f>"100,4850"</f>
        <v>100,4850</v>
      </c>
      <c r="M17" s="8" t="s">
        <v>308</v>
      </c>
    </row>
    <row r="19" spans="1:13" ht="16">
      <c r="A19" s="80" t="s">
        <v>177</v>
      </c>
      <c r="B19" s="80"/>
      <c r="C19" s="80"/>
      <c r="D19" s="80"/>
      <c r="E19" s="81"/>
      <c r="F19" s="80"/>
      <c r="G19" s="80"/>
      <c r="H19" s="80"/>
      <c r="I19" s="80"/>
      <c r="J19" s="80"/>
    </row>
    <row r="20" spans="1:13">
      <c r="A20" s="24" t="s">
        <v>28</v>
      </c>
      <c r="B20" s="8" t="s">
        <v>256</v>
      </c>
      <c r="C20" s="8" t="s">
        <v>240</v>
      </c>
      <c r="D20" s="8" t="s">
        <v>241</v>
      </c>
      <c r="E20" s="9" t="s">
        <v>317</v>
      </c>
      <c r="F20" s="8" t="s">
        <v>309</v>
      </c>
      <c r="G20" s="22" t="s">
        <v>46</v>
      </c>
      <c r="H20" s="23" t="s">
        <v>46</v>
      </c>
      <c r="I20" s="23" t="s">
        <v>93</v>
      </c>
      <c r="J20" s="24"/>
      <c r="K20" s="49" t="str">
        <f>"170,0"</f>
        <v>170,0</v>
      </c>
      <c r="L20" s="54" t="str">
        <f>"135,1840"</f>
        <v>135,1840</v>
      </c>
      <c r="M20" s="8"/>
    </row>
    <row r="22" spans="1:13" ht="16">
      <c r="A22" s="80" t="s">
        <v>31</v>
      </c>
      <c r="B22" s="80"/>
      <c r="C22" s="80"/>
      <c r="D22" s="80"/>
      <c r="E22" s="81"/>
      <c r="F22" s="80"/>
      <c r="G22" s="80"/>
      <c r="H22" s="80"/>
      <c r="I22" s="80"/>
      <c r="J22" s="80"/>
    </row>
    <row r="23" spans="1:13">
      <c r="A23" s="55" t="s">
        <v>28</v>
      </c>
      <c r="B23" s="63" t="s">
        <v>257</v>
      </c>
      <c r="C23" s="26" t="s">
        <v>242</v>
      </c>
      <c r="D23" s="56" t="s">
        <v>243</v>
      </c>
      <c r="E23" s="27" t="s">
        <v>317</v>
      </c>
      <c r="F23" s="58" t="s">
        <v>13</v>
      </c>
      <c r="G23" s="57" t="s">
        <v>43</v>
      </c>
      <c r="H23" s="71" t="s">
        <v>244</v>
      </c>
      <c r="I23" s="71" t="s">
        <v>244</v>
      </c>
      <c r="J23" s="36"/>
      <c r="K23" s="68" t="str">
        <f>"230,0"</f>
        <v>230,0</v>
      </c>
      <c r="L23" s="65" t="str">
        <f>"167,3940"</f>
        <v>167,3940</v>
      </c>
      <c r="M23" s="58"/>
    </row>
    <row r="24" spans="1:13">
      <c r="A24" s="59" t="s">
        <v>141</v>
      </c>
      <c r="B24" s="64" t="s">
        <v>258</v>
      </c>
      <c r="C24" s="32" t="s">
        <v>245</v>
      </c>
      <c r="D24" s="60" t="s">
        <v>246</v>
      </c>
      <c r="E24" s="33" t="s">
        <v>317</v>
      </c>
      <c r="F24" s="62" t="s">
        <v>126</v>
      </c>
      <c r="G24" s="61" t="s">
        <v>206</v>
      </c>
      <c r="H24" s="66" t="s">
        <v>247</v>
      </c>
      <c r="I24" s="69" t="s">
        <v>248</v>
      </c>
      <c r="J24" s="41"/>
      <c r="K24" s="70" t="str">
        <f>"177,5"</f>
        <v>177,5</v>
      </c>
      <c r="L24" s="67" t="str">
        <f>"128,0485"</f>
        <v>128,0485</v>
      </c>
      <c r="M24" s="62"/>
    </row>
    <row r="26" spans="1:13" ht="16">
      <c r="A26" s="80" t="s">
        <v>50</v>
      </c>
      <c r="B26" s="80"/>
      <c r="C26" s="80"/>
      <c r="D26" s="80"/>
      <c r="E26" s="81"/>
      <c r="F26" s="80"/>
      <c r="G26" s="80"/>
      <c r="H26" s="80"/>
      <c r="I26" s="80"/>
      <c r="J26" s="80"/>
    </row>
    <row r="27" spans="1:13">
      <c r="A27" s="72" t="s">
        <v>28</v>
      </c>
      <c r="B27" s="73" t="s">
        <v>259</v>
      </c>
      <c r="C27" s="8" t="s">
        <v>249</v>
      </c>
      <c r="D27" s="48" t="s">
        <v>250</v>
      </c>
      <c r="E27" s="74" t="s">
        <v>317</v>
      </c>
      <c r="F27" s="73" t="s">
        <v>13</v>
      </c>
      <c r="G27" s="75" t="s">
        <v>49</v>
      </c>
      <c r="H27" s="76" t="s">
        <v>120</v>
      </c>
      <c r="I27" s="22" t="s">
        <v>120</v>
      </c>
      <c r="J27" s="77"/>
      <c r="K27" s="78" t="str">
        <f>"240,0"</f>
        <v>240,0</v>
      </c>
      <c r="L27" s="79" t="str">
        <f>"153,9120"</f>
        <v>153,9120</v>
      </c>
      <c r="M27" s="48"/>
    </row>
    <row r="29" spans="1:13" ht="16">
      <c r="A29" s="80" t="s">
        <v>115</v>
      </c>
      <c r="B29" s="80"/>
      <c r="C29" s="80"/>
      <c r="D29" s="80"/>
      <c r="E29" s="81"/>
      <c r="F29" s="80"/>
      <c r="G29" s="80"/>
      <c r="H29" s="80"/>
      <c r="I29" s="80"/>
      <c r="J29" s="80"/>
    </row>
    <row r="30" spans="1:13">
      <c r="A30" s="24" t="s">
        <v>28</v>
      </c>
      <c r="B30" s="8" t="s">
        <v>227</v>
      </c>
      <c r="C30" s="8" t="s">
        <v>212</v>
      </c>
      <c r="D30" s="8" t="s">
        <v>213</v>
      </c>
      <c r="E30" s="9" t="s">
        <v>317</v>
      </c>
      <c r="F30" s="8" t="s">
        <v>13</v>
      </c>
      <c r="G30" s="22" t="s">
        <v>48</v>
      </c>
      <c r="H30" s="22" t="s">
        <v>49</v>
      </c>
      <c r="I30" s="23" t="s">
        <v>49</v>
      </c>
      <c r="J30" s="24"/>
      <c r="K30" s="49" t="str">
        <f>"240,0"</f>
        <v>240,0</v>
      </c>
      <c r="L30" s="54" t="str">
        <f>"149,6400"</f>
        <v>149,6400</v>
      </c>
      <c r="M30" s="8"/>
    </row>
    <row r="32" spans="1:13" ht="16">
      <c r="F32" s="12"/>
      <c r="G32" s="6"/>
      <c r="M32" s="7"/>
    </row>
    <row r="33" spans="5:13">
      <c r="G33" s="6"/>
      <c r="M33" s="7"/>
    </row>
    <row r="34" spans="5:13">
      <c r="E34" s="6"/>
      <c r="F34" s="11"/>
      <c r="G34" s="6"/>
      <c r="M34" s="7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9:J29"/>
    <mergeCell ref="B3:B4"/>
    <mergeCell ref="A9:J9"/>
    <mergeCell ref="A13:J13"/>
    <mergeCell ref="A16:J16"/>
    <mergeCell ref="A19:J19"/>
    <mergeCell ref="A22:J22"/>
    <mergeCell ref="A26:J26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17" style="6" bestFit="1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26.5" style="6" bestFit="1" customWidth="1"/>
    <col min="7" max="9" width="5.5" style="20" customWidth="1"/>
    <col min="10" max="10" width="4.83203125" style="20" customWidth="1"/>
    <col min="11" max="11" width="10.5" style="7" bestFit="1" customWidth="1"/>
    <col min="12" max="12" width="8.5" style="7" bestFit="1" customWidth="1"/>
    <col min="13" max="13" width="14.5" style="6" bestFit="1" customWidth="1"/>
    <col min="14" max="16384" width="9.1640625" style="3"/>
  </cols>
  <sheetData>
    <row r="1" spans="1:13" s="2" customFormat="1" ht="29" customHeight="1">
      <c r="A1" s="92" t="s">
        <v>294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s="2" customFormat="1" ht="62" customHeight="1" thickBot="1">
      <c r="A2" s="9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1" customFormat="1" ht="12.75" customHeight="1">
      <c r="A3" s="100" t="s">
        <v>30</v>
      </c>
      <c r="B3" s="82" t="s">
        <v>0</v>
      </c>
      <c r="C3" s="102" t="s">
        <v>315</v>
      </c>
      <c r="D3" s="102" t="s">
        <v>6</v>
      </c>
      <c r="E3" s="86" t="s">
        <v>316</v>
      </c>
      <c r="F3" s="104" t="s">
        <v>5</v>
      </c>
      <c r="G3" s="104" t="s">
        <v>9</v>
      </c>
      <c r="H3" s="104"/>
      <c r="I3" s="104"/>
      <c r="J3" s="104"/>
      <c r="K3" s="86" t="s">
        <v>176</v>
      </c>
      <c r="L3" s="86" t="s">
        <v>3</v>
      </c>
      <c r="M3" s="88" t="s">
        <v>2</v>
      </c>
    </row>
    <row r="4" spans="1:13" s="1" customFormat="1" ht="21" customHeight="1" thickBot="1">
      <c r="A4" s="101"/>
      <c r="B4" s="83"/>
      <c r="C4" s="103"/>
      <c r="D4" s="103"/>
      <c r="E4" s="87"/>
      <c r="F4" s="103"/>
      <c r="G4" s="4">
        <v>1</v>
      </c>
      <c r="H4" s="4">
        <v>2</v>
      </c>
      <c r="I4" s="4">
        <v>3</v>
      </c>
      <c r="J4" s="4" t="s">
        <v>4</v>
      </c>
      <c r="K4" s="87"/>
      <c r="L4" s="87"/>
      <c r="M4" s="89"/>
    </row>
    <row r="5" spans="1:13" ht="16">
      <c r="A5" s="90" t="s">
        <v>50</v>
      </c>
      <c r="B5" s="90"/>
      <c r="C5" s="91"/>
      <c r="D5" s="91"/>
      <c r="E5" s="91"/>
      <c r="F5" s="91"/>
      <c r="G5" s="91"/>
      <c r="H5" s="91"/>
      <c r="I5" s="91"/>
      <c r="J5" s="91"/>
    </row>
    <row r="6" spans="1:13">
      <c r="A6" s="24" t="s">
        <v>28</v>
      </c>
      <c r="B6" s="8" t="s">
        <v>146</v>
      </c>
      <c r="C6" s="8" t="s">
        <v>106</v>
      </c>
      <c r="D6" s="8" t="s">
        <v>107</v>
      </c>
      <c r="E6" s="9" t="s">
        <v>317</v>
      </c>
      <c r="F6" s="8" t="s">
        <v>64</v>
      </c>
      <c r="G6" s="23" t="s">
        <v>17</v>
      </c>
      <c r="H6" s="23" t="s">
        <v>18</v>
      </c>
      <c r="I6" s="22" t="s">
        <v>34</v>
      </c>
      <c r="J6" s="24"/>
      <c r="K6" s="10" t="str">
        <f>"190,0"</f>
        <v>190,0</v>
      </c>
      <c r="L6" s="10" t="str">
        <f>"125,6850"</f>
        <v>125,6850</v>
      </c>
      <c r="M6" s="44" t="s">
        <v>297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19.33203125" style="6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22.6640625" style="6" bestFit="1" customWidth="1"/>
    <col min="7" max="9" width="5.5" style="20" customWidth="1"/>
    <col min="10" max="10" width="4.83203125" style="20" customWidth="1"/>
    <col min="11" max="11" width="10.5" style="7" bestFit="1" customWidth="1"/>
    <col min="12" max="12" width="8.5" style="7" bestFit="1" customWidth="1"/>
    <col min="13" max="13" width="17.83203125" style="6" customWidth="1"/>
    <col min="14" max="16384" width="9.1640625" style="3"/>
  </cols>
  <sheetData>
    <row r="1" spans="1:13" s="2" customFormat="1" ht="29" customHeight="1">
      <c r="A1" s="92" t="s">
        <v>295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s="2" customFormat="1" ht="62" customHeight="1" thickBot="1">
      <c r="A2" s="9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1" customFormat="1" ht="12.75" customHeight="1">
      <c r="A3" s="100" t="s">
        <v>30</v>
      </c>
      <c r="B3" s="82" t="s">
        <v>0</v>
      </c>
      <c r="C3" s="102" t="s">
        <v>315</v>
      </c>
      <c r="D3" s="102" t="s">
        <v>6</v>
      </c>
      <c r="E3" s="86" t="s">
        <v>316</v>
      </c>
      <c r="F3" s="104" t="s">
        <v>5</v>
      </c>
      <c r="G3" s="104" t="s">
        <v>9</v>
      </c>
      <c r="H3" s="104"/>
      <c r="I3" s="104"/>
      <c r="J3" s="104"/>
      <c r="K3" s="86" t="s">
        <v>176</v>
      </c>
      <c r="L3" s="86" t="s">
        <v>3</v>
      </c>
      <c r="M3" s="88" t="s">
        <v>2</v>
      </c>
    </row>
    <row r="4" spans="1:13" s="1" customFormat="1" ht="21" customHeight="1" thickBot="1">
      <c r="A4" s="101"/>
      <c r="B4" s="83"/>
      <c r="C4" s="103"/>
      <c r="D4" s="103"/>
      <c r="E4" s="87"/>
      <c r="F4" s="103"/>
      <c r="G4" s="4">
        <v>1</v>
      </c>
      <c r="H4" s="4">
        <v>2</v>
      </c>
      <c r="I4" s="4">
        <v>3</v>
      </c>
      <c r="J4" s="4" t="s">
        <v>4</v>
      </c>
      <c r="K4" s="87"/>
      <c r="L4" s="87"/>
      <c r="M4" s="89"/>
    </row>
    <row r="5" spans="1:13" ht="16">
      <c r="A5" s="90" t="s">
        <v>69</v>
      </c>
      <c r="B5" s="90"/>
      <c r="C5" s="91"/>
      <c r="D5" s="91"/>
      <c r="E5" s="91"/>
      <c r="F5" s="91"/>
      <c r="G5" s="91"/>
      <c r="H5" s="91"/>
      <c r="I5" s="91"/>
      <c r="J5" s="91"/>
    </row>
    <row r="6" spans="1:13">
      <c r="A6" s="24" t="s">
        <v>28</v>
      </c>
      <c r="B6" s="8" t="s">
        <v>173</v>
      </c>
      <c r="C6" s="8" t="s">
        <v>162</v>
      </c>
      <c r="D6" s="8" t="s">
        <v>163</v>
      </c>
      <c r="E6" s="9" t="s">
        <v>317</v>
      </c>
      <c r="F6" s="8" t="s">
        <v>119</v>
      </c>
      <c r="G6" s="23" t="s">
        <v>97</v>
      </c>
      <c r="H6" s="22" t="s">
        <v>36</v>
      </c>
      <c r="I6" s="24"/>
      <c r="J6" s="24"/>
      <c r="K6" s="10" t="str">
        <f>"110,0"</f>
        <v>110,0</v>
      </c>
      <c r="L6" s="10" t="str">
        <f>"124,5750"</f>
        <v>124,5750</v>
      </c>
      <c r="M6" s="44" t="s">
        <v>286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  <vt:lpstr>WEPF Тяга экип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2023-04-27T08:16:45Z</dcterms:modified>
</cp:coreProperties>
</file>