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15" windowWidth="11340" windowHeight="9690" firstSheet="15" activeTab="19"/>
  </bookViews>
  <sheets>
    <sheet name="Excalibur" sheetId="26" r:id="rId1"/>
    <sheet name="Rus Axle" sheetId="25" r:id="rId2"/>
    <sheet name="Rus Roullette" sheetId="24" r:id="rId3"/>
    <sheet name="AWPC НЖ 1 вес" sheetId="23" r:id="rId4"/>
    <sheet name="WPC НЖ 1 вес" sheetId="22" r:id="rId5"/>
    <sheet name="WPC стр. под.на биц" sheetId="21" r:id="rId6"/>
    <sheet name="AWPC стр. под.на биц" sheetId="20" r:id="rId7"/>
    <sheet name="AWPC б_э тяга" sheetId="18" r:id="rId8"/>
    <sheet name="WPC б_э тяга" sheetId="16" r:id="rId9"/>
    <sheet name="AWPC ст. софт эк. жим" sheetId="15" r:id="rId10"/>
    <sheet name="WPC жим стоя" sheetId="14" r:id="rId11"/>
    <sheet name="AWPC жим стоя" sheetId="13" r:id="rId12"/>
    <sheet name="AWPC б_э жим" sheetId="12" r:id="rId13"/>
    <sheet name="AWPC 1 слой ПЛ" sheetId="11" r:id="rId14"/>
    <sheet name="AWPC Класс. ПЛ" sheetId="10" r:id="rId15"/>
    <sheet name="AWPC б_э ПЛ" sheetId="9" r:id="rId16"/>
    <sheet name="WPC ст. софт эк. жим" sheetId="8" r:id="rId17"/>
    <sheet name="WPC б_э жим" sheetId="7" r:id="rId18"/>
    <sheet name="WPC класс. ПЛ" sheetId="6" r:id="rId19"/>
    <sheet name="WPC б_э ПЛ" sheetId="5" r:id="rId20"/>
  </sheets>
  <definedNames>
    <definedName name="_FilterDatabase" localSheetId="19" hidden="1">'WPC б_э ПЛ'!$A$1:$T$3</definedName>
  </definedNames>
  <calcPr calcId="125725" refMode="R1C1"/>
</workbook>
</file>

<file path=xl/calcChain.xml><?xml version="1.0" encoding="utf-8"?>
<calcChain xmlns="http://schemas.openxmlformats.org/spreadsheetml/2006/main">
  <c r="M6" i="26"/>
  <c r="L6"/>
  <c r="E6"/>
  <c r="M9" i="25"/>
  <c r="L9"/>
  <c r="E9"/>
  <c r="M6"/>
  <c r="L6"/>
  <c r="E6"/>
  <c r="M9" i="24"/>
  <c r="L9"/>
  <c r="E9"/>
  <c r="M6"/>
  <c r="L6"/>
  <c r="E6"/>
  <c r="K9" i="23"/>
  <c r="J9"/>
  <c r="E9"/>
  <c r="K6"/>
  <c r="J6"/>
  <c r="E6"/>
  <c r="K11" i="22"/>
  <c r="J11"/>
  <c r="E11"/>
  <c r="K10"/>
  <c r="J10"/>
  <c r="E10"/>
  <c r="K7"/>
  <c r="J7"/>
  <c r="E7"/>
  <c r="K6"/>
  <c r="J6"/>
  <c r="E6"/>
  <c r="M13" i="21"/>
  <c r="L13"/>
  <c r="E13"/>
  <c r="M10"/>
  <c r="L10"/>
  <c r="E10"/>
  <c r="M9"/>
  <c r="L9"/>
  <c r="E9"/>
  <c r="M8"/>
  <c r="L8"/>
  <c r="E8"/>
  <c r="M7"/>
  <c r="L7"/>
  <c r="E7"/>
  <c r="M6"/>
  <c r="L6"/>
  <c r="E6"/>
  <c r="M22" i="20"/>
  <c r="L22"/>
  <c r="E22"/>
  <c r="M21"/>
  <c r="L21"/>
  <c r="E21"/>
  <c r="M18"/>
  <c r="L18"/>
  <c r="E18"/>
  <c r="M15"/>
  <c r="L15"/>
  <c r="E15"/>
  <c r="M12"/>
  <c r="L12"/>
  <c r="E12"/>
  <c r="M9"/>
  <c r="L9"/>
  <c r="E9"/>
  <c r="M6"/>
  <c r="L6"/>
  <c r="E6"/>
  <c r="M29" i="18"/>
  <c r="L29"/>
  <c r="E29"/>
  <c r="M26"/>
  <c r="L26"/>
  <c r="E26"/>
  <c r="M25"/>
  <c r="L25"/>
  <c r="E25"/>
  <c r="M22"/>
  <c r="L22"/>
  <c r="E22"/>
  <c r="M19"/>
  <c r="L19"/>
  <c r="E19"/>
  <c r="M16"/>
  <c r="L16"/>
  <c r="E16"/>
  <c r="M15"/>
  <c r="L15"/>
  <c r="E15"/>
  <c r="M12"/>
  <c r="L12"/>
  <c r="E12"/>
  <c r="M9"/>
  <c r="L9"/>
  <c r="E9"/>
  <c r="M6"/>
  <c r="L6"/>
  <c r="E6"/>
  <c r="M20" i="16"/>
  <c r="L20"/>
  <c r="E20"/>
  <c r="M19"/>
  <c r="L19"/>
  <c r="E19"/>
  <c r="M18"/>
  <c r="L18"/>
  <c r="E18"/>
  <c r="M17"/>
  <c r="L17"/>
  <c r="E17"/>
  <c r="M14"/>
  <c r="L14"/>
  <c r="E14"/>
  <c r="M13"/>
  <c r="L13"/>
  <c r="E13"/>
  <c r="M10"/>
  <c r="L10"/>
  <c r="E10"/>
  <c r="M9"/>
  <c r="L9"/>
  <c r="E9"/>
  <c r="M6"/>
  <c r="L6"/>
  <c r="E6"/>
  <c r="M6" i="15"/>
  <c r="L6"/>
  <c r="E6"/>
  <c r="M11" i="14"/>
  <c r="L11"/>
  <c r="E11"/>
  <c r="M8"/>
  <c r="L8"/>
  <c r="E8"/>
  <c r="M7"/>
  <c r="L7"/>
  <c r="E7"/>
  <c r="M6"/>
  <c r="L6"/>
  <c r="E6"/>
  <c r="M6" i="13"/>
  <c r="L6"/>
  <c r="E6"/>
  <c r="M36" i="12"/>
  <c r="L36"/>
  <c r="E36"/>
  <c r="M33"/>
  <c r="L33"/>
  <c r="E33"/>
  <c r="M30"/>
  <c r="L30"/>
  <c r="E30"/>
  <c r="M29"/>
  <c r="L29"/>
  <c r="E29"/>
  <c r="M26"/>
  <c r="L26"/>
  <c r="E26"/>
  <c r="M25"/>
  <c r="L25"/>
  <c r="E25"/>
  <c r="M24"/>
  <c r="L24"/>
  <c r="E24"/>
  <c r="M23"/>
  <c r="L23"/>
  <c r="E23"/>
  <c r="M20"/>
  <c r="L20"/>
  <c r="E20"/>
  <c r="M19"/>
  <c r="L19"/>
  <c r="E19"/>
  <c r="M18"/>
  <c r="L18"/>
  <c r="E18"/>
  <c r="M17"/>
  <c r="L17"/>
  <c r="E17"/>
  <c r="M14"/>
  <c r="L14"/>
  <c r="E14"/>
  <c r="M13"/>
  <c r="L13"/>
  <c r="E13"/>
  <c r="M10"/>
  <c r="L10"/>
  <c r="E10"/>
  <c r="M9"/>
  <c r="L9"/>
  <c r="E9"/>
  <c r="M6"/>
  <c r="L6"/>
  <c r="E6"/>
  <c r="U6" i="11"/>
  <c r="T6"/>
  <c r="E6"/>
  <c r="U13" i="10"/>
  <c r="T13"/>
  <c r="E13"/>
  <c r="U10"/>
  <c r="T10"/>
  <c r="E10"/>
  <c r="U9"/>
  <c r="T9"/>
  <c r="E9"/>
  <c r="U6"/>
  <c r="T6"/>
  <c r="E6"/>
  <c r="U30" i="9"/>
  <c r="T30"/>
  <c r="E30"/>
  <c r="U27"/>
  <c r="T27"/>
  <c r="E27"/>
  <c r="U24"/>
  <c r="T24"/>
  <c r="E24"/>
  <c r="U21"/>
  <c r="T21"/>
  <c r="E21"/>
  <c r="U18"/>
  <c r="T18"/>
  <c r="E18"/>
  <c r="U17"/>
  <c r="T17"/>
  <c r="E17"/>
  <c r="U14"/>
  <c r="T14"/>
  <c r="E14"/>
  <c r="U13"/>
  <c r="T13"/>
  <c r="E13"/>
  <c r="U10"/>
  <c r="T10"/>
  <c r="E10"/>
  <c r="U9"/>
  <c r="T9"/>
  <c r="E9"/>
  <c r="U6"/>
  <c r="T6"/>
  <c r="E6"/>
  <c r="M18" i="8"/>
  <c r="L18"/>
  <c r="E18"/>
  <c r="M17"/>
  <c r="L17"/>
  <c r="E17"/>
  <c r="M14"/>
  <c r="L14"/>
  <c r="E14"/>
  <c r="M11"/>
  <c r="L11"/>
  <c r="E11"/>
  <c r="M8"/>
  <c r="L8"/>
  <c r="E8"/>
  <c r="M7"/>
  <c r="L7"/>
  <c r="E7"/>
  <c r="M6"/>
  <c r="L6"/>
  <c r="E6"/>
  <c r="M27" i="7"/>
  <c r="L27"/>
  <c r="E27"/>
  <c r="M26"/>
  <c r="L26"/>
  <c r="E26"/>
  <c r="M23"/>
  <c r="L23"/>
  <c r="E23"/>
  <c r="M20"/>
  <c r="L20"/>
  <c r="E20"/>
  <c r="M19"/>
  <c r="L19"/>
  <c r="E19"/>
  <c r="M16"/>
  <c r="L16"/>
  <c r="E16"/>
  <c r="M15"/>
  <c r="L15"/>
  <c r="E15"/>
  <c r="M14"/>
  <c r="L14"/>
  <c r="E14"/>
  <c r="M13"/>
  <c r="L13"/>
  <c r="E13"/>
  <c r="M10"/>
  <c r="L10"/>
  <c r="E10"/>
  <c r="M9"/>
  <c r="L9"/>
  <c r="E9"/>
  <c r="M6"/>
  <c r="L6"/>
  <c r="E6"/>
  <c r="U12" i="6"/>
  <c r="T12"/>
  <c r="E12"/>
  <c r="U9"/>
  <c r="T9"/>
  <c r="E9"/>
  <c r="U6"/>
  <c r="T6"/>
  <c r="E6"/>
  <c r="U18" i="5"/>
  <c r="T18"/>
  <c r="E18"/>
  <c r="U15"/>
  <c r="T15"/>
  <c r="E15"/>
  <c r="U12"/>
  <c r="T12"/>
  <c r="E12"/>
  <c r="U9"/>
  <c r="T9"/>
  <c r="E9"/>
  <c r="U6"/>
  <c r="T6"/>
  <c r="E6"/>
</calcChain>
</file>

<file path=xl/sharedStrings.xml><?xml version="1.0" encoding="utf-8"?>
<sst xmlns="http://schemas.openxmlformats.org/spreadsheetml/2006/main" count="3277" uniqueCount="608">
  <si>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</si>
  <si>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</si>
  <si>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</si>
  <si>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</si>
  <si>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</si>
  <si>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</si>
  <si>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</si>
  <si>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</si>
  <si>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</si>
  <si>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</si>
  <si>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</si>
  <si>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Открытый Кубок "Черного моря"
WPC пауэрлифтинг без экипировки
Новороссийск/Краснодарский край 2 августа 2020 г.</t>
  </si>
  <si>
    <t>Gloss</t>
  </si>
  <si>
    <t>Приседание</t>
  </si>
  <si>
    <t>Жим лёжа</t>
  </si>
  <si>
    <t>Становая тяга</t>
  </si>
  <si>
    <t>ВЕСОВАЯ КАТЕГОРИЯ   60</t>
  </si>
  <si>
    <t>Варсовская Анжелика</t>
  </si>
  <si>
    <t>Ветераны 45 - 49 (15.06.1974)/46</t>
  </si>
  <si>
    <t>60,00</t>
  </si>
  <si>
    <t xml:space="preserve">Витязь </t>
  </si>
  <si>
    <t xml:space="preserve">Абинск/Краснодарский край </t>
  </si>
  <si>
    <t>60,0</t>
  </si>
  <si>
    <t>70,0</t>
  </si>
  <si>
    <t>77,5</t>
  </si>
  <si>
    <t>40,0</t>
  </si>
  <si>
    <t>45,0</t>
  </si>
  <si>
    <t>50,0</t>
  </si>
  <si>
    <t>95,0</t>
  </si>
  <si>
    <t>102,5</t>
  </si>
  <si>
    <t>110,0</t>
  </si>
  <si>
    <t xml:space="preserve"> </t>
  </si>
  <si>
    <t>ВЕСОВАЯ КАТЕГОРИЯ   67.5</t>
  </si>
  <si>
    <t>Серединцева Татьяна</t>
  </si>
  <si>
    <t>Открытая (01.06.1979)/41</t>
  </si>
  <si>
    <t>67,10</t>
  </si>
  <si>
    <t xml:space="preserve">Анапа/Краснодарский край </t>
  </si>
  <si>
    <t>105,0</t>
  </si>
  <si>
    <t>115,0</t>
  </si>
  <si>
    <t>130,0</t>
  </si>
  <si>
    <t>65,0</t>
  </si>
  <si>
    <t>75,0</t>
  </si>
  <si>
    <t>140,0</t>
  </si>
  <si>
    <t>145,0</t>
  </si>
  <si>
    <t xml:space="preserve">Медведева Ю. </t>
  </si>
  <si>
    <t>ВЕСОВАЯ КАТЕГОРИЯ   75</t>
  </si>
  <si>
    <t>Басков Федор</t>
  </si>
  <si>
    <t>Юноши 13 - 15 (10.11.2004)/15</t>
  </si>
  <si>
    <t>71,40</t>
  </si>
  <si>
    <t xml:space="preserve">Лично </t>
  </si>
  <si>
    <t xml:space="preserve">Геленджик/Краснодарский край </t>
  </si>
  <si>
    <t>150,0</t>
  </si>
  <si>
    <t>90,0</t>
  </si>
  <si>
    <t>100,0</t>
  </si>
  <si>
    <t>155,0</t>
  </si>
  <si>
    <t>ВЕСОВАЯ КАТЕГОРИЯ   100</t>
  </si>
  <si>
    <t>Виноградов Борис</t>
  </si>
  <si>
    <t>Ветераны 50 - 54 (23.11.1968)/51</t>
  </si>
  <si>
    <t>91,70</t>
  </si>
  <si>
    <t xml:space="preserve">Армавир/Краснодарский край </t>
  </si>
  <si>
    <t>180,0</t>
  </si>
  <si>
    <t>190,0</t>
  </si>
  <si>
    <t>195,0</t>
  </si>
  <si>
    <t>135,0</t>
  </si>
  <si>
    <t>210,0</t>
  </si>
  <si>
    <t>220,0</t>
  </si>
  <si>
    <t>ВЕСОВАЯ КАТЕГОРИЯ   110</t>
  </si>
  <si>
    <t>Кислицын Дмитрий</t>
  </si>
  <si>
    <t>Открытая (17.11.1980)/39</t>
  </si>
  <si>
    <t>108,40</t>
  </si>
  <si>
    <t xml:space="preserve">Джамбо </t>
  </si>
  <si>
    <t xml:space="preserve">Новороссийск/Краснодарский край </t>
  </si>
  <si>
    <t>170,0</t>
  </si>
  <si>
    <t>160,0</t>
  </si>
  <si>
    <t>250,0</t>
  </si>
  <si>
    <t>270,0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</si>
  <si>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</si>
  <si>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</si>
  <si>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</si>
  <si>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</si>
  <si>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</si>
  <si>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</si>
  <si>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</si>
  <si>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</si>
  <si>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67.5</t>
  </si>
  <si>
    <t>345,0</t>
  </si>
  <si>
    <t>311,8283</t>
  </si>
  <si>
    <t xml:space="preserve">Ветераны </t>
  </si>
  <si>
    <t xml:space="preserve">Ветераны 45 - 49 </t>
  </si>
  <si>
    <t>60</t>
  </si>
  <si>
    <t>237,5</t>
  </si>
  <si>
    <t>250,5047</t>
  </si>
  <si>
    <t xml:space="preserve">Мужчины </t>
  </si>
  <si>
    <t xml:space="preserve">Юноши </t>
  </si>
  <si>
    <t xml:space="preserve">Юноши 13 - 15 </t>
  </si>
  <si>
    <t>75</t>
  </si>
  <si>
    <t>405,0</t>
  </si>
  <si>
    <t>289,5143</t>
  </si>
  <si>
    <t>110</t>
  </si>
  <si>
    <t>600,0</t>
  </si>
  <si>
    <t>338,9100</t>
  </si>
  <si>
    <t xml:space="preserve">Ветераны 50 - 54 </t>
  </si>
  <si>
    <t>100</t>
  </si>
  <si>
    <t>550,0</t>
  </si>
  <si>
    <t>382,1374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</si>
  <si>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</si>
  <si>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</si>
  <si>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</si>
  <si>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</si>
  <si>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24(12+12) </t>
  </si>
  <si>
    <t xml:space="preserve">Серединцева Татьяна, Варсовская Анжелика </t>
  </si>
  <si>
    <t xml:space="preserve">12(12) </t>
  </si>
  <si>
    <t xml:space="preserve">Кислицын Дмитрий </t>
  </si>
  <si>
    <t>1</t>
  </si>
  <si>
    <t/>
  </si>
  <si>
    <t>Место</t>
  </si>
  <si>
    <t>Открытый Кубок "Черного моря"
WPC классичесический пауэрлифтинг
Новороссийск/Краснодарский край 2 августа 2020 г.</t>
  </si>
  <si>
    <t>Морозова Марина</t>
  </si>
  <si>
    <t>Открытая (09.10.1978)/41</t>
  </si>
  <si>
    <t>74,60</t>
  </si>
  <si>
    <t xml:space="preserve">Волгоград/Волгоградская область </t>
  </si>
  <si>
    <t>107,0</t>
  </si>
  <si>
    <t>200,0</t>
  </si>
  <si>
    <t>Подобай Роман</t>
  </si>
  <si>
    <t>Юниоры 20 - 23 (24.06.1998)/22</t>
  </si>
  <si>
    <t>96,60</t>
  </si>
  <si>
    <t xml:space="preserve">mekhtiew team </t>
  </si>
  <si>
    <t xml:space="preserve">Ростов-на-Дону/Ростовская область </t>
  </si>
  <si>
    <t>240,0</t>
  </si>
  <si>
    <t>255,0</t>
  </si>
  <si>
    <t>187,5</t>
  </si>
  <si>
    <t>280,0</t>
  </si>
  <si>
    <t>295,0</t>
  </si>
  <si>
    <t>310,0</t>
  </si>
  <si>
    <t xml:space="preserve">Мехтиев Ромик </t>
  </si>
  <si>
    <t>ВЕСОВАЯ КАТЕГОРИЯ   125</t>
  </si>
  <si>
    <t>Шутяев Ярослав</t>
  </si>
  <si>
    <t>Открытая (13.05.1990)/30</t>
  </si>
  <si>
    <t>115,50</t>
  </si>
  <si>
    <t>205,0</t>
  </si>
  <si>
    <t>300,0</t>
  </si>
  <si>
    <t xml:space="preserve">Мехтиев Р.К. </t>
  </si>
  <si>
    <t xml:space="preserve">Юниоры </t>
  </si>
  <si>
    <t xml:space="preserve">Юниоры 20 - 23 </t>
  </si>
  <si>
    <t>737,5</t>
  </si>
  <si>
    <t>435,2725</t>
  </si>
  <si>
    <t xml:space="preserve">Подобай Роман </t>
  </si>
  <si>
    <t>-</t>
  </si>
  <si>
    <t>Открытый Кубок "Черного моря"
WPC жим лежа без экипировки
Новороссийск/Краснодарский край 2 августа 2020 г.</t>
  </si>
  <si>
    <t>Гребенченко Анастасия</t>
  </si>
  <si>
    <t>Открытая (23.02.1993)/27</t>
  </si>
  <si>
    <t>61,30</t>
  </si>
  <si>
    <t>72,5</t>
  </si>
  <si>
    <t>Александров Дмитрий</t>
  </si>
  <si>
    <t>Открытая (27.12.1979)/40</t>
  </si>
  <si>
    <t>74,20</t>
  </si>
  <si>
    <t xml:space="preserve">Анапа </t>
  </si>
  <si>
    <t>165,0</t>
  </si>
  <si>
    <t>175,0</t>
  </si>
  <si>
    <t>Ветераны 40 - 44 (27.12.1979)/40</t>
  </si>
  <si>
    <t>ВЕСОВАЯ КАТЕГОРИЯ   82.5</t>
  </si>
  <si>
    <t>Гончаренко Алексей</t>
  </si>
  <si>
    <t>Открытая (24.03.1981)/39</t>
  </si>
  <si>
    <t>81,40</t>
  </si>
  <si>
    <t xml:space="preserve">Азов/Ростовская область </t>
  </si>
  <si>
    <t>185,0</t>
  </si>
  <si>
    <t>Музыченко Павел</t>
  </si>
  <si>
    <t>Открытая (30.05.1980)/40</t>
  </si>
  <si>
    <t>81,70</t>
  </si>
  <si>
    <t>162,5</t>
  </si>
  <si>
    <t>Гончаренко Михаил</t>
  </si>
  <si>
    <t>Ветераны 40 - 44 (11.08.1977)/42</t>
  </si>
  <si>
    <t>79,20</t>
  </si>
  <si>
    <t>182,5</t>
  </si>
  <si>
    <t>Ветераны 40 - 44 (30.05.1980)/40</t>
  </si>
  <si>
    <t>ВЕСОВАЯ КАТЕГОРИЯ   90</t>
  </si>
  <si>
    <t>Ибрагимов Асан</t>
  </si>
  <si>
    <t>Открытая (04.12.1987)/32</t>
  </si>
  <si>
    <t>89,70</t>
  </si>
  <si>
    <t xml:space="preserve">Серяк П. </t>
  </si>
  <si>
    <t>Войтех Александр</t>
  </si>
  <si>
    <t>Открытая (02.09.1986)/33</t>
  </si>
  <si>
    <t>88,10</t>
  </si>
  <si>
    <t xml:space="preserve">Темрюк/Краснодарский край </t>
  </si>
  <si>
    <t>120,0</t>
  </si>
  <si>
    <t>125,0</t>
  </si>
  <si>
    <t xml:space="preserve">Александров А. </t>
  </si>
  <si>
    <t>Брехов Сергей</t>
  </si>
  <si>
    <t>Открытая (18.01.1986)/34</t>
  </si>
  <si>
    <t>99,50</t>
  </si>
  <si>
    <t xml:space="preserve">Центр тяжести </t>
  </si>
  <si>
    <t xml:space="preserve">Славянск-на-Кубани/Краснодарский край </t>
  </si>
  <si>
    <t xml:space="preserve">Сорокотягин Виталий </t>
  </si>
  <si>
    <t>Брехов Павел</t>
  </si>
  <si>
    <t>109,00</t>
  </si>
  <si>
    <t>197,5</t>
  </si>
  <si>
    <t>Дьячков Руслан</t>
  </si>
  <si>
    <t>Открытая (01.05.1994)/26</t>
  </si>
  <si>
    <t>106,90</t>
  </si>
  <si>
    <t>67,9560</t>
  </si>
  <si>
    <t>82.5</t>
  </si>
  <si>
    <t>120,2963</t>
  </si>
  <si>
    <t>114,5100</t>
  </si>
  <si>
    <t>90</t>
  </si>
  <si>
    <t>110,3400</t>
  </si>
  <si>
    <t xml:space="preserve">Ветераны 40 - 44 </t>
  </si>
  <si>
    <t>123,2965</t>
  </si>
  <si>
    <t>110,2790</t>
  </si>
  <si>
    <t xml:space="preserve">Александров Дмитрий, Александров Дмитрий </t>
  </si>
  <si>
    <t xml:space="preserve">Гребенченко Анастасия </t>
  </si>
  <si>
    <t xml:space="preserve">Брехов Павел </t>
  </si>
  <si>
    <t xml:space="preserve">Ибрагимов Асан </t>
  </si>
  <si>
    <t>Результат</t>
  </si>
  <si>
    <t>2</t>
  </si>
  <si>
    <t>Открытый Кубок "Черного моря"
WPC жим лежа в стандартной софт экипировке
Новороссийск/Краснодарский край 2 августа 2020 г.</t>
  </si>
  <si>
    <t>Медведева Юлия</t>
  </si>
  <si>
    <t>Открытая (08.07.1979)/41</t>
  </si>
  <si>
    <t>75,00</t>
  </si>
  <si>
    <t>207,5</t>
  </si>
  <si>
    <t xml:space="preserve">Шунских Ю.В. </t>
  </si>
  <si>
    <t>Ветераны 40 - 44 (08.07.1979)/41</t>
  </si>
  <si>
    <t>Северов Михаил</t>
  </si>
  <si>
    <t>Ветераны 40 - 44 (26.12.1975)/44</t>
  </si>
  <si>
    <t>86,10</t>
  </si>
  <si>
    <t>230,0</t>
  </si>
  <si>
    <t>Борисов Сергей</t>
  </si>
  <si>
    <t>Открытая (05.05.1994)/26</t>
  </si>
  <si>
    <t>97,00</t>
  </si>
  <si>
    <t>235,0</t>
  </si>
  <si>
    <t>245,0</t>
  </si>
  <si>
    <t>Сорокотягин Виталий</t>
  </si>
  <si>
    <t>Открытая (28.05.1981)/39</t>
  </si>
  <si>
    <t>117,00</t>
  </si>
  <si>
    <t>360,0</t>
  </si>
  <si>
    <t>370,0</t>
  </si>
  <si>
    <t>Морозов Алексей</t>
  </si>
  <si>
    <t>Ветераны 40 - 44 (11.04.1979)/41</t>
  </si>
  <si>
    <t>123,20</t>
  </si>
  <si>
    <t>330,0</t>
  </si>
  <si>
    <t>183,9420</t>
  </si>
  <si>
    <t>185,7814</t>
  </si>
  <si>
    <t>125</t>
  </si>
  <si>
    <t>199,4580</t>
  </si>
  <si>
    <t>138,4385</t>
  </si>
  <si>
    <t>171,4379</t>
  </si>
  <si>
    <t>150,5789</t>
  </si>
  <si>
    <t xml:space="preserve">48(12+12+12+12) </t>
  </si>
  <si>
    <t xml:space="preserve">Северов Михаил, Борисов Сергей, Морозов Алексей, Сорокотягин Виталий </t>
  </si>
  <si>
    <t xml:space="preserve">Медведева Юлия, Медведева Юлия </t>
  </si>
  <si>
    <t>Открытый Кубок "Черного моря"
AWPC пауэрлифтинг без экипировки
Новороссийск/Краснодарский край 2 августа 2020 г.</t>
  </si>
  <si>
    <t>ВЕСОВАЯ КАТЕГОРИЯ   44</t>
  </si>
  <si>
    <t>Базыльникова Кристина</t>
  </si>
  <si>
    <t>Открытая (07.08.1989)/30</t>
  </si>
  <si>
    <t>42,90</t>
  </si>
  <si>
    <t>47,5</t>
  </si>
  <si>
    <t>52,5</t>
  </si>
  <si>
    <t>57,5</t>
  </si>
  <si>
    <t>35,0</t>
  </si>
  <si>
    <t>37,5</t>
  </si>
  <si>
    <t>82,5</t>
  </si>
  <si>
    <t>87,5</t>
  </si>
  <si>
    <t>ВЕСОВАЯ КАТЕГОРИЯ   52</t>
  </si>
  <si>
    <t>Павленко Вероника</t>
  </si>
  <si>
    <t>Девушки 16 - 17 (14.10.2003)/16</t>
  </si>
  <si>
    <t>51,80</t>
  </si>
  <si>
    <t xml:space="preserve">Бомонд </t>
  </si>
  <si>
    <t xml:space="preserve">Новочеркасск/Ростовская область </t>
  </si>
  <si>
    <t>80,0</t>
  </si>
  <si>
    <t>62,5</t>
  </si>
  <si>
    <t>107,5</t>
  </si>
  <si>
    <t xml:space="preserve">Пахучий Александр </t>
  </si>
  <si>
    <t>Открытая (14.10.2003)/16</t>
  </si>
  <si>
    <t>ВЕСОВАЯ КАТЕГОРИЯ   56</t>
  </si>
  <si>
    <t>Пахучая Арина</t>
  </si>
  <si>
    <t>Девушки 13 - 15 (11.01.2007)/13</t>
  </si>
  <si>
    <t>54,90</t>
  </si>
  <si>
    <t>Махновская Тамара</t>
  </si>
  <si>
    <t>Открытая (18.05.1985)/35</t>
  </si>
  <si>
    <t>55,80</t>
  </si>
  <si>
    <t>67,5</t>
  </si>
  <si>
    <t>42,5</t>
  </si>
  <si>
    <t>97,5</t>
  </si>
  <si>
    <t>Будаковская Екатерина</t>
  </si>
  <si>
    <t>Открытая (05.02.1982)/38</t>
  </si>
  <si>
    <t>63,80</t>
  </si>
  <si>
    <t>55,0</t>
  </si>
  <si>
    <t>Мутьева Дареджан</t>
  </si>
  <si>
    <t>Ветераны 40 - 44 (12.02.1979)/41</t>
  </si>
  <si>
    <t>65,90</t>
  </si>
  <si>
    <t xml:space="preserve">Крымск/Краснодарский край </t>
  </si>
  <si>
    <t xml:space="preserve">Соболь Андрей </t>
  </si>
  <si>
    <t>Камалов Ислам</t>
  </si>
  <si>
    <t>Открытая (07.03.1994)/26</t>
  </si>
  <si>
    <t>74,50</t>
  </si>
  <si>
    <t>215,0</t>
  </si>
  <si>
    <t>Лазаренко Владимир</t>
  </si>
  <si>
    <t>Открытая (13.04.1984)/36</t>
  </si>
  <si>
    <t>81,80</t>
  </si>
  <si>
    <t xml:space="preserve">Ставрополь/Ставропольский край </t>
  </si>
  <si>
    <t xml:space="preserve">Сухобок М.Л. </t>
  </si>
  <si>
    <t>Шевченко Алексей</t>
  </si>
  <si>
    <t>Открытая (23.06.1984)/36</t>
  </si>
  <si>
    <t>103,30</t>
  </si>
  <si>
    <t>260,0</t>
  </si>
  <si>
    <t>Жданов Павел</t>
  </si>
  <si>
    <t>Открытая (03.12.1980)/39</t>
  </si>
  <si>
    <t>119,50</t>
  </si>
  <si>
    <t xml:space="preserve">Геленджик </t>
  </si>
  <si>
    <t>290,0</t>
  </si>
  <si>
    <t>305,0</t>
  </si>
  <si>
    <t xml:space="preserve">Девушки </t>
  </si>
  <si>
    <t xml:space="preserve">Юноши 16 - 17 </t>
  </si>
  <si>
    <t>52</t>
  </si>
  <si>
    <t>299,9700</t>
  </si>
  <si>
    <t>56</t>
  </si>
  <si>
    <t>220,0745</t>
  </si>
  <si>
    <t>291,5240</t>
  </si>
  <si>
    <t>44</t>
  </si>
  <si>
    <t>177,5</t>
  </si>
  <si>
    <t>227,3598</t>
  </si>
  <si>
    <t>212,5</t>
  </si>
  <si>
    <t>163,9735</t>
  </si>
  <si>
    <t>755,0</t>
  </si>
  <si>
    <t>416,3448</t>
  </si>
  <si>
    <t>610,0</t>
  </si>
  <si>
    <t>350,1400</t>
  </si>
  <si>
    <t>455,0</t>
  </si>
  <si>
    <t>314,8373</t>
  </si>
  <si>
    <t xml:space="preserve">Пахучая Арина, Павленко Вероника, Павленко Вероника, Будаковская Екатерина </t>
  </si>
  <si>
    <t xml:space="preserve">Махновская Тамара, Базыльникова Кристина </t>
  </si>
  <si>
    <t xml:space="preserve">Жданов Павел </t>
  </si>
  <si>
    <t>Открытый Кубок "Черного моря"
AWPC классичесический пауэрлифтинг
Новороссийск/Краснодарский край 2 августа 2020 г.</t>
  </si>
  <si>
    <t>Пахучая Оксана</t>
  </si>
  <si>
    <t>Открытая (19.09.1978)/41</t>
  </si>
  <si>
    <t>59,60</t>
  </si>
  <si>
    <t>Пахучий Даниил</t>
  </si>
  <si>
    <t>Юноши 18 - 19 (12.09.2001)/18</t>
  </si>
  <si>
    <t>77,60</t>
  </si>
  <si>
    <t>127,5</t>
  </si>
  <si>
    <t>Зозин Илья</t>
  </si>
  <si>
    <t>Открытая (05.07.1985)/35</t>
  </si>
  <si>
    <t>80,20</t>
  </si>
  <si>
    <t xml:space="preserve">Фламинго </t>
  </si>
  <si>
    <t xml:space="preserve">Дадонов М. </t>
  </si>
  <si>
    <t>Пахучий Александр</t>
  </si>
  <si>
    <t>Открытая (24.04.1978)/42</t>
  </si>
  <si>
    <t>109,50</t>
  </si>
  <si>
    <t>327,6735</t>
  </si>
  <si>
    <t xml:space="preserve">Юноши 18 - 19 </t>
  </si>
  <si>
    <t>557,5</t>
  </si>
  <si>
    <t>374,5285</t>
  </si>
  <si>
    <t>815,0</t>
  </si>
  <si>
    <t>459,0080</t>
  </si>
  <si>
    <t>265,9635</t>
  </si>
  <si>
    <t xml:space="preserve">36(12+12+12) </t>
  </si>
  <si>
    <t xml:space="preserve">Пахучий Даниил, Пахучая Оксана, Пахучий Александр </t>
  </si>
  <si>
    <t xml:space="preserve">Зозин Илья </t>
  </si>
  <si>
    <t>Открытый Кубок "Черного моря"
AWPC пауэрлифтинг в однослойной экипировке
Новороссийск/Краснодарский край 2 августа 2020 г.</t>
  </si>
  <si>
    <t>Кулибаев Арман</t>
  </si>
  <si>
    <t>Открытая (18.01.1983)/37</t>
  </si>
  <si>
    <t xml:space="preserve">Фит Зон </t>
  </si>
  <si>
    <t>247,5</t>
  </si>
  <si>
    <t>647,5</t>
  </si>
  <si>
    <t>445,8361</t>
  </si>
  <si>
    <t xml:space="preserve">Кулибаев Арман </t>
  </si>
  <si>
    <t>Открытый Кубок "Черного моря"
AWPC жим лежа без экипировки
Новороссийск/Краснодарский край 2 августа 2020 г.</t>
  </si>
  <si>
    <t>ВЕСОВАЯ КАТЕГОРИЯ   48</t>
  </si>
  <si>
    <t>Тишина Ирина</t>
  </si>
  <si>
    <t>Открытая (05.10.1978)/41</t>
  </si>
  <si>
    <t>47,70</t>
  </si>
  <si>
    <t xml:space="preserve">Краснодар/Краснодарский край </t>
  </si>
  <si>
    <t>Жуковский Владимир</t>
  </si>
  <si>
    <t>Открытая (15.05.1991)/29</t>
  </si>
  <si>
    <t>73,50</t>
  </si>
  <si>
    <t xml:space="preserve">Янис Калайчев </t>
  </si>
  <si>
    <t>Соломахин Александр</t>
  </si>
  <si>
    <t>Открытая (27.06.1984)/36</t>
  </si>
  <si>
    <t>73,90</t>
  </si>
  <si>
    <t>Страженко Евгений</t>
  </si>
  <si>
    <t>Открытая (03.12.1982)/37</t>
  </si>
  <si>
    <t>80,50</t>
  </si>
  <si>
    <t xml:space="preserve">Стимул </t>
  </si>
  <si>
    <t>147,5</t>
  </si>
  <si>
    <t>152,5</t>
  </si>
  <si>
    <t>Александров Андрей</t>
  </si>
  <si>
    <t>Открытая (12.11.1988)/31</t>
  </si>
  <si>
    <t>80,80</t>
  </si>
  <si>
    <t>Мартыненко Иван</t>
  </si>
  <si>
    <t>Открытая (19.10.1988)/31</t>
  </si>
  <si>
    <t>82,50</t>
  </si>
  <si>
    <t xml:space="preserve">Новошахтинск/Ростовская область </t>
  </si>
  <si>
    <t>Василяка Алексей</t>
  </si>
  <si>
    <t>Ветераны 45 - 49 (11.12.1973)/46</t>
  </si>
  <si>
    <t>81,30</t>
  </si>
  <si>
    <t>Жданов Владислав</t>
  </si>
  <si>
    <t>Юноши 16 - 17 (10.01.2003)/17</t>
  </si>
  <si>
    <t>117,5</t>
  </si>
  <si>
    <t>132,5</t>
  </si>
  <si>
    <t>Фахретдинов Дмитрий</t>
  </si>
  <si>
    <t>Открытая (22.10.1992)/27</t>
  </si>
  <si>
    <t>88,70</t>
  </si>
  <si>
    <t>192,5</t>
  </si>
  <si>
    <t>Федоров Евгений</t>
  </si>
  <si>
    <t>Открытая (04.03.1996)/24</t>
  </si>
  <si>
    <t>87,10</t>
  </si>
  <si>
    <t xml:space="preserve">Пермь/Пермский край </t>
  </si>
  <si>
    <t>122,5</t>
  </si>
  <si>
    <t xml:space="preserve">Грицаенко Д. </t>
  </si>
  <si>
    <t>Гордиенко Илья</t>
  </si>
  <si>
    <t>Открытая (22.10.1994)/25</t>
  </si>
  <si>
    <t>88,40</t>
  </si>
  <si>
    <t xml:space="preserve">Фахретдинов </t>
  </si>
  <si>
    <t>Керн Эдуард</t>
  </si>
  <si>
    <t>Открытая (21.09.1990)/29</t>
  </si>
  <si>
    <t>95,90</t>
  </si>
  <si>
    <t xml:space="preserve">Староминская/Краснодарский край </t>
  </si>
  <si>
    <t>Шульга Олег</t>
  </si>
  <si>
    <t>Открытая (22.01.1979)/41</t>
  </si>
  <si>
    <t>100,00</t>
  </si>
  <si>
    <t>Наджа Дмитрий</t>
  </si>
  <si>
    <t>Ветераны 40 - 44 (10.10.1975)/44</t>
  </si>
  <si>
    <t>105,00</t>
  </si>
  <si>
    <t xml:space="preserve">Спортклуб "Гидрант" </t>
  </si>
  <si>
    <t>ВЕСОВАЯ КАТЕГОРИЯ   140</t>
  </si>
  <si>
    <t>Чубаров Владимир</t>
  </si>
  <si>
    <t>Открытая (03.04.1964)/56</t>
  </si>
  <si>
    <t>129,00</t>
  </si>
  <si>
    <t xml:space="preserve">Динамо-32 - ОСН Сатурн </t>
  </si>
  <si>
    <t xml:space="preserve">Москва </t>
  </si>
  <si>
    <t>69,4375</t>
  </si>
  <si>
    <t>48</t>
  </si>
  <si>
    <t>76,9990</t>
  </si>
  <si>
    <t>81,2225</t>
  </si>
  <si>
    <t>114,1173</t>
  </si>
  <si>
    <t>99,8951</t>
  </si>
  <si>
    <t>140</t>
  </si>
  <si>
    <t>89,3178</t>
  </si>
  <si>
    <t>101,1819</t>
  </si>
  <si>
    <t>83,4065</t>
  </si>
  <si>
    <t xml:space="preserve">Павленко Вероника, Павленко Вероника </t>
  </si>
  <si>
    <t xml:space="preserve">Чубаров Владимир </t>
  </si>
  <si>
    <t xml:space="preserve">Наджа Дмитрий </t>
  </si>
  <si>
    <t xml:space="preserve">Страженко Евгений </t>
  </si>
  <si>
    <t>3</t>
  </si>
  <si>
    <t>Открытый Кубок "Черного моря"
AWPC жим стоя
Новороссийск/Краснодарский край 2 августа 2020 г.</t>
  </si>
  <si>
    <t>Жим стоя</t>
  </si>
  <si>
    <t>82,30</t>
  </si>
  <si>
    <t>85,0</t>
  </si>
  <si>
    <t>Открытый Кубок "Черного моря"
WPC жим стоя
Новороссийск/Краснодарский край 2 августа 2020 г.</t>
  </si>
  <si>
    <t>59,5665</t>
  </si>
  <si>
    <t>54,7910</t>
  </si>
  <si>
    <t>47,0307</t>
  </si>
  <si>
    <t xml:space="preserve">21(9+12) </t>
  </si>
  <si>
    <t xml:space="preserve">Музыченко Павел, Музыченко Павел </t>
  </si>
  <si>
    <t>Открытый Кубок "Черного моря"
AWPC жим лежа в стандартной софт экипировке
Новороссийск/Краснодарский край 2 августа 2020 г.</t>
  </si>
  <si>
    <t>Мельник Анатолий</t>
  </si>
  <si>
    <t>Открытая (09.12.1992)/27</t>
  </si>
  <si>
    <t>133,9865</t>
  </si>
  <si>
    <t xml:space="preserve">Мельник Анатолий </t>
  </si>
  <si>
    <t>Открытый Кубок "Черного моря"
WPC тяга становая без экипировки
Новороссийск/Краснодарский край 2 августа 2020 г.</t>
  </si>
  <si>
    <t>Слободенюк Лада</t>
  </si>
  <si>
    <t>Девушки 13 - 15 (24.12.2004)/15</t>
  </si>
  <si>
    <t>54,40</t>
  </si>
  <si>
    <t xml:space="preserve">Сиряк Павел </t>
  </si>
  <si>
    <t>Гребенников Владислав</t>
  </si>
  <si>
    <t>Юноши 16 - 17 (05.06.2003)/17</t>
  </si>
  <si>
    <t>79,80</t>
  </si>
  <si>
    <t>Аксенов Евгений</t>
  </si>
  <si>
    <t>Открытая (22.07.1992)/28</t>
  </si>
  <si>
    <t>80,40</t>
  </si>
  <si>
    <t>Соловьев Владимир</t>
  </si>
  <si>
    <t>Юниоры 20 - 23 (17.01.1997)/23</t>
  </si>
  <si>
    <t>86,50</t>
  </si>
  <si>
    <t>Кисель Александр</t>
  </si>
  <si>
    <t>Открытая (02.03.1982)/38</t>
  </si>
  <si>
    <t>83,40</t>
  </si>
  <si>
    <t>Романченко Сергей</t>
  </si>
  <si>
    <t>Открытая (08.03.1992)/28</t>
  </si>
  <si>
    <t>Сиряк Павел</t>
  </si>
  <si>
    <t>Открытая (14.06.1986)/34</t>
  </si>
  <si>
    <t>106,70</t>
  </si>
  <si>
    <t>285,0</t>
  </si>
  <si>
    <t>Захаров Владимир</t>
  </si>
  <si>
    <t>Ветераны 65 - 69 (07.07.1955)/65</t>
  </si>
  <si>
    <t>100,10</t>
  </si>
  <si>
    <t>96,1560</t>
  </si>
  <si>
    <t>108,7267</t>
  </si>
  <si>
    <t>112,6710</t>
  </si>
  <si>
    <t>165,4885</t>
  </si>
  <si>
    <t>161,7803</t>
  </si>
  <si>
    <t>147,2345</t>
  </si>
  <si>
    <t xml:space="preserve">Ветераны 65 - 69 </t>
  </si>
  <si>
    <t>176,2906</t>
  </si>
  <si>
    <t xml:space="preserve">45(12+12+12+9) </t>
  </si>
  <si>
    <t xml:space="preserve">Слободенюк Лада, Аксенов Евгений, Соловьев Владимир, Сиряк Павел </t>
  </si>
  <si>
    <t xml:space="preserve">Захаров Владимир, Гребенников Владислав </t>
  </si>
  <si>
    <t xml:space="preserve">Романченко Сергей </t>
  </si>
  <si>
    <t>Открытый Кубок "Черного моря"
AWPC тяга становая без экипировки
Новороссийск/Краснодарский край 2 августа 2020 г.</t>
  </si>
  <si>
    <t>Мещеряков Антон</t>
  </si>
  <si>
    <t>Открытая (25.06.1990)/30</t>
  </si>
  <si>
    <t>54,10</t>
  </si>
  <si>
    <t>142,5</t>
  </si>
  <si>
    <t xml:space="preserve">Афанасьев Иван </t>
  </si>
  <si>
    <t>Открытая (12.09.2001)/18</t>
  </si>
  <si>
    <t>222,5</t>
  </si>
  <si>
    <t>Бурдужук Александр</t>
  </si>
  <si>
    <t>Открытая (28.04.1993)/27</t>
  </si>
  <si>
    <t>107,20</t>
  </si>
  <si>
    <t>275,0</t>
  </si>
  <si>
    <t>148,9425</t>
  </si>
  <si>
    <t>141,0600</t>
  </si>
  <si>
    <t>136,3925</t>
  </si>
  <si>
    <t>174,5920</t>
  </si>
  <si>
    <t>168,1923</t>
  </si>
  <si>
    <t>147,7960</t>
  </si>
  <si>
    <t xml:space="preserve">Пахучий Даниил, Пахучая Оксана, Пахучий Александр, Будаковская Екатерина </t>
  </si>
  <si>
    <t>Открытый Кубок "Черного моря"
AWPC строгий подъем на бицепс
Новороссийск/Краснодарский край 2 августа 2020 г.</t>
  </si>
  <si>
    <t>Подъем на бицепс</t>
  </si>
  <si>
    <t>20,0</t>
  </si>
  <si>
    <t>25,0</t>
  </si>
  <si>
    <t>27,5</t>
  </si>
  <si>
    <t>Девушки 18 - 19 (27.02.2002)/18</t>
  </si>
  <si>
    <t>57,30</t>
  </si>
  <si>
    <t xml:space="preserve">Новосибирск/Новосибирская область </t>
  </si>
  <si>
    <t>30,0</t>
  </si>
  <si>
    <t>Крюкова Ксения</t>
  </si>
  <si>
    <t>Открытая (30.04.1984)/36</t>
  </si>
  <si>
    <t>63,10</t>
  </si>
  <si>
    <t xml:space="preserve">Башкатова В.С. </t>
  </si>
  <si>
    <t>Лопин Николай</t>
  </si>
  <si>
    <t>Открытая (11.07.1983)/37</t>
  </si>
  <si>
    <t>57,00</t>
  </si>
  <si>
    <t>53,0</t>
  </si>
  <si>
    <t xml:space="preserve">Балашов А. </t>
  </si>
  <si>
    <t>30,7440</t>
  </si>
  <si>
    <t>35,5744</t>
  </si>
  <si>
    <t>32,0225</t>
  </si>
  <si>
    <t>46,0136</t>
  </si>
  <si>
    <t>41,8990</t>
  </si>
  <si>
    <t>38,2883</t>
  </si>
  <si>
    <t>36,4904</t>
  </si>
  <si>
    <t xml:space="preserve">Медведева Юлия, Крюкова Ксения, Базыльникова Кристина </t>
  </si>
  <si>
    <t xml:space="preserve">Лопин Николай </t>
  </si>
  <si>
    <t>Открытый Кубок "Черного моря"
WPC строгий подъем на бицепс
Новороссийск/Краснодарский край 2 августа 2020 г.</t>
  </si>
  <si>
    <t>Ходжаев Руслан</t>
  </si>
  <si>
    <t>Ветераны 40 - 44 (19.06.1980)/40</t>
  </si>
  <si>
    <t>78,40</t>
  </si>
  <si>
    <t>Датуашвили Игорь</t>
  </si>
  <si>
    <t>Открытая (26.07.1986)/34</t>
  </si>
  <si>
    <t>87,30</t>
  </si>
  <si>
    <t>40,5437</t>
  </si>
  <si>
    <t>40,4690</t>
  </si>
  <si>
    <t>36,6850</t>
  </si>
  <si>
    <t xml:space="preserve">Датуашвили Игорь </t>
  </si>
  <si>
    <t>Открытый Кубок "Черного моря"
WPC Народный жим (1 вес)
Новороссийск/Краснодарский край 2 августа 2020 г.</t>
  </si>
  <si>
    <t>Народный жим</t>
  </si>
  <si>
    <t>Ветераны 40 - 49 (08.07.1979)/41</t>
  </si>
  <si>
    <t>46,0</t>
  </si>
  <si>
    <t>Ветераны 40 - 49 (30.05.1980)/40</t>
  </si>
  <si>
    <t>2250,0</t>
  </si>
  <si>
    <t>1881,2250</t>
  </si>
  <si>
    <t xml:space="preserve">Ветераны 40 - 49 </t>
  </si>
  <si>
    <t>1900,0372</t>
  </si>
  <si>
    <t>3795,0</t>
  </si>
  <si>
    <t>2461,8165</t>
  </si>
  <si>
    <t>Открытый Кубок "Черного моря"
AWPC Народный жим (1 вес)
Новороссийск/Краснодарский край 2 августа 2020 г.</t>
  </si>
  <si>
    <t>Лисачёв Павел</t>
  </si>
  <si>
    <t>Ветераны 40 - 49 (29.11.1979)/40</t>
  </si>
  <si>
    <t>88,50</t>
  </si>
  <si>
    <t>36,0</t>
  </si>
  <si>
    <t>3240,0</t>
  </si>
  <si>
    <t>2001,3479</t>
  </si>
  <si>
    <t>Открытый Кубок "Черного моря"
«Русская рулетка»
Новороссийск/Краснодарский край 2 августа 2020 г.</t>
  </si>
  <si>
    <t>Тяга</t>
  </si>
  <si>
    <t>ВЕСОВАЯ КАТЕГОРИЯ   80</t>
  </si>
  <si>
    <t>Мастера 40+ (19.06.1980)/40</t>
  </si>
  <si>
    <t>45,5</t>
  </si>
  <si>
    <t>50,5</t>
  </si>
  <si>
    <t>55,5</t>
  </si>
  <si>
    <t>58,0</t>
  </si>
  <si>
    <t>63,0</t>
  </si>
  <si>
    <t>70,5</t>
  </si>
  <si>
    <t>78,0</t>
  </si>
  <si>
    <t>41,7536</t>
  </si>
  <si>
    <t xml:space="preserve">Мастера </t>
  </si>
  <si>
    <t xml:space="preserve">Мастера 40+ </t>
  </si>
  <si>
    <t>80</t>
  </si>
  <si>
    <t>38,6860</t>
  </si>
  <si>
    <t>Открытый Кубок "Черного моря"
«Русская ось»
Новороссийск/Краснодарский край 2 августа 2020 г.</t>
  </si>
  <si>
    <t>Трапизонян Саркис</t>
  </si>
  <si>
    <t>Мастера 40+ (26.06.1967)/53</t>
  </si>
  <si>
    <t>73,40</t>
  </si>
  <si>
    <t xml:space="preserve">Ярый </t>
  </si>
  <si>
    <t>Шеин Александр</t>
  </si>
  <si>
    <t>Мастера 40+ (10.12.1954)/65</t>
  </si>
  <si>
    <t>116,60</t>
  </si>
  <si>
    <t>172,5</t>
  </si>
  <si>
    <t>141,5638</t>
  </si>
  <si>
    <t>107,7055</t>
  </si>
  <si>
    <t xml:space="preserve">Трапизонян Саркис </t>
  </si>
  <si>
    <t>Открытый Кубок "Черного моря"
«Эскалибур»
Новороссийск/Краснодарский край 2 августа 2020 г.</t>
  </si>
  <si>
    <t>66,2803</t>
  </si>
  <si>
    <t xml:space="preserve">Главный судья: Устинов Юрий  МК Новороссийск </t>
  </si>
  <si>
    <t>Главный секретарь: Роде Александр НК Саратов</t>
  </si>
  <si>
    <t>Старший судья: Лихман Андрей РК Крымск</t>
  </si>
  <si>
    <t xml:space="preserve">Боковой судья: Подгорный Денис РК Новороссийск </t>
  </si>
  <si>
    <t xml:space="preserve">Боковой судья: Бойченко Ольга РК Новороссийск </t>
  </si>
  <si>
    <t xml:space="preserve">Секретарь: Пелевин Андрей РК Новороссийск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</si>
</sst>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8" fillId="0" borderId="19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left"/>
    </xf>
    <xf numFmtId="49" fontId="0" fillId="0" borderId="22" xfId="0" applyNumberFormat="1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left"/>
    </xf>
    <xf numFmtId="49" fontId="0" fillId="0" borderId="23" xfId="0" applyNumberFormat="1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49" fontId="0" fillId="0" borderId="24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49" fontId="8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2" fillId="0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opLeftCell="C1" workbookViewId="0">
      <selection activeCell="F8" sqref="F8:J13"/>
    </sheetView>
  </sheetViews>
  <sheetFormatPr defaultRowHeight="12.75"/>
  <cols>
    <col min="1" max="1" width="7.42578125" style="20" bestFit="1" customWidth="1"/>
    <col min="2" max="2" width="17.85546875" style="20" bestFit="1" customWidth="1"/>
    <col min="3" max="3" width="31.85546875" style="4" bestFit="1" customWidth="1"/>
    <col min="4" max="4" width="21.42578125" style="4" bestFit="1" customWidth="1"/>
    <col min="5" max="5" width="18.42578125" style="4" bestFit="1" customWidth="1"/>
    <col min="6" max="6" width="22.7109375" style="4" bestFit="1" customWidth="1"/>
    <col min="7" max="7" width="29.7109375" style="4" bestFit="1" customWidth="1"/>
    <col min="8" max="9" width="4.5703125" style="2" customWidth="1"/>
    <col min="10" max="10" width="2.140625" style="2" customWidth="1"/>
    <col min="11" max="11" width="4.85546875" style="2" customWidth="1"/>
    <col min="12" max="12" width="7.85546875" style="4" bestFit="1" customWidth="1"/>
    <col min="13" max="13" width="7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600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573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574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589</v>
      </c>
      <c r="C6" s="10" t="s">
        <v>590</v>
      </c>
      <c r="D6" s="10" t="s">
        <v>591</v>
      </c>
      <c r="E6" s="10" t="str">
        <f>"0,6998"</f>
        <v>0,6998</v>
      </c>
      <c r="F6" s="10" t="s">
        <v>592</v>
      </c>
      <c r="G6" s="10" t="s">
        <v>370</v>
      </c>
      <c r="H6" s="22" t="s">
        <v>267</v>
      </c>
      <c r="I6" s="24" t="s">
        <v>52</v>
      </c>
      <c r="J6" s="23"/>
      <c r="K6" s="23"/>
      <c r="L6" s="10" t="str">
        <f>"80,0"</f>
        <v>80,0</v>
      </c>
      <c r="M6" s="11" t="str">
        <f>"66,2803"</f>
        <v>66,2803</v>
      </c>
      <c r="N6" s="10" t="s">
        <v>31</v>
      </c>
    </row>
    <row r="7" spans="1:14">
      <c r="B7" s="20" t="s">
        <v>114</v>
      </c>
    </row>
    <row r="8" spans="1:14" ht="15">
      <c r="B8" s="20" t="s">
        <v>114</v>
      </c>
      <c r="F8" s="12" t="s">
        <v>602</v>
      </c>
    </row>
    <row r="9" spans="1:14" ht="15">
      <c r="B9" s="20" t="s">
        <v>114</v>
      </c>
      <c r="F9" s="12" t="s">
        <v>603</v>
      </c>
    </row>
    <row r="10" spans="1:14" ht="15">
      <c r="B10" s="20" t="s">
        <v>114</v>
      </c>
      <c r="F10" s="12" t="s">
        <v>604</v>
      </c>
    </row>
    <row r="11" spans="1:14" ht="15">
      <c r="B11" s="20" t="s">
        <v>114</v>
      </c>
      <c r="F11" s="12" t="s">
        <v>605</v>
      </c>
    </row>
    <row r="12" spans="1:14" ht="15">
      <c r="B12" s="20" t="s">
        <v>114</v>
      </c>
      <c r="F12" s="12" t="s">
        <v>606</v>
      </c>
    </row>
    <row r="13" spans="1:14" ht="15">
      <c r="B13" s="20" t="s">
        <v>114</v>
      </c>
      <c r="F13" s="12" t="s">
        <v>607</v>
      </c>
    </row>
    <row r="14" spans="1:14" ht="15">
      <c r="B14" s="20" t="s">
        <v>114</v>
      </c>
      <c r="F14" s="12"/>
    </row>
    <row r="15" spans="1:14">
      <c r="B15" s="20" t="s">
        <v>114</v>
      </c>
    </row>
    <row r="16" spans="1:14" ht="18">
      <c r="B16" s="20" t="s">
        <v>114</v>
      </c>
      <c r="C16" s="13" t="s">
        <v>76</v>
      </c>
      <c r="D16" s="13"/>
      <c r="H16" s="19"/>
    </row>
    <row r="17" spans="2:8" ht="15">
      <c r="B17" s="20" t="s">
        <v>114</v>
      </c>
      <c r="C17" s="14" t="s">
        <v>92</v>
      </c>
      <c r="D17" s="14"/>
      <c r="H17" s="19"/>
    </row>
    <row r="18" spans="2:8" ht="14.25">
      <c r="B18" s="20" t="s">
        <v>114</v>
      </c>
      <c r="C18" s="16"/>
      <c r="D18" s="17" t="s">
        <v>584</v>
      </c>
      <c r="H18" s="19"/>
    </row>
    <row r="19" spans="2:8" ht="15">
      <c r="B19" s="20" t="s">
        <v>114</v>
      </c>
      <c r="C19" s="18" t="s">
        <v>79</v>
      </c>
      <c r="D19" s="18" t="s">
        <v>80</v>
      </c>
      <c r="E19" s="18" t="s">
        <v>81</v>
      </c>
      <c r="F19" s="18" t="s">
        <v>82</v>
      </c>
      <c r="G19" s="18" t="s">
        <v>83</v>
      </c>
      <c r="H19" s="19"/>
    </row>
    <row r="20" spans="2:8">
      <c r="B20" s="20" t="s">
        <v>114</v>
      </c>
      <c r="C20" s="15" t="s">
        <v>589</v>
      </c>
      <c r="D20" s="20" t="s">
        <v>585</v>
      </c>
      <c r="E20" s="21" t="s">
        <v>586</v>
      </c>
      <c r="F20" s="21" t="s">
        <v>267</v>
      </c>
      <c r="G20" s="21" t="s">
        <v>601</v>
      </c>
      <c r="H20" s="19"/>
    </row>
    <row r="21" spans="2:8">
      <c r="B21" s="20" t="s">
        <v>114</v>
      </c>
      <c r="H21" s="19"/>
    </row>
    <row r="22" spans="2:8">
      <c r="B22" s="20" t="s">
        <v>114</v>
      </c>
      <c r="H22" s="19"/>
    </row>
    <row r="23" spans="2:8">
      <c r="B23" s="20" t="s">
        <v>114</v>
      </c>
      <c r="H23" s="19"/>
    </row>
    <row r="24" spans="2:8">
      <c r="B24" s="20" t="s">
        <v>114</v>
      </c>
      <c r="H24" s="19"/>
    </row>
    <row r="25" spans="2:8" ht="18">
      <c r="B25" s="20" t="s">
        <v>114</v>
      </c>
      <c r="C25" s="13" t="s">
        <v>105</v>
      </c>
      <c r="D25" s="13"/>
      <c r="H25" s="19"/>
    </row>
    <row r="26" spans="2:8" ht="15">
      <c r="B26" s="20" t="s">
        <v>114</v>
      </c>
      <c r="C26" s="18" t="s">
        <v>106</v>
      </c>
      <c r="D26" s="18" t="s">
        <v>107</v>
      </c>
      <c r="E26" s="18" t="s">
        <v>108</v>
      </c>
      <c r="H26" s="19"/>
    </row>
    <row r="27" spans="2:8">
      <c r="B27" s="20" t="s">
        <v>114</v>
      </c>
      <c r="C27" s="4" t="s">
        <v>592</v>
      </c>
      <c r="D27" s="4" t="s">
        <v>111</v>
      </c>
      <c r="E27" s="4" t="s">
        <v>599</v>
      </c>
      <c r="H27" s="19"/>
    </row>
    <row r="28" spans="2:8">
      <c r="B28" s="20" t="s">
        <v>114</v>
      </c>
      <c r="H28" s="19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sqref="A1:N2"/>
    </sheetView>
  </sheetViews>
  <sheetFormatPr defaultRowHeight="12.75"/>
  <cols>
    <col min="1" max="1" width="7.42578125" style="20" bestFit="1" customWidth="1"/>
    <col min="2" max="2" width="17.28515625" style="20" bestFit="1" customWidth="1"/>
    <col min="3" max="3" width="22.42578125" style="4" customWidth="1"/>
    <col min="4" max="4" width="15.140625" style="4" customWidth="1"/>
    <col min="5" max="5" width="10.28515625" style="4" customWidth="1"/>
    <col min="6" max="6" width="16.28515625" style="4" customWidth="1"/>
    <col min="7" max="7" width="38.140625" style="4" bestFit="1" customWidth="1"/>
    <col min="8" max="9" width="5.5703125" style="2" customWidth="1"/>
    <col min="10" max="10" width="2.1406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20" style="4" bestFit="1" customWidth="1"/>
    <col min="15" max="16384" width="9.140625" style="3"/>
  </cols>
  <sheetData>
    <row r="1" spans="1:14" s="2" customFormat="1" ht="29.1" customHeight="1">
      <c r="A1" s="61" t="s">
        <v>454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14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55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455</v>
      </c>
      <c r="C6" s="10" t="s">
        <v>456</v>
      </c>
      <c r="D6" s="10" t="s">
        <v>189</v>
      </c>
      <c r="E6" s="10" t="str">
        <f>"0,5825"</f>
        <v>0,5825</v>
      </c>
      <c r="F6" s="10" t="s">
        <v>190</v>
      </c>
      <c r="G6" s="10" t="s">
        <v>191</v>
      </c>
      <c r="H6" s="22" t="s">
        <v>139</v>
      </c>
      <c r="I6" s="22" t="s">
        <v>224</v>
      </c>
      <c r="J6" s="23"/>
      <c r="K6" s="23"/>
      <c r="L6" s="10" t="str">
        <f>"230,0"</f>
        <v>230,0</v>
      </c>
      <c r="M6" s="11" t="str">
        <f>"133,9865"</f>
        <v>133,9865</v>
      </c>
      <c r="N6" s="10" t="s">
        <v>192</v>
      </c>
    </row>
    <row r="7" spans="1:14">
      <c r="B7" s="20" t="s">
        <v>114</v>
      </c>
    </row>
    <row r="8" spans="1:14" ht="15">
      <c r="B8" s="20" t="s">
        <v>114</v>
      </c>
      <c r="F8" s="12" t="s">
        <v>602</v>
      </c>
    </row>
    <row r="9" spans="1:14" ht="15">
      <c r="B9" s="20" t="s">
        <v>114</v>
      </c>
      <c r="F9" s="12" t="s">
        <v>603</v>
      </c>
    </row>
    <row r="10" spans="1:14" ht="15">
      <c r="B10" s="20" t="s">
        <v>114</v>
      </c>
      <c r="F10" s="12" t="s">
        <v>604</v>
      </c>
    </row>
    <row r="11" spans="1:14" ht="15">
      <c r="B11" s="20" t="s">
        <v>114</v>
      </c>
      <c r="F11" s="12" t="s">
        <v>605</v>
      </c>
    </row>
    <row r="12" spans="1:14" ht="15">
      <c r="B12" s="20" t="s">
        <v>114</v>
      </c>
      <c r="F12" s="12" t="s">
        <v>606</v>
      </c>
    </row>
    <row r="13" spans="1:14" ht="15">
      <c r="B13" s="20" t="s">
        <v>114</v>
      </c>
      <c r="F13" s="12" t="s">
        <v>607</v>
      </c>
    </row>
    <row r="14" spans="1:14" ht="15">
      <c r="B14" s="20" t="s">
        <v>114</v>
      </c>
      <c r="F14" s="12"/>
    </row>
    <row r="15" spans="1:14">
      <c r="B15" s="20" t="s">
        <v>114</v>
      </c>
    </row>
    <row r="16" spans="1:14" ht="18">
      <c r="B16" s="20" t="s">
        <v>114</v>
      </c>
      <c r="C16" s="13" t="s">
        <v>76</v>
      </c>
      <c r="D16" s="13"/>
    </row>
    <row r="17" spans="2:7" ht="15">
      <c r="B17" s="20" t="s">
        <v>114</v>
      </c>
      <c r="C17" s="14" t="s">
        <v>92</v>
      </c>
      <c r="D17" s="14"/>
    </row>
    <row r="18" spans="2:7" ht="14.25">
      <c r="B18" s="20" t="s">
        <v>114</v>
      </c>
      <c r="C18" s="16"/>
      <c r="D18" s="17" t="s">
        <v>78</v>
      </c>
    </row>
    <row r="19" spans="2:7" ht="15">
      <c r="B19" s="20" t="s">
        <v>114</v>
      </c>
      <c r="C19" s="18" t="s">
        <v>79</v>
      </c>
      <c r="D19" s="18" t="s">
        <v>80</v>
      </c>
      <c r="E19" s="18" t="s">
        <v>81</v>
      </c>
      <c r="F19" s="18" t="s">
        <v>82</v>
      </c>
      <c r="G19" s="18" t="s">
        <v>83</v>
      </c>
    </row>
    <row r="20" spans="2:7">
      <c r="B20" s="20" t="s">
        <v>114</v>
      </c>
      <c r="C20" s="15" t="s">
        <v>455</v>
      </c>
      <c r="D20" s="20" t="s">
        <v>78</v>
      </c>
      <c r="E20" s="21" t="s">
        <v>102</v>
      </c>
      <c r="F20" s="21" t="s">
        <v>224</v>
      </c>
      <c r="G20" s="21" t="s">
        <v>457</v>
      </c>
    </row>
    <row r="21" spans="2:7">
      <c r="B21" s="20" t="s">
        <v>114</v>
      </c>
    </row>
    <row r="22" spans="2:7">
      <c r="B22" s="20" t="s">
        <v>114</v>
      </c>
    </row>
    <row r="23" spans="2:7">
      <c r="B23" s="20" t="s">
        <v>114</v>
      </c>
    </row>
    <row r="24" spans="2:7">
      <c r="B24" s="20" t="s">
        <v>114</v>
      </c>
    </row>
    <row r="25" spans="2:7" ht="18">
      <c r="B25" s="20" t="s">
        <v>114</v>
      </c>
      <c r="C25" s="13" t="s">
        <v>105</v>
      </c>
      <c r="D25" s="13"/>
    </row>
    <row r="26" spans="2:7" ht="15">
      <c r="B26" s="20" t="s">
        <v>114</v>
      </c>
      <c r="C26" s="18" t="s">
        <v>106</v>
      </c>
      <c r="D26" s="18" t="s">
        <v>107</v>
      </c>
      <c r="E26" s="18" t="s">
        <v>108</v>
      </c>
    </row>
    <row r="27" spans="2:7">
      <c r="B27" s="20" t="s">
        <v>114</v>
      </c>
      <c r="C27" s="4" t="s">
        <v>190</v>
      </c>
      <c r="D27" s="4" t="s">
        <v>111</v>
      </c>
      <c r="E27" s="4" t="s">
        <v>458</v>
      </c>
    </row>
    <row r="28" spans="2:7">
      <c r="B28" s="20" t="s">
        <v>114</v>
      </c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D13" sqref="D13"/>
    </sheetView>
  </sheetViews>
  <sheetFormatPr defaultRowHeight="12.75"/>
  <cols>
    <col min="1" max="1" width="7.42578125" style="20" bestFit="1" customWidth="1"/>
    <col min="2" max="2" width="16.5703125" style="20" bestFit="1" customWidth="1"/>
    <col min="3" max="3" width="29.28515625" style="4" customWidth="1"/>
    <col min="4" max="4" width="15.5703125" style="4" customWidth="1"/>
    <col min="5" max="5" width="11.85546875" style="4" customWidth="1"/>
    <col min="6" max="6" width="14.140625" style="4" customWidth="1"/>
    <col min="7" max="7" width="33.42578125" style="4" bestFit="1" customWidth="1"/>
    <col min="8" max="9" width="4.5703125" style="2" customWidth="1"/>
    <col min="10" max="10" width="5.5703125" style="2" customWidth="1"/>
    <col min="11" max="11" width="4.85546875" style="2" customWidth="1"/>
    <col min="12" max="12" width="7.85546875" style="4" bestFit="1" customWidth="1"/>
    <col min="13" max="13" width="7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448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445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160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41" t="s">
        <v>113</v>
      </c>
      <c r="B6" s="41" t="s">
        <v>387</v>
      </c>
      <c r="C6" s="26" t="s">
        <v>388</v>
      </c>
      <c r="D6" s="26" t="s">
        <v>389</v>
      </c>
      <c r="E6" s="26" t="str">
        <f>"0,6446"</f>
        <v>0,6446</v>
      </c>
      <c r="F6" s="26" t="s">
        <v>49</v>
      </c>
      <c r="G6" s="26" t="s">
        <v>390</v>
      </c>
      <c r="H6" s="33" t="s">
        <v>267</v>
      </c>
      <c r="I6" s="33" t="s">
        <v>447</v>
      </c>
      <c r="J6" s="34" t="s">
        <v>52</v>
      </c>
      <c r="K6" s="32"/>
      <c r="L6" s="26" t="str">
        <f>"85,0"</f>
        <v>85,0</v>
      </c>
      <c r="M6" s="27" t="str">
        <f>"54,7910"</f>
        <v>54,7910</v>
      </c>
      <c r="N6" s="26" t="s">
        <v>31</v>
      </c>
    </row>
    <row r="7" spans="1:14">
      <c r="A7" s="43" t="s">
        <v>213</v>
      </c>
      <c r="B7" s="43" t="s">
        <v>166</v>
      </c>
      <c r="C7" s="30" t="s">
        <v>167</v>
      </c>
      <c r="D7" s="30" t="s">
        <v>168</v>
      </c>
      <c r="E7" s="30" t="str">
        <f>"0,6487"</f>
        <v>0,6487</v>
      </c>
      <c r="F7" s="30" t="s">
        <v>126</v>
      </c>
      <c r="G7" s="30" t="s">
        <v>127</v>
      </c>
      <c r="H7" s="39" t="s">
        <v>152</v>
      </c>
      <c r="I7" s="40" t="s">
        <v>267</v>
      </c>
      <c r="J7" s="40" t="s">
        <v>52</v>
      </c>
      <c r="K7" s="38"/>
      <c r="L7" s="30" t="str">
        <f>"72,5"</f>
        <v>72,5</v>
      </c>
      <c r="M7" s="31" t="str">
        <f>"47,0307"</f>
        <v>47,0307</v>
      </c>
      <c r="N7" s="30" t="s">
        <v>31</v>
      </c>
    </row>
    <row r="8" spans="1:14">
      <c r="A8" s="42" t="s">
        <v>113</v>
      </c>
      <c r="B8" s="42" t="s">
        <v>166</v>
      </c>
      <c r="C8" s="28" t="s">
        <v>174</v>
      </c>
      <c r="D8" s="28" t="s">
        <v>168</v>
      </c>
      <c r="E8" s="28" t="str">
        <f>"0,6487"</f>
        <v>0,6487</v>
      </c>
      <c r="F8" s="28" t="s">
        <v>126</v>
      </c>
      <c r="G8" s="28" t="s">
        <v>127</v>
      </c>
      <c r="H8" s="36" t="s">
        <v>152</v>
      </c>
      <c r="I8" s="37" t="s">
        <v>267</v>
      </c>
      <c r="J8" s="37" t="s">
        <v>52</v>
      </c>
      <c r="K8" s="35"/>
      <c r="L8" s="28" t="str">
        <f>"72,5"</f>
        <v>72,5</v>
      </c>
      <c r="M8" s="29" t="str">
        <f>"47,0307"</f>
        <v>47,0307</v>
      </c>
      <c r="N8" s="28" t="s">
        <v>31</v>
      </c>
    </row>
    <row r="9" spans="1:14">
      <c r="B9" s="20" t="s">
        <v>114</v>
      </c>
    </row>
    <row r="10" spans="1:14" ht="15">
      <c r="A10" s="68" t="s">
        <v>66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4">
      <c r="A11" s="25" t="s">
        <v>113</v>
      </c>
      <c r="B11" s="25" t="s">
        <v>196</v>
      </c>
      <c r="C11" s="10" t="s">
        <v>197</v>
      </c>
      <c r="D11" s="10" t="s">
        <v>198</v>
      </c>
      <c r="E11" s="10" t="str">
        <f>"0,5673"</f>
        <v>0,5673</v>
      </c>
      <c r="F11" s="10" t="s">
        <v>49</v>
      </c>
      <c r="G11" s="10" t="s">
        <v>127</v>
      </c>
      <c r="H11" s="24" t="s">
        <v>28</v>
      </c>
      <c r="I11" s="22" t="s">
        <v>28</v>
      </c>
      <c r="J11" s="22" t="s">
        <v>37</v>
      </c>
      <c r="K11" s="23"/>
      <c r="L11" s="10" t="str">
        <f>"105,0"</f>
        <v>105,0</v>
      </c>
      <c r="M11" s="11" t="str">
        <f>"59,5665"</f>
        <v>59,5665</v>
      </c>
      <c r="N11" s="10" t="s">
        <v>31</v>
      </c>
    </row>
    <row r="12" spans="1:14">
      <c r="B12" s="20" t="s">
        <v>114</v>
      </c>
    </row>
    <row r="13" spans="1:14" ht="15">
      <c r="B13" s="20" t="s">
        <v>114</v>
      </c>
      <c r="F13" s="12" t="s">
        <v>602</v>
      </c>
    </row>
    <row r="14" spans="1:14" ht="15">
      <c r="B14" s="20" t="s">
        <v>114</v>
      </c>
      <c r="F14" s="12" t="s">
        <v>603</v>
      </c>
    </row>
    <row r="15" spans="1:14" ht="15">
      <c r="B15" s="20" t="s">
        <v>114</v>
      </c>
      <c r="F15" s="12" t="s">
        <v>604</v>
      </c>
    </row>
    <row r="16" spans="1:14" ht="15">
      <c r="B16" s="20" t="s">
        <v>114</v>
      </c>
      <c r="F16" s="12" t="s">
        <v>605</v>
      </c>
    </row>
    <row r="17" spans="2:7" ht="15">
      <c r="B17" s="20" t="s">
        <v>114</v>
      </c>
      <c r="F17" s="12" t="s">
        <v>606</v>
      </c>
    </row>
    <row r="18" spans="2:7" ht="15">
      <c r="B18" s="20" t="s">
        <v>114</v>
      </c>
      <c r="F18" s="12" t="s">
        <v>607</v>
      </c>
    </row>
    <row r="19" spans="2:7" ht="15">
      <c r="B19" s="20" t="s">
        <v>114</v>
      </c>
      <c r="F19" s="12"/>
    </row>
    <row r="20" spans="2:7">
      <c r="B20" s="20" t="s">
        <v>114</v>
      </c>
    </row>
    <row r="21" spans="2:7" ht="18">
      <c r="B21" s="20" t="s">
        <v>114</v>
      </c>
      <c r="C21" s="13" t="s">
        <v>76</v>
      </c>
      <c r="D21" s="13"/>
    </row>
    <row r="22" spans="2:7" ht="15">
      <c r="B22" s="20" t="s">
        <v>114</v>
      </c>
      <c r="C22" s="14" t="s">
        <v>92</v>
      </c>
      <c r="D22" s="14"/>
    </row>
    <row r="23" spans="2:7" ht="14.25">
      <c r="B23" s="20" t="s">
        <v>114</v>
      </c>
      <c r="C23" s="16"/>
      <c r="D23" s="17" t="s">
        <v>78</v>
      </c>
    </row>
    <row r="24" spans="2:7" ht="15">
      <c r="B24" s="20" t="s">
        <v>114</v>
      </c>
      <c r="C24" s="18" t="s">
        <v>79</v>
      </c>
      <c r="D24" s="18" t="s">
        <v>80</v>
      </c>
      <c r="E24" s="18" t="s">
        <v>81</v>
      </c>
      <c r="F24" s="18" t="s">
        <v>82</v>
      </c>
      <c r="G24" s="18" t="s">
        <v>83</v>
      </c>
    </row>
    <row r="25" spans="2:7">
      <c r="B25" s="20" t="s">
        <v>114</v>
      </c>
      <c r="C25" s="15" t="s">
        <v>196</v>
      </c>
      <c r="D25" s="20" t="s">
        <v>78</v>
      </c>
      <c r="E25" s="21" t="s">
        <v>98</v>
      </c>
      <c r="F25" s="21" t="s">
        <v>37</v>
      </c>
      <c r="G25" s="21" t="s">
        <v>449</v>
      </c>
    </row>
    <row r="26" spans="2:7">
      <c r="B26" s="20" t="s">
        <v>114</v>
      </c>
      <c r="C26" s="15" t="s">
        <v>387</v>
      </c>
      <c r="D26" s="20" t="s">
        <v>78</v>
      </c>
      <c r="E26" s="21" t="s">
        <v>200</v>
      </c>
      <c r="F26" s="21" t="s">
        <v>447</v>
      </c>
      <c r="G26" s="21" t="s">
        <v>450</v>
      </c>
    </row>
    <row r="27" spans="2:7">
      <c r="B27" s="20" t="s">
        <v>114</v>
      </c>
      <c r="C27" s="15" t="s">
        <v>166</v>
      </c>
      <c r="D27" s="20" t="s">
        <v>78</v>
      </c>
      <c r="E27" s="21" t="s">
        <v>200</v>
      </c>
      <c r="F27" s="21" t="s">
        <v>152</v>
      </c>
      <c r="G27" s="21" t="s">
        <v>451</v>
      </c>
    </row>
    <row r="28" spans="2:7">
      <c r="B28" s="20" t="s">
        <v>114</v>
      </c>
    </row>
    <row r="29" spans="2:7" ht="14.25">
      <c r="B29" s="20" t="s">
        <v>114</v>
      </c>
      <c r="C29" s="16"/>
      <c r="D29" s="17" t="s">
        <v>87</v>
      </c>
    </row>
    <row r="30" spans="2:7" ht="15">
      <c r="B30" s="20" t="s">
        <v>114</v>
      </c>
      <c r="C30" s="18" t="s">
        <v>79</v>
      </c>
      <c r="D30" s="18" t="s">
        <v>80</v>
      </c>
      <c r="E30" s="18" t="s">
        <v>81</v>
      </c>
      <c r="F30" s="18" t="s">
        <v>82</v>
      </c>
      <c r="G30" s="18" t="s">
        <v>83</v>
      </c>
    </row>
    <row r="31" spans="2:7">
      <c r="B31" s="20" t="s">
        <v>114</v>
      </c>
      <c r="C31" s="15" t="s">
        <v>166</v>
      </c>
      <c r="D31" s="20" t="s">
        <v>205</v>
      </c>
      <c r="E31" s="21" t="s">
        <v>200</v>
      </c>
      <c r="F31" s="21" t="s">
        <v>152</v>
      </c>
      <c r="G31" s="21" t="s">
        <v>451</v>
      </c>
    </row>
    <row r="32" spans="2:7">
      <c r="B32" s="20" t="s">
        <v>114</v>
      </c>
    </row>
    <row r="33" spans="2:5">
      <c r="B33" s="20" t="s">
        <v>114</v>
      </c>
    </row>
    <row r="34" spans="2:5">
      <c r="B34" s="20" t="s">
        <v>114</v>
      </c>
    </row>
    <row r="35" spans="2:5">
      <c r="B35" s="20" t="s">
        <v>114</v>
      </c>
    </row>
    <row r="36" spans="2:5" ht="18">
      <c r="B36" s="20" t="s">
        <v>114</v>
      </c>
      <c r="C36" s="13" t="s">
        <v>105</v>
      </c>
      <c r="D36" s="13"/>
    </row>
    <row r="37" spans="2:5" ht="15">
      <c r="B37" s="20" t="s">
        <v>114</v>
      </c>
      <c r="C37" s="18" t="s">
        <v>106</v>
      </c>
      <c r="D37" s="18" t="s">
        <v>107</v>
      </c>
      <c r="E37" s="18" t="s">
        <v>108</v>
      </c>
    </row>
    <row r="38" spans="2:5">
      <c r="B38" s="20" t="s">
        <v>114</v>
      </c>
      <c r="C38" s="4" t="s">
        <v>126</v>
      </c>
      <c r="D38" s="4" t="s">
        <v>452</v>
      </c>
      <c r="E38" s="4" t="s">
        <v>453</v>
      </c>
    </row>
    <row r="39" spans="2:5">
      <c r="B39" s="20" t="s">
        <v>114</v>
      </c>
    </row>
  </sheetData>
  <mergeCells count="14">
    <mergeCell ref="A10:K10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F8" sqref="F8:J13"/>
    </sheetView>
  </sheetViews>
  <sheetFormatPr defaultRowHeight="12.75"/>
  <cols>
    <col min="1" max="1" width="7.42578125" style="20" bestFit="1" customWidth="1"/>
    <col min="2" max="2" width="16.42578125" style="20" bestFit="1" customWidth="1"/>
    <col min="3" max="3" width="26.28515625" style="4" bestFit="1" customWidth="1"/>
    <col min="4" max="4" width="15.5703125" style="4" bestFit="1" customWidth="1"/>
    <col min="5" max="5" width="6.85546875" style="4" bestFit="1" customWidth="1"/>
    <col min="6" max="6" width="22.7109375" style="4" bestFit="1" customWidth="1"/>
    <col min="7" max="7" width="32.42578125" style="4" bestFit="1" customWidth="1"/>
    <col min="8" max="8" width="4.5703125" style="2" customWidth="1"/>
    <col min="9" max="10" width="2.140625" style="2" customWidth="1"/>
    <col min="11" max="11" width="4.85546875" style="2" customWidth="1"/>
    <col min="12" max="12" width="7.85546875" style="4" bestFit="1" customWidth="1"/>
    <col min="13" max="13" width="6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444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445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160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147</v>
      </c>
      <c r="B6" s="25" t="s">
        <v>387</v>
      </c>
      <c r="C6" s="10" t="s">
        <v>388</v>
      </c>
      <c r="D6" s="10" t="s">
        <v>446</v>
      </c>
      <c r="E6" s="10" t="str">
        <f>"0,6456"</f>
        <v>0,6456</v>
      </c>
      <c r="F6" s="10" t="s">
        <v>49</v>
      </c>
      <c r="G6" s="10" t="s">
        <v>390</v>
      </c>
      <c r="H6" s="23" t="s">
        <v>447</v>
      </c>
      <c r="I6" s="23"/>
      <c r="J6" s="23"/>
      <c r="K6" s="23"/>
      <c r="L6" s="10" t="str">
        <f>"0.00"</f>
        <v>0.00</v>
      </c>
      <c r="M6" s="11" t="str">
        <f>"0,0000"</f>
        <v>0,0000</v>
      </c>
      <c r="N6" s="10" t="s">
        <v>31</v>
      </c>
    </row>
    <row r="7" spans="1:14">
      <c r="B7" s="20" t="s">
        <v>114</v>
      </c>
    </row>
    <row r="8" spans="1:14" ht="15">
      <c r="B8" s="20" t="s">
        <v>114</v>
      </c>
      <c r="F8" s="12" t="s">
        <v>602</v>
      </c>
    </row>
    <row r="9" spans="1:14" ht="15">
      <c r="B9" s="20" t="s">
        <v>114</v>
      </c>
      <c r="F9" s="12" t="s">
        <v>603</v>
      </c>
    </row>
    <row r="10" spans="1:14" ht="15">
      <c r="B10" s="20" t="s">
        <v>114</v>
      </c>
      <c r="F10" s="12" t="s">
        <v>604</v>
      </c>
    </row>
    <row r="11" spans="1:14" ht="15">
      <c r="B11" s="20" t="s">
        <v>114</v>
      </c>
      <c r="F11" s="12" t="s">
        <v>605</v>
      </c>
    </row>
    <row r="12" spans="1:14" ht="15">
      <c r="B12" s="20" t="s">
        <v>114</v>
      </c>
      <c r="F12" s="12" t="s">
        <v>606</v>
      </c>
    </row>
    <row r="13" spans="1:14" ht="15">
      <c r="B13" s="20" t="s">
        <v>114</v>
      </c>
      <c r="F13" s="12" t="s">
        <v>607</v>
      </c>
    </row>
    <row r="14" spans="1:14" ht="15">
      <c r="B14" s="20" t="s">
        <v>114</v>
      </c>
      <c r="F14" s="12"/>
    </row>
    <row r="15" spans="1:14">
      <c r="B15" s="20" t="s">
        <v>114</v>
      </c>
    </row>
    <row r="17" spans="3:4" ht="18">
      <c r="C17" s="13" t="s">
        <v>76</v>
      </c>
      <c r="D17" s="13"/>
    </row>
  </sheetData>
  <mergeCells count="13">
    <mergeCell ref="A5:K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83"/>
  <sheetViews>
    <sheetView workbookViewId="0">
      <selection activeCell="F38" sqref="F38:J43"/>
    </sheetView>
  </sheetViews>
  <sheetFormatPr defaultRowHeight="12.75"/>
  <cols>
    <col min="1" max="1" width="6.42578125" style="20" customWidth="1"/>
    <col min="2" max="2" width="19.28515625" style="20" customWidth="1"/>
    <col min="3" max="3" width="29" style="4" customWidth="1"/>
    <col min="4" max="4" width="15.42578125" style="4" customWidth="1"/>
    <col min="5" max="5" width="10.5703125" style="4" customWidth="1"/>
    <col min="6" max="6" width="12.7109375" style="4" customWidth="1"/>
    <col min="7" max="7" width="30.7109375" style="4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19" style="4" bestFit="1" customWidth="1"/>
    <col min="15" max="16384" width="9.140625" style="3"/>
  </cols>
  <sheetData>
    <row r="1" spans="1:14" s="2" customFormat="1" ht="29.1" customHeight="1">
      <c r="A1" s="61" t="s">
        <v>365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14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366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367</v>
      </c>
      <c r="C6" s="10" t="s">
        <v>368</v>
      </c>
      <c r="D6" s="10" t="s">
        <v>369</v>
      </c>
      <c r="E6" s="10" t="str">
        <f>"1,1846"</f>
        <v>1,1846</v>
      </c>
      <c r="F6" s="10" t="s">
        <v>49</v>
      </c>
      <c r="G6" s="10" t="s">
        <v>370</v>
      </c>
      <c r="H6" s="24" t="s">
        <v>40</v>
      </c>
      <c r="I6" s="24" t="s">
        <v>40</v>
      </c>
      <c r="J6" s="22" t="s">
        <v>40</v>
      </c>
      <c r="K6" s="23"/>
      <c r="L6" s="10" t="str">
        <f>"65,0"</f>
        <v>65,0</v>
      </c>
      <c r="M6" s="11" t="str">
        <f>"76,9990"</f>
        <v>76,9990</v>
      </c>
      <c r="N6" s="10" t="s">
        <v>31</v>
      </c>
    </row>
    <row r="7" spans="1:14">
      <c r="B7" s="20" t="s">
        <v>114</v>
      </c>
    </row>
    <row r="8" spans="1:14" ht="15">
      <c r="A8" s="68" t="s">
        <v>261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41" t="s">
        <v>113</v>
      </c>
      <c r="B9" s="41" t="s">
        <v>262</v>
      </c>
      <c r="C9" s="26" t="s">
        <v>263</v>
      </c>
      <c r="D9" s="26" t="s">
        <v>264</v>
      </c>
      <c r="E9" s="26" t="str">
        <f>"1,1110"</f>
        <v>1,1110</v>
      </c>
      <c r="F9" s="26" t="s">
        <v>265</v>
      </c>
      <c r="G9" s="26" t="s">
        <v>266</v>
      </c>
      <c r="H9" s="33" t="s">
        <v>256</v>
      </c>
      <c r="I9" s="33" t="s">
        <v>22</v>
      </c>
      <c r="J9" s="33" t="s">
        <v>268</v>
      </c>
      <c r="K9" s="32"/>
      <c r="L9" s="26" t="str">
        <f>"62,5"</f>
        <v>62,5</v>
      </c>
      <c r="M9" s="27" t="str">
        <f>"69,4375"</f>
        <v>69,4375</v>
      </c>
      <c r="N9" s="26" t="s">
        <v>270</v>
      </c>
    </row>
    <row r="10" spans="1:14">
      <c r="A10" s="42" t="s">
        <v>113</v>
      </c>
      <c r="B10" s="42" t="s">
        <v>262</v>
      </c>
      <c r="C10" s="28" t="s">
        <v>271</v>
      </c>
      <c r="D10" s="28" t="s">
        <v>264</v>
      </c>
      <c r="E10" s="28" t="str">
        <f>"1,1110"</f>
        <v>1,1110</v>
      </c>
      <c r="F10" s="28" t="s">
        <v>265</v>
      </c>
      <c r="G10" s="28" t="s">
        <v>266</v>
      </c>
      <c r="H10" s="36" t="s">
        <v>256</v>
      </c>
      <c r="I10" s="36" t="s">
        <v>22</v>
      </c>
      <c r="J10" s="36" t="s">
        <v>268</v>
      </c>
      <c r="K10" s="35"/>
      <c r="L10" s="28" t="str">
        <f>"62,5"</f>
        <v>62,5</v>
      </c>
      <c r="M10" s="29" t="str">
        <f>"69,4375"</f>
        <v>69,4375</v>
      </c>
      <c r="N10" s="28" t="s">
        <v>270</v>
      </c>
    </row>
    <row r="11" spans="1:14">
      <c r="B11" s="20" t="s">
        <v>114</v>
      </c>
    </row>
    <row r="12" spans="1:14" ht="15">
      <c r="A12" s="68" t="s">
        <v>45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>
      <c r="A13" s="41" t="s">
        <v>113</v>
      </c>
      <c r="B13" s="41" t="s">
        <v>371</v>
      </c>
      <c r="C13" s="26" t="s">
        <v>372</v>
      </c>
      <c r="D13" s="26" t="s">
        <v>373</v>
      </c>
      <c r="E13" s="26" t="str">
        <f>"0,6990"</f>
        <v>0,6990</v>
      </c>
      <c r="F13" s="26" t="s">
        <v>49</v>
      </c>
      <c r="G13" s="26" t="s">
        <v>164</v>
      </c>
      <c r="H13" s="33" t="s">
        <v>184</v>
      </c>
      <c r="I13" s="34" t="s">
        <v>338</v>
      </c>
      <c r="J13" s="33" t="s">
        <v>338</v>
      </c>
      <c r="K13" s="32"/>
      <c r="L13" s="26" t="str">
        <f>"127,5"</f>
        <v>127,5</v>
      </c>
      <c r="M13" s="27" t="str">
        <f>"89,1225"</f>
        <v>89,1225</v>
      </c>
      <c r="N13" s="26" t="s">
        <v>374</v>
      </c>
    </row>
    <row r="14" spans="1:14">
      <c r="A14" s="42" t="s">
        <v>213</v>
      </c>
      <c r="B14" s="42" t="s">
        <v>375</v>
      </c>
      <c r="C14" s="28" t="s">
        <v>376</v>
      </c>
      <c r="D14" s="28" t="s">
        <v>377</v>
      </c>
      <c r="E14" s="28" t="str">
        <f>"0,6962"</f>
        <v>0,6962</v>
      </c>
      <c r="F14" s="28" t="s">
        <v>49</v>
      </c>
      <c r="G14" s="28" t="s">
        <v>266</v>
      </c>
      <c r="H14" s="36" t="s">
        <v>259</v>
      </c>
      <c r="I14" s="36" t="s">
        <v>28</v>
      </c>
      <c r="J14" s="36" t="s">
        <v>37</v>
      </c>
      <c r="K14" s="35"/>
      <c r="L14" s="28" t="str">
        <f>"105,0"</f>
        <v>105,0</v>
      </c>
      <c r="M14" s="29" t="str">
        <f>"73,0958"</f>
        <v>73,0958</v>
      </c>
      <c r="N14" s="28" t="s">
        <v>31</v>
      </c>
    </row>
    <row r="15" spans="1:14">
      <c r="B15" s="20" t="s">
        <v>114</v>
      </c>
    </row>
    <row r="16" spans="1:14" ht="15">
      <c r="A16" s="68" t="s">
        <v>160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4">
      <c r="A17" s="41" t="s">
        <v>113</v>
      </c>
      <c r="B17" s="41" t="s">
        <v>378</v>
      </c>
      <c r="C17" s="26" t="s">
        <v>379</v>
      </c>
      <c r="D17" s="26" t="s">
        <v>380</v>
      </c>
      <c r="E17" s="26" t="str">
        <f>"0,6550"</f>
        <v>0,6550</v>
      </c>
      <c r="F17" s="26" t="s">
        <v>381</v>
      </c>
      <c r="G17" s="26" t="s">
        <v>127</v>
      </c>
      <c r="H17" s="33" t="s">
        <v>42</v>
      </c>
      <c r="I17" s="33" t="s">
        <v>382</v>
      </c>
      <c r="J17" s="33" t="s">
        <v>383</v>
      </c>
      <c r="K17" s="32"/>
      <c r="L17" s="26" t="str">
        <f>"152,5"</f>
        <v>152,5</v>
      </c>
      <c r="M17" s="27" t="str">
        <f>"99,8951"</f>
        <v>99,8951</v>
      </c>
      <c r="N17" s="26" t="s">
        <v>31</v>
      </c>
    </row>
    <row r="18" spans="1:14">
      <c r="A18" s="43" t="s">
        <v>213</v>
      </c>
      <c r="B18" s="43" t="s">
        <v>384</v>
      </c>
      <c r="C18" s="30" t="s">
        <v>385</v>
      </c>
      <c r="D18" s="30" t="s">
        <v>386</v>
      </c>
      <c r="E18" s="30" t="str">
        <f>"0,6535"</f>
        <v>0,6535</v>
      </c>
      <c r="F18" s="30" t="s">
        <v>49</v>
      </c>
      <c r="G18" s="30" t="s">
        <v>183</v>
      </c>
      <c r="H18" s="39" t="s">
        <v>39</v>
      </c>
      <c r="I18" s="40" t="s">
        <v>43</v>
      </c>
      <c r="J18" s="40" t="s">
        <v>43</v>
      </c>
      <c r="K18" s="38"/>
      <c r="L18" s="30" t="str">
        <f>"130,0"</f>
        <v>130,0</v>
      </c>
      <c r="M18" s="31" t="str">
        <f>"84,9485"</f>
        <v>84,9485</v>
      </c>
      <c r="N18" s="30" t="s">
        <v>31</v>
      </c>
    </row>
    <row r="19" spans="1:14">
      <c r="A19" s="43" t="s">
        <v>147</v>
      </c>
      <c r="B19" s="43" t="s">
        <v>387</v>
      </c>
      <c r="C19" s="30" t="s">
        <v>388</v>
      </c>
      <c r="D19" s="30" t="s">
        <v>389</v>
      </c>
      <c r="E19" s="30" t="str">
        <f>"0,6446"</f>
        <v>0,6446</v>
      </c>
      <c r="F19" s="30" t="s">
        <v>49</v>
      </c>
      <c r="G19" s="30" t="s">
        <v>390</v>
      </c>
      <c r="H19" s="40" t="s">
        <v>42</v>
      </c>
      <c r="I19" s="40" t="s">
        <v>42</v>
      </c>
      <c r="J19" s="40" t="s">
        <v>42</v>
      </c>
      <c r="K19" s="38"/>
      <c r="L19" s="30" t="str">
        <f>"0.00"</f>
        <v>0.00</v>
      </c>
      <c r="M19" s="31" t="str">
        <f>"0,0000"</f>
        <v>0,0000</v>
      </c>
      <c r="N19" s="30" t="s">
        <v>31</v>
      </c>
    </row>
    <row r="20" spans="1:14">
      <c r="A20" s="42" t="s">
        <v>113</v>
      </c>
      <c r="B20" s="42" t="s">
        <v>391</v>
      </c>
      <c r="C20" s="28" t="s">
        <v>392</v>
      </c>
      <c r="D20" s="28" t="s">
        <v>393</v>
      </c>
      <c r="E20" s="28" t="str">
        <f>"0,6508"</f>
        <v>0,6508</v>
      </c>
      <c r="F20" s="28" t="s">
        <v>49</v>
      </c>
      <c r="G20" s="28" t="s">
        <v>370</v>
      </c>
      <c r="H20" s="36" t="s">
        <v>184</v>
      </c>
      <c r="I20" s="37" t="s">
        <v>185</v>
      </c>
      <c r="J20" s="37" t="s">
        <v>185</v>
      </c>
      <c r="K20" s="35"/>
      <c r="L20" s="28" t="str">
        <f>"120,0"</f>
        <v>120,0</v>
      </c>
      <c r="M20" s="29" t="str">
        <f>"83,4065"</f>
        <v>83,4065</v>
      </c>
      <c r="N20" s="28" t="s">
        <v>31</v>
      </c>
    </row>
    <row r="21" spans="1:14">
      <c r="B21" s="20" t="s">
        <v>114</v>
      </c>
    </row>
    <row r="22" spans="1:14" ht="15">
      <c r="A22" s="68" t="s">
        <v>175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4">
      <c r="A23" s="41" t="s">
        <v>113</v>
      </c>
      <c r="B23" s="41" t="s">
        <v>394</v>
      </c>
      <c r="C23" s="26" t="s">
        <v>395</v>
      </c>
      <c r="D23" s="26" t="s">
        <v>178</v>
      </c>
      <c r="E23" s="26" t="str">
        <f>"0,6130"</f>
        <v>0,6130</v>
      </c>
      <c r="F23" s="26" t="s">
        <v>49</v>
      </c>
      <c r="G23" s="26" t="s">
        <v>50</v>
      </c>
      <c r="H23" s="33" t="s">
        <v>396</v>
      </c>
      <c r="I23" s="33" t="s">
        <v>185</v>
      </c>
      <c r="J23" s="33" t="s">
        <v>397</v>
      </c>
      <c r="K23" s="32"/>
      <c r="L23" s="26" t="str">
        <f>"132,5"</f>
        <v>132,5</v>
      </c>
      <c r="M23" s="27" t="str">
        <f>"81,2225"</f>
        <v>81,2225</v>
      </c>
      <c r="N23" s="26" t="s">
        <v>31</v>
      </c>
    </row>
    <row r="24" spans="1:14">
      <c r="A24" s="43" t="s">
        <v>113</v>
      </c>
      <c r="B24" s="43" t="s">
        <v>398</v>
      </c>
      <c r="C24" s="30" t="s">
        <v>399</v>
      </c>
      <c r="D24" s="30" t="s">
        <v>400</v>
      </c>
      <c r="E24" s="30" t="str">
        <f>"0,6169"</f>
        <v>0,6169</v>
      </c>
      <c r="F24" s="30" t="s">
        <v>49</v>
      </c>
      <c r="G24" s="30" t="s">
        <v>71</v>
      </c>
      <c r="H24" s="39" t="s">
        <v>158</v>
      </c>
      <c r="I24" s="39" t="s">
        <v>165</v>
      </c>
      <c r="J24" s="40" t="s">
        <v>401</v>
      </c>
      <c r="K24" s="38"/>
      <c r="L24" s="30" t="str">
        <f>"185,0"</f>
        <v>185,0</v>
      </c>
      <c r="M24" s="31" t="str">
        <f>"114,1173"</f>
        <v>114,1173</v>
      </c>
      <c r="N24" s="30" t="s">
        <v>31</v>
      </c>
    </row>
    <row r="25" spans="1:14">
      <c r="A25" s="43" t="s">
        <v>213</v>
      </c>
      <c r="B25" s="43" t="s">
        <v>402</v>
      </c>
      <c r="C25" s="30" t="s">
        <v>403</v>
      </c>
      <c r="D25" s="30" t="s">
        <v>404</v>
      </c>
      <c r="E25" s="30" t="str">
        <f>"0,6234"</f>
        <v>0,6234</v>
      </c>
      <c r="F25" s="30" t="s">
        <v>49</v>
      </c>
      <c r="G25" s="30" t="s">
        <v>405</v>
      </c>
      <c r="H25" s="39" t="s">
        <v>406</v>
      </c>
      <c r="I25" s="39" t="s">
        <v>338</v>
      </c>
      <c r="J25" s="39" t="s">
        <v>397</v>
      </c>
      <c r="K25" s="38"/>
      <c r="L25" s="30" t="str">
        <f>"132,5"</f>
        <v>132,5</v>
      </c>
      <c r="M25" s="31" t="str">
        <f>"82,6005"</f>
        <v>82,6005</v>
      </c>
      <c r="N25" s="30" t="s">
        <v>407</v>
      </c>
    </row>
    <row r="26" spans="1:14">
      <c r="A26" s="42" t="s">
        <v>443</v>
      </c>
      <c r="B26" s="42" t="s">
        <v>408</v>
      </c>
      <c r="C26" s="28" t="s">
        <v>409</v>
      </c>
      <c r="D26" s="28" t="s">
        <v>410</v>
      </c>
      <c r="E26" s="28" t="str">
        <f>"0,6181"</f>
        <v>0,6181</v>
      </c>
      <c r="F26" s="28" t="s">
        <v>49</v>
      </c>
      <c r="G26" s="28" t="s">
        <v>71</v>
      </c>
      <c r="H26" s="36" t="s">
        <v>22</v>
      </c>
      <c r="I26" s="36" t="s">
        <v>23</v>
      </c>
      <c r="J26" s="37" t="s">
        <v>41</v>
      </c>
      <c r="K26" s="35"/>
      <c r="L26" s="28" t="str">
        <f>"70,0"</f>
        <v>70,0</v>
      </c>
      <c r="M26" s="29" t="str">
        <f>"43,2670"</f>
        <v>43,2670</v>
      </c>
      <c r="N26" s="28" t="s">
        <v>411</v>
      </c>
    </row>
    <row r="27" spans="1:14">
      <c r="B27" s="20" t="s">
        <v>114</v>
      </c>
    </row>
    <row r="28" spans="1:14" ht="15">
      <c r="A28" s="68" t="s">
        <v>55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4">
      <c r="A29" s="41" t="s">
        <v>113</v>
      </c>
      <c r="B29" s="41" t="s">
        <v>412</v>
      </c>
      <c r="C29" s="26" t="s">
        <v>413</v>
      </c>
      <c r="D29" s="26" t="s">
        <v>414</v>
      </c>
      <c r="E29" s="26" t="str">
        <f>"0,5922"</f>
        <v>0,5922</v>
      </c>
      <c r="F29" s="26" t="s">
        <v>49</v>
      </c>
      <c r="G29" s="26" t="s">
        <v>415</v>
      </c>
      <c r="H29" s="33" t="s">
        <v>53</v>
      </c>
      <c r="I29" s="33" t="s">
        <v>30</v>
      </c>
      <c r="J29" s="34" t="s">
        <v>184</v>
      </c>
      <c r="K29" s="32"/>
      <c r="L29" s="26" t="str">
        <f>"110,0"</f>
        <v>110,0</v>
      </c>
      <c r="M29" s="27" t="str">
        <f>"65,1475"</f>
        <v>65,1475</v>
      </c>
      <c r="N29" s="26" t="s">
        <v>31</v>
      </c>
    </row>
    <row r="30" spans="1:14">
      <c r="A30" s="42" t="s">
        <v>147</v>
      </c>
      <c r="B30" s="42" t="s">
        <v>416</v>
      </c>
      <c r="C30" s="28" t="s">
        <v>417</v>
      </c>
      <c r="D30" s="28" t="s">
        <v>418</v>
      </c>
      <c r="E30" s="28" t="str">
        <f>"0,5813"</f>
        <v>0,5813</v>
      </c>
      <c r="F30" s="28" t="s">
        <v>49</v>
      </c>
      <c r="G30" s="28" t="s">
        <v>370</v>
      </c>
      <c r="H30" s="35"/>
      <c r="I30" s="35"/>
      <c r="J30" s="35"/>
      <c r="K30" s="35"/>
      <c r="L30" s="28" t="str">
        <f>"0.00"</f>
        <v>0.00</v>
      </c>
      <c r="M30" s="29" t="str">
        <f>"0,0000"</f>
        <v>0,0000</v>
      </c>
      <c r="N30" s="28" t="s">
        <v>31</v>
      </c>
    </row>
    <row r="31" spans="1:14">
      <c r="B31" s="20" t="s">
        <v>114</v>
      </c>
    </row>
    <row r="32" spans="1:14" ht="15">
      <c r="A32" s="68" t="s">
        <v>66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4">
      <c r="A33" s="25" t="s">
        <v>113</v>
      </c>
      <c r="B33" s="25" t="s">
        <v>419</v>
      </c>
      <c r="C33" s="10" t="s">
        <v>420</v>
      </c>
      <c r="D33" s="10" t="s">
        <v>421</v>
      </c>
      <c r="E33" s="10" t="str">
        <f>"0,5706"</f>
        <v>0,5706</v>
      </c>
      <c r="F33" s="10" t="s">
        <v>422</v>
      </c>
      <c r="G33" s="10" t="s">
        <v>370</v>
      </c>
      <c r="H33" s="22" t="s">
        <v>73</v>
      </c>
      <c r="I33" s="24" t="s">
        <v>72</v>
      </c>
      <c r="J33" s="22" t="s">
        <v>72</v>
      </c>
      <c r="K33" s="23"/>
      <c r="L33" s="10" t="str">
        <f>"170,0"</f>
        <v>170,0</v>
      </c>
      <c r="M33" s="11" t="str">
        <f>"101,1819"</f>
        <v>101,1819</v>
      </c>
      <c r="N33" s="10" t="s">
        <v>31</v>
      </c>
    </row>
    <row r="34" spans="1:14">
      <c r="B34" s="20" t="s">
        <v>114</v>
      </c>
    </row>
    <row r="35" spans="1:14" ht="15">
      <c r="A35" s="68" t="s">
        <v>423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</row>
    <row r="36" spans="1:14">
      <c r="A36" s="25" t="s">
        <v>113</v>
      </c>
      <c r="B36" s="25" t="s">
        <v>424</v>
      </c>
      <c r="C36" s="10" t="s">
        <v>425</v>
      </c>
      <c r="D36" s="10" t="s">
        <v>426</v>
      </c>
      <c r="E36" s="10" t="str">
        <f>"0,5413"</f>
        <v>0,5413</v>
      </c>
      <c r="F36" s="10" t="s">
        <v>427</v>
      </c>
      <c r="G36" s="10" t="s">
        <v>428</v>
      </c>
      <c r="H36" s="22" t="s">
        <v>51</v>
      </c>
      <c r="I36" s="22" t="s">
        <v>73</v>
      </c>
      <c r="J36" s="22" t="s">
        <v>157</v>
      </c>
      <c r="K36" s="23"/>
      <c r="L36" s="10" t="str">
        <f>"165,0"</f>
        <v>165,0</v>
      </c>
      <c r="M36" s="11" t="str">
        <f>"89,3178"</f>
        <v>89,3178</v>
      </c>
      <c r="N36" s="10" t="s">
        <v>31</v>
      </c>
    </row>
    <row r="37" spans="1:14">
      <c r="B37" s="20" t="s">
        <v>114</v>
      </c>
    </row>
    <row r="38" spans="1:14" ht="15">
      <c r="B38" s="20" t="s">
        <v>114</v>
      </c>
      <c r="F38" s="12" t="s">
        <v>602</v>
      </c>
    </row>
    <row r="39" spans="1:14" ht="15">
      <c r="B39" s="20" t="s">
        <v>114</v>
      </c>
      <c r="F39" s="12" t="s">
        <v>603</v>
      </c>
    </row>
    <row r="40" spans="1:14" ht="15">
      <c r="B40" s="20" t="s">
        <v>114</v>
      </c>
      <c r="F40" s="12" t="s">
        <v>604</v>
      </c>
    </row>
    <row r="41" spans="1:14" ht="15">
      <c r="B41" s="20" t="s">
        <v>114</v>
      </c>
      <c r="F41" s="12" t="s">
        <v>605</v>
      </c>
    </row>
    <row r="42" spans="1:14" ht="15">
      <c r="B42" s="20" t="s">
        <v>114</v>
      </c>
      <c r="F42" s="12" t="s">
        <v>606</v>
      </c>
    </row>
    <row r="43" spans="1:14" ht="15">
      <c r="B43" s="20" t="s">
        <v>114</v>
      </c>
      <c r="F43" s="12" t="s">
        <v>607</v>
      </c>
    </row>
    <row r="44" spans="1:14" ht="15">
      <c r="B44" s="20" t="s">
        <v>114</v>
      </c>
      <c r="F44" s="12"/>
    </row>
    <row r="45" spans="1:14">
      <c r="B45" s="20" t="s">
        <v>114</v>
      </c>
    </row>
    <row r="46" spans="1:14" ht="18">
      <c r="B46" s="20" t="s">
        <v>114</v>
      </c>
      <c r="C46" s="13" t="s">
        <v>76</v>
      </c>
      <c r="D46" s="13"/>
    </row>
    <row r="47" spans="1:14" ht="15">
      <c r="B47" s="20" t="s">
        <v>114</v>
      </c>
      <c r="C47" s="14" t="s">
        <v>77</v>
      </c>
      <c r="D47" s="14"/>
    </row>
    <row r="48" spans="1:14" ht="14.25">
      <c r="B48" s="20" t="s">
        <v>114</v>
      </c>
      <c r="C48" s="16"/>
      <c r="D48" s="17" t="s">
        <v>310</v>
      </c>
    </row>
    <row r="49" spans="2:7" ht="15">
      <c r="B49" s="20" t="s">
        <v>114</v>
      </c>
      <c r="C49" s="18" t="s">
        <v>79</v>
      </c>
      <c r="D49" s="18" t="s">
        <v>80</v>
      </c>
      <c r="E49" s="18" t="s">
        <v>81</v>
      </c>
      <c r="F49" s="18" t="s">
        <v>82</v>
      </c>
      <c r="G49" s="18" t="s">
        <v>83</v>
      </c>
    </row>
    <row r="50" spans="2:7">
      <c r="B50" s="20" t="s">
        <v>114</v>
      </c>
      <c r="C50" s="15" t="s">
        <v>262</v>
      </c>
      <c r="D50" s="20" t="s">
        <v>311</v>
      </c>
      <c r="E50" s="21" t="s">
        <v>312</v>
      </c>
      <c r="F50" s="21" t="s">
        <v>268</v>
      </c>
      <c r="G50" s="21" t="s">
        <v>429</v>
      </c>
    </row>
    <row r="51" spans="2:7">
      <c r="B51" s="20" t="s">
        <v>114</v>
      </c>
    </row>
    <row r="52" spans="2:7" ht="14.25">
      <c r="B52" s="20" t="s">
        <v>114</v>
      </c>
      <c r="C52" s="16"/>
      <c r="D52" s="17" t="s">
        <v>78</v>
      </c>
    </row>
    <row r="53" spans="2:7" ht="15">
      <c r="B53" s="20" t="s">
        <v>114</v>
      </c>
      <c r="C53" s="18" t="s">
        <v>79</v>
      </c>
      <c r="D53" s="18" t="s">
        <v>80</v>
      </c>
      <c r="E53" s="18" t="s">
        <v>81</v>
      </c>
      <c r="F53" s="18" t="s">
        <v>82</v>
      </c>
      <c r="G53" s="18" t="s">
        <v>83</v>
      </c>
    </row>
    <row r="54" spans="2:7">
      <c r="B54" s="20" t="s">
        <v>114</v>
      </c>
      <c r="C54" s="15" t="s">
        <v>367</v>
      </c>
      <c r="D54" s="20" t="s">
        <v>78</v>
      </c>
      <c r="E54" s="21" t="s">
        <v>430</v>
      </c>
      <c r="F54" s="21" t="s">
        <v>40</v>
      </c>
      <c r="G54" s="21" t="s">
        <v>431</v>
      </c>
    </row>
    <row r="55" spans="2:7">
      <c r="B55" s="20" t="s">
        <v>114</v>
      </c>
      <c r="C55" s="15" t="s">
        <v>262</v>
      </c>
      <c r="D55" s="20" t="s">
        <v>78</v>
      </c>
      <c r="E55" s="21" t="s">
        <v>312</v>
      </c>
      <c r="F55" s="21" t="s">
        <v>268</v>
      </c>
      <c r="G55" s="21" t="s">
        <v>429</v>
      </c>
    </row>
    <row r="56" spans="2:7">
      <c r="B56" s="20" t="s">
        <v>114</v>
      </c>
    </row>
    <row r="57" spans="2:7">
      <c r="B57" s="20" t="s">
        <v>114</v>
      </c>
    </row>
    <row r="58" spans="2:7" ht="15">
      <c r="B58" s="20" t="s">
        <v>114</v>
      </c>
      <c r="C58" s="14" t="s">
        <v>92</v>
      </c>
      <c r="D58" s="14"/>
    </row>
    <row r="59" spans="2:7" ht="14.25">
      <c r="B59" s="20" t="s">
        <v>114</v>
      </c>
      <c r="C59" s="16"/>
      <c r="D59" s="17" t="s">
        <v>93</v>
      </c>
    </row>
    <row r="60" spans="2:7" ht="15">
      <c r="B60" s="20" t="s">
        <v>114</v>
      </c>
      <c r="C60" s="18" t="s">
        <v>79</v>
      </c>
      <c r="D60" s="18" t="s">
        <v>80</v>
      </c>
      <c r="E60" s="18" t="s">
        <v>81</v>
      </c>
      <c r="F60" s="18" t="s">
        <v>82</v>
      </c>
      <c r="G60" s="18" t="s">
        <v>83</v>
      </c>
    </row>
    <row r="61" spans="2:7">
      <c r="B61" s="20" t="s">
        <v>114</v>
      </c>
      <c r="C61" s="15" t="s">
        <v>394</v>
      </c>
      <c r="D61" s="20" t="s">
        <v>311</v>
      </c>
      <c r="E61" s="21" t="s">
        <v>203</v>
      </c>
      <c r="F61" s="21" t="s">
        <v>397</v>
      </c>
      <c r="G61" s="21" t="s">
        <v>432</v>
      </c>
    </row>
    <row r="62" spans="2:7">
      <c r="B62" s="20" t="s">
        <v>114</v>
      </c>
    </row>
    <row r="63" spans="2:7" ht="14.25">
      <c r="B63" s="20" t="s">
        <v>114</v>
      </c>
      <c r="C63" s="16"/>
      <c r="D63" s="17" t="s">
        <v>78</v>
      </c>
    </row>
    <row r="64" spans="2:7" ht="15">
      <c r="B64" s="20" t="s">
        <v>114</v>
      </c>
      <c r="C64" s="18" t="s">
        <v>79</v>
      </c>
      <c r="D64" s="18" t="s">
        <v>80</v>
      </c>
      <c r="E64" s="18" t="s">
        <v>81</v>
      </c>
      <c r="F64" s="18" t="s">
        <v>82</v>
      </c>
      <c r="G64" s="18" t="s">
        <v>83</v>
      </c>
    </row>
    <row r="65" spans="2:7">
      <c r="B65" s="20" t="s">
        <v>114</v>
      </c>
      <c r="C65" s="15" t="s">
        <v>398</v>
      </c>
      <c r="D65" s="20" t="s">
        <v>78</v>
      </c>
      <c r="E65" s="21" t="s">
        <v>203</v>
      </c>
      <c r="F65" s="21" t="s">
        <v>165</v>
      </c>
      <c r="G65" s="21" t="s">
        <v>433</v>
      </c>
    </row>
    <row r="66" spans="2:7">
      <c r="B66" s="20" t="s">
        <v>114</v>
      </c>
      <c r="C66" s="15" t="s">
        <v>378</v>
      </c>
      <c r="D66" s="20" t="s">
        <v>78</v>
      </c>
      <c r="E66" s="21" t="s">
        <v>200</v>
      </c>
      <c r="F66" s="21" t="s">
        <v>383</v>
      </c>
      <c r="G66" s="21" t="s">
        <v>434</v>
      </c>
    </row>
    <row r="67" spans="2:7">
      <c r="B67" s="20" t="s">
        <v>114</v>
      </c>
      <c r="C67" s="15" t="s">
        <v>424</v>
      </c>
      <c r="D67" s="20" t="s">
        <v>78</v>
      </c>
      <c r="E67" s="21" t="s">
        <v>435</v>
      </c>
      <c r="F67" s="21" t="s">
        <v>157</v>
      </c>
      <c r="G67" s="21" t="s">
        <v>436</v>
      </c>
    </row>
    <row r="68" spans="2:7">
      <c r="B68" s="20" t="s">
        <v>114</v>
      </c>
    </row>
    <row r="69" spans="2:7" ht="14.25">
      <c r="B69" s="20" t="s">
        <v>114</v>
      </c>
      <c r="C69" s="16"/>
      <c r="D69" s="17" t="s">
        <v>87</v>
      </c>
    </row>
    <row r="70" spans="2:7" ht="15">
      <c r="B70" s="20" t="s">
        <v>114</v>
      </c>
      <c r="C70" s="18" t="s">
        <v>79</v>
      </c>
      <c r="D70" s="18" t="s">
        <v>80</v>
      </c>
      <c r="E70" s="18" t="s">
        <v>81</v>
      </c>
      <c r="F70" s="18" t="s">
        <v>82</v>
      </c>
      <c r="G70" s="18" t="s">
        <v>83</v>
      </c>
    </row>
    <row r="71" spans="2:7">
      <c r="B71" s="20" t="s">
        <v>114</v>
      </c>
      <c r="C71" s="15" t="s">
        <v>419</v>
      </c>
      <c r="D71" s="20" t="s">
        <v>205</v>
      </c>
      <c r="E71" s="21" t="s">
        <v>98</v>
      </c>
      <c r="F71" s="21" t="s">
        <v>72</v>
      </c>
      <c r="G71" s="21" t="s">
        <v>437</v>
      </c>
    </row>
    <row r="72" spans="2:7">
      <c r="B72" s="20" t="s">
        <v>114</v>
      </c>
      <c r="C72" s="15" t="s">
        <v>391</v>
      </c>
      <c r="D72" s="20" t="s">
        <v>88</v>
      </c>
      <c r="E72" s="21" t="s">
        <v>200</v>
      </c>
      <c r="F72" s="21" t="s">
        <v>184</v>
      </c>
      <c r="G72" s="21" t="s">
        <v>438</v>
      </c>
    </row>
    <row r="73" spans="2:7">
      <c r="B73" s="20" t="s">
        <v>114</v>
      </c>
    </row>
    <row r="74" spans="2:7">
      <c r="B74" s="20" t="s">
        <v>114</v>
      </c>
    </row>
    <row r="75" spans="2:7">
      <c r="B75" s="20" t="s">
        <v>114</v>
      </c>
    </row>
    <row r="76" spans="2:7">
      <c r="B76" s="20" t="s">
        <v>114</v>
      </c>
    </row>
    <row r="77" spans="2:7" ht="18">
      <c r="B77" s="20" t="s">
        <v>114</v>
      </c>
      <c r="C77" s="13" t="s">
        <v>105</v>
      </c>
      <c r="D77" s="13"/>
    </row>
    <row r="78" spans="2:7" ht="15">
      <c r="B78" s="20" t="s">
        <v>114</v>
      </c>
      <c r="C78" s="18" t="s">
        <v>106</v>
      </c>
      <c r="D78" s="18" t="s">
        <v>107</v>
      </c>
      <c r="E78" s="18" t="s">
        <v>108</v>
      </c>
    </row>
    <row r="79" spans="2:7">
      <c r="B79" s="20" t="s">
        <v>114</v>
      </c>
      <c r="C79" s="4" t="s">
        <v>265</v>
      </c>
      <c r="D79" s="4" t="s">
        <v>109</v>
      </c>
      <c r="E79" s="4" t="s">
        <v>439</v>
      </c>
    </row>
    <row r="80" spans="2:7">
      <c r="B80" s="20" t="s">
        <v>114</v>
      </c>
      <c r="C80" s="4" t="s">
        <v>427</v>
      </c>
      <c r="D80" s="4" t="s">
        <v>111</v>
      </c>
      <c r="E80" s="4" t="s">
        <v>440</v>
      </c>
    </row>
    <row r="81" spans="2:5">
      <c r="B81" s="20" t="s">
        <v>114</v>
      </c>
      <c r="C81" s="4" t="s">
        <v>422</v>
      </c>
      <c r="D81" s="4" t="s">
        <v>111</v>
      </c>
      <c r="E81" s="4" t="s">
        <v>441</v>
      </c>
    </row>
    <row r="82" spans="2:5">
      <c r="B82" s="20" t="s">
        <v>114</v>
      </c>
      <c r="C82" s="4" t="s">
        <v>381</v>
      </c>
      <c r="D82" s="4" t="s">
        <v>111</v>
      </c>
      <c r="E82" s="4" t="s">
        <v>442</v>
      </c>
    </row>
    <row r="83" spans="2:5">
      <c r="B83" s="20" t="s">
        <v>114</v>
      </c>
    </row>
  </sheetData>
  <mergeCells count="20">
    <mergeCell ref="A35:K35"/>
    <mergeCell ref="B3:B4"/>
    <mergeCell ref="A8:K8"/>
    <mergeCell ref="A12:K12"/>
    <mergeCell ref="A16:K16"/>
    <mergeCell ref="A22:K22"/>
    <mergeCell ref="A28:K28"/>
    <mergeCell ref="A32:K32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8"/>
  <sheetViews>
    <sheetView workbookViewId="0">
      <selection activeCell="F8" sqref="F8:J13"/>
    </sheetView>
  </sheetViews>
  <sheetFormatPr defaultRowHeight="12.75"/>
  <cols>
    <col min="1" max="1" width="7.42578125" style="20" bestFit="1" customWidth="1"/>
    <col min="2" max="2" width="15.42578125" style="20" bestFit="1" customWidth="1"/>
    <col min="3" max="3" width="23.85546875" style="4" customWidth="1"/>
    <col min="4" max="4" width="16.28515625" style="4" customWidth="1"/>
    <col min="5" max="5" width="8.140625" style="4" customWidth="1"/>
    <col min="6" max="6" width="12.42578125" style="4" customWidth="1"/>
    <col min="7" max="7" width="26.85546875" style="4" customWidth="1"/>
    <col min="8" max="10" width="5.5703125" style="2" customWidth="1"/>
    <col min="11" max="11" width="4.85546875" style="2" customWidth="1"/>
    <col min="12" max="14" width="5.5703125" style="2" customWidth="1"/>
    <col min="15" max="15" width="4.85546875" style="2" customWidth="1"/>
    <col min="16" max="18" width="5.5703125" style="2" customWidth="1"/>
    <col min="19" max="19" width="4.85546875" style="2" customWidth="1"/>
    <col min="20" max="20" width="7.85546875" style="4" bestFit="1" customWidth="1"/>
    <col min="21" max="21" width="8.5703125" style="3" bestFit="1" customWidth="1"/>
    <col min="22" max="22" width="8.85546875" style="4" bestFit="1" customWidth="1"/>
    <col min="23" max="16384" width="9.140625" style="3"/>
  </cols>
  <sheetData>
    <row r="1" spans="1:22" s="2" customFormat="1" ht="29.1" customHeight="1">
      <c r="A1" s="61" t="s">
        <v>357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13</v>
      </c>
      <c r="I3" s="53"/>
      <c r="J3" s="53"/>
      <c r="K3" s="56"/>
      <c r="L3" s="49" t="s">
        <v>14</v>
      </c>
      <c r="M3" s="53"/>
      <c r="N3" s="53"/>
      <c r="O3" s="56"/>
      <c r="P3" s="57" t="s">
        <v>15</v>
      </c>
      <c r="Q3" s="53"/>
      <c r="R3" s="53"/>
      <c r="S3" s="54"/>
      <c r="T3" s="57" t="s">
        <v>1</v>
      </c>
      <c r="U3" s="53" t="s">
        <v>3</v>
      </c>
      <c r="V3" s="56" t="s">
        <v>2</v>
      </c>
    </row>
    <row r="4" spans="1:22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5">
        <v>1</v>
      </c>
      <c r="M4" s="6">
        <v>2</v>
      </c>
      <c r="N4" s="6">
        <v>3</v>
      </c>
      <c r="O4" s="7" t="s">
        <v>5</v>
      </c>
      <c r="P4" s="8">
        <v>1</v>
      </c>
      <c r="Q4" s="6">
        <v>2</v>
      </c>
      <c r="R4" s="6">
        <v>3</v>
      </c>
      <c r="S4" s="9" t="s">
        <v>5</v>
      </c>
      <c r="T4" s="63"/>
      <c r="U4" s="52"/>
      <c r="V4" s="60"/>
    </row>
    <row r="5" spans="1:22" ht="15">
      <c r="A5" s="64" t="s">
        <v>45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5" t="s">
        <v>113</v>
      </c>
      <c r="B6" s="25" t="s">
        <v>358</v>
      </c>
      <c r="C6" s="10" t="s">
        <v>359</v>
      </c>
      <c r="D6" s="10" t="s">
        <v>217</v>
      </c>
      <c r="E6" s="10" t="str">
        <f>"0,6885"</f>
        <v>0,6885</v>
      </c>
      <c r="F6" s="10" t="s">
        <v>360</v>
      </c>
      <c r="G6" s="10" t="s">
        <v>71</v>
      </c>
      <c r="H6" s="22" t="s">
        <v>224</v>
      </c>
      <c r="I6" s="22" t="s">
        <v>74</v>
      </c>
      <c r="J6" s="24" t="s">
        <v>303</v>
      </c>
      <c r="K6" s="23"/>
      <c r="L6" s="22" t="s">
        <v>73</v>
      </c>
      <c r="M6" s="24" t="s">
        <v>72</v>
      </c>
      <c r="N6" s="24" t="s">
        <v>72</v>
      </c>
      <c r="O6" s="23"/>
      <c r="P6" s="22" t="s">
        <v>65</v>
      </c>
      <c r="Q6" s="22" t="s">
        <v>90</v>
      </c>
      <c r="R6" s="24" t="s">
        <v>361</v>
      </c>
      <c r="S6" s="23"/>
      <c r="T6" s="10" t="str">
        <f>"647,5"</f>
        <v>647,5</v>
      </c>
      <c r="U6" s="11" t="str">
        <f>"445,8361"</f>
        <v>445,8361</v>
      </c>
      <c r="V6" s="10" t="s">
        <v>31</v>
      </c>
    </row>
    <row r="7" spans="1:22">
      <c r="B7" s="20" t="s">
        <v>114</v>
      </c>
    </row>
    <row r="8" spans="1:22" ht="15">
      <c r="B8" s="20" t="s">
        <v>114</v>
      </c>
      <c r="F8" s="12" t="s">
        <v>602</v>
      </c>
    </row>
    <row r="9" spans="1:22" ht="15">
      <c r="B9" s="20" t="s">
        <v>114</v>
      </c>
      <c r="F9" s="12" t="s">
        <v>603</v>
      </c>
    </row>
    <row r="10" spans="1:22" ht="15">
      <c r="B10" s="20" t="s">
        <v>114</v>
      </c>
      <c r="F10" s="12" t="s">
        <v>604</v>
      </c>
    </row>
    <row r="11" spans="1:22" ht="15">
      <c r="B11" s="20" t="s">
        <v>114</v>
      </c>
      <c r="F11" s="12" t="s">
        <v>605</v>
      </c>
    </row>
    <row r="12" spans="1:22" ht="15">
      <c r="B12" s="20" t="s">
        <v>114</v>
      </c>
      <c r="F12" s="12" t="s">
        <v>606</v>
      </c>
    </row>
    <row r="13" spans="1:22" ht="15">
      <c r="B13" s="20" t="s">
        <v>114</v>
      </c>
      <c r="F13" s="12" t="s">
        <v>607</v>
      </c>
    </row>
    <row r="14" spans="1:22" ht="15">
      <c r="B14" s="20" t="s">
        <v>114</v>
      </c>
      <c r="F14" s="12"/>
    </row>
    <row r="15" spans="1:22">
      <c r="B15" s="20" t="s">
        <v>114</v>
      </c>
    </row>
    <row r="16" spans="1:22" ht="18">
      <c r="B16" s="20" t="s">
        <v>114</v>
      </c>
      <c r="C16" s="13" t="s">
        <v>76</v>
      </c>
      <c r="D16" s="13"/>
      <c r="H16" s="19"/>
    </row>
    <row r="17" spans="2:8" ht="15">
      <c r="B17" s="20" t="s">
        <v>114</v>
      </c>
      <c r="C17" s="14" t="s">
        <v>92</v>
      </c>
      <c r="D17" s="14"/>
      <c r="H17" s="19"/>
    </row>
    <row r="18" spans="2:8" ht="14.25">
      <c r="B18" s="20" t="s">
        <v>114</v>
      </c>
      <c r="C18" s="16"/>
      <c r="D18" s="17" t="s">
        <v>78</v>
      </c>
      <c r="H18" s="19"/>
    </row>
    <row r="19" spans="2:8" ht="15">
      <c r="B19" s="20" t="s">
        <v>114</v>
      </c>
      <c r="C19" s="18" t="s">
        <v>79</v>
      </c>
      <c r="D19" s="18" t="s">
        <v>80</v>
      </c>
      <c r="E19" s="18" t="s">
        <v>81</v>
      </c>
      <c r="F19" s="18" t="s">
        <v>82</v>
      </c>
      <c r="G19" s="18" t="s">
        <v>83</v>
      </c>
      <c r="H19" s="19"/>
    </row>
    <row r="20" spans="2:8">
      <c r="B20" s="20" t="s">
        <v>114</v>
      </c>
      <c r="C20" s="15" t="s">
        <v>358</v>
      </c>
      <c r="D20" s="20" t="s">
        <v>78</v>
      </c>
      <c r="E20" s="21" t="s">
        <v>95</v>
      </c>
      <c r="F20" s="21" t="s">
        <v>362</v>
      </c>
      <c r="G20" s="21" t="s">
        <v>363</v>
      </c>
      <c r="H20" s="19"/>
    </row>
    <row r="21" spans="2:8">
      <c r="B21" s="20" t="s">
        <v>114</v>
      </c>
      <c r="H21" s="19"/>
    </row>
    <row r="22" spans="2:8">
      <c r="B22" s="20" t="s">
        <v>114</v>
      </c>
      <c r="H22" s="19"/>
    </row>
    <row r="23" spans="2:8">
      <c r="B23" s="20" t="s">
        <v>114</v>
      </c>
      <c r="H23" s="19"/>
    </row>
    <row r="24" spans="2:8">
      <c r="B24" s="20" t="s">
        <v>114</v>
      </c>
      <c r="H24" s="19"/>
    </row>
    <row r="25" spans="2:8" ht="18">
      <c r="B25" s="20" t="s">
        <v>114</v>
      </c>
      <c r="C25" s="13" t="s">
        <v>105</v>
      </c>
      <c r="D25" s="13"/>
      <c r="H25" s="19"/>
    </row>
    <row r="26" spans="2:8" ht="15">
      <c r="B26" s="20" t="s">
        <v>114</v>
      </c>
      <c r="C26" s="18" t="s">
        <v>106</v>
      </c>
      <c r="D26" s="18" t="s">
        <v>107</v>
      </c>
      <c r="E26" s="18" t="s">
        <v>108</v>
      </c>
      <c r="H26" s="19"/>
    </row>
    <row r="27" spans="2:8">
      <c r="B27" s="20" t="s">
        <v>114</v>
      </c>
      <c r="C27" s="4" t="s">
        <v>360</v>
      </c>
      <c r="D27" s="4" t="s">
        <v>111</v>
      </c>
      <c r="E27" s="4" t="s">
        <v>364</v>
      </c>
      <c r="H27" s="19"/>
    </row>
    <row r="28" spans="2:8">
      <c r="B28" s="20" t="s">
        <v>114</v>
      </c>
      <c r="H28" s="19"/>
    </row>
  </sheetData>
  <mergeCells count="15">
    <mergeCell ref="A5:S5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47"/>
  <sheetViews>
    <sheetView workbookViewId="0">
      <selection activeCell="F15" sqref="F15:J20"/>
    </sheetView>
  </sheetViews>
  <sheetFormatPr defaultRowHeight="12.75"/>
  <cols>
    <col min="1" max="1" width="7.42578125" style="20" bestFit="1" customWidth="1"/>
    <col min="2" max="2" width="17" style="20" customWidth="1"/>
    <col min="3" max="3" width="27.5703125" style="4" customWidth="1"/>
    <col min="4" max="4" width="15.5703125" style="4" customWidth="1"/>
    <col min="5" max="5" width="8" style="4" customWidth="1"/>
    <col min="6" max="6" width="15.7109375" style="4" customWidth="1"/>
    <col min="7" max="7" width="32" style="4" bestFit="1" customWidth="1"/>
    <col min="8" max="10" width="5.5703125" style="2" customWidth="1"/>
    <col min="11" max="11" width="4.85546875" style="2" customWidth="1"/>
    <col min="12" max="14" width="5.5703125" style="2" customWidth="1"/>
    <col min="15" max="15" width="4.85546875" style="2" customWidth="1"/>
    <col min="16" max="18" width="5.5703125" style="2" customWidth="1"/>
    <col min="19" max="19" width="4.85546875" style="2" customWidth="1"/>
    <col min="20" max="20" width="7.85546875" style="4" bestFit="1" customWidth="1"/>
    <col min="21" max="21" width="8.5703125" style="3" bestFit="1" customWidth="1"/>
    <col min="22" max="22" width="19" style="4" bestFit="1" customWidth="1"/>
    <col min="23" max="16384" width="9.140625" style="3"/>
  </cols>
  <sheetData>
    <row r="1" spans="1:22" s="2" customFormat="1" ht="29.1" customHeight="1">
      <c r="A1" s="61" t="s">
        <v>331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13</v>
      </c>
      <c r="I3" s="53"/>
      <c r="J3" s="53"/>
      <c r="K3" s="56"/>
      <c r="L3" s="49" t="s">
        <v>14</v>
      </c>
      <c r="M3" s="53"/>
      <c r="N3" s="53"/>
      <c r="O3" s="56"/>
      <c r="P3" s="57" t="s">
        <v>15</v>
      </c>
      <c r="Q3" s="53"/>
      <c r="R3" s="53"/>
      <c r="S3" s="54"/>
      <c r="T3" s="57" t="s">
        <v>1</v>
      </c>
      <c r="U3" s="53" t="s">
        <v>3</v>
      </c>
      <c r="V3" s="56" t="s">
        <v>2</v>
      </c>
    </row>
    <row r="4" spans="1:22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5">
        <v>1</v>
      </c>
      <c r="M4" s="6">
        <v>2</v>
      </c>
      <c r="N4" s="6">
        <v>3</v>
      </c>
      <c r="O4" s="7" t="s">
        <v>5</v>
      </c>
      <c r="P4" s="8">
        <v>1</v>
      </c>
      <c r="Q4" s="6">
        <v>2</v>
      </c>
      <c r="R4" s="6">
        <v>3</v>
      </c>
      <c r="S4" s="9" t="s">
        <v>5</v>
      </c>
      <c r="T4" s="63"/>
      <c r="U4" s="52"/>
      <c r="V4" s="60"/>
    </row>
    <row r="5" spans="1:22" ht="15">
      <c r="A5" s="64" t="s">
        <v>16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5" t="s">
        <v>113</v>
      </c>
      <c r="B6" s="25" t="s">
        <v>332</v>
      </c>
      <c r="C6" s="10" t="s">
        <v>333</v>
      </c>
      <c r="D6" s="10" t="s">
        <v>334</v>
      </c>
      <c r="E6" s="10" t="str">
        <f>"0,9930"</f>
        <v>0,9930</v>
      </c>
      <c r="F6" s="10" t="s">
        <v>265</v>
      </c>
      <c r="G6" s="10" t="s">
        <v>266</v>
      </c>
      <c r="H6" s="22" t="s">
        <v>30</v>
      </c>
      <c r="I6" s="22" t="s">
        <v>184</v>
      </c>
      <c r="J6" s="24" t="s">
        <v>39</v>
      </c>
      <c r="K6" s="23"/>
      <c r="L6" s="22" t="s">
        <v>22</v>
      </c>
      <c r="M6" s="24" t="s">
        <v>40</v>
      </c>
      <c r="N6" s="24" t="s">
        <v>40</v>
      </c>
      <c r="O6" s="23"/>
      <c r="P6" s="22" t="s">
        <v>42</v>
      </c>
      <c r="Q6" s="22" t="s">
        <v>51</v>
      </c>
      <c r="R6" s="24" t="s">
        <v>73</v>
      </c>
      <c r="S6" s="23"/>
      <c r="T6" s="10" t="str">
        <f>"330,0"</f>
        <v>330,0</v>
      </c>
      <c r="U6" s="11" t="str">
        <f>"327,6735"</f>
        <v>327,6735</v>
      </c>
      <c r="V6" s="10" t="s">
        <v>270</v>
      </c>
    </row>
    <row r="7" spans="1:22">
      <c r="B7" s="20" t="s">
        <v>114</v>
      </c>
    </row>
    <row r="8" spans="1:22" ht="15">
      <c r="A8" s="68" t="s">
        <v>160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2">
      <c r="A9" s="41" t="s">
        <v>113</v>
      </c>
      <c r="B9" s="41" t="s">
        <v>335</v>
      </c>
      <c r="C9" s="26" t="s">
        <v>336</v>
      </c>
      <c r="D9" s="26" t="s">
        <v>337</v>
      </c>
      <c r="E9" s="26" t="str">
        <f>"0,6718"</f>
        <v>0,6718</v>
      </c>
      <c r="F9" s="26" t="s">
        <v>265</v>
      </c>
      <c r="G9" s="26" t="s">
        <v>266</v>
      </c>
      <c r="H9" s="33" t="s">
        <v>60</v>
      </c>
      <c r="I9" s="33" t="s">
        <v>122</v>
      </c>
      <c r="J9" s="33" t="s">
        <v>64</v>
      </c>
      <c r="K9" s="32"/>
      <c r="L9" s="33" t="s">
        <v>30</v>
      </c>
      <c r="M9" s="33" t="s">
        <v>184</v>
      </c>
      <c r="N9" s="33" t="s">
        <v>338</v>
      </c>
      <c r="O9" s="32"/>
      <c r="P9" s="33" t="s">
        <v>122</v>
      </c>
      <c r="Q9" s="33" t="s">
        <v>65</v>
      </c>
      <c r="R9" s="34" t="s">
        <v>229</v>
      </c>
      <c r="S9" s="32"/>
      <c r="T9" s="26" t="str">
        <f>"557,5"</f>
        <v>557,5</v>
      </c>
      <c r="U9" s="27" t="str">
        <f>"374,5285"</f>
        <v>374,5285</v>
      </c>
      <c r="V9" s="26" t="s">
        <v>270</v>
      </c>
    </row>
    <row r="10" spans="1:22">
      <c r="A10" s="42" t="s">
        <v>113</v>
      </c>
      <c r="B10" s="42" t="s">
        <v>339</v>
      </c>
      <c r="C10" s="28" t="s">
        <v>340</v>
      </c>
      <c r="D10" s="28" t="s">
        <v>341</v>
      </c>
      <c r="E10" s="28" t="str">
        <f>"0,6567"</f>
        <v>0,6567</v>
      </c>
      <c r="F10" s="28" t="s">
        <v>342</v>
      </c>
      <c r="G10" s="28" t="s">
        <v>50</v>
      </c>
      <c r="H10" s="37" t="s">
        <v>42</v>
      </c>
      <c r="I10" s="36" t="s">
        <v>42</v>
      </c>
      <c r="J10" s="36" t="s">
        <v>43</v>
      </c>
      <c r="K10" s="35"/>
      <c r="L10" s="36" t="s">
        <v>23</v>
      </c>
      <c r="M10" s="36" t="s">
        <v>41</v>
      </c>
      <c r="N10" s="36" t="s">
        <v>267</v>
      </c>
      <c r="O10" s="35"/>
      <c r="P10" s="36" t="s">
        <v>158</v>
      </c>
      <c r="Q10" s="36" t="s">
        <v>60</v>
      </c>
      <c r="R10" s="37" t="s">
        <v>61</v>
      </c>
      <c r="S10" s="35"/>
      <c r="T10" s="28" t="str">
        <f>"405,0"</f>
        <v>405,0</v>
      </c>
      <c r="U10" s="29" t="str">
        <f>"265,9635"</f>
        <v>265,9635</v>
      </c>
      <c r="V10" s="28" t="s">
        <v>343</v>
      </c>
    </row>
    <row r="11" spans="1:22">
      <c r="B11" s="20" t="s">
        <v>114</v>
      </c>
    </row>
    <row r="12" spans="1:22" ht="15">
      <c r="A12" s="68" t="s">
        <v>66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22">
      <c r="A13" s="25" t="s">
        <v>113</v>
      </c>
      <c r="B13" s="25" t="s">
        <v>344</v>
      </c>
      <c r="C13" s="10" t="s">
        <v>345</v>
      </c>
      <c r="D13" s="10" t="s">
        <v>346</v>
      </c>
      <c r="E13" s="10" t="str">
        <f>"0,5632"</f>
        <v>0,5632</v>
      </c>
      <c r="F13" s="10" t="s">
        <v>265</v>
      </c>
      <c r="G13" s="10" t="s">
        <v>266</v>
      </c>
      <c r="H13" s="24" t="s">
        <v>131</v>
      </c>
      <c r="I13" s="22" t="s">
        <v>131</v>
      </c>
      <c r="J13" s="22" t="s">
        <v>140</v>
      </c>
      <c r="K13" s="23"/>
      <c r="L13" s="22" t="s">
        <v>61</v>
      </c>
      <c r="M13" s="22" t="s">
        <v>139</v>
      </c>
      <c r="N13" s="24" t="s">
        <v>64</v>
      </c>
      <c r="O13" s="23"/>
      <c r="P13" s="22" t="s">
        <v>131</v>
      </c>
      <c r="Q13" s="22" t="s">
        <v>140</v>
      </c>
      <c r="R13" s="22" t="s">
        <v>133</v>
      </c>
      <c r="S13" s="23"/>
      <c r="T13" s="10" t="str">
        <f>"815,0"</f>
        <v>815,0</v>
      </c>
      <c r="U13" s="11" t="str">
        <f>"459,0080"</f>
        <v>459,0080</v>
      </c>
      <c r="V13" s="10" t="s">
        <v>270</v>
      </c>
    </row>
    <row r="14" spans="1:22">
      <c r="B14" s="20" t="s">
        <v>114</v>
      </c>
    </row>
    <row r="15" spans="1:22" ht="15">
      <c r="B15" s="20" t="s">
        <v>114</v>
      </c>
      <c r="F15" s="12" t="s">
        <v>602</v>
      </c>
    </row>
    <row r="16" spans="1:22" ht="15">
      <c r="B16" s="20" t="s">
        <v>114</v>
      </c>
      <c r="F16" s="12" t="s">
        <v>603</v>
      </c>
    </row>
    <row r="17" spans="2:8" ht="15">
      <c r="B17" s="20" t="s">
        <v>114</v>
      </c>
      <c r="F17" s="12" t="s">
        <v>604</v>
      </c>
    </row>
    <row r="18" spans="2:8" ht="15">
      <c r="B18" s="20" t="s">
        <v>114</v>
      </c>
      <c r="F18" s="12" t="s">
        <v>605</v>
      </c>
    </row>
    <row r="19" spans="2:8" ht="15">
      <c r="B19" s="20" t="s">
        <v>114</v>
      </c>
      <c r="F19" s="12" t="s">
        <v>606</v>
      </c>
    </row>
    <row r="20" spans="2:8" ht="15">
      <c r="B20" s="20" t="s">
        <v>114</v>
      </c>
      <c r="F20" s="12" t="s">
        <v>607</v>
      </c>
    </row>
    <row r="21" spans="2:8" ht="15">
      <c r="B21" s="20" t="s">
        <v>114</v>
      </c>
      <c r="F21" s="12"/>
    </row>
    <row r="22" spans="2:8">
      <c r="B22" s="20" t="s">
        <v>114</v>
      </c>
    </row>
    <row r="23" spans="2:8" ht="18">
      <c r="B23" s="20" t="s">
        <v>114</v>
      </c>
      <c r="C23" s="13" t="s">
        <v>76</v>
      </c>
      <c r="D23" s="13"/>
      <c r="H23" s="19"/>
    </row>
    <row r="24" spans="2:8" ht="15">
      <c r="B24" s="20" t="s">
        <v>114</v>
      </c>
      <c r="C24" s="14" t="s">
        <v>77</v>
      </c>
      <c r="D24" s="14"/>
      <c r="H24" s="19"/>
    </row>
    <row r="25" spans="2:8" ht="14.25">
      <c r="B25" s="20" t="s">
        <v>114</v>
      </c>
      <c r="C25" s="16"/>
      <c r="D25" s="17" t="s">
        <v>78</v>
      </c>
      <c r="H25" s="19"/>
    </row>
    <row r="26" spans="2:8" ht="15">
      <c r="B26" s="20" t="s">
        <v>114</v>
      </c>
      <c r="C26" s="18" t="s">
        <v>79</v>
      </c>
      <c r="D26" s="18" t="s">
        <v>80</v>
      </c>
      <c r="E26" s="18" t="s">
        <v>81</v>
      </c>
      <c r="F26" s="18" t="s">
        <v>82</v>
      </c>
      <c r="G26" s="18" t="s">
        <v>83</v>
      </c>
      <c r="H26" s="19"/>
    </row>
    <row r="27" spans="2:8">
      <c r="B27" s="20" t="s">
        <v>114</v>
      </c>
      <c r="C27" s="15" t="s">
        <v>332</v>
      </c>
      <c r="D27" s="20" t="s">
        <v>78</v>
      </c>
      <c r="E27" s="21" t="s">
        <v>89</v>
      </c>
      <c r="F27" s="21" t="s">
        <v>238</v>
      </c>
      <c r="G27" s="21" t="s">
        <v>347</v>
      </c>
      <c r="H27" s="19"/>
    </row>
    <row r="28" spans="2:8">
      <c r="B28" s="20" t="s">
        <v>114</v>
      </c>
      <c r="H28" s="19"/>
    </row>
    <row r="29" spans="2:8">
      <c r="B29" s="20" t="s">
        <v>114</v>
      </c>
      <c r="H29" s="19"/>
    </row>
    <row r="30" spans="2:8" ht="15">
      <c r="B30" s="20" t="s">
        <v>114</v>
      </c>
      <c r="C30" s="14" t="s">
        <v>92</v>
      </c>
      <c r="D30" s="14"/>
      <c r="H30" s="19"/>
    </row>
    <row r="31" spans="2:8" ht="14.25">
      <c r="B31" s="20" t="s">
        <v>114</v>
      </c>
      <c r="C31" s="16"/>
      <c r="D31" s="17" t="s">
        <v>93</v>
      </c>
      <c r="H31" s="19"/>
    </row>
    <row r="32" spans="2:8" ht="15">
      <c r="B32" s="20" t="s">
        <v>114</v>
      </c>
      <c r="C32" s="18" t="s">
        <v>79</v>
      </c>
      <c r="D32" s="18" t="s">
        <v>80</v>
      </c>
      <c r="E32" s="18" t="s">
        <v>81</v>
      </c>
      <c r="F32" s="18" t="s">
        <v>82</v>
      </c>
      <c r="G32" s="18" t="s">
        <v>83</v>
      </c>
      <c r="H32" s="19"/>
    </row>
    <row r="33" spans="2:8">
      <c r="B33" s="20" t="s">
        <v>114</v>
      </c>
      <c r="C33" s="15" t="s">
        <v>335</v>
      </c>
      <c r="D33" s="20" t="s">
        <v>348</v>
      </c>
      <c r="E33" s="21" t="s">
        <v>200</v>
      </c>
      <c r="F33" s="21" t="s">
        <v>349</v>
      </c>
      <c r="G33" s="21" t="s">
        <v>350</v>
      </c>
      <c r="H33" s="19"/>
    </row>
    <row r="34" spans="2:8">
      <c r="B34" s="20" t="s">
        <v>114</v>
      </c>
      <c r="H34" s="19"/>
    </row>
    <row r="35" spans="2:8" ht="14.25">
      <c r="B35" s="20" t="s">
        <v>114</v>
      </c>
      <c r="C35" s="16"/>
      <c r="D35" s="17" t="s">
        <v>78</v>
      </c>
      <c r="H35" s="19"/>
    </row>
    <row r="36" spans="2:8" ht="15">
      <c r="B36" s="20" t="s">
        <v>114</v>
      </c>
      <c r="C36" s="18" t="s">
        <v>79</v>
      </c>
      <c r="D36" s="18" t="s">
        <v>80</v>
      </c>
      <c r="E36" s="18" t="s">
        <v>81</v>
      </c>
      <c r="F36" s="18" t="s">
        <v>82</v>
      </c>
      <c r="G36" s="18" t="s">
        <v>83</v>
      </c>
      <c r="H36" s="19"/>
    </row>
    <row r="37" spans="2:8">
      <c r="B37" s="20" t="s">
        <v>114</v>
      </c>
      <c r="C37" s="15" t="s">
        <v>344</v>
      </c>
      <c r="D37" s="20" t="s">
        <v>78</v>
      </c>
      <c r="E37" s="21" t="s">
        <v>98</v>
      </c>
      <c r="F37" s="21" t="s">
        <v>351</v>
      </c>
      <c r="G37" s="21" t="s">
        <v>352</v>
      </c>
      <c r="H37" s="19"/>
    </row>
    <row r="38" spans="2:8">
      <c r="B38" s="20" t="s">
        <v>114</v>
      </c>
      <c r="C38" s="15" t="s">
        <v>339</v>
      </c>
      <c r="D38" s="20" t="s">
        <v>78</v>
      </c>
      <c r="E38" s="21" t="s">
        <v>200</v>
      </c>
      <c r="F38" s="21" t="s">
        <v>96</v>
      </c>
      <c r="G38" s="21" t="s">
        <v>353</v>
      </c>
      <c r="H38" s="19"/>
    </row>
    <row r="39" spans="2:8">
      <c r="B39" s="20" t="s">
        <v>114</v>
      </c>
      <c r="H39" s="19"/>
    </row>
    <row r="40" spans="2:8">
      <c r="B40" s="20" t="s">
        <v>114</v>
      </c>
      <c r="H40" s="19"/>
    </row>
    <row r="41" spans="2:8">
      <c r="B41" s="20" t="s">
        <v>114</v>
      </c>
      <c r="H41" s="19"/>
    </row>
    <row r="42" spans="2:8">
      <c r="B42" s="20" t="s">
        <v>114</v>
      </c>
      <c r="H42" s="19"/>
    </row>
    <row r="43" spans="2:8" ht="18">
      <c r="B43" s="20" t="s">
        <v>114</v>
      </c>
      <c r="C43" s="13" t="s">
        <v>105</v>
      </c>
      <c r="D43" s="13"/>
      <c r="H43" s="19"/>
    </row>
    <row r="44" spans="2:8" ht="15">
      <c r="B44" s="20" t="s">
        <v>114</v>
      </c>
      <c r="C44" s="18" t="s">
        <v>106</v>
      </c>
      <c r="D44" s="18" t="s">
        <v>107</v>
      </c>
      <c r="E44" s="18" t="s">
        <v>108</v>
      </c>
      <c r="H44" s="19"/>
    </row>
    <row r="45" spans="2:8">
      <c r="B45" s="20" t="s">
        <v>114</v>
      </c>
      <c r="C45" s="4" t="s">
        <v>265</v>
      </c>
      <c r="D45" s="4" t="s">
        <v>354</v>
      </c>
      <c r="E45" s="4" t="s">
        <v>355</v>
      </c>
      <c r="H45" s="19"/>
    </row>
    <row r="46" spans="2:8">
      <c r="B46" s="20" t="s">
        <v>114</v>
      </c>
      <c r="C46" s="4" t="s">
        <v>342</v>
      </c>
      <c r="D46" s="4" t="s">
        <v>111</v>
      </c>
      <c r="E46" s="4" t="s">
        <v>356</v>
      </c>
      <c r="H46" s="19"/>
    </row>
    <row r="47" spans="2:8">
      <c r="B47" s="20" t="s">
        <v>114</v>
      </c>
      <c r="H47" s="19"/>
    </row>
  </sheetData>
  <mergeCells count="17">
    <mergeCell ref="A8:S8"/>
    <mergeCell ref="A12:S12"/>
    <mergeCell ref="B3:B4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73"/>
  <sheetViews>
    <sheetView workbookViewId="0">
      <selection sqref="A1:V2"/>
    </sheetView>
  </sheetViews>
  <sheetFormatPr defaultRowHeight="12.75"/>
  <cols>
    <col min="1" max="1" width="7" style="20" customWidth="1"/>
    <col min="2" max="2" width="21.42578125" style="20" customWidth="1"/>
    <col min="3" max="3" width="28.42578125" style="4" customWidth="1"/>
    <col min="4" max="4" width="16.7109375" style="4" customWidth="1"/>
    <col min="5" max="5" width="7.85546875" style="4" customWidth="1"/>
    <col min="6" max="6" width="12.140625" style="4" customWidth="1"/>
    <col min="7" max="7" width="29.140625" style="4" customWidth="1"/>
    <col min="8" max="10" width="5.5703125" style="2" customWidth="1"/>
    <col min="11" max="11" width="4.85546875" style="2" customWidth="1"/>
    <col min="12" max="14" width="5.5703125" style="2" customWidth="1"/>
    <col min="15" max="15" width="4.85546875" style="2" customWidth="1"/>
    <col min="16" max="18" width="5.5703125" style="2" customWidth="1"/>
    <col min="19" max="19" width="4.85546875" style="2" customWidth="1"/>
    <col min="20" max="20" width="7.85546875" style="4" bestFit="1" customWidth="1"/>
    <col min="21" max="21" width="8.5703125" style="3" bestFit="1" customWidth="1"/>
    <col min="22" max="22" width="19" style="4" bestFit="1" customWidth="1"/>
    <col min="23" max="16384" width="9.140625" style="3"/>
  </cols>
  <sheetData>
    <row r="1" spans="1:22" s="2" customFormat="1" ht="29.1" customHeight="1">
      <c r="A1" s="61" t="s">
        <v>249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13</v>
      </c>
      <c r="I3" s="53"/>
      <c r="J3" s="53"/>
      <c r="K3" s="56"/>
      <c r="L3" s="49" t="s">
        <v>14</v>
      </c>
      <c r="M3" s="53"/>
      <c r="N3" s="53"/>
      <c r="O3" s="56"/>
      <c r="P3" s="57" t="s">
        <v>15</v>
      </c>
      <c r="Q3" s="53"/>
      <c r="R3" s="53"/>
      <c r="S3" s="54"/>
      <c r="T3" s="57" t="s">
        <v>1</v>
      </c>
      <c r="U3" s="53" t="s">
        <v>3</v>
      </c>
      <c r="V3" s="56" t="s">
        <v>2</v>
      </c>
    </row>
    <row r="4" spans="1:22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5">
        <v>1</v>
      </c>
      <c r="M4" s="6">
        <v>2</v>
      </c>
      <c r="N4" s="6">
        <v>3</v>
      </c>
      <c r="O4" s="7" t="s">
        <v>5</v>
      </c>
      <c r="P4" s="8">
        <v>1</v>
      </c>
      <c r="Q4" s="6">
        <v>2</v>
      </c>
      <c r="R4" s="6">
        <v>3</v>
      </c>
      <c r="S4" s="9" t="s">
        <v>5</v>
      </c>
      <c r="T4" s="63"/>
      <c r="U4" s="52"/>
      <c r="V4" s="60"/>
    </row>
    <row r="5" spans="1:22" ht="15">
      <c r="A5" s="64" t="s">
        <v>250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5" t="s">
        <v>113</v>
      </c>
      <c r="B6" s="25" t="s">
        <v>251</v>
      </c>
      <c r="C6" s="10" t="s">
        <v>252</v>
      </c>
      <c r="D6" s="10" t="s">
        <v>253</v>
      </c>
      <c r="E6" s="10" t="str">
        <f>"1,2809"</f>
        <v>1,2809</v>
      </c>
      <c r="F6" s="10" t="s">
        <v>20</v>
      </c>
      <c r="G6" s="10" t="s">
        <v>71</v>
      </c>
      <c r="H6" s="22" t="s">
        <v>254</v>
      </c>
      <c r="I6" s="22" t="s">
        <v>255</v>
      </c>
      <c r="J6" s="22" t="s">
        <v>256</v>
      </c>
      <c r="K6" s="23"/>
      <c r="L6" s="22" t="s">
        <v>257</v>
      </c>
      <c r="M6" s="22" t="s">
        <v>258</v>
      </c>
      <c r="N6" s="24" t="s">
        <v>25</v>
      </c>
      <c r="O6" s="23"/>
      <c r="P6" s="22" t="s">
        <v>41</v>
      </c>
      <c r="Q6" s="22" t="s">
        <v>259</v>
      </c>
      <c r="R6" s="24" t="s">
        <v>260</v>
      </c>
      <c r="S6" s="23"/>
      <c r="T6" s="10" t="str">
        <f>"177,5"</f>
        <v>177,5</v>
      </c>
      <c r="U6" s="11" t="str">
        <f>"227,3598"</f>
        <v>227,3598</v>
      </c>
      <c r="V6" s="10" t="s">
        <v>31</v>
      </c>
    </row>
    <row r="7" spans="1:22">
      <c r="B7" s="20" t="s">
        <v>114</v>
      </c>
    </row>
    <row r="8" spans="1:22" ht="15">
      <c r="A8" s="68" t="s">
        <v>261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2">
      <c r="A9" s="41" t="s">
        <v>113</v>
      </c>
      <c r="B9" s="41" t="s">
        <v>262</v>
      </c>
      <c r="C9" s="26" t="s">
        <v>263</v>
      </c>
      <c r="D9" s="26" t="s">
        <v>264</v>
      </c>
      <c r="E9" s="26" t="str">
        <f>"1,1110"</f>
        <v>1,1110</v>
      </c>
      <c r="F9" s="26" t="s">
        <v>265</v>
      </c>
      <c r="G9" s="26" t="s">
        <v>266</v>
      </c>
      <c r="H9" s="33" t="s">
        <v>267</v>
      </c>
      <c r="I9" s="33" t="s">
        <v>52</v>
      </c>
      <c r="J9" s="33" t="s">
        <v>53</v>
      </c>
      <c r="K9" s="32"/>
      <c r="L9" s="33" t="s">
        <v>256</v>
      </c>
      <c r="M9" s="33" t="s">
        <v>22</v>
      </c>
      <c r="N9" s="33" t="s">
        <v>268</v>
      </c>
      <c r="O9" s="32"/>
      <c r="P9" s="33" t="s">
        <v>52</v>
      </c>
      <c r="Q9" s="33" t="s">
        <v>53</v>
      </c>
      <c r="R9" s="33" t="s">
        <v>269</v>
      </c>
      <c r="S9" s="32"/>
      <c r="T9" s="26" t="str">
        <f>"270,0"</f>
        <v>270,0</v>
      </c>
      <c r="U9" s="27" t="str">
        <f>"299,9700"</f>
        <v>299,9700</v>
      </c>
      <c r="V9" s="26" t="s">
        <v>270</v>
      </c>
    </row>
    <row r="10" spans="1:22">
      <c r="A10" s="42" t="s">
        <v>113</v>
      </c>
      <c r="B10" s="42" t="s">
        <v>262</v>
      </c>
      <c r="C10" s="28" t="s">
        <v>271</v>
      </c>
      <c r="D10" s="28" t="s">
        <v>264</v>
      </c>
      <c r="E10" s="28" t="str">
        <f>"1,1110"</f>
        <v>1,1110</v>
      </c>
      <c r="F10" s="28" t="s">
        <v>265</v>
      </c>
      <c r="G10" s="28" t="s">
        <v>266</v>
      </c>
      <c r="H10" s="36" t="s">
        <v>267</v>
      </c>
      <c r="I10" s="36" t="s">
        <v>52</v>
      </c>
      <c r="J10" s="36" t="s">
        <v>53</v>
      </c>
      <c r="K10" s="35"/>
      <c r="L10" s="36" t="s">
        <v>256</v>
      </c>
      <c r="M10" s="36" t="s">
        <v>22</v>
      </c>
      <c r="N10" s="36" t="s">
        <v>268</v>
      </c>
      <c r="O10" s="35"/>
      <c r="P10" s="36" t="s">
        <v>52</v>
      </c>
      <c r="Q10" s="36" t="s">
        <v>53</v>
      </c>
      <c r="R10" s="36" t="s">
        <v>269</v>
      </c>
      <c r="S10" s="35"/>
      <c r="T10" s="28" t="str">
        <f>"270,0"</f>
        <v>270,0</v>
      </c>
      <c r="U10" s="29" t="str">
        <f>"299,9700"</f>
        <v>299,9700</v>
      </c>
      <c r="V10" s="28" t="s">
        <v>270</v>
      </c>
    </row>
    <row r="11" spans="1:22">
      <c r="B11" s="20" t="s">
        <v>114</v>
      </c>
    </row>
    <row r="12" spans="1:22" ht="15">
      <c r="A12" s="68" t="s">
        <v>272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1:22">
      <c r="A13" s="41" t="s">
        <v>113</v>
      </c>
      <c r="B13" s="41" t="s">
        <v>273</v>
      </c>
      <c r="C13" s="26" t="s">
        <v>274</v>
      </c>
      <c r="D13" s="26" t="s">
        <v>275</v>
      </c>
      <c r="E13" s="26" t="str">
        <f>"1,0606"</f>
        <v>1,0606</v>
      </c>
      <c r="F13" s="26" t="s">
        <v>265</v>
      </c>
      <c r="G13" s="26" t="s">
        <v>266</v>
      </c>
      <c r="H13" s="33" t="s">
        <v>22</v>
      </c>
      <c r="I13" s="33" t="s">
        <v>23</v>
      </c>
      <c r="J13" s="33" t="s">
        <v>267</v>
      </c>
      <c r="K13" s="32"/>
      <c r="L13" s="33" t="s">
        <v>257</v>
      </c>
      <c r="M13" s="33" t="s">
        <v>25</v>
      </c>
      <c r="N13" s="33" t="s">
        <v>26</v>
      </c>
      <c r="O13" s="32"/>
      <c r="P13" s="33" t="s">
        <v>23</v>
      </c>
      <c r="Q13" s="33" t="s">
        <v>24</v>
      </c>
      <c r="R13" s="33" t="s">
        <v>259</v>
      </c>
      <c r="S13" s="32"/>
      <c r="T13" s="26" t="str">
        <f>"207,5"</f>
        <v>207,5</v>
      </c>
      <c r="U13" s="27" t="str">
        <f>"220,0745"</f>
        <v>220,0745</v>
      </c>
      <c r="V13" s="26" t="s">
        <v>270</v>
      </c>
    </row>
    <row r="14" spans="1:22">
      <c r="A14" s="42" t="s">
        <v>113</v>
      </c>
      <c r="B14" s="42" t="s">
        <v>276</v>
      </c>
      <c r="C14" s="28" t="s">
        <v>277</v>
      </c>
      <c r="D14" s="28" t="s">
        <v>278</v>
      </c>
      <c r="E14" s="28" t="str">
        <f>"1,0469"</f>
        <v>1,0469</v>
      </c>
      <c r="F14" s="28" t="s">
        <v>20</v>
      </c>
      <c r="G14" s="28" t="s">
        <v>36</v>
      </c>
      <c r="H14" s="36" t="s">
        <v>22</v>
      </c>
      <c r="I14" s="37" t="s">
        <v>279</v>
      </c>
      <c r="J14" s="36" t="s">
        <v>279</v>
      </c>
      <c r="K14" s="35"/>
      <c r="L14" s="36" t="s">
        <v>258</v>
      </c>
      <c r="M14" s="36" t="s">
        <v>25</v>
      </c>
      <c r="N14" s="36" t="s">
        <v>280</v>
      </c>
      <c r="O14" s="35"/>
      <c r="P14" s="36" t="s">
        <v>260</v>
      </c>
      <c r="Q14" s="36" t="s">
        <v>281</v>
      </c>
      <c r="R14" s="36" t="s">
        <v>53</v>
      </c>
      <c r="S14" s="35"/>
      <c r="T14" s="28" t="str">
        <f>"210,0"</f>
        <v>210,0</v>
      </c>
      <c r="U14" s="29" t="str">
        <f>"219,8490"</f>
        <v>219,8490</v>
      </c>
      <c r="V14" s="28" t="s">
        <v>44</v>
      </c>
    </row>
    <row r="15" spans="1:22">
      <c r="B15" s="20" t="s">
        <v>114</v>
      </c>
    </row>
    <row r="16" spans="1:22" ht="15">
      <c r="A16" s="68" t="s">
        <v>32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1:22">
      <c r="A17" s="41" t="s">
        <v>113</v>
      </c>
      <c r="B17" s="41" t="s">
        <v>282</v>
      </c>
      <c r="C17" s="26" t="s">
        <v>283</v>
      </c>
      <c r="D17" s="26" t="s">
        <v>284</v>
      </c>
      <c r="E17" s="26" t="str">
        <f>"0,9404"</f>
        <v>0,9404</v>
      </c>
      <c r="F17" s="26" t="s">
        <v>265</v>
      </c>
      <c r="G17" s="26" t="s">
        <v>266</v>
      </c>
      <c r="H17" s="33" t="s">
        <v>267</v>
      </c>
      <c r="I17" s="33" t="s">
        <v>52</v>
      </c>
      <c r="J17" s="33" t="s">
        <v>53</v>
      </c>
      <c r="K17" s="32"/>
      <c r="L17" s="33" t="s">
        <v>285</v>
      </c>
      <c r="M17" s="33" t="s">
        <v>22</v>
      </c>
      <c r="N17" s="34" t="s">
        <v>268</v>
      </c>
      <c r="O17" s="32"/>
      <c r="P17" s="33" t="s">
        <v>51</v>
      </c>
      <c r="Q17" s="34" t="s">
        <v>73</v>
      </c>
      <c r="R17" s="34" t="s">
        <v>73</v>
      </c>
      <c r="S17" s="32"/>
      <c r="T17" s="26" t="str">
        <f>"310,0"</f>
        <v>310,0</v>
      </c>
      <c r="U17" s="27" t="str">
        <f>"291,5240"</f>
        <v>291,5240</v>
      </c>
      <c r="V17" s="26" t="s">
        <v>270</v>
      </c>
    </row>
    <row r="18" spans="1:22">
      <c r="A18" s="42" t="s">
        <v>113</v>
      </c>
      <c r="B18" s="42" t="s">
        <v>286</v>
      </c>
      <c r="C18" s="28" t="s">
        <v>287</v>
      </c>
      <c r="D18" s="28" t="s">
        <v>288</v>
      </c>
      <c r="E18" s="28" t="str">
        <f>"0,7640"</f>
        <v>0,7640</v>
      </c>
      <c r="F18" s="28" t="s">
        <v>49</v>
      </c>
      <c r="G18" s="28" t="s">
        <v>289</v>
      </c>
      <c r="H18" s="36" t="s">
        <v>40</v>
      </c>
      <c r="I18" s="36" t="s">
        <v>23</v>
      </c>
      <c r="J18" s="36" t="s">
        <v>41</v>
      </c>
      <c r="K18" s="35"/>
      <c r="L18" s="36" t="s">
        <v>27</v>
      </c>
      <c r="M18" s="37" t="s">
        <v>255</v>
      </c>
      <c r="N18" s="35"/>
      <c r="O18" s="35"/>
      <c r="P18" s="36" t="s">
        <v>41</v>
      </c>
      <c r="Q18" s="36" t="s">
        <v>259</v>
      </c>
      <c r="R18" s="36" t="s">
        <v>260</v>
      </c>
      <c r="S18" s="35"/>
      <c r="T18" s="28" t="str">
        <f>"212,5"</f>
        <v>212,5</v>
      </c>
      <c r="U18" s="29" t="str">
        <f>"163,9735"</f>
        <v>163,9735</v>
      </c>
      <c r="V18" s="28" t="s">
        <v>290</v>
      </c>
    </row>
    <row r="19" spans="1:22">
      <c r="B19" s="20" t="s">
        <v>114</v>
      </c>
    </row>
    <row r="20" spans="1:22" ht="15">
      <c r="A20" s="68" t="s">
        <v>45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spans="1:22">
      <c r="A21" s="25" t="s">
        <v>113</v>
      </c>
      <c r="B21" s="25" t="s">
        <v>291</v>
      </c>
      <c r="C21" s="10" t="s">
        <v>292</v>
      </c>
      <c r="D21" s="10" t="s">
        <v>293</v>
      </c>
      <c r="E21" s="10" t="str">
        <f>"0,6920"</f>
        <v>0,6920</v>
      </c>
      <c r="F21" s="10" t="s">
        <v>49</v>
      </c>
      <c r="G21" s="10" t="s">
        <v>36</v>
      </c>
      <c r="H21" s="24" t="s">
        <v>63</v>
      </c>
      <c r="I21" s="22" t="s">
        <v>63</v>
      </c>
      <c r="J21" s="22" t="s">
        <v>51</v>
      </c>
      <c r="K21" s="23"/>
      <c r="L21" s="22" t="s">
        <v>52</v>
      </c>
      <c r="M21" s="22" t="s">
        <v>28</v>
      </c>
      <c r="N21" s="22" t="s">
        <v>53</v>
      </c>
      <c r="O21" s="23"/>
      <c r="P21" s="22" t="s">
        <v>165</v>
      </c>
      <c r="Q21" s="22" t="s">
        <v>139</v>
      </c>
      <c r="R21" s="24" t="s">
        <v>294</v>
      </c>
      <c r="S21" s="23"/>
      <c r="T21" s="10" t="str">
        <f>"455,0"</f>
        <v>455,0</v>
      </c>
      <c r="U21" s="11" t="str">
        <f>"314,8373"</f>
        <v>314,8373</v>
      </c>
      <c r="V21" s="10" t="s">
        <v>31</v>
      </c>
    </row>
    <row r="22" spans="1:22">
      <c r="B22" s="20" t="s">
        <v>114</v>
      </c>
    </row>
    <row r="23" spans="1:22" ht="15">
      <c r="A23" s="68" t="s">
        <v>160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1:22">
      <c r="A24" s="25" t="s">
        <v>147</v>
      </c>
      <c r="B24" s="25" t="s">
        <v>295</v>
      </c>
      <c r="C24" s="10" t="s">
        <v>296</v>
      </c>
      <c r="D24" s="10" t="s">
        <v>297</v>
      </c>
      <c r="E24" s="10" t="str">
        <f>"0,6482"</f>
        <v>0,6482</v>
      </c>
      <c r="F24" s="10" t="s">
        <v>49</v>
      </c>
      <c r="G24" s="10" t="s">
        <v>298</v>
      </c>
      <c r="H24" s="22" t="s">
        <v>73</v>
      </c>
      <c r="I24" s="22" t="s">
        <v>158</v>
      </c>
      <c r="J24" s="24" t="s">
        <v>165</v>
      </c>
      <c r="K24" s="23"/>
      <c r="L24" s="24" t="s">
        <v>63</v>
      </c>
      <c r="M24" s="24" t="s">
        <v>42</v>
      </c>
      <c r="N24" s="24" t="s">
        <v>42</v>
      </c>
      <c r="O24" s="23"/>
      <c r="P24" s="24" t="s">
        <v>130</v>
      </c>
      <c r="Q24" s="23"/>
      <c r="R24" s="23"/>
      <c r="S24" s="23"/>
      <c r="T24" s="10" t="str">
        <f>"0.00"</f>
        <v>0.00</v>
      </c>
      <c r="U24" s="11" t="str">
        <f>"0,0000"</f>
        <v>0,0000</v>
      </c>
      <c r="V24" s="10" t="s">
        <v>299</v>
      </c>
    </row>
    <row r="25" spans="1:22">
      <c r="B25" s="20" t="s">
        <v>114</v>
      </c>
    </row>
    <row r="26" spans="1:22" ht="15">
      <c r="A26" s="68" t="s">
        <v>66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1:22">
      <c r="A27" s="25" t="s">
        <v>113</v>
      </c>
      <c r="B27" s="25" t="s">
        <v>300</v>
      </c>
      <c r="C27" s="10" t="s">
        <v>301</v>
      </c>
      <c r="D27" s="10" t="s">
        <v>302</v>
      </c>
      <c r="E27" s="10" t="str">
        <f>"0,5740"</f>
        <v>0,5740</v>
      </c>
      <c r="F27" s="10" t="s">
        <v>49</v>
      </c>
      <c r="G27" s="10" t="s">
        <v>127</v>
      </c>
      <c r="H27" s="22" t="s">
        <v>158</v>
      </c>
      <c r="I27" s="22" t="s">
        <v>61</v>
      </c>
      <c r="J27" s="24" t="s">
        <v>122</v>
      </c>
      <c r="K27" s="23"/>
      <c r="L27" s="22" t="s">
        <v>51</v>
      </c>
      <c r="M27" s="22" t="s">
        <v>73</v>
      </c>
      <c r="N27" s="24" t="s">
        <v>157</v>
      </c>
      <c r="O27" s="23"/>
      <c r="P27" s="24" t="s">
        <v>128</v>
      </c>
      <c r="Q27" s="22" t="s">
        <v>128</v>
      </c>
      <c r="R27" s="22" t="s">
        <v>303</v>
      </c>
      <c r="S27" s="23"/>
      <c r="T27" s="10" t="str">
        <f>"610,0"</f>
        <v>610,0</v>
      </c>
      <c r="U27" s="11" t="str">
        <f>"350,1400"</f>
        <v>350,1400</v>
      </c>
      <c r="V27" s="10" t="s">
        <v>31</v>
      </c>
    </row>
    <row r="28" spans="1:22">
      <c r="B28" s="20" t="s">
        <v>114</v>
      </c>
    </row>
    <row r="29" spans="1:22" ht="15">
      <c r="A29" s="68" t="s">
        <v>135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spans="1:22">
      <c r="A30" s="25" t="s">
        <v>113</v>
      </c>
      <c r="B30" s="25" t="s">
        <v>304</v>
      </c>
      <c r="C30" s="10" t="s">
        <v>305</v>
      </c>
      <c r="D30" s="10" t="s">
        <v>306</v>
      </c>
      <c r="E30" s="10" t="str">
        <f>"0,5515"</f>
        <v>0,5515</v>
      </c>
      <c r="F30" s="10" t="s">
        <v>307</v>
      </c>
      <c r="G30" s="10" t="s">
        <v>50</v>
      </c>
      <c r="H30" s="22" t="s">
        <v>128</v>
      </c>
      <c r="I30" s="22" t="s">
        <v>74</v>
      </c>
      <c r="J30" s="22" t="s">
        <v>303</v>
      </c>
      <c r="K30" s="23"/>
      <c r="L30" s="22" t="s">
        <v>60</v>
      </c>
      <c r="M30" s="22" t="s">
        <v>165</v>
      </c>
      <c r="N30" s="22" t="s">
        <v>61</v>
      </c>
      <c r="O30" s="23"/>
      <c r="P30" s="22" t="s">
        <v>75</v>
      </c>
      <c r="Q30" s="22" t="s">
        <v>308</v>
      </c>
      <c r="R30" s="22" t="s">
        <v>309</v>
      </c>
      <c r="S30" s="23"/>
      <c r="T30" s="10" t="str">
        <f>"755,0"</f>
        <v>755,0</v>
      </c>
      <c r="U30" s="11" t="str">
        <f>"416,3448"</f>
        <v>416,3448</v>
      </c>
      <c r="V30" s="10" t="s">
        <v>31</v>
      </c>
    </row>
    <row r="31" spans="1:22">
      <c r="B31" s="20" t="s">
        <v>114</v>
      </c>
    </row>
    <row r="32" spans="1:22" ht="15">
      <c r="B32" s="20" t="s">
        <v>114</v>
      </c>
      <c r="F32" s="12" t="s">
        <v>602</v>
      </c>
    </row>
    <row r="33" spans="2:8" ht="15">
      <c r="B33" s="20" t="s">
        <v>114</v>
      </c>
      <c r="F33" s="12" t="s">
        <v>603</v>
      </c>
    </row>
    <row r="34" spans="2:8" ht="15">
      <c r="B34" s="20" t="s">
        <v>114</v>
      </c>
      <c r="F34" s="12" t="s">
        <v>604</v>
      </c>
    </row>
    <row r="35" spans="2:8" ht="15">
      <c r="B35" s="20" t="s">
        <v>114</v>
      </c>
      <c r="F35" s="12" t="s">
        <v>605</v>
      </c>
    </row>
    <row r="36" spans="2:8" ht="15">
      <c r="B36" s="20" t="s">
        <v>114</v>
      </c>
      <c r="F36" s="12" t="s">
        <v>606</v>
      </c>
    </row>
    <row r="37" spans="2:8" ht="15">
      <c r="B37" s="20" t="s">
        <v>114</v>
      </c>
      <c r="F37" s="12" t="s">
        <v>607</v>
      </c>
    </row>
    <row r="38" spans="2:8" ht="15">
      <c r="B38" s="20" t="s">
        <v>114</v>
      </c>
      <c r="F38" s="12"/>
    </row>
    <row r="39" spans="2:8">
      <c r="B39" s="20" t="s">
        <v>114</v>
      </c>
    </row>
    <row r="40" spans="2:8" ht="18">
      <c r="B40" s="20" t="s">
        <v>114</v>
      </c>
      <c r="C40" s="13" t="s">
        <v>76</v>
      </c>
      <c r="D40" s="13"/>
      <c r="H40" s="19"/>
    </row>
    <row r="41" spans="2:8" ht="15">
      <c r="B41" s="20" t="s">
        <v>114</v>
      </c>
      <c r="C41" s="14" t="s">
        <v>77</v>
      </c>
      <c r="D41" s="14"/>
      <c r="H41" s="19"/>
    </row>
    <row r="42" spans="2:8" ht="14.25">
      <c r="B42" s="20" t="s">
        <v>114</v>
      </c>
      <c r="C42" s="16"/>
      <c r="D42" s="17" t="s">
        <v>310</v>
      </c>
      <c r="H42" s="19"/>
    </row>
    <row r="43" spans="2:8" ht="15">
      <c r="B43" s="20" t="s">
        <v>114</v>
      </c>
      <c r="C43" s="18" t="s">
        <v>79</v>
      </c>
      <c r="D43" s="18" t="s">
        <v>80</v>
      </c>
      <c r="E43" s="18" t="s">
        <v>81</v>
      </c>
      <c r="F43" s="18" t="s">
        <v>82</v>
      </c>
      <c r="G43" s="18" t="s">
        <v>83</v>
      </c>
      <c r="H43" s="19"/>
    </row>
    <row r="44" spans="2:8">
      <c r="B44" s="20" t="s">
        <v>114</v>
      </c>
      <c r="C44" s="15" t="s">
        <v>262</v>
      </c>
      <c r="D44" s="20" t="s">
        <v>311</v>
      </c>
      <c r="E44" s="21" t="s">
        <v>312</v>
      </c>
      <c r="F44" s="21" t="s">
        <v>75</v>
      </c>
      <c r="G44" s="21" t="s">
        <v>313</v>
      </c>
      <c r="H44" s="19"/>
    </row>
    <row r="45" spans="2:8">
      <c r="B45" s="20" t="s">
        <v>114</v>
      </c>
      <c r="C45" s="15" t="s">
        <v>273</v>
      </c>
      <c r="D45" s="20" t="s">
        <v>94</v>
      </c>
      <c r="E45" s="21" t="s">
        <v>314</v>
      </c>
      <c r="F45" s="21" t="s">
        <v>218</v>
      </c>
      <c r="G45" s="21" t="s">
        <v>315</v>
      </c>
      <c r="H45" s="19"/>
    </row>
    <row r="46" spans="2:8">
      <c r="B46" s="20" t="s">
        <v>114</v>
      </c>
      <c r="H46" s="19"/>
    </row>
    <row r="47" spans="2:8" ht="14.25">
      <c r="B47" s="20" t="s">
        <v>114</v>
      </c>
      <c r="C47" s="16"/>
      <c r="D47" s="17" t="s">
        <v>78</v>
      </c>
      <c r="H47" s="19"/>
    </row>
    <row r="48" spans="2:8" ht="15">
      <c r="B48" s="20" t="s">
        <v>114</v>
      </c>
      <c r="C48" s="18" t="s">
        <v>79</v>
      </c>
      <c r="D48" s="18" t="s">
        <v>80</v>
      </c>
      <c r="E48" s="18" t="s">
        <v>81</v>
      </c>
      <c r="F48" s="18" t="s">
        <v>82</v>
      </c>
      <c r="G48" s="18" t="s">
        <v>83</v>
      </c>
      <c r="H48" s="19"/>
    </row>
    <row r="49" spans="2:8">
      <c r="B49" s="20" t="s">
        <v>114</v>
      </c>
      <c r="C49" s="15" t="s">
        <v>262</v>
      </c>
      <c r="D49" s="20" t="s">
        <v>78</v>
      </c>
      <c r="E49" s="21" t="s">
        <v>312</v>
      </c>
      <c r="F49" s="21" t="s">
        <v>75</v>
      </c>
      <c r="G49" s="21" t="s">
        <v>313</v>
      </c>
      <c r="H49" s="19"/>
    </row>
    <row r="50" spans="2:8">
      <c r="B50" s="20" t="s">
        <v>114</v>
      </c>
      <c r="C50" s="15" t="s">
        <v>282</v>
      </c>
      <c r="D50" s="20" t="s">
        <v>78</v>
      </c>
      <c r="E50" s="21" t="s">
        <v>84</v>
      </c>
      <c r="F50" s="21" t="s">
        <v>133</v>
      </c>
      <c r="G50" s="21" t="s">
        <v>316</v>
      </c>
      <c r="H50" s="19"/>
    </row>
    <row r="51" spans="2:8">
      <c r="B51" s="20" t="s">
        <v>114</v>
      </c>
      <c r="C51" s="15" t="s">
        <v>251</v>
      </c>
      <c r="D51" s="20" t="s">
        <v>78</v>
      </c>
      <c r="E51" s="21" t="s">
        <v>317</v>
      </c>
      <c r="F51" s="21" t="s">
        <v>318</v>
      </c>
      <c r="G51" s="21" t="s">
        <v>319</v>
      </c>
      <c r="H51" s="19"/>
    </row>
    <row r="52" spans="2:8">
      <c r="B52" s="20" t="s">
        <v>114</v>
      </c>
      <c r="H52" s="19"/>
    </row>
    <row r="53" spans="2:8" ht="14.25">
      <c r="B53" s="20" t="s">
        <v>114</v>
      </c>
      <c r="C53" s="16"/>
      <c r="D53" s="17" t="s">
        <v>87</v>
      </c>
      <c r="H53" s="19"/>
    </row>
    <row r="54" spans="2:8" ht="15">
      <c r="B54" s="20" t="s">
        <v>114</v>
      </c>
      <c r="C54" s="18" t="s">
        <v>79</v>
      </c>
      <c r="D54" s="18" t="s">
        <v>80</v>
      </c>
      <c r="E54" s="18" t="s">
        <v>81</v>
      </c>
      <c r="F54" s="18" t="s">
        <v>82</v>
      </c>
      <c r="G54" s="18" t="s">
        <v>83</v>
      </c>
      <c r="H54" s="19"/>
    </row>
    <row r="55" spans="2:8">
      <c r="B55" s="20" t="s">
        <v>114</v>
      </c>
      <c r="C55" s="15" t="s">
        <v>286</v>
      </c>
      <c r="D55" s="20" t="s">
        <v>205</v>
      </c>
      <c r="E55" s="21" t="s">
        <v>84</v>
      </c>
      <c r="F55" s="21" t="s">
        <v>320</v>
      </c>
      <c r="G55" s="21" t="s">
        <v>321</v>
      </c>
      <c r="H55" s="19"/>
    </row>
    <row r="56" spans="2:8">
      <c r="B56" s="20" t="s">
        <v>114</v>
      </c>
      <c r="H56" s="19"/>
    </row>
    <row r="57" spans="2:8">
      <c r="B57" s="20" t="s">
        <v>114</v>
      </c>
      <c r="H57" s="19"/>
    </row>
    <row r="58" spans="2:8" ht="15">
      <c r="B58" s="20" t="s">
        <v>114</v>
      </c>
      <c r="C58" s="14" t="s">
        <v>92</v>
      </c>
      <c r="D58" s="14"/>
      <c r="H58" s="19"/>
    </row>
    <row r="59" spans="2:8" ht="14.25">
      <c r="B59" s="20" t="s">
        <v>114</v>
      </c>
      <c r="C59" s="16"/>
      <c r="D59" s="17" t="s">
        <v>78</v>
      </c>
      <c r="H59" s="19"/>
    </row>
    <row r="60" spans="2:8" ht="15">
      <c r="B60" s="20" t="s">
        <v>114</v>
      </c>
      <c r="C60" s="18" t="s">
        <v>79</v>
      </c>
      <c r="D60" s="18" t="s">
        <v>80</v>
      </c>
      <c r="E60" s="18" t="s">
        <v>81</v>
      </c>
      <c r="F60" s="18" t="s">
        <v>82</v>
      </c>
      <c r="G60" s="18" t="s">
        <v>83</v>
      </c>
      <c r="H60" s="19"/>
    </row>
    <row r="61" spans="2:8">
      <c r="B61" s="20" t="s">
        <v>114</v>
      </c>
      <c r="C61" s="15" t="s">
        <v>304</v>
      </c>
      <c r="D61" s="20" t="s">
        <v>78</v>
      </c>
      <c r="E61" s="21" t="s">
        <v>241</v>
      </c>
      <c r="F61" s="21" t="s">
        <v>322</v>
      </c>
      <c r="G61" s="21" t="s">
        <v>323</v>
      </c>
      <c r="H61" s="19"/>
    </row>
    <row r="62" spans="2:8">
      <c r="B62" s="20" t="s">
        <v>114</v>
      </c>
      <c r="C62" s="15" t="s">
        <v>300</v>
      </c>
      <c r="D62" s="20" t="s">
        <v>78</v>
      </c>
      <c r="E62" s="21" t="s">
        <v>98</v>
      </c>
      <c r="F62" s="21" t="s">
        <v>324</v>
      </c>
      <c r="G62" s="21" t="s">
        <v>325</v>
      </c>
      <c r="H62" s="19"/>
    </row>
    <row r="63" spans="2:8">
      <c r="B63" s="20" t="s">
        <v>114</v>
      </c>
      <c r="C63" s="15" t="s">
        <v>291</v>
      </c>
      <c r="D63" s="20" t="s">
        <v>78</v>
      </c>
      <c r="E63" s="21" t="s">
        <v>95</v>
      </c>
      <c r="F63" s="21" t="s">
        <v>326</v>
      </c>
      <c r="G63" s="21" t="s">
        <v>327</v>
      </c>
      <c r="H63" s="19"/>
    </row>
    <row r="64" spans="2:8">
      <c r="B64" s="20" t="s">
        <v>114</v>
      </c>
      <c r="H64" s="19"/>
    </row>
    <row r="65" spans="2:8">
      <c r="B65" s="20" t="s">
        <v>114</v>
      </c>
      <c r="H65" s="19"/>
    </row>
    <row r="66" spans="2:8">
      <c r="B66" s="20" t="s">
        <v>114</v>
      </c>
      <c r="H66" s="19"/>
    </row>
    <row r="67" spans="2:8">
      <c r="B67" s="20" t="s">
        <v>114</v>
      </c>
      <c r="H67" s="19"/>
    </row>
    <row r="68" spans="2:8" ht="18">
      <c r="B68" s="20" t="s">
        <v>114</v>
      </c>
      <c r="C68" s="13" t="s">
        <v>105</v>
      </c>
      <c r="D68" s="13"/>
      <c r="H68" s="19"/>
    </row>
    <row r="69" spans="2:8" ht="15">
      <c r="B69" s="20" t="s">
        <v>114</v>
      </c>
      <c r="C69" s="18" t="s">
        <v>106</v>
      </c>
      <c r="D69" s="18" t="s">
        <v>107</v>
      </c>
      <c r="E69" s="18" t="s">
        <v>108</v>
      </c>
      <c r="H69" s="19"/>
    </row>
    <row r="70" spans="2:8">
      <c r="B70" s="20" t="s">
        <v>114</v>
      </c>
      <c r="C70" s="4" t="s">
        <v>265</v>
      </c>
      <c r="D70" s="4" t="s">
        <v>246</v>
      </c>
      <c r="E70" s="4" t="s">
        <v>328</v>
      </c>
      <c r="H70" s="19"/>
    </row>
    <row r="71" spans="2:8">
      <c r="B71" s="20" t="s">
        <v>114</v>
      </c>
      <c r="C71" s="4" t="s">
        <v>20</v>
      </c>
      <c r="D71" s="4" t="s">
        <v>109</v>
      </c>
      <c r="E71" s="4" t="s">
        <v>329</v>
      </c>
      <c r="H71" s="19"/>
    </row>
    <row r="72" spans="2:8">
      <c r="B72" s="20" t="s">
        <v>114</v>
      </c>
      <c r="C72" s="4" t="s">
        <v>307</v>
      </c>
      <c r="D72" s="4" t="s">
        <v>111</v>
      </c>
      <c r="E72" s="4" t="s">
        <v>330</v>
      </c>
      <c r="H72" s="19"/>
    </row>
    <row r="73" spans="2:8">
      <c r="B73" s="20" t="s">
        <v>114</v>
      </c>
      <c r="H73" s="19"/>
    </row>
  </sheetData>
  <mergeCells count="22">
    <mergeCell ref="A29:S29"/>
    <mergeCell ref="B3:B4"/>
    <mergeCell ref="A8:S8"/>
    <mergeCell ref="A12:S12"/>
    <mergeCell ref="A16:S16"/>
    <mergeCell ref="A20:S20"/>
    <mergeCell ref="A23:S23"/>
    <mergeCell ref="A26:S26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7"/>
  <sheetViews>
    <sheetView topLeftCell="B1" workbookViewId="0">
      <selection activeCell="F20" sqref="F20:J25"/>
    </sheetView>
  </sheetViews>
  <sheetFormatPr defaultRowHeight="12.75"/>
  <cols>
    <col min="1" max="1" width="7.42578125" style="20" bestFit="1" customWidth="1"/>
    <col min="2" max="2" width="19.42578125" style="20" bestFit="1" customWidth="1"/>
    <col min="3" max="3" width="27.42578125" style="4" customWidth="1"/>
    <col min="4" max="4" width="16.42578125" style="4" customWidth="1"/>
    <col min="5" max="5" width="9.5703125" style="4" customWidth="1"/>
    <col min="6" max="6" width="13" style="4" customWidth="1"/>
    <col min="7" max="7" width="36.85546875" style="4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20" style="4" bestFit="1" customWidth="1"/>
    <col min="15" max="16384" width="9.140625" style="3"/>
  </cols>
  <sheetData>
    <row r="1" spans="1:14" s="2" customFormat="1" ht="29.1" customHeight="1">
      <c r="A1" s="61" t="s">
        <v>214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14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45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41" t="s">
        <v>113</v>
      </c>
      <c r="B6" s="41" t="s">
        <v>215</v>
      </c>
      <c r="C6" s="26" t="s">
        <v>216</v>
      </c>
      <c r="D6" s="26" t="s">
        <v>217</v>
      </c>
      <c r="E6" s="26" t="str">
        <f>"0,8361"</f>
        <v>0,8361</v>
      </c>
      <c r="F6" s="26" t="s">
        <v>20</v>
      </c>
      <c r="G6" s="26" t="s">
        <v>36</v>
      </c>
      <c r="H6" s="33" t="s">
        <v>218</v>
      </c>
      <c r="I6" s="33" t="s">
        <v>65</v>
      </c>
      <c r="J6" s="32"/>
      <c r="K6" s="32"/>
      <c r="L6" s="26" t="str">
        <f>"220,0"</f>
        <v>220,0</v>
      </c>
      <c r="M6" s="27" t="str">
        <f>"183,9420"</f>
        <v>183,9420</v>
      </c>
      <c r="N6" s="26" t="s">
        <v>219</v>
      </c>
    </row>
    <row r="7" spans="1:14">
      <c r="A7" s="43" t="s">
        <v>147</v>
      </c>
      <c r="B7" s="43" t="s">
        <v>117</v>
      </c>
      <c r="C7" s="30" t="s">
        <v>118</v>
      </c>
      <c r="D7" s="30" t="s">
        <v>119</v>
      </c>
      <c r="E7" s="30" t="str">
        <f>"0,8391"</f>
        <v>0,8391</v>
      </c>
      <c r="F7" s="30" t="s">
        <v>20</v>
      </c>
      <c r="G7" s="30" t="s">
        <v>120</v>
      </c>
      <c r="H7" s="38" t="s">
        <v>60</v>
      </c>
      <c r="I7" s="38"/>
      <c r="J7" s="38"/>
      <c r="K7" s="38"/>
      <c r="L7" s="30" t="str">
        <f>"0.00"</f>
        <v>0.00</v>
      </c>
      <c r="M7" s="31" t="str">
        <f>"0,0000"</f>
        <v>0,0000</v>
      </c>
      <c r="N7" s="30" t="s">
        <v>44</v>
      </c>
    </row>
    <row r="8" spans="1:14">
      <c r="A8" s="42" t="s">
        <v>113</v>
      </c>
      <c r="B8" s="42" t="s">
        <v>215</v>
      </c>
      <c r="C8" s="28" t="s">
        <v>220</v>
      </c>
      <c r="D8" s="28" t="s">
        <v>217</v>
      </c>
      <c r="E8" s="28" t="str">
        <f>"0,8361"</f>
        <v>0,8361</v>
      </c>
      <c r="F8" s="28" t="s">
        <v>20</v>
      </c>
      <c r="G8" s="28" t="s">
        <v>36</v>
      </c>
      <c r="H8" s="36" t="s">
        <v>218</v>
      </c>
      <c r="I8" s="36" t="s">
        <v>65</v>
      </c>
      <c r="J8" s="35"/>
      <c r="K8" s="35"/>
      <c r="L8" s="28" t="str">
        <f>"220,0"</f>
        <v>220,0</v>
      </c>
      <c r="M8" s="29" t="str">
        <f>"185,7814"</f>
        <v>185,7814</v>
      </c>
      <c r="N8" s="28" t="s">
        <v>219</v>
      </c>
    </row>
    <row r="9" spans="1:14">
      <c r="B9" s="20" t="s">
        <v>114</v>
      </c>
    </row>
    <row r="10" spans="1:14" ht="15">
      <c r="A10" s="68" t="s">
        <v>175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pans="1:14">
      <c r="A11" s="25" t="s">
        <v>113</v>
      </c>
      <c r="B11" s="25" t="s">
        <v>221</v>
      </c>
      <c r="C11" s="10" t="s">
        <v>222</v>
      </c>
      <c r="D11" s="10" t="s">
        <v>223</v>
      </c>
      <c r="E11" s="10" t="str">
        <f>"0,6277"</f>
        <v>0,6277</v>
      </c>
      <c r="F11" s="10" t="s">
        <v>190</v>
      </c>
      <c r="G11" s="10" t="s">
        <v>191</v>
      </c>
      <c r="H11" s="22" t="s">
        <v>122</v>
      </c>
      <c r="I11" s="22" t="s">
        <v>65</v>
      </c>
      <c r="J11" s="22" t="s">
        <v>224</v>
      </c>
      <c r="K11" s="23"/>
      <c r="L11" s="10" t="str">
        <f>"230,0"</f>
        <v>230,0</v>
      </c>
      <c r="M11" s="11" t="str">
        <f>"150,5789"</f>
        <v>150,5789</v>
      </c>
      <c r="N11" s="10" t="s">
        <v>192</v>
      </c>
    </row>
    <row r="12" spans="1:14">
      <c r="B12" s="20" t="s">
        <v>114</v>
      </c>
    </row>
    <row r="13" spans="1:14" ht="15">
      <c r="A13" s="68" t="s">
        <v>55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4">
      <c r="A14" s="25" t="s">
        <v>113</v>
      </c>
      <c r="B14" s="25" t="s">
        <v>225</v>
      </c>
      <c r="C14" s="10" t="s">
        <v>226</v>
      </c>
      <c r="D14" s="10" t="s">
        <v>227</v>
      </c>
      <c r="E14" s="10" t="str">
        <f>"0,5891"</f>
        <v>0,5891</v>
      </c>
      <c r="F14" s="10" t="s">
        <v>190</v>
      </c>
      <c r="G14" s="10" t="s">
        <v>191</v>
      </c>
      <c r="H14" s="22" t="s">
        <v>139</v>
      </c>
      <c r="I14" s="22" t="s">
        <v>228</v>
      </c>
      <c r="J14" s="23" t="s">
        <v>229</v>
      </c>
      <c r="K14" s="23"/>
      <c r="L14" s="10" t="str">
        <f>"235,0"</f>
        <v>235,0</v>
      </c>
      <c r="M14" s="11" t="str">
        <f>"138,4385"</f>
        <v>138,4385</v>
      </c>
      <c r="N14" s="10" t="s">
        <v>31</v>
      </c>
    </row>
    <row r="15" spans="1:14">
      <c r="B15" s="20" t="s">
        <v>114</v>
      </c>
    </row>
    <row r="16" spans="1:14" ht="15">
      <c r="A16" s="68" t="s">
        <v>135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4">
      <c r="A17" s="41" t="s">
        <v>113</v>
      </c>
      <c r="B17" s="41" t="s">
        <v>230</v>
      </c>
      <c r="C17" s="26" t="s">
        <v>231</v>
      </c>
      <c r="D17" s="26" t="s">
        <v>232</v>
      </c>
      <c r="E17" s="26" t="str">
        <f>"0,5541"</f>
        <v>0,5541</v>
      </c>
      <c r="F17" s="26" t="s">
        <v>190</v>
      </c>
      <c r="G17" s="26" t="s">
        <v>191</v>
      </c>
      <c r="H17" s="33" t="s">
        <v>85</v>
      </c>
      <c r="I17" s="33" t="s">
        <v>233</v>
      </c>
      <c r="J17" s="34" t="s">
        <v>234</v>
      </c>
      <c r="K17" s="32"/>
      <c r="L17" s="26" t="str">
        <f>"360,0"</f>
        <v>360,0</v>
      </c>
      <c r="M17" s="27" t="str">
        <f>"199,4580"</f>
        <v>199,4580</v>
      </c>
      <c r="N17" s="26" t="s">
        <v>31</v>
      </c>
    </row>
    <row r="18" spans="1:14">
      <c r="A18" s="42" t="s">
        <v>113</v>
      </c>
      <c r="B18" s="42" t="s">
        <v>235</v>
      </c>
      <c r="C18" s="28" t="s">
        <v>236</v>
      </c>
      <c r="D18" s="28" t="s">
        <v>237</v>
      </c>
      <c r="E18" s="28" t="str">
        <f>"0,5476"</f>
        <v>0,5476</v>
      </c>
      <c r="F18" s="28" t="s">
        <v>190</v>
      </c>
      <c r="G18" s="28" t="s">
        <v>191</v>
      </c>
      <c r="H18" s="36" t="s">
        <v>133</v>
      </c>
      <c r="I18" s="37" t="s">
        <v>238</v>
      </c>
      <c r="J18" s="37" t="s">
        <v>238</v>
      </c>
      <c r="K18" s="35"/>
      <c r="L18" s="28" t="str">
        <f>"310,0"</f>
        <v>310,0</v>
      </c>
      <c r="M18" s="29" t="str">
        <f>"171,4379"</f>
        <v>171,4379</v>
      </c>
      <c r="N18" s="28" t="s">
        <v>192</v>
      </c>
    </row>
    <row r="19" spans="1:14">
      <c r="B19" s="20" t="s">
        <v>114</v>
      </c>
    </row>
    <row r="20" spans="1:14" ht="15">
      <c r="B20" s="20" t="s">
        <v>114</v>
      </c>
      <c r="F20" s="12" t="s">
        <v>602</v>
      </c>
    </row>
    <row r="21" spans="1:14" ht="15">
      <c r="B21" s="20" t="s">
        <v>114</v>
      </c>
      <c r="F21" s="12" t="s">
        <v>603</v>
      </c>
    </row>
    <row r="22" spans="1:14" ht="15">
      <c r="B22" s="20" t="s">
        <v>114</v>
      </c>
      <c r="F22" s="12" t="s">
        <v>604</v>
      </c>
    </row>
    <row r="23" spans="1:14" ht="15">
      <c r="B23" s="20" t="s">
        <v>114</v>
      </c>
      <c r="F23" s="12" t="s">
        <v>605</v>
      </c>
    </row>
    <row r="24" spans="1:14" ht="15">
      <c r="B24" s="20" t="s">
        <v>114</v>
      </c>
      <c r="F24" s="12" t="s">
        <v>606</v>
      </c>
    </row>
    <row r="25" spans="1:14" ht="15">
      <c r="B25" s="20" t="s">
        <v>114</v>
      </c>
      <c r="F25" s="12" t="s">
        <v>607</v>
      </c>
    </row>
    <row r="26" spans="1:14" ht="15">
      <c r="B26" s="20" t="s">
        <v>114</v>
      </c>
      <c r="F26" s="12"/>
    </row>
    <row r="27" spans="1:14">
      <c r="B27" s="20" t="s">
        <v>114</v>
      </c>
    </row>
    <row r="28" spans="1:14" ht="18">
      <c r="B28" s="20" t="s">
        <v>114</v>
      </c>
      <c r="C28" s="13" t="s">
        <v>76</v>
      </c>
      <c r="D28" s="13"/>
    </row>
    <row r="29" spans="1:14" ht="15">
      <c r="B29" s="20" t="s">
        <v>114</v>
      </c>
      <c r="C29" s="14" t="s">
        <v>77</v>
      </c>
      <c r="D29" s="14"/>
    </row>
    <row r="30" spans="1:14" ht="14.25">
      <c r="B30" s="20" t="s">
        <v>114</v>
      </c>
      <c r="C30" s="16"/>
      <c r="D30" s="17" t="s">
        <v>78</v>
      </c>
    </row>
    <row r="31" spans="1:14" ht="15">
      <c r="B31" s="20" t="s">
        <v>114</v>
      </c>
      <c r="C31" s="18" t="s">
        <v>79</v>
      </c>
      <c r="D31" s="18" t="s">
        <v>80</v>
      </c>
      <c r="E31" s="18" t="s">
        <v>81</v>
      </c>
      <c r="F31" s="18" t="s">
        <v>82</v>
      </c>
      <c r="G31" s="18" t="s">
        <v>83</v>
      </c>
    </row>
    <row r="32" spans="1:14">
      <c r="B32" s="20" t="s">
        <v>114</v>
      </c>
      <c r="C32" s="15" t="s">
        <v>215</v>
      </c>
      <c r="D32" s="20" t="s">
        <v>78</v>
      </c>
      <c r="E32" s="21" t="s">
        <v>95</v>
      </c>
      <c r="F32" s="21" t="s">
        <v>65</v>
      </c>
      <c r="G32" s="21" t="s">
        <v>239</v>
      </c>
    </row>
    <row r="33" spans="2:7">
      <c r="B33" s="20" t="s">
        <v>114</v>
      </c>
    </row>
    <row r="34" spans="2:7" ht="14.25">
      <c r="B34" s="20" t="s">
        <v>114</v>
      </c>
      <c r="C34" s="16"/>
      <c r="D34" s="17" t="s">
        <v>87</v>
      </c>
    </row>
    <row r="35" spans="2:7" ht="15">
      <c r="B35" s="20" t="s">
        <v>114</v>
      </c>
      <c r="C35" s="18" t="s">
        <v>79</v>
      </c>
      <c r="D35" s="18" t="s">
        <v>80</v>
      </c>
      <c r="E35" s="18" t="s">
        <v>81</v>
      </c>
      <c r="F35" s="18" t="s">
        <v>82</v>
      </c>
      <c r="G35" s="18" t="s">
        <v>83</v>
      </c>
    </row>
    <row r="36" spans="2:7">
      <c r="B36" s="20" t="s">
        <v>114</v>
      </c>
      <c r="C36" s="15" t="s">
        <v>215</v>
      </c>
      <c r="D36" s="20" t="s">
        <v>205</v>
      </c>
      <c r="E36" s="21" t="s">
        <v>95</v>
      </c>
      <c r="F36" s="21" t="s">
        <v>65</v>
      </c>
      <c r="G36" s="21" t="s">
        <v>240</v>
      </c>
    </row>
    <row r="37" spans="2:7">
      <c r="B37" s="20" t="s">
        <v>114</v>
      </c>
    </row>
    <row r="38" spans="2:7">
      <c r="B38" s="20" t="s">
        <v>114</v>
      </c>
    </row>
    <row r="39" spans="2:7" ht="15">
      <c r="B39" s="20" t="s">
        <v>114</v>
      </c>
      <c r="C39" s="14" t="s">
        <v>92</v>
      </c>
      <c r="D39" s="14"/>
    </row>
    <row r="40" spans="2:7" ht="14.25">
      <c r="B40" s="20" t="s">
        <v>114</v>
      </c>
      <c r="C40" s="16"/>
      <c r="D40" s="17" t="s">
        <v>78</v>
      </c>
    </row>
    <row r="41" spans="2:7" ht="15">
      <c r="B41" s="20" t="s">
        <v>114</v>
      </c>
      <c r="C41" s="18" t="s">
        <v>79</v>
      </c>
      <c r="D41" s="18" t="s">
        <v>80</v>
      </c>
      <c r="E41" s="18" t="s">
        <v>81</v>
      </c>
      <c r="F41" s="18" t="s">
        <v>82</v>
      </c>
      <c r="G41" s="18" t="s">
        <v>83</v>
      </c>
    </row>
    <row r="42" spans="2:7">
      <c r="B42" s="20" t="s">
        <v>114</v>
      </c>
      <c r="C42" s="15" t="s">
        <v>230</v>
      </c>
      <c r="D42" s="20" t="s">
        <v>78</v>
      </c>
      <c r="E42" s="21" t="s">
        <v>241</v>
      </c>
      <c r="F42" s="21" t="s">
        <v>233</v>
      </c>
      <c r="G42" s="21" t="s">
        <v>242</v>
      </c>
    </row>
    <row r="43" spans="2:7">
      <c r="B43" s="20" t="s">
        <v>114</v>
      </c>
      <c r="C43" s="15" t="s">
        <v>225</v>
      </c>
      <c r="D43" s="20" t="s">
        <v>78</v>
      </c>
      <c r="E43" s="21" t="s">
        <v>102</v>
      </c>
      <c r="F43" s="21" t="s">
        <v>228</v>
      </c>
      <c r="G43" s="21" t="s">
        <v>243</v>
      </c>
    </row>
    <row r="44" spans="2:7">
      <c r="B44" s="20" t="s">
        <v>114</v>
      </c>
    </row>
    <row r="45" spans="2:7" ht="14.25">
      <c r="B45" s="20" t="s">
        <v>114</v>
      </c>
      <c r="C45" s="16"/>
      <c r="D45" s="17" t="s">
        <v>87</v>
      </c>
    </row>
    <row r="46" spans="2:7" ht="15">
      <c r="B46" s="20" t="s">
        <v>114</v>
      </c>
      <c r="C46" s="18" t="s">
        <v>79</v>
      </c>
      <c r="D46" s="18" t="s">
        <v>80</v>
      </c>
      <c r="E46" s="18" t="s">
        <v>81</v>
      </c>
      <c r="F46" s="18" t="s">
        <v>82</v>
      </c>
      <c r="G46" s="18" t="s">
        <v>83</v>
      </c>
    </row>
    <row r="47" spans="2:7">
      <c r="B47" s="20" t="s">
        <v>114</v>
      </c>
      <c r="C47" s="15" t="s">
        <v>235</v>
      </c>
      <c r="D47" s="20" t="s">
        <v>205</v>
      </c>
      <c r="E47" s="21" t="s">
        <v>241</v>
      </c>
      <c r="F47" s="21" t="s">
        <v>133</v>
      </c>
      <c r="G47" s="21" t="s">
        <v>244</v>
      </c>
    </row>
    <row r="48" spans="2:7">
      <c r="B48" s="20" t="s">
        <v>114</v>
      </c>
      <c r="C48" s="15" t="s">
        <v>221</v>
      </c>
      <c r="D48" s="20" t="s">
        <v>205</v>
      </c>
      <c r="E48" s="21" t="s">
        <v>203</v>
      </c>
      <c r="F48" s="21" t="s">
        <v>224</v>
      </c>
      <c r="G48" s="21" t="s">
        <v>245</v>
      </c>
    </row>
    <row r="49" spans="2:5">
      <c r="B49" s="20" t="s">
        <v>114</v>
      </c>
    </row>
    <row r="50" spans="2:5">
      <c r="B50" s="20" t="s">
        <v>114</v>
      </c>
    </row>
    <row r="51" spans="2:5">
      <c r="B51" s="20" t="s">
        <v>114</v>
      </c>
    </row>
    <row r="52" spans="2:5">
      <c r="B52" s="20" t="s">
        <v>114</v>
      </c>
    </row>
    <row r="53" spans="2:5" ht="18">
      <c r="B53" s="20" t="s">
        <v>114</v>
      </c>
      <c r="C53" s="13" t="s">
        <v>105</v>
      </c>
      <c r="D53" s="13"/>
    </row>
    <row r="54" spans="2:5" ht="15">
      <c r="B54" s="20" t="s">
        <v>114</v>
      </c>
      <c r="C54" s="18" t="s">
        <v>106</v>
      </c>
      <c r="D54" s="18" t="s">
        <v>107</v>
      </c>
      <c r="E54" s="18" t="s">
        <v>108</v>
      </c>
    </row>
    <row r="55" spans="2:5">
      <c r="B55" s="20" t="s">
        <v>114</v>
      </c>
      <c r="C55" s="4" t="s">
        <v>190</v>
      </c>
      <c r="D55" s="4" t="s">
        <v>246</v>
      </c>
      <c r="E55" s="4" t="s">
        <v>247</v>
      </c>
    </row>
    <row r="56" spans="2:5">
      <c r="B56" s="20" t="s">
        <v>114</v>
      </c>
      <c r="C56" s="4" t="s">
        <v>20</v>
      </c>
      <c r="D56" s="4" t="s">
        <v>109</v>
      </c>
      <c r="E56" s="4" t="s">
        <v>248</v>
      </c>
    </row>
    <row r="57" spans="2:5">
      <c r="B57" s="20" t="s">
        <v>114</v>
      </c>
    </row>
  </sheetData>
  <mergeCells count="16">
    <mergeCell ref="A10:K10"/>
    <mergeCell ref="A13:K13"/>
    <mergeCell ref="A16:K16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66"/>
  <sheetViews>
    <sheetView workbookViewId="0">
      <selection sqref="A1:N2"/>
    </sheetView>
  </sheetViews>
  <sheetFormatPr defaultRowHeight="12.75"/>
  <cols>
    <col min="1" max="1" width="7.42578125" style="20" bestFit="1" customWidth="1"/>
    <col min="2" max="2" width="21.85546875" style="20" bestFit="1" customWidth="1"/>
    <col min="3" max="3" width="29.7109375" style="4" customWidth="1"/>
    <col min="4" max="4" width="16.28515625" style="4" customWidth="1"/>
    <col min="5" max="5" width="9.85546875" style="4" customWidth="1"/>
    <col min="6" max="6" width="12.7109375" style="4" customWidth="1"/>
    <col min="7" max="7" width="30.5703125" style="4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20" style="4" bestFit="1" customWidth="1"/>
    <col min="15" max="16384" width="9.140625" style="3"/>
  </cols>
  <sheetData>
    <row r="1" spans="1:14" s="2" customFormat="1" ht="29.1" customHeight="1">
      <c r="A1" s="61" t="s">
        <v>148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14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32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149</v>
      </c>
      <c r="C6" s="10" t="s">
        <v>150</v>
      </c>
      <c r="D6" s="10" t="s">
        <v>151</v>
      </c>
      <c r="E6" s="10" t="str">
        <f>"0,9708"</f>
        <v>0,9708</v>
      </c>
      <c r="F6" s="10" t="s">
        <v>126</v>
      </c>
      <c r="G6" s="10" t="s">
        <v>127</v>
      </c>
      <c r="H6" s="22" t="s">
        <v>40</v>
      </c>
      <c r="I6" s="22" t="s">
        <v>23</v>
      </c>
      <c r="J6" s="24" t="s">
        <v>152</v>
      </c>
      <c r="K6" s="23"/>
      <c r="L6" s="10" t="str">
        <f>"70,0"</f>
        <v>70,0</v>
      </c>
      <c r="M6" s="11" t="str">
        <f>"67,9560"</f>
        <v>67,9560</v>
      </c>
      <c r="N6" s="10" t="s">
        <v>141</v>
      </c>
    </row>
    <row r="7" spans="1:14">
      <c r="B7" s="20" t="s">
        <v>114</v>
      </c>
    </row>
    <row r="8" spans="1:14" ht="15">
      <c r="A8" s="68" t="s">
        <v>45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41" t="s">
        <v>113</v>
      </c>
      <c r="B9" s="41" t="s">
        <v>153</v>
      </c>
      <c r="C9" s="26" t="s">
        <v>154</v>
      </c>
      <c r="D9" s="26" t="s">
        <v>155</v>
      </c>
      <c r="E9" s="26" t="str">
        <f>"0,6940"</f>
        <v>0,6940</v>
      </c>
      <c r="F9" s="26" t="s">
        <v>156</v>
      </c>
      <c r="G9" s="26" t="s">
        <v>36</v>
      </c>
      <c r="H9" s="33" t="s">
        <v>157</v>
      </c>
      <c r="I9" s="34" t="s">
        <v>158</v>
      </c>
      <c r="J9" s="32"/>
      <c r="K9" s="32"/>
      <c r="L9" s="26" t="str">
        <f>"165,0"</f>
        <v>165,0</v>
      </c>
      <c r="M9" s="27" t="str">
        <f>"114,5100"</f>
        <v>114,5100</v>
      </c>
      <c r="N9" s="26" t="s">
        <v>31</v>
      </c>
    </row>
    <row r="10" spans="1:14">
      <c r="A10" s="42" t="s">
        <v>113</v>
      </c>
      <c r="B10" s="42" t="s">
        <v>153</v>
      </c>
      <c r="C10" s="28" t="s">
        <v>159</v>
      </c>
      <c r="D10" s="28" t="s">
        <v>155</v>
      </c>
      <c r="E10" s="28" t="str">
        <f>"0,6940"</f>
        <v>0,6940</v>
      </c>
      <c r="F10" s="28" t="s">
        <v>156</v>
      </c>
      <c r="G10" s="28" t="s">
        <v>36</v>
      </c>
      <c r="H10" s="36" t="s">
        <v>157</v>
      </c>
      <c r="I10" s="37" t="s">
        <v>158</v>
      </c>
      <c r="J10" s="35"/>
      <c r="K10" s="35"/>
      <c r="L10" s="28" t="str">
        <f>"165,0"</f>
        <v>165,0</v>
      </c>
      <c r="M10" s="29" t="str">
        <f>"114,5100"</f>
        <v>114,5100</v>
      </c>
      <c r="N10" s="28" t="s">
        <v>31</v>
      </c>
    </row>
    <row r="11" spans="1:14">
      <c r="B11" s="20" t="s">
        <v>114</v>
      </c>
    </row>
    <row r="12" spans="1:14" ht="15">
      <c r="A12" s="68" t="s">
        <v>160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>
      <c r="A13" s="41" t="s">
        <v>113</v>
      </c>
      <c r="B13" s="41" t="s">
        <v>161</v>
      </c>
      <c r="C13" s="26" t="s">
        <v>162</v>
      </c>
      <c r="D13" s="26" t="s">
        <v>163</v>
      </c>
      <c r="E13" s="26" t="str">
        <f>"0,6503"</f>
        <v>0,6503</v>
      </c>
      <c r="F13" s="26" t="s">
        <v>49</v>
      </c>
      <c r="G13" s="26" t="s">
        <v>164</v>
      </c>
      <c r="H13" s="33" t="s">
        <v>158</v>
      </c>
      <c r="I13" s="33" t="s">
        <v>165</v>
      </c>
      <c r="J13" s="34" t="s">
        <v>61</v>
      </c>
      <c r="K13" s="32"/>
      <c r="L13" s="26" t="str">
        <f>"185,0"</f>
        <v>185,0</v>
      </c>
      <c r="M13" s="27" t="str">
        <f>"120,2963"</f>
        <v>120,2963</v>
      </c>
      <c r="N13" s="26" t="s">
        <v>31</v>
      </c>
    </row>
    <row r="14" spans="1:14">
      <c r="A14" s="43" t="s">
        <v>213</v>
      </c>
      <c r="B14" s="43" t="s">
        <v>166</v>
      </c>
      <c r="C14" s="30" t="s">
        <v>167</v>
      </c>
      <c r="D14" s="30" t="s">
        <v>168</v>
      </c>
      <c r="E14" s="30" t="str">
        <f>"0,6487"</f>
        <v>0,6487</v>
      </c>
      <c r="F14" s="30" t="s">
        <v>49</v>
      </c>
      <c r="G14" s="30" t="s">
        <v>127</v>
      </c>
      <c r="H14" s="39" t="s">
        <v>169</v>
      </c>
      <c r="I14" s="39" t="s">
        <v>72</v>
      </c>
      <c r="J14" s="40" t="s">
        <v>158</v>
      </c>
      <c r="K14" s="38"/>
      <c r="L14" s="30" t="str">
        <f>"170,0"</f>
        <v>170,0</v>
      </c>
      <c r="M14" s="31" t="str">
        <f>"110,2790"</f>
        <v>110,2790</v>
      </c>
      <c r="N14" s="30" t="s">
        <v>31</v>
      </c>
    </row>
    <row r="15" spans="1:14">
      <c r="A15" s="43" t="s">
        <v>113</v>
      </c>
      <c r="B15" s="43" t="s">
        <v>170</v>
      </c>
      <c r="C15" s="30" t="s">
        <v>171</v>
      </c>
      <c r="D15" s="30" t="s">
        <v>172</v>
      </c>
      <c r="E15" s="30" t="str">
        <f>"0,6623"</f>
        <v>0,6623</v>
      </c>
      <c r="F15" s="30" t="s">
        <v>49</v>
      </c>
      <c r="G15" s="30" t="s">
        <v>164</v>
      </c>
      <c r="H15" s="39" t="s">
        <v>157</v>
      </c>
      <c r="I15" s="39" t="s">
        <v>158</v>
      </c>
      <c r="J15" s="39" t="s">
        <v>173</v>
      </c>
      <c r="K15" s="38"/>
      <c r="L15" s="30" t="str">
        <f>"182,5"</f>
        <v>182,5</v>
      </c>
      <c r="M15" s="31" t="str">
        <f>"123,2965"</f>
        <v>123,2965</v>
      </c>
      <c r="N15" s="30" t="s">
        <v>31</v>
      </c>
    </row>
    <row r="16" spans="1:14">
      <c r="A16" s="42" t="s">
        <v>213</v>
      </c>
      <c r="B16" s="42" t="s">
        <v>166</v>
      </c>
      <c r="C16" s="28" t="s">
        <v>174</v>
      </c>
      <c r="D16" s="28" t="s">
        <v>168</v>
      </c>
      <c r="E16" s="28" t="str">
        <f>"0,6487"</f>
        <v>0,6487</v>
      </c>
      <c r="F16" s="28" t="s">
        <v>49</v>
      </c>
      <c r="G16" s="28" t="s">
        <v>127</v>
      </c>
      <c r="H16" s="36" t="s">
        <v>169</v>
      </c>
      <c r="I16" s="36" t="s">
        <v>72</v>
      </c>
      <c r="J16" s="37" t="s">
        <v>158</v>
      </c>
      <c r="K16" s="35"/>
      <c r="L16" s="28" t="str">
        <f>"170,0"</f>
        <v>170,0</v>
      </c>
      <c r="M16" s="29" t="str">
        <f>"110,2790"</f>
        <v>110,2790</v>
      </c>
      <c r="N16" s="28" t="s">
        <v>31</v>
      </c>
    </row>
    <row r="17" spans="1:14">
      <c r="B17" s="20" t="s">
        <v>114</v>
      </c>
    </row>
    <row r="18" spans="1:14" ht="15">
      <c r="A18" s="68" t="s">
        <v>175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4">
      <c r="A19" s="41" t="s">
        <v>113</v>
      </c>
      <c r="B19" s="41" t="s">
        <v>176</v>
      </c>
      <c r="C19" s="26" t="s">
        <v>177</v>
      </c>
      <c r="D19" s="26" t="s">
        <v>178</v>
      </c>
      <c r="E19" s="26" t="str">
        <f>"0,6130"</f>
        <v>0,6130</v>
      </c>
      <c r="F19" s="26" t="s">
        <v>70</v>
      </c>
      <c r="G19" s="26" t="s">
        <v>71</v>
      </c>
      <c r="H19" s="33" t="s">
        <v>60</v>
      </c>
      <c r="I19" s="34" t="s">
        <v>61</v>
      </c>
      <c r="J19" s="34" t="s">
        <v>61</v>
      </c>
      <c r="K19" s="32"/>
      <c r="L19" s="26" t="str">
        <f>"180,0"</f>
        <v>180,0</v>
      </c>
      <c r="M19" s="27" t="str">
        <f>"110,3400"</f>
        <v>110,3400</v>
      </c>
      <c r="N19" s="26" t="s">
        <v>179</v>
      </c>
    </row>
    <row r="20" spans="1:14">
      <c r="A20" s="42" t="s">
        <v>213</v>
      </c>
      <c r="B20" s="42" t="s">
        <v>180</v>
      </c>
      <c r="C20" s="28" t="s">
        <v>181</v>
      </c>
      <c r="D20" s="28" t="s">
        <v>182</v>
      </c>
      <c r="E20" s="28" t="str">
        <f>"0,6192"</f>
        <v>0,6192</v>
      </c>
      <c r="F20" s="28" t="s">
        <v>49</v>
      </c>
      <c r="G20" s="28" t="s">
        <v>183</v>
      </c>
      <c r="H20" s="37" t="s">
        <v>184</v>
      </c>
      <c r="I20" s="36" t="s">
        <v>184</v>
      </c>
      <c r="J20" s="36" t="s">
        <v>185</v>
      </c>
      <c r="K20" s="35"/>
      <c r="L20" s="28" t="str">
        <f>"125,0"</f>
        <v>125,0</v>
      </c>
      <c r="M20" s="29" t="str">
        <f>"77,4062"</f>
        <v>77,4062</v>
      </c>
      <c r="N20" s="28" t="s">
        <v>186</v>
      </c>
    </row>
    <row r="21" spans="1:14">
      <c r="B21" s="20" t="s">
        <v>114</v>
      </c>
    </row>
    <row r="22" spans="1:14" ht="15">
      <c r="A22" s="68" t="s">
        <v>55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4">
      <c r="A23" s="25" t="s">
        <v>147</v>
      </c>
      <c r="B23" s="25" t="s">
        <v>187</v>
      </c>
      <c r="C23" s="10" t="s">
        <v>188</v>
      </c>
      <c r="D23" s="10" t="s">
        <v>189</v>
      </c>
      <c r="E23" s="10" t="str">
        <f>"0,5825"</f>
        <v>0,5825</v>
      </c>
      <c r="F23" s="10" t="s">
        <v>190</v>
      </c>
      <c r="G23" s="10" t="s">
        <v>191</v>
      </c>
      <c r="H23" s="24" t="s">
        <v>54</v>
      </c>
      <c r="I23" s="24" t="s">
        <v>73</v>
      </c>
      <c r="J23" s="24" t="s">
        <v>73</v>
      </c>
      <c r="K23" s="23"/>
      <c r="L23" s="10" t="str">
        <f>"0.00"</f>
        <v>0.00</v>
      </c>
      <c r="M23" s="11" t="str">
        <f>"0,0000"</f>
        <v>0,0000</v>
      </c>
      <c r="N23" s="10" t="s">
        <v>192</v>
      </c>
    </row>
    <row r="24" spans="1:14">
      <c r="B24" s="20" t="s">
        <v>114</v>
      </c>
    </row>
    <row r="25" spans="1:14" ht="15">
      <c r="A25" s="68" t="s">
        <v>66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1:14">
      <c r="A26" s="41" t="s">
        <v>113</v>
      </c>
      <c r="B26" s="41" t="s">
        <v>193</v>
      </c>
      <c r="C26" s="26" t="s">
        <v>188</v>
      </c>
      <c r="D26" s="26" t="s">
        <v>194</v>
      </c>
      <c r="E26" s="26" t="str">
        <f>"0,5640"</f>
        <v>0,5640</v>
      </c>
      <c r="F26" s="26" t="s">
        <v>190</v>
      </c>
      <c r="G26" s="26" t="s">
        <v>191</v>
      </c>
      <c r="H26" s="33" t="s">
        <v>165</v>
      </c>
      <c r="I26" s="34" t="s">
        <v>195</v>
      </c>
      <c r="J26" s="34" t="s">
        <v>195</v>
      </c>
      <c r="K26" s="32"/>
      <c r="L26" s="26" t="str">
        <f>"185,0"</f>
        <v>185,0</v>
      </c>
      <c r="M26" s="27" t="str">
        <f>"104,3308"</f>
        <v>104,3308</v>
      </c>
      <c r="N26" s="26" t="s">
        <v>192</v>
      </c>
    </row>
    <row r="27" spans="1:14">
      <c r="A27" s="42" t="s">
        <v>213</v>
      </c>
      <c r="B27" s="42" t="s">
        <v>196</v>
      </c>
      <c r="C27" s="28" t="s">
        <v>197</v>
      </c>
      <c r="D27" s="28" t="s">
        <v>198</v>
      </c>
      <c r="E27" s="28" t="str">
        <f>"0,5673"</f>
        <v>0,5673</v>
      </c>
      <c r="F27" s="28" t="s">
        <v>49</v>
      </c>
      <c r="G27" s="28" t="s">
        <v>127</v>
      </c>
      <c r="H27" s="36" t="s">
        <v>73</v>
      </c>
      <c r="I27" s="37" t="s">
        <v>72</v>
      </c>
      <c r="J27" s="36" t="s">
        <v>72</v>
      </c>
      <c r="K27" s="35"/>
      <c r="L27" s="28" t="str">
        <f>"170,0"</f>
        <v>170,0</v>
      </c>
      <c r="M27" s="29" t="str">
        <f>"96,4410"</f>
        <v>96,4410</v>
      </c>
      <c r="N27" s="28" t="s">
        <v>31</v>
      </c>
    </row>
    <row r="28" spans="1:14">
      <c r="B28" s="20" t="s">
        <v>114</v>
      </c>
    </row>
    <row r="29" spans="1:14" ht="15">
      <c r="B29" s="20" t="s">
        <v>114</v>
      </c>
      <c r="F29" s="12" t="s">
        <v>602</v>
      </c>
    </row>
    <row r="30" spans="1:14" ht="15">
      <c r="B30" s="20" t="s">
        <v>114</v>
      </c>
      <c r="F30" s="12" t="s">
        <v>603</v>
      </c>
    </row>
    <row r="31" spans="1:14" ht="15">
      <c r="B31" s="20" t="s">
        <v>114</v>
      </c>
      <c r="F31" s="12" t="s">
        <v>604</v>
      </c>
    </row>
    <row r="32" spans="1:14" ht="15">
      <c r="B32" s="20" t="s">
        <v>114</v>
      </c>
      <c r="F32" s="12" t="s">
        <v>605</v>
      </c>
    </row>
    <row r="33" spans="2:7" ht="15">
      <c r="B33" s="20" t="s">
        <v>114</v>
      </c>
      <c r="F33" s="12" t="s">
        <v>606</v>
      </c>
    </row>
    <row r="34" spans="2:7" ht="15">
      <c r="B34" s="20" t="s">
        <v>114</v>
      </c>
      <c r="F34" s="12" t="s">
        <v>607</v>
      </c>
    </row>
    <row r="35" spans="2:7" ht="15">
      <c r="B35" s="20" t="s">
        <v>114</v>
      </c>
      <c r="F35" s="12"/>
    </row>
    <row r="36" spans="2:7">
      <c r="B36" s="20" t="s">
        <v>114</v>
      </c>
    </row>
    <row r="37" spans="2:7" ht="18">
      <c r="B37" s="20" t="s">
        <v>114</v>
      </c>
      <c r="C37" s="13" t="s">
        <v>76</v>
      </c>
      <c r="D37" s="13"/>
    </row>
    <row r="38" spans="2:7" ht="15">
      <c r="B38" s="20" t="s">
        <v>114</v>
      </c>
      <c r="C38" s="14" t="s">
        <v>77</v>
      </c>
      <c r="D38" s="14"/>
    </row>
    <row r="39" spans="2:7" ht="14.25">
      <c r="B39" s="20" t="s">
        <v>114</v>
      </c>
      <c r="C39" s="16"/>
      <c r="D39" s="17" t="s">
        <v>78</v>
      </c>
    </row>
    <row r="40" spans="2:7" ht="15">
      <c r="B40" s="20" t="s">
        <v>114</v>
      </c>
      <c r="C40" s="18" t="s">
        <v>79</v>
      </c>
      <c r="D40" s="18" t="s">
        <v>80</v>
      </c>
      <c r="E40" s="18" t="s">
        <v>81</v>
      </c>
      <c r="F40" s="18" t="s">
        <v>82</v>
      </c>
      <c r="G40" s="18" t="s">
        <v>83</v>
      </c>
    </row>
    <row r="41" spans="2:7">
      <c r="B41" s="20" t="s">
        <v>114</v>
      </c>
      <c r="C41" s="15" t="s">
        <v>149</v>
      </c>
      <c r="D41" s="20" t="s">
        <v>78</v>
      </c>
      <c r="E41" s="21" t="s">
        <v>84</v>
      </c>
      <c r="F41" s="21" t="s">
        <v>23</v>
      </c>
      <c r="G41" s="21" t="s">
        <v>199</v>
      </c>
    </row>
    <row r="42" spans="2:7">
      <c r="B42" s="20" t="s">
        <v>114</v>
      </c>
    </row>
    <row r="43" spans="2:7">
      <c r="B43" s="20" t="s">
        <v>114</v>
      </c>
    </row>
    <row r="44" spans="2:7" ht="15">
      <c r="B44" s="20" t="s">
        <v>114</v>
      </c>
      <c r="C44" s="14" t="s">
        <v>92</v>
      </c>
      <c r="D44" s="14"/>
    </row>
    <row r="45" spans="2:7" ht="14.25">
      <c r="B45" s="20" t="s">
        <v>114</v>
      </c>
      <c r="C45" s="16"/>
      <c r="D45" s="17" t="s">
        <v>78</v>
      </c>
    </row>
    <row r="46" spans="2:7" ht="15">
      <c r="B46" s="20" t="s">
        <v>114</v>
      </c>
      <c r="C46" s="18" t="s">
        <v>79</v>
      </c>
      <c r="D46" s="18" t="s">
        <v>80</v>
      </c>
      <c r="E46" s="18" t="s">
        <v>81</v>
      </c>
      <c r="F46" s="18" t="s">
        <v>82</v>
      </c>
      <c r="G46" s="18" t="s">
        <v>83</v>
      </c>
    </row>
    <row r="47" spans="2:7">
      <c r="B47" s="20" t="s">
        <v>114</v>
      </c>
      <c r="C47" s="15" t="s">
        <v>161</v>
      </c>
      <c r="D47" s="20" t="s">
        <v>78</v>
      </c>
      <c r="E47" s="21" t="s">
        <v>200</v>
      </c>
      <c r="F47" s="21" t="s">
        <v>165</v>
      </c>
      <c r="G47" s="21" t="s">
        <v>201</v>
      </c>
    </row>
    <row r="48" spans="2:7">
      <c r="B48" s="20" t="s">
        <v>114</v>
      </c>
      <c r="C48" s="15" t="s">
        <v>153</v>
      </c>
      <c r="D48" s="20" t="s">
        <v>78</v>
      </c>
      <c r="E48" s="21" t="s">
        <v>95</v>
      </c>
      <c r="F48" s="21" t="s">
        <v>157</v>
      </c>
      <c r="G48" s="21" t="s">
        <v>202</v>
      </c>
    </row>
    <row r="49" spans="2:7">
      <c r="B49" s="20" t="s">
        <v>114</v>
      </c>
      <c r="C49" s="15" t="s">
        <v>176</v>
      </c>
      <c r="D49" s="20" t="s">
        <v>78</v>
      </c>
      <c r="E49" s="21" t="s">
        <v>203</v>
      </c>
      <c r="F49" s="21" t="s">
        <v>60</v>
      </c>
      <c r="G49" s="21" t="s">
        <v>204</v>
      </c>
    </row>
    <row r="50" spans="2:7">
      <c r="B50" s="20" t="s">
        <v>114</v>
      </c>
    </row>
    <row r="51" spans="2:7" ht="14.25">
      <c r="B51" s="20" t="s">
        <v>114</v>
      </c>
      <c r="C51" s="16"/>
      <c r="D51" s="17" t="s">
        <v>87</v>
      </c>
    </row>
    <row r="52" spans="2:7" ht="15">
      <c r="B52" s="20" t="s">
        <v>114</v>
      </c>
      <c r="C52" s="18" t="s">
        <v>79</v>
      </c>
      <c r="D52" s="18" t="s">
        <v>80</v>
      </c>
      <c r="E52" s="18" t="s">
        <v>81</v>
      </c>
      <c r="F52" s="18" t="s">
        <v>82</v>
      </c>
      <c r="G52" s="18" t="s">
        <v>83</v>
      </c>
    </row>
    <row r="53" spans="2:7">
      <c r="B53" s="20" t="s">
        <v>114</v>
      </c>
      <c r="C53" s="15" t="s">
        <v>170</v>
      </c>
      <c r="D53" s="20" t="s">
        <v>205</v>
      </c>
      <c r="E53" s="21" t="s">
        <v>200</v>
      </c>
      <c r="F53" s="21" t="s">
        <v>173</v>
      </c>
      <c r="G53" s="21" t="s">
        <v>206</v>
      </c>
    </row>
    <row r="54" spans="2:7">
      <c r="B54" s="20" t="s">
        <v>114</v>
      </c>
      <c r="C54" s="15" t="s">
        <v>153</v>
      </c>
      <c r="D54" s="20" t="s">
        <v>205</v>
      </c>
      <c r="E54" s="21" t="s">
        <v>95</v>
      </c>
      <c r="F54" s="21" t="s">
        <v>157</v>
      </c>
      <c r="G54" s="21" t="s">
        <v>202</v>
      </c>
    </row>
    <row r="55" spans="2:7">
      <c r="B55" s="20" t="s">
        <v>114</v>
      </c>
      <c r="C55" s="15" t="s">
        <v>166</v>
      </c>
      <c r="D55" s="20" t="s">
        <v>205</v>
      </c>
      <c r="E55" s="21" t="s">
        <v>200</v>
      </c>
      <c r="F55" s="21" t="s">
        <v>72</v>
      </c>
      <c r="G55" s="21" t="s">
        <v>207</v>
      </c>
    </row>
    <row r="56" spans="2:7">
      <c r="B56" s="20" t="s">
        <v>114</v>
      </c>
    </row>
    <row r="57" spans="2:7">
      <c r="B57" s="20" t="s">
        <v>114</v>
      </c>
    </row>
    <row r="58" spans="2:7">
      <c r="B58" s="20" t="s">
        <v>114</v>
      </c>
    </row>
    <row r="59" spans="2:7">
      <c r="B59" s="20" t="s">
        <v>114</v>
      </c>
    </row>
    <row r="60" spans="2:7" ht="18">
      <c r="B60" s="20" t="s">
        <v>114</v>
      </c>
      <c r="C60" s="13" t="s">
        <v>105</v>
      </c>
      <c r="D60" s="13"/>
    </row>
    <row r="61" spans="2:7" ht="15">
      <c r="B61" s="20" t="s">
        <v>114</v>
      </c>
      <c r="C61" s="18" t="s">
        <v>106</v>
      </c>
      <c r="D61" s="18" t="s">
        <v>107</v>
      </c>
      <c r="E61" s="18" t="s">
        <v>108</v>
      </c>
    </row>
    <row r="62" spans="2:7">
      <c r="B62" s="20" t="s">
        <v>114</v>
      </c>
      <c r="C62" s="4" t="s">
        <v>156</v>
      </c>
      <c r="D62" s="4" t="s">
        <v>109</v>
      </c>
      <c r="E62" s="4" t="s">
        <v>208</v>
      </c>
    </row>
    <row r="63" spans="2:7">
      <c r="B63" s="20" t="s">
        <v>114</v>
      </c>
      <c r="C63" s="4" t="s">
        <v>126</v>
      </c>
      <c r="D63" s="4" t="s">
        <v>111</v>
      </c>
      <c r="E63" s="4" t="s">
        <v>209</v>
      </c>
    </row>
    <row r="64" spans="2:7">
      <c r="B64" s="20" t="s">
        <v>114</v>
      </c>
      <c r="C64" s="4" t="s">
        <v>190</v>
      </c>
      <c r="D64" s="4" t="s">
        <v>111</v>
      </c>
      <c r="E64" s="4" t="s">
        <v>210</v>
      </c>
    </row>
    <row r="65" spans="2:5">
      <c r="B65" s="20" t="s">
        <v>114</v>
      </c>
      <c r="C65" s="4" t="s">
        <v>70</v>
      </c>
      <c r="D65" s="4" t="s">
        <v>111</v>
      </c>
      <c r="E65" s="4" t="s">
        <v>211</v>
      </c>
    </row>
    <row r="66" spans="2:5">
      <c r="B66" s="20" t="s">
        <v>114</v>
      </c>
    </row>
  </sheetData>
  <mergeCells count="18">
    <mergeCell ref="A25:K25"/>
    <mergeCell ref="A5:K5"/>
    <mergeCell ref="A8:K8"/>
    <mergeCell ref="A12:K12"/>
    <mergeCell ref="A18:K18"/>
    <mergeCell ref="A22:K22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34"/>
  <sheetViews>
    <sheetView workbookViewId="0">
      <selection activeCell="F14" sqref="F14:J19"/>
    </sheetView>
  </sheetViews>
  <sheetFormatPr defaultRowHeight="12.75"/>
  <cols>
    <col min="1" max="1" width="7.42578125" style="20" bestFit="1" customWidth="1"/>
    <col min="2" max="2" width="16.7109375" style="20" bestFit="1" customWidth="1"/>
    <col min="3" max="3" width="28.42578125" style="4" customWidth="1"/>
    <col min="4" max="4" width="16.140625" style="4" customWidth="1"/>
    <col min="5" max="5" width="9.7109375" style="4" customWidth="1"/>
    <col min="6" max="6" width="13.140625" style="4" customWidth="1"/>
    <col min="7" max="7" width="33.42578125" style="4" bestFit="1" customWidth="1"/>
    <col min="8" max="10" width="5.5703125" style="2" customWidth="1"/>
    <col min="11" max="11" width="4.85546875" style="2" customWidth="1"/>
    <col min="12" max="14" width="5.5703125" style="2" customWidth="1"/>
    <col min="15" max="15" width="4.85546875" style="2" customWidth="1"/>
    <col min="16" max="18" width="5.5703125" style="2" customWidth="1"/>
    <col min="19" max="19" width="4.85546875" style="2" customWidth="1"/>
    <col min="20" max="20" width="7.85546875" style="4" bestFit="1" customWidth="1"/>
    <col min="21" max="21" width="8.5703125" style="3" bestFit="1" customWidth="1"/>
    <col min="22" max="22" width="15" style="4" bestFit="1" customWidth="1"/>
    <col min="23" max="16384" width="9.140625" style="3"/>
  </cols>
  <sheetData>
    <row r="1" spans="1:22" s="2" customFormat="1" ht="29.1" customHeight="1">
      <c r="A1" s="61" t="s">
        <v>116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13</v>
      </c>
      <c r="I3" s="53"/>
      <c r="J3" s="53"/>
      <c r="K3" s="56"/>
      <c r="L3" s="49" t="s">
        <v>14</v>
      </c>
      <c r="M3" s="53"/>
      <c r="N3" s="53"/>
      <c r="O3" s="56"/>
      <c r="P3" s="57" t="s">
        <v>15</v>
      </c>
      <c r="Q3" s="53"/>
      <c r="R3" s="53"/>
      <c r="S3" s="54"/>
      <c r="T3" s="57" t="s">
        <v>1</v>
      </c>
      <c r="U3" s="53" t="s">
        <v>3</v>
      </c>
      <c r="V3" s="56" t="s">
        <v>2</v>
      </c>
    </row>
    <row r="4" spans="1:22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5">
        <v>1</v>
      </c>
      <c r="M4" s="6">
        <v>2</v>
      </c>
      <c r="N4" s="6">
        <v>3</v>
      </c>
      <c r="O4" s="7" t="s">
        <v>5</v>
      </c>
      <c r="P4" s="8">
        <v>1</v>
      </c>
      <c r="Q4" s="6">
        <v>2</v>
      </c>
      <c r="R4" s="6">
        <v>3</v>
      </c>
      <c r="S4" s="9" t="s">
        <v>5</v>
      </c>
      <c r="T4" s="63"/>
      <c r="U4" s="52"/>
      <c r="V4" s="60"/>
    </row>
    <row r="5" spans="1:22" ht="15">
      <c r="A5" s="64" t="s">
        <v>45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5" t="s">
        <v>147</v>
      </c>
      <c r="B6" s="25" t="s">
        <v>117</v>
      </c>
      <c r="C6" s="10" t="s">
        <v>118</v>
      </c>
      <c r="D6" s="10" t="s">
        <v>119</v>
      </c>
      <c r="E6" s="10" t="str">
        <f>"0,8391"</f>
        <v>0,8391</v>
      </c>
      <c r="F6" s="10" t="s">
        <v>20</v>
      </c>
      <c r="G6" s="10" t="s">
        <v>120</v>
      </c>
      <c r="H6" s="22" t="s">
        <v>64</v>
      </c>
      <c r="I6" s="24" t="s">
        <v>65</v>
      </c>
      <c r="J6" s="24" t="s">
        <v>65</v>
      </c>
      <c r="K6" s="23"/>
      <c r="L6" s="23" t="s">
        <v>121</v>
      </c>
      <c r="M6" s="23"/>
      <c r="N6" s="23"/>
      <c r="O6" s="23"/>
      <c r="P6" s="24" t="s">
        <v>122</v>
      </c>
      <c r="Q6" s="23"/>
      <c r="R6" s="23"/>
      <c r="S6" s="23"/>
      <c r="T6" s="10" t="str">
        <f>"0.00"</f>
        <v>0.00</v>
      </c>
      <c r="U6" s="11" t="str">
        <f>"0,0000"</f>
        <v>0,0000</v>
      </c>
      <c r="V6" s="10" t="s">
        <v>44</v>
      </c>
    </row>
    <row r="7" spans="1:22">
      <c r="B7" s="20" t="s">
        <v>114</v>
      </c>
    </row>
    <row r="8" spans="1:22" ht="15">
      <c r="A8" s="68" t="s">
        <v>55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2">
      <c r="A9" s="25" t="s">
        <v>113</v>
      </c>
      <c r="B9" s="25" t="s">
        <v>123</v>
      </c>
      <c r="C9" s="10" t="s">
        <v>124</v>
      </c>
      <c r="D9" s="10" t="s">
        <v>125</v>
      </c>
      <c r="E9" s="10" t="str">
        <f>"0,5902"</f>
        <v>0,5902</v>
      </c>
      <c r="F9" s="10" t="s">
        <v>126</v>
      </c>
      <c r="G9" s="10" t="s">
        <v>127</v>
      </c>
      <c r="H9" s="22" t="s">
        <v>65</v>
      </c>
      <c r="I9" s="22" t="s">
        <v>128</v>
      </c>
      <c r="J9" s="22" t="s">
        <v>129</v>
      </c>
      <c r="K9" s="23"/>
      <c r="L9" s="22" t="s">
        <v>60</v>
      </c>
      <c r="M9" s="24" t="s">
        <v>130</v>
      </c>
      <c r="N9" s="22" t="s">
        <v>130</v>
      </c>
      <c r="O9" s="23"/>
      <c r="P9" s="22" t="s">
        <v>131</v>
      </c>
      <c r="Q9" s="22" t="s">
        <v>132</v>
      </c>
      <c r="R9" s="24" t="s">
        <v>133</v>
      </c>
      <c r="S9" s="23"/>
      <c r="T9" s="10" t="str">
        <f>"737,5"</f>
        <v>737,5</v>
      </c>
      <c r="U9" s="11" t="str">
        <f>"435,2725"</f>
        <v>435,2725</v>
      </c>
      <c r="V9" s="10" t="s">
        <v>134</v>
      </c>
    </row>
    <row r="10" spans="1:22">
      <c r="B10" s="20" t="s">
        <v>114</v>
      </c>
    </row>
    <row r="11" spans="1:22" ht="15">
      <c r="A11" s="68" t="s">
        <v>135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22">
      <c r="A12" s="25" t="s">
        <v>147</v>
      </c>
      <c r="B12" s="25" t="s">
        <v>136</v>
      </c>
      <c r="C12" s="10" t="s">
        <v>137</v>
      </c>
      <c r="D12" s="10" t="s">
        <v>138</v>
      </c>
      <c r="E12" s="10" t="str">
        <f>"0,5556"</f>
        <v>0,5556</v>
      </c>
      <c r="F12" s="10" t="s">
        <v>126</v>
      </c>
      <c r="G12" s="10" t="s">
        <v>127</v>
      </c>
      <c r="H12" s="22" t="s">
        <v>131</v>
      </c>
      <c r="I12" s="24" t="s">
        <v>132</v>
      </c>
      <c r="J12" s="23"/>
      <c r="K12" s="23"/>
      <c r="L12" s="22" t="s">
        <v>61</v>
      </c>
      <c r="M12" s="22" t="s">
        <v>122</v>
      </c>
      <c r="N12" s="24" t="s">
        <v>139</v>
      </c>
      <c r="O12" s="23"/>
      <c r="P12" s="24" t="s">
        <v>131</v>
      </c>
      <c r="Q12" s="24" t="s">
        <v>140</v>
      </c>
      <c r="R12" s="24" t="s">
        <v>140</v>
      </c>
      <c r="S12" s="23"/>
      <c r="T12" s="10" t="str">
        <f>"0.00"</f>
        <v>0.00</v>
      </c>
      <c r="U12" s="11" t="str">
        <f>"0,0000"</f>
        <v>0,0000</v>
      </c>
      <c r="V12" s="10" t="s">
        <v>141</v>
      </c>
    </row>
    <row r="13" spans="1:22">
      <c r="B13" s="20" t="s">
        <v>114</v>
      </c>
    </row>
    <row r="14" spans="1:22" ht="15">
      <c r="B14" s="20" t="s">
        <v>114</v>
      </c>
      <c r="F14" s="12" t="s">
        <v>602</v>
      </c>
    </row>
    <row r="15" spans="1:22" ht="15">
      <c r="B15" s="20" t="s">
        <v>114</v>
      </c>
      <c r="F15" s="12" t="s">
        <v>603</v>
      </c>
    </row>
    <row r="16" spans="1:22" ht="15">
      <c r="B16" s="20" t="s">
        <v>114</v>
      </c>
      <c r="F16" s="12" t="s">
        <v>604</v>
      </c>
    </row>
    <row r="17" spans="2:8" ht="15">
      <c r="B17" s="20" t="s">
        <v>114</v>
      </c>
      <c r="F17" s="12" t="s">
        <v>605</v>
      </c>
    </row>
    <row r="18" spans="2:8" ht="15">
      <c r="B18" s="20" t="s">
        <v>114</v>
      </c>
      <c r="F18" s="12" t="s">
        <v>606</v>
      </c>
    </row>
    <row r="19" spans="2:8" ht="15">
      <c r="B19" s="20" t="s">
        <v>114</v>
      </c>
      <c r="F19" s="12" t="s">
        <v>607</v>
      </c>
    </row>
    <row r="20" spans="2:8" ht="15">
      <c r="B20" s="20" t="s">
        <v>114</v>
      </c>
      <c r="F20" s="12"/>
    </row>
    <row r="21" spans="2:8">
      <c r="B21" s="20" t="s">
        <v>114</v>
      </c>
    </row>
    <row r="22" spans="2:8" ht="18">
      <c r="B22" s="20" t="s">
        <v>114</v>
      </c>
      <c r="C22" s="13" t="s">
        <v>76</v>
      </c>
      <c r="D22" s="13"/>
      <c r="H22" s="19"/>
    </row>
    <row r="23" spans="2:8" ht="15">
      <c r="B23" s="20" t="s">
        <v>114</v>
      </c>
      <c r="C23" s="14" t="s">
        <v>92</v>
      </c>
      <c r="D23" s="14"/>
      <c r="H23" s="19"/>
    </row>
    <row r="24" spans="2:8" ht="14.25">
      <c r="B24" s="20" t="s">
        <v>114</v>
      </c>
      <c r="C24" s="16"/>
      <c r="D24" s="17" t="s">
        <v>142</v>
      </c>
      <c r="H24" s="19"/>
    </row>
    <row r="25" spans="2:8" ht="15">
      <c r="B25" s="20" t="s">
        <v>114</v>
      </c>
      <c r="C25" s="18" t="s">
        <v>79</v>
      </c>
      <c r="D25" s="18" t="s">
        <v>80</v>
      </c>
      <c r="E25" s="18" t="s">
        <v>81</v>
      </c>
      <c r="F25" s="18" t="s">
        <v>82</v>
      </c>
      <c r="G25" s="18" t="s">
        <v>83</v>
      </c>
      <c r="H25" s="19"/>
    </row>
    <row r="26" spans="2:8">
      <c r="B26" s="20" t="s">
        <v>114</v>
      </c>
      <c r="C26" s="15" t="s">
        <v>123</v>
      </c>
      <c r="D26" s="20" t="s">
        <v>143</v>
      </c>
      <c r="E26" s="21" t="s">
        <v>102</v>
      </c>
      <c r="F26" s="21" t="s">
        <v>144</v>
      </c>
      <c r="G26" s="21" t="s">
        <v>145</v>
      </c>
      <c r="H26" s="19"/>
    </row>
    <row r="27" spans="2:8">
      <c r="B27" s="20" t="s">
        <v>114</v>
      </c>
      <c r="H27" s="19"/>
    </row>
    <row r="28" spans="2:8">
      <c r="B28" s="20" t="s">
        <v>114</v>
      </c>
      <c r="H28" s="19"/>
    </row>
    <row r="29" spans="2:8">
      <c r="B29" s="20" t="s">
        <v>114</v>
      </c>
      <c r="H29" s="19"/>
    </row>
    <row r="30" spans="2:8">
      <c r="B30" s="20" t="s">
        <v>114</v>
      </c>
      <c r="H30" s="19"/>
    </row>
    <row r="31" spans="2:8" ht="18">
      <c r="B31" s="20" t="s">
        <v>114</v>
      </c>
      <c r="C31" s="13" t="s">
        <v>105</v>
      </c>
      <c r="D31" s="13"/>
      <c r="H31" s="19"/>
    </row>
    <row r="32" spans="2:8" ht="15">
      <c r="B32" s="20" t="s">
        <v>114</v>
      </c>
      <c r="C32" s="18" t="s">
        <v>106</v>
      </c>
      <c r="D32" s="18" t="s">
        <v>107</v>
      </c>
      <c r="E32" s="18" t="s">
        <v>108</v>
      </c>
      <c r="H32" s="19"/>
    </row>
    <row r="33" spans="2:8">
      <c r="B33" s="20" t="s">
        <v>114</v>
      </c>
      <c r="C33" s="4" t="s">
        <v>126</v>
      </c>
      <c r="D33" s="4" t="s">
        <v>111</v>
      </c>
      <c r="E33" s="4" t="s">
        <v>146</v>
      </c>
      <c r="H33" s="19"/>
    </row>
    <row r="34" spans="2:8">
      <c r="B34" s="20" t="s">
        <v>114</v>
      </c>
      <c r="H34" s="19"/>
    </row>
  </sheetData>
  <mergeCells count="17">
    <mergeCell ref="A8:S8"/>
    <mergeCell ref="A11:S11"/>
    <mergeCell ref="B3:B4"/>
    <mergeCell ref="T3:T4"/>
    <mergeCell ref="U3:U4"/>
    <mergeCell ref="V3:V4"/>
    <mergeCell ref="A5:S5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F11" sqref="F11:J16"/>
    </sheetView>
  </sheetViews>
  <sheetFormatPr defaultRowHeight="12.75"/>
  <cols>
    <col min="1" max="1" width="7.42578125" style="20" bestFit="1" customWidth="1"/>
    <col min="2" max="2" width="17.85546875" style="20" bestFit="1" customWidth="1"/>
    <col min="3" max="3" width="31.85546875" style="4" bestFit="1" customWidth="1"/>
    <col min="4" max="4" width="5.85546875" style="4" customWidth="1"/>
    <col min="5" max="5" width="8.5703125" style="4" customWidth="1"/>
    <col min="6" max="6" width="6.7109375" style="4" customWidth="1"/>
    <col min="7" max="7" width="32.5703125" style="4" bestFit="1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588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573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574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589</v>
      </c>
      <c r="C6" s="10" t="s">
        <v>590</v>
      </c>
      <c r="D6" s="10" t="s">
        <v>591</v>
      </c>
      <c r="E6" s="10" t="str">
        <f>"0,6998"</f>
        <v>0,6998</v>
      </c>
      <c r="F6" s="10" t="s">
        <v>592</v>
      </c>
      <c r="G6" s="10" t="s">
        <v>370</v>
      </c>
      <c r="H6" s="22" t="s">
        <v>184</v>
      </c>
      <c r="I6" s="22" t="s">
        <v>39</v>
      </c>
      <c r="J6" s="24" t="s">
        <v>42</v>
      </c>
      <c r="K6" s="23"/>
      <c r="L6" s="10" t="str">
        <f>"130,0"</f>
        <v>130,0</v>
      </c>
      <c r="M6" s="11" t="str">
        <f>"107,7055"</f>
        <v>107,7055</v>
      </c>
      <c r="N6" s="10" t="s">
        <v>31</v>
      </c>
    </row>
    <row r="7" spans="1:14">
      <c r="B7" s="20" t="s">
        <v>114</v>
      </c>
    </row>
    <row r="8" spans="1:14" ht="15">
      <c r="A8" s="68" t="s">
        <v>135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25" t="s">
        <v>113</v>
      </c>
      <c r="B9" s="25" t="s">
        <v>593</v>
      </c>
      <c r="C9" s="10" t="s">
        <v>594</v>
      </c>
      <c r="D9" s="10" t="s">
        <v>595</v>
      </c>
      <c r="E9" s="10" t="str">
        <f>"0,5545"</f>
        <v>0,5545</v>
      </c>
      <c r="F9" s="10" t="s">
        <v>49</v>
      </c>
      <c r="G9" s="10" t="s">
        <v>71</v>
      </c>
      <c r="H9" s="22" t="s">
        <v>54</v>
      </c>
      <c r="I9" s="22" t="s">
        <v>73</v>
      </c>
      <c r="J9" s="22" t="s">
        <v>596</v>
      </c>
      <c r="K9" s="23"/>
      <c r="L9" s="10" t="str">
        <f>"172,5"</f>
        <v>172,5</v>
      </c>
      <c r="M9" s="11" t="str">
        <f>"141,5638"</f>
        <v>141,5638</v>
      </c>
      <c r="N9" s="10" t="s">
        <v>31</v>
      </c>
    </row>
    <row r="10" spans="1:14">
      <c r="B10" s="20" t="s">
        <v>114</v>
      </c>
    </row>
    <row r="11" spans="1:14" ht="15">
      <c r="B11" s="20" t="s">
        <v>114</v>
      </c>
      <c r="F11" s="12" t="s">
        <v>602</v>
      </c>
    </row>
    <row r="12" spans="1:14" ht="15">
      <c r="B12" s="20" t="s">
        <v>114</v>
      </c>
      <c r="F12" s="12" t="s">
        <v>603</v>
      </c>
    </row>
    <row r="13" spans="1:14" ht="15">
      <c r="B13" s="20" t="s">
        <v>114</v>
      </c>
      <c r="F13" s="12" t="s">
        <v>604</v>
      </c>
    </row>
    <row r="14" spans="1:14" ht="15">
      <c r="B14" s="20" t="s">
        <v>114</v>
      </c>
      <c r="F14" s="12" t="s">
        <v>605</v>
      </c>
    </row>
    <row r="15" spans="1:14" ht="15">
      <c r="B15" s="20" t="s">
        <v>114</v>
      </c>
      <c r="F15" s="12" t="s">
        <v>606</v>
      </c>
    </row>
    <row r="16" spans="1:14" ht="15">
      <c r="B16" s="20" t="s">
        <v>114</v>
      </c>
      <c r="F16" s="12" t="s">
        <v>607</v>
      </c>
    </row>
    <row r="17" spans="2:8" ht="15">
      <c r="B17" s="20" t="s">
        <v>114</v>
      </c>
      <c r="F17" s="12"/>
    </row>
    <row r="18" spans="2:8">
      <c r="B18" s="20" t="s">
        <v>114</v>
      </c>
    </row>
    <row r="19" spans="2:8" ht="18">
      <c r="B19" s="20" t="s">
        <v>114</v>
      </c>
      <c r="C19" s="13" t="s">
        <v>76</v>
      </c>
      <c r="D19" s="13"/>
      <c r="H19" s="19"/>
    </row>
    <row r="20" spans="2:8" ht="15">
      <c r="B20" s="20" t="s">
        <v>114</v>
      </c>
      <c r="C20" s="14" t="s">
        <v>92</v>
      </c>
      <c r="D20" s="14"/>
      <c r="H20" s="19"/>
    </row>
    <row r="21" spans="2:8" ht="14.25">
      <c r="B21" s="20" t="s">
        <v>114</v>
      </c>
      <c r="C21" s="16"/>
      <c r="D21" s="17" t="s">
        <v>584</v>
      </c>
      <c r="H21" s="19"/>
    </row>
    <row r="22" spans="2:8" ht="15">
      <c r="B22" s="20" t="s">
        <v>114</v>
      </c>
      <c r="C22" s="18" t="s">
        <v>79</v>
      </c>
      <c r="D22" s="18" t="s">
        <v>80</v>
      </c>
      <c r="E22" s="18" t="s">
        <v>81</v>
      </c>
      <c r="F22" s="18" t="s">
        <v>82</v>
      </c>
      <c r="G22" s="18" t="s">
        <v>83</v>
      </c>
      <c r="H22" s="19"/>
    </row>
    <row r="23" spans="2:8">
      <c r="B23" s="20" t="s">
        <v>114</v>
      </c>
      <c r="C23" s="15" t="s">
        <v>593</v>
      </c>
      <c r="D23" s="20" t="s">
        <v>585</v>
      </c>
      <c r="E23" s="21" t="s">
        <v>241</v>
      </c>
      <c r="F23" s="21" t="s">
        <v>596</v>
      </c>
      <c r="G23" s="21" t="s">
        <v>597</v>
      </c>
      <c r="H23" s="19"/>
    </row>
    <row r="24" spans="2:8">
      <c r="B24" s="20" t="s">
        <v>114</v>
      </c>
      <c r="C24" s="15" t="s">
        <v>589</v>
      </c>
      <c r="D24" s="20" t="s">
        <v>585</v>
      </c>
      <c r="E24" s="21" t="s">
        <v>586</v>
      </c>
      <c r="F24" s="21" t="s">
        <v>39</v>
      </c>
      <c r="G24" s="21" t="s">
        <v>598</v>
      </c>
      <c r="H24" s="19"/>
    </row>
    <row r="25" spans="2:8">
      <c r="B25" s="20" t="s">
        <v>114</v>
      </c>
      <c r="H25" s="19"/>
    </row>
    <row r="26" spans="2:8">
      <c r="B26" s="20" t="s">
        <v>114</v>
      </c>
      <c r="H26" s="19"/>
    </row>
    <row r="27" spans="2:8">
      <c r="B27" s="20" t="s">
        <v>114</v>
      </c>
      <c r="H27" s="19"/>
    </row>
    <row r="28" spans="2:8">
      <c r="B28" s="20" t="s">
        <v>114</v>
      </c>
      <c r="H28" s="19"/>
    </row>
    <row r="29" spans="2:8" ht="18">
      <c r="B29" s="20" t="s">
        <v>114</v>
      </c>
      <c r="C29" s="13" t="s">
        <v>105</v>
      </c>
      <c r="D29" s="13"/>
      <c r="H29" s="19"/>
    </row>
    <row r="30" spans="2:8" ht="15">
      <c r="B30" s="20" t="s">
        <v>114</v>
      </c>
      <c r="C30" s="18" t="s">
        <v>106</v>
      </c>
      <c r="D30" s="18" t="s">
        <v>107</v>
      </c>
      <c r="E30" s="18" t="s">
        <v>108</v>
      </c>
      <c r="H30" s="19"/>
    </row>
    <row r="31" spans="2:8">
      <c r="B31" s="20" t="s">
        <v>114</v>
      </c>
      <c r="C31" s="4" t="s">
        <v>592</v>
      </c>
      <c r="D31" s="4" t="s">
        <v>111</v>
      </c>
      <c r="E31" s="4" t="s">
        <v>599</v>
      </c>
      <c r="H31" s="19"/>
    </row>
    <row r="32" spans="2:8">
      <c r="B32" s="20" t="s">
        <v>114</v>
      </c>
      <c r="H32" s="19"/>
    </row>
  </sheetData>
  <mergeCells count="14">
    <mergeCell ref="A8:K8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V59"/>
  <sheetViews>
    <sheetView tabSelected="1" workbookViewId="0">
      <selection activeCell="F20" sqref="F20:J25"/>
    </sheetView>
  </sheetViews>
  <sheetFormatPr defaultRowHeight="12.75"/>
  <cols>
    <col min="1" max="1" width="7.42578125" style="20" bestFit="1" customWidth="1"/>
    <col min="2" max="2" width="20.42578125" style="20" bestFit="1" customWidth="1"/>
    <col min="3" max="3" width="28.5703125" style="4" customWidth="1"/>
    <col min="4" max="4" width="6.140625" style="4" customWidth="1"/>
    <col min="5" max="5" width="6.42578125" style="4" customWidth="1"/>
    <col min="6" max="6" width="8.5703125" style="4" customWidth="1"/>
    <col min="7" max="7" width="27.85546875" style="4" customWidth="1"/>
    <col min="8" max="10" width="5.5703125" style="2" customWidth="1"/>
    <col min="11" max="11" width="4.85546875" style="2" customWidth="1"/>
    <col min="12" max="14" width="5.5703125" style="2" customWidth="1"/>
    <col min="15" max="15" width="4.85546875" style="2" customWidth="1"/>
    <col min="16" max="18" width="5.5703125" style="2" customWidth="1"/>
    <col min="19" max="19" width="4.85546875" style="2" customWidth="1"/>
    <col min="20" max="20" width="7.85546875" style="4" bestFit="1" customWidth="1"/>
    <col min="21" max="21" width="8.5703125" style="3" bestFit="1" customWidth="1"/>
    <col min="22" max="22" width="14.5703125" style="4" bestFit="1" customWidth="1"/>
    <col min="23" max="16384" width="9.140625" style="3"/>
  </cols>
  <sheetData>
    <row r="1" spans="1:22" s="2" customFormat="1" ht="29.1" customHeight="1">
      <c r="A1" s="61" t="s">
        <v>11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13</v>
      </c>
      <c r="I3" s="53"/>
      <c r="J3" s="53"/>
      <c r="K3" s="56"/>
      <c r="L3" s="49" t="s">
        <v>14</v>
      </c>
      <c r="M3" s="53"/>
      <c r="N3" s="53"/>
      <c r="O3" s="56"/>
      <c r="P3" s="57" t="s">
        <v>15</v>
      </c>
      <c r="Q3" s="53"/>
      <c r="R3" s="53"/>
      <c r="S3" s="54"/>
      <c r="T3" s="57" t="s">
        <v>1</v>
      </c>
      <c r="U3" s="53" t="s">
        <v>3</v>
      </c>
      <c r="V3" s="56" t="s">
        <v>2</v>
      </c>
    </row>
    <row r="4" spans="1:22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5">
        <v>1</v>
      </c>
      <c r="M4" s="6">
        <v>2</v>
      </c>
      <c r="N4" s="6">
        <v>3</v>
      </c>
      <c r="O4" s="7" t="s">
        <v>5</v>
      </c>
      <c r="P4" s="8">
        <v>1</v>
      </c>
      <c r="Q4" s="6">
        <v>2</v>
      </c>
      <c r="R4" s="6">
        <v>3</v>
      </c>
      <c r="S4" s="9" t="s">
        <v>5</v>
      </c>
      <c r="T4" s="63"/>
      <c r="U4" s="52"/>
      <c r="V4" s="60"/>
    </row>
    <row r="5" spans="1:22" ht="15">
      <c r="A5" s="64" t="s">
        <v>16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2">
      <c r="A6" s="25" t="s">
        <v>113</v>
      </c>
      <c r="B6" s="25" t="s">
        <v>17</v>
      </c>
      <c r="C6" s="10" t="s">
        <v>18</v>
      </c>
      <c r="D6" s="10" t="s">
        <v>19</v>
      </c>
      <c r="E6" s="10" t="str">
        <f>"0,9876"</f>
        <v>0,9876</v>
      </c>
      <c r="F6" s="10" t="s">
        <v>20</v>
      </c>
      <c r="G6" s="10" t="s">
        <v>21</v>
      </c>
      <c r="H6" s="22" t="s">
        <v>22</v>
      </c>
      <c r="I6" s="22" t="s">
        <v>23</v>
      </c>
      <c r="J6" s="22" t="s">
        <v>24</v>
      </c>
      <c r="K6" s="23"/>
      <c r="L6" s="22" t="s">
        <v>25</v>
      </c>
      <c r="M6" s="22" t="s">
        <v>26</v>
      </c>
      <c r="N6" s="22" t="s">
        <v>27</v>
      </c>
      <c r="O6" s="23"/>
      <c r="P6" s="22" t="s">
        <v>28</v>
      </c>
      <c r="Q6" s="22" t="s">
        <v>29</v>
      </c>
      <c r="R6" s="22" t="s">
        <v>30</v>
      </c>
      <c r="S6" s="23"/>
      <c r="T6" s="10" t="str">
        <f>"237,5"</f>
        <v>237,5</v>
      </c>
      <c r="U6" s="11" t="str">
        <f>"250,5047"</f>
        <v>250,5047</v>
      </c>
      <c r="V6" s="10" t="s">
        <v>31</v>
      </c>
    </row>
    <row r="7" spans="1:22">
      <c r="B7" s="20" t="s">
        <v>114</v>
      </c>
    </row>
    <row r="8" spans="1:22" ht="15">
      <c r="A8" s="68" t="s">
        <v>32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22">
      <c r="A9" s="25" t="s">
        <v>113</v>
      </c>
      <c r="B9" s="25" t="s">
        <v>33</v>
      </c>
      <c r="C9" s="10" t="s">
        <v>34</v>
      </c>
      <c r="D9" s="10" t="s">
        <v>35</v>
      </c>
      <c r="E9" s="10" t="str">
        <f>"0,9039"</f>
        <v>0,9039</v>
      </c>
      <c r="F9" s="10" t="s">
        <v>20</v>
      </c>
      <c r="G9" s="10" t="s">
        <v>36</v>
      </c>
      <c r="H9" s="22" t="s">
        <v>37</v>
      </c>
      <c r="I9" s="22" t="s">
        <v>38</v>
      </c>
      <c r="J9" s="22" t="s">
        <v>39</v>
      </c>
      <c r="K9" s="23"/>
      <c r="L9" s="22" t="s">
        <v>40</v>
      </c>
      <c r="M9" s="22" t="s">
        <v>23</v>
      </c>
      <c r="N9" s="22" t="s">
        <v>41</v>
      </c>
      <c r="O9" s="23"/>
      <c r="P9" s="22" t="s">
        <v>42</v>
      </c>
      <c r="Q9" s="24" t="s">
        <v>43</v>
      </c>
      <c r="R9" s="23"/>
      <c r="S9" s="23"/>
      <c r="T9" s="10" t="str">
        <f>"345,0"</f>
        <v>345,0</v>
      </c>
      <c r="U9" s="11" t="str">
        <f>"311,8283"</f>
        <v>311,8283</v>
      </c>
      <c r="V9" s="10" t="s">
        <v>44</v>
      </c>
    </row>
    <row r="10" spans="1:22">
      <c r="B10" s="20" t="s">
        <v>114</v>
      </c>
    </row>
    <row r="11" spans="1:22" ht="15">
      <c r="A11" s="68" t="s">
        <v>45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22">
      <c r="A12" s="25" t="s">
        <v>113</v>
      </c>
      <c r="B12" s="25" t="s">
        <v>46</v>
      </c>
      <c r="C12" s="10" t="s">
        <v>47</v>
      </c>
      <c r="D12" s="10" t="s">
        <v>48</v>
      </c>
      <c r="E12" s="10" t="str">
        <f>"0,7149"</f>
        <v>0,7149</v>
      </c>
      <c r="F12" s="10" t="s">
        <v>49</v>
      </c>
      <c r="G12" s="10" t="s">
        <v>50</v>
      </c>
      <c r="H12" s="22" t="s">
        <v>42</v>
      </c>
      <c r="I12" s="22" t="s">
        <v>43</v>
      </c>
      <c r="J12" s="22" t="s">
        <v>51</v>
      </c>
      <c r="K12" s="23"/>
      <c r="L12" s="22" t="s">
        <v>52</v>
      </c>
      <c r="M12" s="22" t="s">
        <v>28</v>
      </c>
      <c r="N12" s="22" t="s">
        <v>53</v>
      </c>
      <c r="O12" s="23"/>
      <c r="P12" s="22" t="s">
        <v>43</v>
      </c>
      <c r="Q12" s="22" t="s">
        <v>51</v>
      </c>
      <c r="R12" s="22" t="s">
        <v>54</v>
      </c>
      <c r="S12" s="23"/>
      <c r="T12" s="10" t="str">
        <f>"405,0"</f>
        <v>405,0</v>
      </c>
      <c r="U12" s="11" t="str">
        <f>"289,5143"</f>
        <v>289,5143</v>
      </c>
      <c r="V12" s="10" t="s">
        <v>31</v>
      </c>
    </row>
    <row r="13" spans="1:22">
      <c r="B13" s="20" t="s">
        <v>114</v>
      </c>
    </row>
    <row r="14" spans="1:22" ht="15">
      <c r="A14" s="68" t="s">
        <v>55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spans="1:22">
      <c r="A15" s="25" t="s">
        <v>113</v>
      </c>
      <c r="B15" s="25" t="s">
        <v>56</v>
      </c>
      <c r="C15" s="10" t="s">
        <v>57</v>
      </c>
      <c r="D15" s="10" t="s">
        <v>58</v>
      </c>
      <c r="E15" s="10" t="str">
        <f>"0,6058"</f>
        <v>0,6058</v>
      </c>
      <c r="F15" s="10" t="s">
        <v>49</v>
      </c>
      <c r="G15" s="10" t="s">
        <v>59</v>
      </c>
      <c r="H15" s="22" t="s">
        <v>60</v>
      </c>
      <c r="I15" s="22" t="s">
        <v>61</v>
      </c>
      <c r="J15" s="22" t="s">
        <v>62</v>
      </c>
      <c r="K15" s="23"/>
      <c r="L15" s="22" t="s">
        <v>39</v>
      </c>
      <c r="M15" s="22" t="s">
        <v>63</v>
      </c>
      <c r="N15" s="24" t="s">
        <v>42</v>
      </c>
      <c r="O15" s="23"/>
      <c r="P15" s="22" t="s">
        <v>64</v>
      </c>
      <c r="Q15" s="22" t="s">
        <v>65</v>
      </c>
      <c r="R15" s="23"/>
      <c r="S15" s="23"/>
      <c r="T15" s="10" t="str">
        <f>"550,0"</f>
        <v>550,0</v>
      </c>
      <c r="U15" s="11" t="str">
        <f>"382,1374"</f>
        <v>382,1374</v>
      </c>
      <c r="V15" s="10" t="s">
        <v>31</v>
      </c>
    </row>
    <row r="16" spans="1:22">
      <c r="B16" s="20" t="s">
        <v>114</v>
      </c>
    </row>
    <row r="17" spans="1:22" ht="15">
      <c r="A17" s="68" t="s">
        <v>66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spans="1:22">
      <c r="A18" s="25" t="s">
        <v>113</v>
      </c>
      <c r="B18" s="25" t="s">
        <v>67</v>
      </c>
      <c r="C18" s="10" t="s">
        <v>68</v>
      </c>
      <c r="D18" s="10" t="s">
        <v>69</v>
      </c>
      <c r="E18" s="10" t="str">
        <f>"0,5648"</f>
        <v>0,5648</v>
      </c>
      <c r="F18" s="10" t="s">
        <v>70</v>
      </c>
      <c r="G18" s="10" t="s">
        <v>71</v>
      </c>
      <c r="H18" s="24" t="s">
        <v>72</v>
      </c>
      <c r="I18" s="22" t="s">
        <v>72</v>
      </c>
      <c r="J18" s="24" t="s">
        <v>61</v>
      </c>
      <c r="K18" s="23"/>
      <c r="L18" s="22" t="s">
        <v>51</v>
      </c>
      <c r="M18" s="22" t="s">
        <v>73</v>
      </c>
      <c r="N18" s="24" t="s">
        <v>72</v>
      </c>
      <c r="O18" s="23"/>
      <c r="P18" s="24" t="s">
        <v>74</v>
      </c>
      <c r="Q18" s="22" t="s">
        <v>74</v>
      </c>
      <c r="R18" s="22" t="s">
        <v>75</v>
      </c>
      <c r="S18" s="23"/>
      <c r="T18" s="10" t="str">
        <f>"600,0"</f>
        <v>600,0</v>
      </c>
      <c r="U18" s="11" t="str">
        <f>"338,9100"</f>
        <v>338,9100</v>
      </c>
      <c r="V18" s="10" t="s">
        <v>31</v>
      </c>
    </row>
    <row r="19" spans="1:22">
      <c r="B19" s="20" t="s">
        <v>114</v>
      </c>
    </row>
    <row r="20" spans="1:22" ht="15">
      <c r="B20" s="20" t="s">
        <v>114</v>
      </c>
      <c r="F20" s="12" t="s">
        <v>602</v>
      </c>
    </row>
    <row r="21" spans="1:22" ht="15">
      <c r="B21" s="20" t="s">
        <v>114</v>
      </c>
      <c r="F21" s="12" t="s">
        <v>603</v>
      </c>
    </row>
    <row r="22" spans="1:22" ht="15">
      <c r="B22" s="20" t="s">
        <v>114</v>
      </c>
      <c r="F22" s="12" t="s">
        <v>604</v>
      </c>
    </row>
    <row r="23" spans="1:22" ht="15">
      <c r="B23" s="20" t="s">
        <v>114</v>
      </c>
      <c r="F23" s="12" t="s">
        <v>605</v>
      </c>
    </row>
    <row r="24" spans="1:22" ht="15">
      <c r="B24" s="20" t="s">
        <v>114</v>
      </c>
      <c r="F24" s="12" t="s">
        <v>606</v>
      </c>
    </row>
    <row r="25" spans="1:22" ht="15">
      <c r="B25" s="20" t="s">
        <v>114</v>
      </c>
      <c r="F25" s="12" t="s">
        <v>607</v>
      </c>
    </row>
    <row r="26" spans="1:22" ht="15">
      <c r="B26" s="20" t="s">
        <v>114</v>
      </c>
      <c r="F26" s="12"/>
    </row>
    <row r="27" spans="1:22">
      <c r="B27" s="20" t="s">
        <v>114</v>
      </c>
    </row>
    <row r="28" spans="1:22" ht="18">
      <c r="B28" s="20" t="s">
        <v>114</v>
      </c>
      <c r="C28" s="13" t="s">
        <v>76</v>
      </c>
      <c r="D28" s="13"/>
      <c r="H28" s="19"/>
    </row>
    <row r="29" spans="1:22" ht="15">
      <c r="B29" s="20" t="s">
        <v>114</v>
      </c>
      <c r="C29" s="14" t="s">
        <v>77</v>
      </c>
      <c r="D29" s="14"/>
      <c r="H29" s="19"/>
    </row>
    <row r="30" spans="1:22" ht="14.25">
      <c r="B30" s="20" t="s">
        <v>114</v>
      </c>
      <c r="C30" s="16"/>
      <c r="D30" s="17" t="s">
        <v>78</v>
      </c>
      <c r="H30" s="19"/>
    </row>
    <row r="31" spans="1:22" ht="15">
      <c r="B31" s="20" t="s">
        <v>114</v>
      </c>
      <c r="C31" s="18" t="s">
        <v>79</v>
      </c>
      <c r="D31" s="18" t="s">
        <v>80</v>
      </c>
      <c r="E31" s="18" t="s">
        <v>81</v>
      </c>
      <c r="F31" s="18" t="s">
        <v>82</v>
      </c>
      <c r="G31" s="18" t="s">
        <v>83</v>
      </c>
      <c r="H31" s="19"/>
    </row>
    <row r="32" spans="1:22">
      <c r="B32" s="20" t="s">
        <v>114</v>
      </c>
      <c r="C32" s="15" t="s">
        <v>33</v>
      </c>
      <c r="D32" s="20" t="s">
        <v>78</v>
      </c>
      <c r="E32" s="21" t="s">
        <v>84</v>
      </c>
      <c r="F32" s="21" t="s">
        <v>85</v>
      </c>
      <c r="G32" s="21" t="s">
        <v>86</v>
      </c>
      <c r="H32" s="19"/>
    </row>
    <row r="33" spans="2:8">
      <c r="B33" s="20" t="s">
        <v>114</v>
      </c>
      <c r="H33" s="19"/>
    </row>
    <row r="34" spans="2:8" ht="14.25">
      <c r="B34" s="20" t="s">
        <v>114</v>
      </c>
      <c r="C34" s="16"/>
      <c r="D34" s="17" t="s">
        <v>87</v>
      </c>
      <c r="H34" s="19"/>
    </row>
    <row r="35" spans="2:8" ht="15">
      <c r="B35" s="20" t="s">
        <v>114</v>
      </c>
      <c r="C35" s="18" t="s">
        <v>79</v>
      </c>
      <c r="D35" s="18" t="s">
        <v>80</v>
      </c>
      <c r="E35" s="18" t="s">
        <v>81</v>
      </c>
      <c r="F35" s="18" t="s">
        <v>82</v>
      </c>
      <c r="G35" s="18" t="s">
        <v>83</v>
      </c>
      <c r="H35" s="19"/>
    </row>
    <row r="36" spans="2:8">
      <c r="B36" s="20" t="s">
        <v>114</v>
      </c>
      <c r="C36" s="15" t="s">
        <v>17</v>
      </c>
      <c r="D36" s="20" t="s">
        <v>88</v>
      </c>
      <c r="E36" s="21" t="s">
        <v>89</v>
      </c>
      <c r="F36" s="21" t="s">
        <v>90</v>
      </c>
      <c r="G36" s="21" t="s">
        <v>91</v>
      </c>
      <c r="H36" s="19"/>
    </row>
    <row r="37" spans="2:8">
      <c r="B37" s="20" t="s">
        <v>114</v>
      </c>
      <c r="H37" s="19"/>
    </row>
    <row r="38" spans="2:8">
      <c r="B38" s="20" t="s">
        <v>114</v>
      </c>
      <c r="H38" s="19"/>
    </row>
    <row r="39" spans="2:8" ht="15">
      <c r="B39" s="20" t="s">
        <v>114</v>
      </c>
      <c r="C39" s="14" t="s">
        <v>92</v>
      </c>
      <c r="D39" s="14"/>
      <c r="H39" s="19"/>
    </row>
    <row r="40" spans="2:8" ht="14.25">
      <c r="B40" s="20" t="s">
        <v>114</v>
      </c>
      <c r="C40" s="16"/>
      <c r="D40" s="17" t="s">
        <v>93</v>
      </c>
      <c r="H40" s="19"/>
    </row>
    <row r="41" spans="2:8" ht="15">
      <c r="B41" s="20" t="s">
        <v>114</v>
      </c>
      <c r="C41" s="18" t="s">
        <v>79</v>
      </c>
      <c r="D41" s="18" t="s">
        <v>80</v>
      </c>
      <c r="E41" s="18" t="s">
        <v>81</v>
      </c>
      <c r="F41" s="18" t="s">
        <v>82</v>
      </c>
      <c r="G41" s="18" t="s">
        <v>83</v>
      </c>
      <c r="H41" s="19"/>
    </row>
    <row r="42" spans="2:8">
      <c r="B42" s="20" t="s">
        <v>114</v>
      </c>
      <c r="C42" s="15" t="s">
        <v>46</v>
      </c>
      <c r="D42" s="20" t="s">
        <v>94</v>
      </c>
      <c r="E42" s="21" t="s">
        <v>95</v>
      </c>
      <c r="F42" s="21" t="s">
        <v>96</v>
      </c>
      <c r="G42" s="21" t="s">
        <v>97</v>
      </c>
      <c r="H42" s="19"/>
    </row>
    <row r="43" spans="2:8">
      <c r="B43" s="20" t="s">
        <v>114</v>
      </c>
      <c r="H43" s="19"/>
    </row>
    <row r="44" spans="2:8" ht="14.25">
      <c r="B44" s="20" t="s">
        <v>114</v>
      </c>
      <c r="C44" s="16"/>
      <c r="D44" s="17" t="s">
        <v>78</v>
      </c>
      <c r="H44" s="19"/>
    </row>
    <row r="45" spans="2:8" ht="15">
      <c r="B45" s="20" t="s">
        <v>114</v>
      </c>
      <c r="C45" s="18" t="s">
        <v>79</v>
      </c>
      <c r="D45" s="18" t="s">
        <v>80</v>
      </c>
      <c r="E45" s="18" t="s">
        <v>81</v>
      </c>
      <c r="F45" s="18" t="s">
        <v>82</v>
      </c>
      <c r="G45" s="18" t="s">
        <v>83</v>
      </c>
      <c r="H45" s="19"/>
    </row>
    <row r="46" spans="2:8">
      <c r="B46" s="20" t="s">
        <v>114</v>
      </c>
      <c r="C46" s="15" t="s">
        <v>67</v>
      </c>
      <c r="D46" s="20" t="s">
        <v>78</v>
      </c>
      <c r="E46" s="21" t="s">
        <v>98</v>
      </c>
      <c r="F46" s="21" t="s">
        <v>99</v>
      </c>
      <c r="G46" s="21" t="s">
        <v>100</v>
      </c>
      <c r="H46" s="19"/>
    </row>
    <row r="47" spans="2:8">
      <c r="B47" s="20" t="s">
        <v>114</v>
      </c>
      <c r="H47" s="19"/>
    </row>
    <row r="48" spans="2:8" ht="14.25">
      <c r="B48" s="20" t="s">
        <v>114</v>
      </c>
      <c r="C48" s="16"/>
      <c r="D48" s="17" t="s">
        <v>87</v>
      </c>
      <c r="H48" s="19"/>
    </row>
    <row r="49" spans="2:8" ht="15">
      <c r="B49" s="20" t="s">
        <v>114</v>
      </c>
      <c r="C49" s="18" t="s">
        <v>79</v>
      </c>
      <c r="D49" s="18" t="s">
        <v>80</v>
      </c>
      <c r="E49" s="18" t="s">
        <v>81</v>
      </c>
      <c r="F49" s="18" t="s">
        <v>82</v>
      </c>
      <c r="G49" s="18" t="s">
        <v>83</v>
      </c>
      <c r="H49" s="19"/>
    </row>
    <row r="50" spans="2:8">
      <c r="B50" s="20" t="s">
        <v>114</v>
      </c>
      <c r="C50" s="15" t="s">
        <v>56</v>
      </c>
      <c r="D50" s="20" t="s">
        <v>101</v>
      </c>
      <c r="E50" s="21" t="s">
        <v>102</v>
      </c>
      <c r="F50" s="21" t="s">
        <v>103</v>
      </c>
      <c r="G50" s="21" t="s">
        <v>104</v>
      </c>
      <c r="H50" s="19"/>
    </row>
    <row r="51" spans="2:8">
      <c r="B51" s="20" t="s">
        <v>114</v>
      </c>
      <c r="H51" s="19"/>
    </row>
    <row r="52" spans="2:8">
      <c r="B52" s="20" t="s">
        <v>114</v>
      </c>
      <c r="H52" s="19"/>
    </row>
    <row r="53" spans="2:8">
      <c r="B53" s="20" t="s">
        <v>114</v>
      </c>
      <c r="H53" s="19"/>
    </row>
    <row r="54" spans="2:8">
      <c r="B54" s="20" t="s">
        <v>114</v>
      </c>
      <c r="H54" s="19"/>
    </row>
    <row r="55" spans="2:8" ht="18">
      <c r="B55" s="20" t="s">
        <v>114</v>
      </c>
      <c r="C55" s="13" t="s">
        <v>105</v>
      </c>
      <c r="D55" s="13"/>
      <c r="H55" s="19"/>
    </row>
    <row r="56" spans="2:8" ht="15">
      <c r="B56" s="20" t="s">
        <v>114</v>
      </c>
      <c r="C56" s="18" t="s">
        <v>106</v>
      </c>
      <c r="D56" s="18" t="s">
        <v>107</v>
      </c>
      <c r="E56" s="18" t="s">
        <v>108</v>
      </c>
      <c r="H56" s="19"/>
    </row>
    <row r="57" spans="2:8">
      <c r="B57" s="20" t="s">
        <v>114</v>
      </c>
      <c r="C57" s="4" t="s">
        <v>20</v>
      </c>
      <c r="D57" s="4" t="s">
        <v>109</v>
      </c>
      <c r="E57" s="4" t="s">
        <v>110</v>
      </c>
      <c r="H57" s="19"/>
    </row>
    <row r="58" spans="2:8">
      <c r="B58" s="20" t="s">
        <v>114</v>
      </c>
      <c r="C58" s="4" t="s">
        <v>70</v>
      </c>
      <c r="D58" s="4" t="s">
        <v>111</v>
      </c>
      <c r="E58" s="4" t="s">
        <v>112</v>
      </c>
      <c r="H58" s="19"/>
    </row>
    <row r="59" spans="2:8">
      <c r="B59" s="20" t="s">
        <v>114</v>
      </c>
      <c r="H59" s="19"/>
    </row>
  </sheetData>
  <mergeCells count="19">
    <mergeCell ref="A5:S5"/>
    <mergeCell ref="A8:S8"/>
    <mergeCell ref="A11:S11"/>
    <mergeCell ref="A14:S14"/>
    <mergeCell ref="A17:S17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sqref="A1:N2"/>
    </sheetView>
  </sheetViews>
  <sheetFormatPr defaultRowHeight="12.75"/>
  <cols>
    <col min="1" max="1" width="7.42578125" style="20" bestFit="1" customWidth="1"/>
    <col min="2" max="2" width="15.42578125" style="20" bestFit="1" customWidth="1"/>
    <col min="3" max="3" width="26.28515625" style="4" bestFit="1" customWidth="1"/>
    <col min="4" max="4" width="6.28515625" style="4" customWidth="1"/>
    <col min="5" max="5" width="10.5703125" style="4" bestFit="1" customWidth="1"/>
    <col min="6" max="6" width="14.5703125" style="4" customWidth="1"/>
    <col min="7" max="7" width="32.5703125" style="4" bestFit="1" customWidth="1"/>
    <col min="8" max="10" width="4.5703125" style="2" customWidth="1"/>
    <col min="11" max="11" width="4.85546875" style="2" customWidth="1"/>
    <col min="12" max="12" width="7.85546875" style="4" bestFit="1" customWidth="1"/>
    <col min="13" max="13" width="7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572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49" t="s">
        <v>573</v>
      </c>
      <c r="I3" s="53"/>
      <c r="J3" s="53"/>
      <c r="K3" s="56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5">
        <v>1</v>
      </c>
      <c r="I4" s="6">
        <v>2</v>
      </c>
      <c r="J4" s="6">
        <v>3</v>
      </c>
      <c r="K4" s="7" t="s">
        <v>5</v>
      </c>
      <c r="L4" s="63"/>
      <c r="M4" s="52"/>
      <c r="N4" s="60"/>
    </row>
    <row r="5" spans="1:14" ht="15">
      <c r="A5" s="64" t="s">
        <v>574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544</v>
      </c>
      <c r="C6" s="10" t="s">
        <v>575</v>
      </c>
      <c r="D6" s="10" t="s">
        <v>546</v>
      </c>
      <c r="E6" s="10" t="str">
        <f>"0,6670"</f>
        <v>0,6670</v>
      </c>
      <c r="F6" s="10" t="s">
        <v>49</v>
      </c>
      <c r="G6" s="10" t="s">
        <v>183</v>
      </c>
      <c r="H6" s="22" t="s">
        <v>576</v>
      </c>
      <c r="I6" s="22" t="s">
        <v>577</v>
      </c>
      <c r="J6" s="22" t="s">
        <v>578</v>
      </c>
      <c r="K6" s="22" t="s">
        <v>579</v>
      </c>
      <c r="L6" s="10" t="str">
        <f>"58,0"</f>
        <v>58,0</v>
      </c>
      <c r="M6" s="11" t="str">
        <f>"38,6860"</f>
        <v>38,6860</v>
      </c>
      <c r="N6" s="10" t="s">
        <v>31</v>
      </c>
    </row>
    <row r="7" spans="1:14">
      <c r="B7" s="20" t="s">
        <v>114</v>
      </c>
    </row>
    <row r="8" spans="1:14" ht="15">
      <c r="A8" s="68" t="s">
        <v>55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25" t="s">
        <v>113</v>
      </c>
      <c r="B9" s="25" t="s">
        <v>412</v>
      </c>
      <c r="C9" s="10" t="s">
        <v>413</v>
      </c>
      <c r="D9" s="10" t="s">
        <v>414</v>
      </c>
      <c r="E9" s="10" t="str">
        <f>"0,5922"</f>
        <v>0,5922</v>
      </c>
      <c r="F9" s="10" t="s">
        <v>49</v>
      </c>
      <c r="G9" s="10" t="s">
        <v>415</v>
      </c>
      <c r="H9" s="22" t="s">
        <v>532</v>
      </c>
      <c r="I9" s="22" t="s">
        <v>580</v>
      </c>
      <c r="J9" s="22" t="s">
        <v>581</v>
      </c>
      <c r="K9" s="24" t="s">
        <v>582</v>
      </c>
      <c r="L9" s="10" t="str">
        <f>"70,5"</f>
        <v>70,5</v>
      </c>
      <c r="M9" s="11" t="str">
        <f>"41,7536"</f>
        <v>41,7536</v>
      </c>
      <c r="N9" s="10" t="s">
        <v>31</v>
      </c>
    </row>
    <row r="10" spans="1:14">
      <c r="B10" s="20" t="s">
        <v>114</v>
      </c>
    </row>
    <row r="11" spans="1:14" ht="15">
      <c r="B11" s="20" t="s">
        <v>114</v>
      </c>
      <c r="F11" s="12" t="s">
        <v>602</v>
      </c>
    </row>
    <row r="12" spans="1:14" ht="15">
      <c r="B12" s="20" t="s">
        <v>114</v>
      </c>
      <c r="F12" s="12" t="s">
        <v>603</v>
      </c>
    </row>
    <row r="13" spans="1:14" ht="15">
      <c r="B13" s="20" t="s">
        <v>114</v>
      </c>
      <c r="F13" s="12" t="s">
        <v>604</v>
      </c>
    </row>
    <row r="14" spans="1:14" ht="15">
      <c r="B14" s="20" t="s">
        <v>114</v>
      </c>
      <c r="F14" s="12" t="s">
        <v>605</v>
      </c>
    </row>
    <row r="15" spans="1:14" ht="15">
      <c r="B15" s="20" t="s">
        <v>114</v>
      </c>
      <c r="F15" s="12" t="s">
        <v>606</v>
      </c>
    </row>
    <row r="16" spans="1:14" ht="15">
      <c r="B16" s="20" t="s">
        <v>114</v>
      </c>
      <c r="F16" s="12" t="s">
        <v>607</v>
      </c>
    </row>
    <row r="17" spans="2:8" ht="15">
      <c r="B17" s="20" t="s">
        <v>114</v>
      </c>
      <c r="F17" s="12"/>
    </row>
    <row r="18" spans="2:8">
      <c r="B18" s="20" t="s">
        <v>114</v>
      </c>
    </row>
    <row r="19" spans="2:8" ht="18">
      <c r="B19" s="20" t="s">
        <v>114</v>
      </c>
      <c r="C19" s="13" t="s">
        <v>76</v>
      </c>
      <c r="D19" s="13"/>
      <c r="H19" s="19"/>
    </row>
    <row r="20" spans="2:8" ht="15">
      <c r="B20" s="20" t="s">
        <v>114</v>
      </c>
      <c r="C20" s="14" t="s">
        <v>92</v>
      </c>
      <c r="D20" s="14"/>
      <c r="H20" s="19"/>
    </row>
    <row r="21" spans="2:8" ht="14.25">
      <c r="B21" s="20" t="s">
        <v>114</v>
      </c>
      <c r="C21" s="16"/>
      <c r="D21" s="17" t="s">
        <v>78</v>
      </c>
      <c r="H21" s="19"/>
    </row>
    <row r="22" spans="2:8" ht="15">
      <c r="B22" s="20" t="s">
        <v>114</v>
      </c>
      <c r="C22" s="18" t="s">
        <v>79</v>
      </c>
      <c r="D22" s="18" t="s">
        <v>80</v>
      </c>
      <c r="E22" s="18" t="s">
        <v>81</v>
      </c>
      <c r="F22" s="18" t="s">
        <v>82</v>
      </c>
      <c r="G22" s="18" t="s">
        <v>83</v>
      </c>
      <c r="H22" s="19"/>
    </row>
    <row r="23" spans="2:8">
      <c r="B23" s="20" t="s">
        <v>114</v>
      </c>
      <c r="C23" s="15" t="s">
        <v>412</v>
      </c>
      <c r="D23" s="20" t="s">
        <v>78</v>
      </c>
      <c r="E23" s="21" t="s">
        <v>102</v>
      </c>
      <c r="F23" s="21" t="s">
        <v>581</v>
      </c>
      <c r="G23" s="21" t="s">
        <v>583</v>
      </c>
      <c r="H23" s="19"/>
    </row>
    <row r="24" spans="2:8">
      <c r="B24" s="20" t="s">
        <v>114</v>
      </c>
      <c r="H24" s="19"/>
    </row>
    <row r="25" spans="2:8" ht="14.25">
      <c r="B25" s="20" t="s">
        <v>114</v>
      </c>
      <c r="C25" s="16"/>
      <c r="D25" s="17" t="s">
        <v>584</v>
      </c>
      <c r="H25" s="19"/>
    </row>
    <row r="26" spans="2:8" ht="15">
      <c r="B26" s="20" t="s">
        <v>114</v>
      </c>
      <c r="C26" s="18" t="s">
        <v>79</v>
      </c>
      <c r="D26" s="18" t="s">
        <v>80</v>
      </c>
      <c r="E26" s="18" t="s">
        <v>81</v>
      </c>
      <c r="F26" s="18" t="s">
        <v>82</v>
      </c>
      <c r="G26" s="18" t="s">
        <v>83</v>
      </c>
      <c r="H26" s="19"/>
    </row>
    <row r="27" spans="2:8">
      <c r="B27" s="20" t="s">
        <v>114</v>
      </c>
      <c r="C27" s="15" t="s">
        <v>544</v>
      </c>
      <c r="D27" s="20" t="s">
        <v>585</v>
      </c>
      <c r="E27" s="21" t="s">
        <v>586</v>
      </c>
      <c r="F27" s="21" t="s">
        <v>579</v>
      </c>
      <c r="G27" s="21" t="s">
        <v>587</v>
      </c>
      <c r="H27" s="19"/>
    </row>
    <row r="28" spans="2:8">
      <c r="B28" s="20" t="s">
        <v>114</v>
      </c>
      <c r="H28" s="19"/>
    </row>
  </sheetData>
  <mergeCells count="14">
    <mergeCell ref="A8:K8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F11" sqref="F11:J16"/>
    </sheetView>
  </sheetViews>
  <sheetFormatPr defaultRowHeight="12.75"/>
  <cols>
    <col min="1" max="1" width="7.42578125" style="20" bestFit="1" customWidth="1"/>
    <col min="2" max="2" width="14.28515625" style="20" bestFit="1" customWidth="1"/>
    <col min="3" max="3" width="29.7109375" style="4" bestFit="1" customWidth="1"/>
    <col min="4" max="4" width="17" style="4" customWidth="1"/>
    <col min="5" max="5" width="10.5703125" style="4" bestFit="1" customWidth="1"/>
    <col min="6" max="6" width="11.140625" style="4" customWidth="1"/>
    <col min="7" max="7" width="33.42578125" style="4" bestFit="1" customWidth="1"/>
    <col min="8" max="8" width="5.5703125" style="2" customWidth="1"/>
    <col min="9" max="9" width="10.42578125" style="2" customWidth="1"/>
    <col min="10" max="10" width="7.85546875" style="4" bestFit="1" customWidth="1"/>
    <col min="11" max="11" width="9.5703125" style="3" bestFit="1" customWidth="1"/>
    <col min="12" max="12" width="8.85546875" style="4" bestFit="1" customWidth="1"/>
    <col min="13" max="16384" width="9.140625" style="3"/>
  </cols>
  <sheetData>
    <row r="1" spans="1:12" s="2" customFormat="1" ht="29.1" customHeight="1">
      <c r="A1" s="61" t="s">
        <v>565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8" t="s">
        <v>555</v>
      </c>
      <c r="I3" s="59"/>
      <c r="J3" s="57" t="s">
        <v>212</v>
      </c>
      <c r="K3" s="53" t="s">
        <v>3</v>
      </c>
      <c r="L3" s="56" t="s">
        <v>2</v>
      </c>
    </row>
    <row r="4" spans="1:12" s="1" customFormat="1" ht="21" customHeight="1" thickBot="1">
      <c r="A4" s="50"/>
      <c r="B4" s="67"/>
      <c r="C4" s="52"/>
      <c r="D4" s="52"/>
      <c r="E4" s="52"/>
      <c r="F4" s="52"/>
      <c r="G4" s="55"/>
      <c r="H4" s="5" t="s">
        <v>8</v>
      </c>
      <c r="I4" s="7" t="s">
        <v>9</v>
      </c>
      <c r="J4" s="63"/>
      <c r="K4" s="52"/>
      <c r="L4" s="60"/>
    </row>
    <row r="5" spans="1:12" ht="15">
      <c r="A5" s="64" t="s">
        <v>175</v>
      </c>
      <c r="B5" s="64"/>
      <c r="C5" s="65"/>
      <c r="D5" s="65"/>
      <c r="E5" s="65"/>
      <c r="F5" s="65"/>
      <c r="G5" s="65"/>
      <c r="H5" s="65"/>
      <c r="I5" s="65"/>
    </row>
    <row r="6" spans="1:12">
      <c r="A6" s="25" t="s">
        <v>113</v>
      </c>
      <c r="B6" s="25" t="s">
        <v>566</v>
      </c>
      <c r="C6" s="10" t="s">
        <v>567</v>
      </c>
      <c r="D6" s="10" t="s">
        <v>568</v>
      </c>
      <c r="E6" s="10" t="str">
        <f>"0,6177"</f>
        <v>0,6177</v>
      </c>
      <c r="F6" s="10" t="s">
        <v>49</v>
      </c>
      <c r="G6" s="10" t="s">
        <v>127</v>
      </c>
      <c r="H6" s="23" t="s">
        <v>52</v>
      </c>
      <c r="I6" s="23" t="s">
        <v>569</v>
      </c>
      <c r="J6" s="10" t="str">
        <f>"3240,0"</f>
        <v>3240,0</v>
      </c>
      <c r="K6" s="11" t="str">
        <f>"2001,3479"</f>
        <v>2001,3479</v>
      </c>
      <c r="L6" s="10" t="s">
        <v>31</v>
      </c>
    </row>
    <row r="7" spans="1:12">
      <c r="B7" s="20" t="s">
        <v>114</v>
      </c>
    </row>
    <row r="8" spans="1:12" ht="15">
      <c r="A8" s="68" t="s">
        <v>55</v>
      </c>
      <c r="B8" s="68"/>
      <c r="C8" s="68"/>
      <c r="D8" s="68"/>
      <c r="E8" s="68"/>
      <c r="F8" s="68"/>
      <c r="G8" s="68"/>
      <c r="H8" s="68"/>
      <c r="I8" s="68"/>
    </row>
    <row r="9" spans="1:12">
      <c r="A9" s="25" t="s">
        <v>147</v>
      </c>
      <c r="B9" s="25" t="s">
        <v>416</v>
      </c>
      <c r="C9" s="10" t="s">
        <v>417</v>
      </c>
      <c r="D9" s="10" t="s">
        <v>418</v>
      </c>
      <c r="E9" s="10" t="str">
        <f>"0,5813"</f>
        <v>0,5813</v>
      </c>
      <c r="F9" s="10" t="s">
        <v>49</v>
      </c>
      <c r="G9" s="10" t="s">
        <v>370</v>
      </c>
      <c r="H9" s="23" t="s">
        <v>53</v>
      </c>
      <c r="I9" s="23"/>
      <c r="J9" s="10" t="str">
        <f>"0.00"</f>
        <v>0.00</v>
      </c>
      <c r="K9" s="11" t="str">
        <f>"0,0000"</f>
        <v>0,0000</v>
      </c>
      <c r="L9" s="10" t="s">
        <v>31</v>
      </c>
    </row>
    <row r="10" spans="1:12">
      <c r="B10" s="20" t="s">
        <v>114</v>
      </c>
    </row>
    <row r="11" spans="1:12" ht="15">
      <c r="B11" s="20" t="s">
        <v>114</v>
      </c>
      <c r="F11" s="12" t="s">
        <v>602</v>
      </c>
      <c r="J11" s="2"/>
    </row>
    <row r="12" spans="1:12" ht="15">
      <c r="B12" s="20" t="s">
        <v>114</v>
      </c>
      <c r="F12" s="12" t="s">
        <v>603</v>
      </c>
      <c r="J12" s="2"/>
    </row>
    <row r="13" spans="1:12" ht="15">
      <c r="B13" s="20" t="s">
        <v>114</v>
      </c>
      <c r="F13" s="12" t="s">
        <v>604</v>
      </c>
      <c r="J13" s="2"/>
    </row>
    <row r="14" spans="1:12" ht="15">
      <c r="B14" s="20" t="s">
        <v>114</v>
      </c>
      <c r="F14" s="12" t="s">
        <v>605</v>
      </c>
      <c r="J14" s="2"/>
    </row>
    <row r="15" spans="1:12" ht="15">
      <c r="B15" s="20" t="s">
        <v>114</v>
      </c>
      <c r="F15" s="12" t="s">
        <v>606</v>
      </c>
      <c r="J15" s="2"/>
    </row>
    <row r="16" spans="1:12" ht="15">
      <c r="B16" s="20" t="s">
        <v>114</v>
      </c>
      <c r="F16" s="12" t="s">
        <v>607</v>
      </c>
      <c r="J16" s="2"/>
    </row>
    <row r="17" spans="2:7" ht="15">
      <c r="B17" s="20" t="s">
        <v>114</v>
      </c>
      <c r="F17" s="12"/>
    </row>
    <row r="18" spans="2:7">
      <c r="B18" s="20" t="s">
        <v>114</v>
      </c>
    </row>
    <row r="19" spans="2:7" ht="18">
      <c r="B19" s="20" t="s">
        <v>114</v>
      </c>
      <c r="C19" s="13" t="s">
        <v>76</v>
      </c>
      <c r="D19" s="13"/>
    </row>
    <row r="20" spans="2:7" ht="15">
      <c r="B20" s="20" t="s">
        <v>114</v>
      </c>
      <c r="C20" s="14" t="s">
        <v>92</v>
      </c>
      <c r="D20" s="14"/>
    </row>
    <row r="21" spans="2:7" ht="14.25">
      <c r="B21" s="20" t="s">
        <v>114</v>
      </c>
      <c r="C21" s="16"/>
      <c r="D21" s="17" t="s">
        <v>87</v>
      </c>
    </row>
    <row r="22" spans="2:7" ht="15">
      <c r="B22" s="20" t="s">
        <v>114</v>
      </c>
      <c r="C22" s="18" t="s">
        <v>79</v>
      </c>
      <c r="D22" s="18" t="s">
        <v>80</v>
      </c>
      <c r="E22" s="18" t="s">
        <v>81</v>
      </c>
      <c r="F22" s="18" t="s">
        <v>82</v>
      </c>
      <c r="G22" s="18" t="s">
        <v>83</v>
      </c>
    </row>
    <row r="23" spans="2:7">
      <c r="B23" s="20" t="s">
        <v>114</v>
      </c>
      <c r="C23" s="15" t="s">
        <v>566</v>
      </c>
      <c r="D23" s="20" t="s">
        <v>561</v>
      </c>
      <c r="E23" s="21" t="s">
        <v>203</v>
      </c>
      <c r="F23" s="21" t="s">
        <v>570</v>
      </c>
      <c r="G23" s="21" t="s">
        <v>571</v>
      </c>
    </row>
    <row r="24" spans="2:7">
      <c r="B24" s="20" t="s">
        <v>114</v>
      </c>
    </row>
  </sheetData>
  <mergeCells count="14">
    <mergeCell ref="A8:I8"/>
    <mergeCell ref="B3:B4"/>
    <mergeCell ref="H3:I3"/>
    <mergeCell ref="J3:J4"/>
    <mergeCell ref="K3:K4"/>
    <mergeCell ref="L3:L4"/>
    <mergeCell ref="A5:I5"/>
    <mergeCell ref="A1:L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F13" sqref="F13:J18"/>
    </sheetView>
  </sheetViews>
  <sheetFormatPr defaultRowHeight="12.75"/>
  <cols>
    <col min="1" max="1" width="7.42578125" style="20" bestFit="1" customWidth="1"/>
    <col min="2" max="2" width="16.5703125" style="20" bestFit="1" customWidth="1"/>
    <col min="3" max="3" width="29" style="4" customWidth="1"/>
    <col min="4" max="4" width="18.5703125" style="4" customWidth="1"/>
    <col min="5" max="5" width="7.85546875" style="4" customWidth="1"/>
    <col min="6" max="6" width="15.5703125" style="4" customWidth="1"/>
    <col min="7" max="7" width="33.42578125" style="4" bestFit="1" customWidth="1"/>
    <col min="8" max="8" width="5" style="2" customWidth="1"/>
    <col min="9" max="9" width="10.42578125" style="2" customWidth="1"/>
    <col min="10" max="10" width="7.85546875" style="4" bestFit="1" customWidth="1"/>
    <col min="11" max="11" width="9.5703125" style="3" bestFit="1" customWidth="1"/>
    <col min="12" max="12" width="14" style="4" bestFit="1" customWidth="1"/>
    <col min="13" max="16384" width="9.140625" style="3"/>
  </cols>
  <sheetData>
    <row r="1" spans="1:12" s="2" customFormat="1" ht="29.1" customHeight="1">
      <c r="A1" s="61" t="s">
        <v>554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8" t="s">
        <v>555</v>
      </c>
      <c r="I3" s="59"/>
      <c r="J3" s="57" t="s">
        <v>212</v>
      </c>
      <c r="K3" s="53" t="s">
        <v>3</v>
      </c>
      <c r="L3" s="56" t="s">
        <v>2</v>
      </c>
    </row>
    <row r="4" spans="1:12" s="1" customFormat="1" ht="21" customHeight="1" thickBot="1">
      <c r="A4" s="50"/>
      <c r="B4" s="67"/>
      <c r="C4" s="52"/>
      <c r="D4" s="52"/>
      <c r="E4" s="52"/>
      <c r="F4" s="52"/>
      <c r="G4" s="55"/>
      <c r="H4" s="5" t="s">
        <v>8</v>
      </c>
      <c r="I4" s="7" t="s">
        <v>9</v>
      </c>
      <c r="J4" s="63"/>
      <c r="K4" s="52"/>
      <c r="L4" s="60"/>
    </row>
    <row r="5" spans="1:12" ht="15">
      <c r="A5" s="64" t="s">
        <v>45</v>
      </c>
      <c r="B5" s="64"/>
      <c r="C5" s="65"/>
      <c r="D5" s="65"/>
      <c r="E5" s="65"/>
      <c r="F5" s="65"/>
      <c r="G5" s="65"/>
      <c r="H5" s="65"/>
      <c r="I5" s="65"/>
    </row>
    <row r="6" spans="1:12">
      <c r="A6" s="41" t="s">
        <v>113</v>
      </c>
      <c r="B6" s="41" t="s">
        <v>215</v>
      </c>
      <c r="C6" s="26" t="s">
        <v>216</v>
      </c>
      <c r="D6" s="26" t="s">
        <v>217</v>
      </c>
      <c r="E6" s="26" t="str">
        <f>"0,8361"</f>
        <v>0,8361</v>
      </c>
      <c r="F6" s="26" t="s">
        <v>20</v>
      </c>
      <c r="G6" s="26" t="s">
        <v>36</v>
      </c>
      <c r="H6" s="32" t="s">
        <v>41</v>
      </c>
      <c r="I6" s="32" t="s">
        <v>524</v>
      </c>
      <c r="J6" s="26" t="str">
        <f>"2250,0"</f>
        <v>2250,0</v>
      </c>
      <c r="K6" s="27" t="str">
        <f>"1881,2250"</f>
        <v>1881,2250</v>
      </c>
      <c r="L6" s="26" t="s">
        <v>219</v>
      </c>
    </row>
    <row r="7" spans="1:12">
      <c r="A7" s="42" t="s">
        <v>113</v>
      </c>
      <c r="B7" s="42" t="s">
        <v>215</v>
      </c>
      <c r="C7" s="28" t="s">
        <v>556</v>
      </c>
      <c r="D7" s="28" t="s">
        <v>217</v>
      </c>
      <c r="E7" s="28" t="str">
        <f>"0,8361"</f>
        <v>0,8361</v>
      </c>
      <c r="F7" s="28" t="s">
        <v>20</v>
      </c>
      <c r="G7" s="28" t="s">
        <v>36</v>
      </c>
      <c r="H7" s="35" t="s">
        <v>41</v>
      </c>
      <c r="I7" s="35" t="s">
        <v>524</v>
      </c>
      <c r="J7" s="28" t="str">
        <f>"2250,0"</f>
        <v>2250,0</v>
      </c>
      <c r="K7" s="29" t="str">
        <f>"1900,0372"</f>
        <v>1900,0372</v>
      </c>
      <c r="L7" s="28" t="s">
        <v>219</v>
      </c>
    </row>
    <row r="8" spans="1:12">
      <c r="B8" s="20" t="s">
        <v>114</v>
      </c>
    </row>
    <row r="9" spans="1:12" ht="15">
      <c r="A9" s="68" t="s">
        <v>160</v>
      </c>
      <c r="B9" s="68"/>
      <c r="C9" s="68"/>
      <c r="D9" s="68"/>
      <c r="E9" s="68"/>
      <c r="F9" s="68"/>
      <c r="G9" s="68"/>
      <c r="H9" s="68"/>
      <c r="I9" s="68"/>
    </row>
    <row r="10" spans="1:12">
      <c r="A10" s="41" t="s">
        <v>113</v>
      </c>
      <c r="B10" s="41" t="s">
        <v>166</v>
      </c>
      <c r="C10" s="26" t="s">
        <v>167</v>
      </c>
      <c r="D10" s="26" t="s">
        <v>168</v>
      </c>
      <c r="E10" s="26" t="str">
        <f>"0,6487"</f>
        <v>0,6487</v>
      </c>
      <c r="F10" s="26" t="s">
        <v>126</v>
      </c>
      <c r="G10" s="26" t="s">
        <v>127</v>
      </c>
      <c r="H10" s="32" t="s">
        <v>259</v>
      </c>
      <c r="I10" s="32" t="s">
        <v>557</v>
      </c>
      <c r="J10" s="26" t="str">
        <f>"3795,0"</f>
        <v>3795,0</v>
      </c>
      <c r="K10" s="27" t="str">
        <f>"2461,8165"</f>
        <v>2461,8165</v>
      </c>
      <c r="L10" s="26" t="s">
        <v>31</v>
      </c>
    </row>
    <row r="11" spans="1:12">
      <c r="A11" s="42" t="s">
        <v>113</v>
      </c>
      <c r="B11" s="42" t="s">
        <v>166</v>
      </c>
      <c r="C11" s="28" t="s">
        <v>558</v>
      </c>
      <c r="D11" s="28" t="s">
        <v>168</v>
      </c>
      <c r="E11" s="28" t="str">
        <f>"0,6487"</f>
        <v>0,6487</v>
      </c>
      <c r="F11" s="28" t="s">
        <v>126</v>
      </c>
      <c r="G11" s="28" t="s">
        <v>127</v>
      </c>
      <c r="H11" s="35" t="s">
        <v>259</v>
      </c>
      <c r="I11" s="35" t="s">
        <v>557</v>
      </c>
      <c r="J11" s="28" t="str">
        <f>"3795,0"</f>
        <v>3795,0</v>
      </c>
      <c r="K11" s="29" t="str">
        <f>"2461,8165"</f>
        <v>2461,8165</v>
      </c>
      <c r="L11" s="28" t="s">
        <v>31</v>
      </c>
    </row>
    <row r="12" spans="1:12">
      <c r="B12" s="20" t="s">
        <v>114</v>
      </c>
    </row>
    <row r="13" spans="1:12" ht="15">
      <c r="B13" s="20" t="s">
        <v>114</v>
      </c>
      <c r="F13" s="12" t="s">
        <v>602</v>
      </c>
      <c r="J13" s="2"/>
    </row>
    <row r="14" spans="1:12" ht="15">
      <c r="B14" s="20" t="s">
        <v>114</v>
      </c>
      <c r="F14" s="12" t="s">
        <v>603</v>
      </c>
      <c r="J14" s="2"/>
    </row>
    <row r="15" spans="1:12" ht="15">
      <c r="B15" s="20" t="s">
        <v>114</v>
      </c>
      <c r="F15" s="12" t="s">
        <v>604</v>
      </c>
      <c r="J15" s="2"/>
    </row>
    <row r="16" spans="1:12" ht="15">
      <c r="B16" s="20" t="s">
        <v>114</v>
      </c>
      <c r="F16" s="12" t="s">
        <v>605</v>
      </c>
      <c r="J16" s="2"/>
    </row>
    <row r="17" spans="2:10" ht="15">
      <c r="B17" s="20" t="s">
        <v>114</v>
      </c>
      <c r="F17" s="12" t="s">
        <v>606</v>
      </c>
      <c r="J17" s="2"/>
    </row>
    <row r="18" spans="2:10" ht="15">
      <c r="B18" s="20" t="s">
        <v>114</v>
      </c>
      <c r="F18" s="12" t="s">
        <v>607</v>
      </c>
      <c r="J18" s="2"/>
    </row>
    <row r="19" spans="2:10" ht="15">
      <c r="B19" s="20" t="s">
        <v>114</v>
      </c>
      <c r="F19" s="12"/>
    </row>
    <row r="20" spans="2:10">
      <c r="B20" s="20" t="s">
        <v>114</v>
      </c>
    </row>
    <row r="21" spans="2:10" ht="18">
      <c r="B21" s="20" t="s">
        <v>114</v>
      </c>
      <c r="C21" s="13" t="s">
        <v>76</v>
      </c>
      <c r="D21" s="13"/>
    </row>
    <row r="22" spans="2:10" ht="15">
      <c r="B22" s="20" t="s">
        <v>114</v>
      </c>
      <c r="C22" s="14" t="s">
        <v>77</v>
      </c>
      <c r="D22" s="14"/>
    </row>
    <row r="23" spans="2:10" ht="14.25">
      <c r="B23" s="20" t="s">
        <v>114</v>
      </c>
      <c r="C23" s="16"/>
      <c r="D23" s="17" t="s">
        <v>78</v>
      </c>
    </row>
    <row r="24" spans="2:10" ht="15">
      <c r="B24" s="20" t="s">
        <v>114</v>
      </c>
      <c r="C24" s="18" t="s">
        <v>79</v>
      </c>
      <c r="D24" s="18" t="s">
        <v>80</v>
      </c>
      <c r="E24" s="18" t="s">
        <v>81</v>
      </c>
      <c r="F24" s="18" t="s">
        <v>82</v>
      </c>
      <c r="G24" s="18" t="s">
        <v>83</v>
      </c>
    </row>
    <row r="25" spans="2:10">
      <c r="B25" s="20" t="s">
        <v>114</v>
      </c>
      <c r="C25" s="15" t="s">
        <v>215</v>
      </c>
      <c r="D25" s="20" t="s">
        <v>78</v>
      </c>
      <c r="E25" s="21" t="s">
        <v>95</v>
      </c>
      <c r="F25" s="21" t="s">
        <v>559</v>
      </c>
      <c r="G25" s="21" t="s">
        <v>560</v>
      </c>
    </row>
    <row r="26" spans="2:10">
      <c r="B26" s="20" t="s">
        <v>114</v>
      </c>
    </row>
    <row r="27" spans="2:10" ht="14.25">
      <c r="B27" s="20" t="s">
        <v>114</v>
      </c>
      <c r="C27" s="16"/>
      <c r="D27" s="17" t="s">
        <v>87</v>
      </c>
    </row>
    <row r="28" spans="2:10" ht="15">
      <c r="B28" s="20" t="s">
        <v>114</v>
      </c>
      <c r="C28" s="18" t="s">
        <v>79</v>
      </c>
      <c r="D28" s="18" t="s">
        <v>80</v>
      </c>
      <c r="E28" s="18" t="s">
        <v>81</v>
      </c>
      <c r="F28" s="18" t="s">
        <v>82</v>
      </c>
      <c r="G28" s="18" t="s">
        <v>83</v>
      </c>
    </row>
    <row r="29" spans="2:10">
      <c r="B29" s="20" t="s">
        <v>114</v>
      </c>
      <c r="C29" s="15" t="s">
        <v>215</v>
      </c>
      <c r="D29" s="20" t="s">
        <v>561</v>
      </c>
      <c r="E29" s="21" t="s">
        <v>95</v>
      </c>
      <c r="F29" s="21" t="s">
        <v>559</v>
      </c>
      <c r="G29" s="21" t="s">
        <v>562</v>
      </c>
    </row>
    <row r="30" spans="2:10">
      <c r="B30" s="20" t="s">
        <v>114</v>
      </c>
    </row>
    <row r="31" spans="2:10">
      <c r="B31" s="20" t="s">
        <v>114</v>
      </c>
    </row>
    <row r="32" spans="2:10" ht="15">
      <c r="B32" s="20" t="s">
        <v>114</v>
      </c>
      <c r="C32" s="14" t="s">
        <v>92</v>
      </c>
      <c r="D32" s="14"/>
    </row>
    <row r="33" spans="2:7" ht="14.25">
      <c r="B33" s="20" t="s">
        <v>114</v>
      </c>
      <c r="C33" s="16"/>
      <c r="D33" s="17" t="s">
        <v>78</v>
      </c>
    </row>
    <row r="34" spans="2:7" ht="15">
      <c r="B34" s="20" t="s">
        <v>114</v>
      </c>
      <c r="C34" s="18" t="s">
        <v>79</v>
      </c>
      <c r="D34" s="18" t="s">
        <v>80</v>
      </c>
      <c r="E34" s="18" t="s">
        <v>81</v>
      </c>
      <c r="F34" s="18" t="s">
        <v>82</v>
      </c>
      <c r="G34" s="18" t="s">
        <v>83</v>
      </c>
    </row>
    <row r="35" spans="2:7">
      <c r="B35" s="20" t="s">
        <v>114</v>
      </c>
      <c r="C35" s="15" t="s">
        <v>166</v>
      </c>
      <c r="D35" s="20" t="s">
        <v>78</v>
      </c>
      <c r="E35" s="21" t="s">
        <v>200</v>
      </c>
      <c r="F35" s="21" t="s">
        <v>563</v>
      </c>
      <c r="G35" s="21" t="s">
        <v>564</v>
      </c>
    </row>
    <row r="36" spans="2:7">
      <c r="B36" s="20" t="s">
        <v>114</v>
      </c>
    </row>
    <row r="37" spans="2:7" ht="14.25">
      <c r="B37" s="20" t="s">
        <v>114</v>
      </c>
      <c r="C37" s="16"/>
      <c r="D37" s="17" t="s">
        <v>87</v>
      </c>
    </row>
    <row r="38" spans="2:7" ht="15">
      <c r="B38" s="20" t="s">
        <v>114</v>
      </c>
      <c r="C38" s="18" t="s">
        <v>79</v>
      </c>
      <c r="D38" s="18" t="s">
        <v>80</v>
      </c>
      <c r="E38" s="18" t="s">
        <v>81</v>
      </c>
      <c r="F38" s="18" t="s">
        <v>82</v>
      </c>
      <c r="G38" s="18" t="s">
        <v>83</v>
      </c>
    </row>
    <row r="39" spans="2:7">
      <c r="B39" s="20" t="s">
        <v>114</v>
      </c>
      <c r="C39" s="15" t="s">
        <v>166</v>
      </c>
      <c r="D39" s="20" t="s">
        <v>561</v>
      </c>
      <c r="E39" s="21" t="s">
        <v>200</v>
      </c>
      <c r="F39" s="21" t="s">
        <v>563</v>
      </c>
      <c r="G39" s="21" t="s">
        <v>564</v>
      </c>
    </row>
    <row r="40" spans="2:7">
      <c r="B40" s="20" t="s">
        <v>114</v>
      </c>
    </row>
    <row r="41" spans="2:7">
      <c r="B41" s="20" t="s">
        <v>114</v>
      </c>
    </row>
    <row r="42" spans="2:7">
      <c r="B42" s="20" t="s">
        <v>114</v>
      </c>
    </row>
    <row r="43" spans="2:7">
      <c r="B43" s="20" t="s">
        <v>114</v>
      </c>
    </row>
    <row r="44" spans="2:7" ht="18">
      <c r="B44" s="20" t="s">
        <v>114</v>
      </c>
      <c r="C44" s="13" t="s">
        <v>105</v>
      </c>
      <c r="D44" s="13"/>
    </row>
    <row r="45" spans="2:7" ht="15">
      <c r="B45" s="20" t="s">
        <v>114</v>
      </c>
      <c r="C45" s="18" t="s">
        <v>106</v>
      </c>
      <c r="D45" s="18" t="s">
        <v>107</v>
      </c>
      <c r="E45" s="18" t="s">
        <v>108</v>
      </c>
    </row>
    <row r="46" spans="2:7">
      <c r="B46" s="20" t="s">
        <v>114</v>
      </c>
      <c r="C46" s="4" t="s">
        <v>126</v>
      </c>
      <c r="D46" s="4" t="s">
        <v>109</v>
      </c>
      <c r="E46" s="4" t="s">
        <v>453</v>
      </c>
    </row>
    <row r="47" spans="2:7">
      <c r="B47" s="20" t="s">
        <v>114</v>
      </c>
      <c r="C47" s="4" t="s">
        <v>20</v>
      </c>
      <c r="D47" s="4" t="s">
        <v>109</v>
      </c>
      <c r="E47" s="4" t="s">
        <v>248</v>
      </c>
    </row>
    <row r="48" spans="2:7">
      <c r="B48" s="20" t="s">
        <v>114</v>
      </c>
    </row>
  </sheetData>
  <mergeCells count="14">
    <mergeCell ref="A9:I9"/>
    <mergeCell ref="B3:B4"/>
    <mergeCell ref="H3:I3"/>
    <mergeCell ref="J3:J4"/>
    <mergeCell ref="K3:K4"/>
    <mergeCell ref="L3:L4"/>
    <mergeCell ref="A5:I5"/>
    <mergeCell ref="A1:L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F15" sqref="F15:J20"/>
    </sheetView>
  </sheetViews>
  <sheetFormatPr defaultRowHeight="12.75"/>
  <cols>
    <col min="1" max="1" width="7.42578125" style="20" bestFit="1" customWidth="1"/>
    <col min="2" max="2" width="17.42578125" style="20" bestFit="1" customWidth="1"/>
    <col min="3" max="3" width="31.85546875" style="4" bestFit="1" customWidth="1"/>
    <col min="4" max="4" width="16" style="4" customWidth="1"/>
    <col min="5" max="5" width="10.7109375" style="4" customWidth="1"/>
    <col min="6" max="6" width="15.28515625" style="4" customWidth="1"/>
    <col min="7" max="7" width="33.42578125" style="4" bestFit="1" customWidth="1"/>
    <col min="8" max="10" width="4.5703125" style="2" customWidth="1"/>
    <col min="11" max="11" width="4.85546875" style="2" customWidth="1"/>
    <col min="12" max="12" width="7.85546875" style="4" bestFit="1" customWidth="1"/>
    <col min="13" max="13" width="7.5703125" style="3" bestFit="1" customWidth="1"/>
    <col min="14" max="14" width="8.85546875" style="4" bestFit="1" customWidth="1"/>
    <col min="15" max="16384" width="9.140625" style="3"/>
  </cols>
  <sheetData>
    <row r="1" spans="1:14" s="2" customFormat="1" ht="29.1" customHeight="1">
      <c r="A1" s="61" t="s">
        <v>543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7" t="s">
        <v>517</v>
      </c>
      <c r="I3" s="53"/>
      <c r="J3" s="53"/>
      <c r="K3" s="54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8">
        <v>1</v>
      </c>
      <c r="I4" s="6">
        <v>2</v>
      </c>
      <c r="J4" s="6">
        <v>3</v>
      </c>
      <c r="K4" s="9" t="s">
        <v>5</v>
      </c>
      <c r="L4" s="63"/>
      <c r="M4" s="52"/>
      <c r="N4" s="60"/>
    </row>
    <row r="5" spans="1:14" ht="15">
      <c r="A5" s="64" t="s">
        <v>160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41" t="s">
        <v>113</v>
      </c>
      <c r="B6" s="41" t="s">
        <v>387</v>
      </c>
      <c r="C6" s="26" t="s">
        <v>388</v>
      </c>
      <c r="D6" s="26" t="s">
        <v>389</v>
      </c>
      <c r="E6" s="26" t="str">
        <f>"0,6446"</f>
        <v>0,6446</v>
      </c>
      <c r="F6" s="26" t="s">
        <v>49</v>
      </c>
      <c r="G6" s="26" t="s">
        <v>390</v>
      </c>
      <c r="H6" s="33" t="s">
        <v>268</v>
      </c>
      <c r="I6" s="33" t="s">
        <v>40</v>
      </c>
      <c r="J6" s="34" t="s">
        <v>279</v>
      </c>
      <c r="K6" s="32"/>
      <c r="L6" s="26" t="str">
        <f>"65,0"</f>
        <v>65,0</v>
      </c>
      <c r="M6" s="27" t="str">
        <f>"41,8990"</f>
        <v>41,8990</v>
      </c>
      <c r="N6" s="26" t="s">
        <v>31</v>
      </c>
    </row>
    <row r="7" spans="1:14">
      <c r="A7" s="43" t="s">
        <v>213</v>
      </c>
      <c r="B7" s="43" t="s">
        <v>166</v>
      </c>
      <c r="C7" s="30" t="s">
        <v>167</v>
      </c>
      <c r="D7" s="30" t="s">
        <v>168</v>
      </c>
      <c r="E7" s="30" t="str">
        <f>"0,6487"</f>
        <v>0,6487</v>
      </c>
      <c r="F7" s="30" t="s">
        <v>126</v>
      </c>
      <c r="G7" s="30" t="s">
        <v>127</v>
      </c>
      <c r="H7" s="40" t="s">
        <v>268</v>
      </c>
      <c r="I7" s="40" t="s">
        <v>268</v>
      </c>
      <c r="J7" s="39" t="s">
        <v>268</v>
      </c>
      <c r="K7" s="38"/>
      <c r="L7" s="30" t="str">
        <f>"62,5"</f>
        <v>62,5</v>
      </c>
      <c r="M7" s="31" t="str">
        <f>"40,5437"</f>
        <v>40,5437</v>
      </c>
      <c r="N7" s="30" t="s">
        <v>31</v>
      </c>
    </row>
    <row r="8" spans="1:14">
      <c r="A8" s="43" t="s">
        <v>147</v>
      </c>
      <c r="B8" s="43" t="s">
        <v>387</v>
      </c>
      <c r="C8" s="30" t="s">
        <v>388</v>
      </c>
      <c r="D8" s="30" t="s">
        <v>389</v>
      </c>
      <c r="E8" s="30" t="str">
        <f>"0,6446"</f>
        <v>0,6446</v>
      </c>
      <c r="F8" s="30" t="s">
        <v>49</v>
      </c>
      <c r="G8" s="30" t="s">
        <v>390</v>
      </c>
      <c r="H8" s="38"/>
      <c r="I8" s="38"/>
      <c r="J8" s="38"/>
      <c r="K8" s="38"/>
      <c r="L8" s="30" t="str">
        <f>"0.00"</f>
        <v>0.00</v>
      </c>
      <c r="M8" s="31" t="str">
        <f>"0,0000"</f>
        <v>0,0000</v>
      </c>
      <c r="N8" s="30" t="s">
        <v>31</v>
      </c>
    </row>
    <row r="9" spans="1:14">
      <c r="A9" s="43" t="s">
        <v>113</v>
      </c>
      <c r="B9" s="43" t="s">
        <v>166</v>
      </c>
      <c r="C9" s="30" t="s">
        <v>174</v>
      </c>
      <c r="D9" s="30" t="s">
        <v>168</v>
      </c>
      <c r="E9" s="30" t="str">
        <f>"0,6487"</f>
        <v>0,6487</v>
      </c>
      <c r="F9" s="30" t="s">
        <v>126</v>
      </c>
      <c r="G9" s="30" t="s">
        <v>127</v>
      </c>
      <c r="H9" s="40" t="s">
        <v>268</v>
      </c>
      <c r="I9" s="40" t="s">
        <v>268</v>
      </c>
      <c r="J9" s="39" t="s">
        <v>268</v>
      </c>
      <c r="K9" s="38"/>
      <c r="L9" s="30" t="str">
        <f>"62,5"</f>
        <v>62,5</v>
      </c>
      <c r="M9" s="31" t="str">
        <f>"40,5437"</f>
        <v>40,5437</v>
      </c>
      <c r="N9" s="30" t="s">
        <v>31</v>
      </c>
    </row>
    <row r="10" spans="1:14">
      <c r="A10" s="42" t="s">
        <v>213</v>
      </c>
      <c r="B10" s="42" t="s">
        <v>544</v>
      </c>
      <c r="C10" s="28" t="s">
        <v>545</v>
      </c>
      <c r="D10" s="28" t="s">
        <v>546</v>
      </c>
      <c r="E10" s="28" t="str">
        <f>"0,6670"</f>
        <v>0,6670</v>
      </c>
      <c r="F10" s="28" t="s">
        <v>49</v>
      </c>
      <c r="G10" s="28" t="s">
        <v>183</v>
      </c>
      <c r="H10" s="36" t="s">
        <v>27</v>
      </c>
      <c r="I10" s="36" t="s">
        <v>285</v>
      </c>
      <c r="J10" s="37" t="s">
        <v>256</v>
      </c>
      <c r="K10" s="35"/>
      <c r="L10" s="28" t="str">
        <f>"55,0"</f>
        <v>55,0</v>
      </c>
      <c r="M10" s="29" t="str">
        <f>"36,6850"</f>
        <v>36,6850</v>
      </c>
      <c r="N10" s="28" t="s">
        <v>31</v>
      </c>
    </row>
    <row r="11" spans="1:14">
      <c r="B11" s="20" t="s">
        <v>114</v>
      </c>
    </row>
    <row r="12" spans="1:14" ht="15">
      <c r="A12" s="68" t="s">
        <v>175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>
      <c r="A13" s="25" t="s">
        <v>113</v>
      </c>
      <c r="B13" s="25" t="s">
        <v>547</v>
      </c>
      <c r="C13" s="10" t="s">
        <v>548</v>
      </c>
      <c r="D13" s="10" t="s">
        <v>549</v>
      </c>
      <c r="E13" s="10" t="str">
        <f>"0,6226"</f>
        <v>0,6226</v>
      </c>
      <c r="F13" s="10" t="s">
        <v>360</v>
      </c>
      <c r="G13" s="10" t="s">
        <v>71</v>
      </c>
      <c r="H13" s="22" t="s">
        <v>40</v>
      </c>
      <c r="I13" s="24" t="s">
        <v>23</v>
      </c>
      <c r="J13" s="24" t="s">
        <v>23</v>
      </c>
      <c r="K13" s="23"/>
      <c r="L13" s="10" t="str">
        <f>"65,0"</f>
        <v>65,0</v>
      </c>
      <c r="M13" s="11" t="str">
        <f>"40,4690"</f>
        <v>40,4690</v>
      </c>
      <c r="N13" s="10" t="s">
        <v>31</v>
      </c>
    </row>
    <row r="14" spans="1:14">
      <c r="B14" s="20" t="s">
        <v>114</v>
      </c>
    </row>
    <row r="15" spans="1:14" ht="15">
      <c r="B15" s="20" t="s">
        <v>114</v>
      </c>
      <c r="F15" s="12" t="s">
        <v>602</v>
      </c>
    </row>
    <row r="16" spans="1:14" ht="15">
      <c r="B16" s="20" t="s">
        <v>114</v>
      </c>
      <c r="F16" s="12" t="s">
        <v>603</v>
      </c>
    </row>
    <row r="17" spans="2:7" ht="15">
      <c r="B17" s="20" t="s">
        <v>114</v>
      </c>
      <c r="F17" s="12" t="s">
        <v>604</v>
      </c>
    </row>
    <row r="18" spans="2:7" ht="15">
      <c r="B18" s="20" t="s">
        <v>114</v>
      </c>
      <c r="F18" s="12" t="s">
        <v>605</v>
      </c>
    </row>
    <row r="19" spans="2:7" ht="15">
      <c r="B19" s="20" t="s">
        <v>114</v>
      </c>
      <c r="F19" s="12" t="s">
        <v>606</v>
      </c>
    </row>
    <row r="20" spans="2:7" ht="15">
      <c r="B20" s="20" t="s">
        <v>114</v>
      </c>
      <c r="F20" s="12" t="s">
        <v>607</v>
      </c>
    </row>
    <row r="21" spans="2:7" ht="15">
      <c r="B21" s="20" t="s">
        <v>114</v>
      </c>
      <c r="F21" s="12"/>
    </row>
    <row r="22" spans="2:7">
      <c r="B22" s="20" t="s">
        <v>114</v>
      </c>
    </row>
    <row r="23" spans="2:7" ht="18">
      <c r="B23" s="20" t="s">
        <v>114</v>
      </c>
      <c r="C23" s="13" t="s">
        <v>76</v>
      </c>
      <c r="D23" s="13"/>
    </row>
    <row r="24" spans="2:7" ht="15">
      <c r="B24" s="20" t="s">
        <v>114</v>
      </c>
      <c r="C24" s="14" t="s">
        <v>92</v>
      </c>
      <c r="D24" s="14"/>
    </row>
    <row r="25" spans="2:7" ht="14.25">
      <c r="B25" s="20" t="s">
        <v>114</v>
      </c>
      <c r="C25" s="16"/>
      <c r="D25" s="17" t="s">
        <v>78</v>
      </c>
    </row>
    <row r="26" spans="2:7" ht="15">
      <c r="B26" s="20" t="s">
        <v>114</v>
      </c>
      <c r="C26" s="18" t="s">
        <v>79</v>
      </c>
      <c r="D26" s="18" t="s">
        <v>80</v>
      </c>
      <c r="E26" s="18" t="s">
        <v>81</v>
      </c>
      <c r="F26" s="18" t="s">
        <v>82</v>
      </c>
      <c r="G26" s="18" t="s">
        <v>83</v>
      </c>
    </row>
    <row r="27" spans="2:7">
      <c r="B27" s="20" t="s">
        <v>114</v>
      </c>
      <c r="C27" s="15" t="s">
        <v>387</v>
      </c>
      <c r="D27" s="20" t="s">
        <v>78</v>
      </c>
      <c r="E27" s="21" t="s">
        <v>200</v>
      </c>
      <c r="F27" s="21" t="s">
        <v>40</v>
      </c>
      <c r="G27" s="21" t="s">
        <v>538</v>
      </c>
    </row>
    <row r="28" spans="2:7">
      <c r="B28" s="20" t="s">
        <v>114</v>
      </c>
      <c r="C28" s="15" t="s">
        <v>166</v>
      </c>
      <c r="D28" s="20" t="s">
        <v>78</v>
      </c>
      <c r="E28" s="21" t="s">
        <v>200</v>
      </c>
      <c r="F28" s="21" t="s">
        <v>268</v>
      </c>
      <c r="G28" s="21" t="s">
        <v>550</v>
      </c>
    </row>
    <row r="29" spans="2:7">
      <c r="B29" s="20" t="s">
        <v>114</v>
      </c>
      <c r="C29" s="15" t="s">
        <v>547</v>
      </c>
      <c r="D29" s="20" t="s">
        <v>78</v>
      </c>
      <c r="E29" s="21" t="s">
        <v>203</v>
      </c>
      <c r="F29" s="21" t="s">
        <v>40</v>
      </c>
      <c r="G29" s="21" t="s">
        <v>551</v>
      </c>
    </row>
    <row r="30" spans="2:7">
      <c r="B30" s="20" t="s">
        <v>114</v>
      </c>
    </row>
    <row r="31" spans="2:7" ht="14.25">
      <c r="B31" s="20" t="s">
        <v>114</v>
      </c>
      <c r="C31" s="16"/>
      <c r="D31" s="17" t="s">
        <v>87</v>
      </c>
    </row>
    <row r="32" spans="2:7" ht="15">
      <c r="B32" s="20" t="s">
        <v>114</v>
      </c>
      <c r="C32" s="18" t="s">
        <v>79</v>
      </c>
      <c r="D32" s="18" t="s">
        <v>80</v>
      </c>
      <c r="E32" s="18" t="s">
        <v>81</v>
      </c>
      <c r="F32" s="18" t="s">
        <v>82</v>
      </c>
      <c r="G32" s="18" t="s">
        <v>83</v>
      </c>
    </row>
    <row r="33" spans="2:7">
      <c r="B33" s="20" t="s">
        <v>114</v>
      </c>
      <c r="C33" s="15" t="s">
        <v>166</v>
      </c>
      <c r="D33" s="20" t="s">
        <v>205</v>
      </c>
      <c r="E33" s="21" t="s">
        <v>200</v>
      </c>
      <c r="F33" s="21" t="s">
        <v>268</v>
      </c>
      <c r="G33" s="21" t="s">
        <v>550</v>
      </c>
    </row>
    <row r="34" spans="2:7">
      <c r="B34" s="20" t="s">
        <v>114</v>
      </c>
      <c r="C34" s="15" t="s">
        <v>544</v>
      </c>
      <c r="D34" s="20" t="s">
        <v>205</v>
      </c>
      <c r="E34" s="21" t="s">
        <v>200</v>
      </c>
      <c r="F34" s="21" t="s">
        <v>285</v>
      </c>
      <c r="G34" s="21" t="s">
        <v>552</v>
      </c>
    </row>
    <row r="35" spans="2:7">
      <c r="B35" s="20" t="s">
        <v>114</v>
      </c>
    </row>
    <row r="36" spans="2:7">
      <c r="B36" s="20" t="s">
        <v>114</v>
      </c>
    </row>
    <row r="37" spans="2:7">
      <c r="B37" s="20" t="s">
        <v>114</v>
      </c>
    </row>
    <row r="38" spans="2:7">
      <c r="B38" s="20" t="s">
        <v>114</v>
      </c>
    </row>
    <row r="39" spans="2:7" ht="18">
      <c r="B39" s="20" t="s">
        <v>114</v>
      </c>
      <c r="C39" s="13" t="s">
        <v>105</v>
      </c>
      <c r="D39" s="13"/>
    </row>
    <row r="40" spans="2:7" ht="15">
      <c r="B40" s="20" t="s">
        <v>114</v>
      </c>
      <c r="C40" s="18" t="s">
        <v>106</v>
      </c>
      <c r="D40" s="18" t="s">
        <v>107</v>
      </c>
      <c r="E40" s="18" t="s">
        <v>108</v>
      </c>
    </row>
    <row r="41" spans="2:7">
      <c r="B41" s="20" t="s">
        <v>114</v>
      </c>
      <c r="C41" s="4" t="s">
        <v>126</v>
      </c>
      <c r="D41" s="4" t="s">
        <v>452</v>
      </c>
      <c r="E41" s="4" t="s">
        <v>453</v>
      </c>
    </row>
    <row r="42" spans="2:7">
      <c r="B42" s="20" t="s">
        <v>114</v>
      </c>
      <c r="C42" s="4" t="s">
        <v>360</v>
      </c>
      <c r="D42" s="4" t="s">
        <v>111</v>
      </c>
      <c r="E42" s="4" t="s">
        <v>553</v>
      </c>
    </row>
    <row r="43" spans="2:7">
      <c r="B43" s="20" t="s">
        <v>114</v>
      </c>
    </row>
  </sheetData>
  <mergeCells count="14">
    <mergeCell ref="A12:K12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2"/>
  <sheetViews>
    <sheetView workbookViewId="0">
      <selection activeCell="F24" sqref="F24:J29"/>
    </sheetView>
  </sheetViews>
  <sheetFormatPr defaultRowHeight="12.75"/>
  <cols>
    <col min="1" max="1" width="6.28515625" style="20" customWidth="1"/>
    <col min="2" max="2" width="22.140625" style="20" bestFit="1" customWidth="1"/>
    <col min="3" max="3" width="27.85546875" style="4" customWidth="1"/>
    <col min="4" max="4" width="16.28515625" style="4" customWidth="1"/>
    <col min="5" max="5" width="9.7109375" style="4" customWidth="1"/>
    <col min="6" max="6" width="12.85546875" style="4" customWidth="1"/>
    <col min="7" max="7" width="32.5703125" style="4" customWidth="1"/>
    <col min="8" max="10" width="4.5703125" style="2" customWidth="1"/>
    <col min="11" max="11" width="4.85546875" style="2" customWidth="1"/>
    <col min="12" max="12" width="7.85546875" style="4" bestFit="1" customWidth="1"/>
    <col min="13" max="13" width="7.5703125" style="3" bestFit="1" customWidth="1"/>
    <col min="14" max="14" width="15.42578125" style="4" bestFit="1" customWidth="1"/>
    <col min="15" max="16384" width="9.140625" style="3"/>
  </cols>
  <sheetData>
    <row r="1" spans="1:14" s="2" customFormat="1" ht="29.1" customHeight="1">
      <c r="A1" s="61" t="s">
        <v>516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7" t="s">
        <v>517</v>
      </c>
      <c r="I3" s="53"/>
      <c r="J3" s="53"/>
      <c r="K3" s="54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8">
        <v>1</v>
      </c>
      <c r="I4" s="6">
        <v>2</v>
      </c>
      <c r="J4" s="6">
        <v>3</v>
      </c>
      <c r="K4" s="9" t="s">
        <v>5</v>
      </c>
      <c r="L4" s="63"/>
      <c r="M4" s="52"/>
      <c r="N4" s="60"/>
    </row>
    <row r="5" spans="1:14" ht="15">
      <c r="A5" s="64" t="s">
        <v>250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251</v>
      </c>
      <c r="C6" s="10" t="s">
        <v>252</v>
      </c>
      <c r="D6" s="10" t="s">
        <v>253</v>
      </c>
      <c r="E6" s="10" t="str">
        <f>"1,2809"</f>
        <v>1,2809</v>
      </c>
      <c r="F6" s="10" t="s">
        <v>20</v>
      </c>
      <c r="G6" s="10" t="s">
        <v>71</v>
      </c>
      <c r="H6" s="22" t="s">
        <v>518</v>
      </c>
      <c r="I6" s="22" t="s">
        <v>519</v>
      </c>
      <c r="J6" s="24" t="s">
        <v>520</v>
      </c>
      <c r="K6" s="23"/>
      <c r="L6" s="10" t="str">
        <f>"25,0"</f>
        <v>25,0</v>
      </c>
      <c r="M6" s="11" t="str">
        <f>"32,0225"</f>
        <v>32,0225</v>
      </c>
      <c r="N6" s="10" t="s">
        <v>31</v>
      </c>
    </row>
    <row r="7" spans="1:14">
      <c r="B7" s="20" t="s">
        <v>114</v>
      </c>
    </row>
    <row r="8" spans="1:14" ht="15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25" t="s">
        <v>113</v>
      </c>
      <c r="B9" s="25" t="s">
        <v>215</v>
      </c>
      <c r="C9" s="10" t="s">
        <v>521</v>
      </c>
      <c r="D9" s="10" t="s">
        <v>522</v>
      </c>
      <c r="E9" s="10" t="str">
        <f>"1,0248"</f>
        <v>1,0248</v>
      </c>
      <c r="F9" s="10" t="s">
        <v>20</v>
      </c>
      <c r="G9" s="10" t="s">
        <v>523</v>
      </c>
      <c r="H9" s="22" t="s">
        <v>520</v>
      </c>
      <c r="I9" s="22" t="s">
        <v>524</v>
      </c>
      <c r="J9" s="23"/>
      <c r="K9" s="23"/>
      <c r="L9" s="10" t="str">
        <f>"30,0"</f>
        <v>30,0</v>
      </c>
      <c r="M9" s="11" t="str">
        <f>"30,7440"</f>
        <v>30,7440</v>
      </c>
      <c r="N9" s="10" t="s">
        <v>44</v>
      </c>
    </row>
    <row r="10" spans="1:14">
      <c r="B10" s="20" t="s">
        <v>114</v>
      </c>
    </row>
    <row r="11" spans="1:14" ht="15">
      <c r="A11" s="68" t="s">
        <v>32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4">
      <c r="A12" s="25" t="s">
        <v>113</v>
      </c>
      <c r="B12" s="25" t="s">
        <v>525</v>
      </c>
      <c r="C12" s="10" t="s">
        <v>526</v>
      </c>
      <c r="D12" s="10" t="s">
        <v>527</v>
      </c>
      <c r="E12" s="10" t="str">
        <f>"0,9487"</f>
        <v>0,9487</v>
      </c>
      <c r="F12" s="10" t="s">
        <v>20</v>
      </c>
      <c r="G12" s="10" t="s">
        <v>36</v>
      </c>
      <c r="H12" s="22" t="s">
        <v>257</v>
      </c>
      <c r="I12" s="22" t="s">
        <v>258</v>
      </c>
      <c r="J12" s="24" t="s">
        <v>25</v>
      </c>
      <c r="K12" s="23"/>
      <c r="L12" s="10" t="str">
        <f>"37,5"</f>
        <v>37,5</v>
      </c>
      <c r="M12" s="11" t="str">
        <f>"35,5744"</f>
        <v>35,5744</v>
      </c>
      <c r="N12" s="10" t="s">
        <v>528</v>
      </c>
    </row>
    <row r="13" spans="1:14">
      <c r="B13" s="20" t="s">
        <v>114</v>
      </c>
    </row>
    <row r="14" spans="1:14" ht="15">
      <c r="A14" s="68" t="s">
        <v>16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4">
      <c r="A15" s="25" t="s">
        <v>113</v>
      </c>
      <c r="B15" s="25" t="s">
        <v>529</v>
      </c>
      <c r="C15" s="10" t="s">
        <v>530</v>
      </c>
      <c r="D15" s="10" t="s">
        <v>531</v>
      </c>
      <c r="E15" s="10" t="str">
        <f>"0,8765"</f>
        <v>0,8765</v>
      </c>
      <c r="F15" s="10" t="s">
        <v>126</v>
      </c>
      <c r="G15" s="10" t="s">
        <v>127</v>
      </c>
      <c r="H15" s="22" t="s">
        <v>254</v>
      </c>
      <c r="I15" s="22" t="s">
        <v>27</v>
      </c>
      <c r="J15" s="22" t="s">
        <v>255</v>
      </c>
      <c r="K15" s="24" t="s">
        <v>532</v>
      </c>
      <c r="L15" s="10" t="str">
        <f>"52,5"</f>
        <v>52,5</v>
      </c>
      <c r="M15" s="11" t="str">
        <f>"46,0136"</f>
        <v>46,0136</v>
      </c>
      <c r="N15" s="10" t="s">
        <v>533</v>
      </c>
    </row>
    <row r="16" spans="1:14">
      <c r="B16" s="20" t="s">
        <v>114</v>
      </c>
    </row>
    <row r="17" spans="1:14" ht="15">
      <c r="A17" s="68" t="s">
        <v>45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1:14">
      <c r="A18" s="25" t="s">
        <v>113</v>
      </c>
      <c r="B18" s="25" t="s">
        <v>375</v>
      </c>
      <c r="C18" s="10" t="s">
        <v>376</v>
      </c>
      <c r="D18" s="10" t="s">
        <v>377</v>
      </c>
      <c r="E18" s="10" t="str">
        <f>"0,6962"</f>
        <v>0,6962</v>
      </c>
      <c r="F18" s="10" t="s">
        <v>49</v>
      </c>
      <c r="G18" s="10" t="s">
        <v>266</v>
      </c>
      <c r="H18" s="22" t="s">
        <v>255</v>
      </c>
      <c r="I18" s="22" t="s">
        <v>285</v>
      </c>
      <c r="J18" s="24" t="s">
        <v>256</v>
      </c>
      <c r="K18" s="23"/>
      <c r="L18" s="10" t="str">
        <f>"55,0"</f>
        <v>55,0</v>
      </c>
      <c r="M18" s="11" t="str">
        <f>"38,2883"</f>
        <v>38,2883</v>
      </c>
      <c r="N18" s="10" t="s">
        <v>31</v>
      </c>
    </row>
    <row r="19" spans="1:14">
      <c r="B19" s="20" t="s">
        <v>114</v>
      </c>
    </row>
    <row r="20" spans="1:14" ht="15">
      <c r="A20" s="68" t="s">
        <v>160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4">
      <c r="A21" s="41" t="s">
        <v>113</v>
      </c>
      <c r="B21" s="41" t="s">
        <v>387</v>
      </c>
      <c r="C21" s="26" t="s">
        <v>388</v>
      </c>
      <c r="D21" s="26" t="s">
        <v>389</v>
      </c>
      <c r="E21" s="26" t="str">
        <f>"0,6446"</f>
        <v>0,6446</v>
      </c>
      <c r="F21" s="26" t="s">
        <v>49</v>
      </c>
      <c r="G21" s="26" t="s">
        <v>390</v>
      </c>
      <c r="H21" s="33" t="s">
        <v>268</v>
      </c>
      <c r="I21" s="33" t="s">
        <v>40</v>
      </c>
      <c r="J21" s="34" t="s">
        <v>279</v>
      </c>
      <c r="K21" s="32"/>
      <c r="L21" s="26" t="str">
        <f>"65,0"</f>
        <v>65,0</v>
      </c>
      <c r="M21" s="27" t="str">
        <f>"41,8990"</f>
        <v>41,8990</v>
      </c>
      <c r="N21" s="26" t="s">
        <v>31</v>
      </c>
    </row>
    <row r="22" spans="1:14">
      <c r="A22" s="42" t="s">
        <v>113</v>
      </c>
      <c r="B22" s="42" t="s">
        <v>391</v>
      </c>
      <c r="C22" s="28" t="s">
        <v>392</v>
      </c>
      <c r="D22" s="28" t="s">
        <v>393</v>
      </c>
      <c r="E22" s="28" t="str">
        <f>"0,6508"</f>
        <v>0,6508</v>
      </c>
      <c r="F22" s="28" t="s">
        <v>49</v>
      </c>
      <c r="G22" s="28" t="s">
        <v>370</v>
      </c>
      <c r="H22" s="36" t="s">
        <v>280</v>
      </c>
      <c r="I22" s="36" t="s">
        <v>254</v>
      </c>
      <c r="J22" s="36" t="s">
        <v>255</v>
      </c>
      <c r="K22" s="35"/>
      <c r="L22" s="28" t="str">
        <f>"52,5"</f>
        <v>52,5</v>
      </c>
      <c r="M22" s="29" t="str">
        <f>"36,4904"</f>
        <v>36,4904</v>
      </c>
      <c r="N22" s="28" t="s">
        <v>31</v>
      </c>
    </row>
    <row r="23" spans="1:14">
      <c r="B23" s="20" t="s">
        <v>114</v>
      </c>
    </row>
    <row r="24" spans="1:14" ht="15">
      <c r="B24" s="20" t="s">
        <v>114</v>
      </c>
      <c r="F24" s="12" t="s">
        <v>602</v>
      </c>
    </row>
    <row r="25" spans="1:14" ht="15">
      <c r="B25" s="20" t="s">
        <v>114</v>
      </c>
      <c r="F25" s="12" t="s">
        <v>603</v>
      </c>
    </row>
    <row r="26" spans="1:14" ht="15">
      <c r="B26" s="20" t="s">
        <v>114</v>
      </c>
      <c r="F26" s="12" t="s">
        <v>604</v>
      </c>
    </row>
    <row r="27" spans="1:14" ht="15">
      <c r="B27" s="20" t="s">
        <v>114</v>
      </c>
      <c r="F27" s="12" t="s">
        <v>605</v>
      </c>
    </row>
    <row r="28" spans="1:14" ht="15">
      <c r="B28" s="20" t="s">
        <v>114</v>
      </c>
      <c r="F28" s="12" t="s">
        <v>606</v>
      </c>
    </row>
    <row r="29" spans="1:14" ht="15">
      <c r="B29" s="20" t="s">
        <v>114</v>
      </c>
      <c r="F29" s="12" t="s">
        <v>607</v>
      </c>
    </row>
    <row r="30" spans="1:14" ht="15">
      <c r="B30" s="20" t="s">
        <v>114</v>
      </c>
      <c r="F30" s="12"/>
    </row>
    <row r="31" spans="1:14">
      <c r="B31" s="20" t="s">
        <v>114</v>
      </c>
    </row>
    <row r="32" spans="1:14" ht="18">
      <c r="B32" s="20" t="s">
        <v>114</v>
      </c>
      <c r="C32" s="13" t="s">
        <v>76</v>
      </c>
      <c r="D32" s="13"/>
    </row>
    <row r="33" spans="2:7" ht="15">
      <c r="B33" s="20" t="s">
        <v>114</v>
      </c>
      <c r="C33" s="14" t="s">
        <v>77</v>
      </c>
      <c r="D33" s="14"/>
    </row>
    <row r="34" spans="2:7" ht="14.25">
      <c r="B34" s="20" t="s">
        <v>114</v>
      </c>
      <c r="C34" s="16"/>
      <c r="D34" s="17" t="s">
        <v>310</v>
      </c>
    </row>
    <row r="35" spans="2:7" ht="15">
      <c r="B35" s="20" t="s">
        <v>114</v>
      </c>
      <c r="C35" s="18" t="s">
        <v>79</v>
      </c>
      <c r="D35" s="18" t="s">
        <v>80</v>
      </c>
      <c r="E35" s="18" t="s">
        <v>81</v>
      </c>
      <c r="F35" s="18" t="s">
        <v>82</v>
      </c>
      <c r="G35" s="18" t="s">
        <v>83</v>
      </c>
    </row>
    <row r="36" spans="2:7">
      <c r="B36" s="20" t="s">
        <v>114</v>
      </c>
      <c r="C36" s="15" t="s">
        <v>215</v>
      </c>
      <c r="D36" s="20" t="s">
        <v>348</v>
      </c>
      <c r="E36" s="21" t="s">
        <v>89</v>
      </c>
      <c r="F36" s="21" t="s">
        <v>524</v>
      </c>
      <c r="G36" s="21" t="s">
        <v>534</v>
      </c>
    </row>
    <row r="37" spans="2:7">
      <c r="B37" s="20" t="s">
        <v>114</v>
      </c>
    </row>
    <row r="38" spans="2:7" ht="14.25">
      <c r="B38" s="20" t="s">
        <v>114</v>
      </c>
      <c r="C38" s="16"/>
      <c r="D38" s="17" t="s">
        <v>78</v>
      </c>
    </row>
    <row r="39" spans="2:7" ht="15">
      <c r="B39" s="20" t="s">
        <v>114</v>
      </c>
      <c r="C39" s="18" t="s">
        <v>79</v>
      </c>
      <c r="D39" s="18" t="s">
        <v>80</v>
      </c>
      <c r="E39" s="18" t="s">
        <v>81</v>
      </c>
      <c r="F39" s="18" t="s">
        <v>82</v>
      </c>
      <c r="G39" s="18" t="s">
        <v>83</v>
      </c>
    </row>
    <row r="40" spans="2:7">
      <c r="B40" s="20" t="s">
        <v>114</v>
      </c>
      <c r="C40" s="15" t="s">
        <v>525</v>
      </c>
      <c r="D40" s="20" t="s">
        <v>78</v>
      </c>
      <c r="E40" s="21" t="s">
        <v>84</v>
      </c>
      <c r="F40" s="21" t="s">
        <v>258</v>
      </c>
      <c r="G40" s="21" t="s">
        <v>535</v>
      </c>
    </row>
    <row r="41" spans="2:7">
      <c r="B41" s="20" t="s">
        <v>114</v>
      </c>
      <c r="C41" s="15" t="s">
        <v>251</v>
      </c>
      <c r="D41" s="20" t="s">
        <v>78</v>
      </c>
      <c r="E41" s="21" t="s">
        <v>317</v>
      </c>
      <c r="F41" s="21" t="s">
        <v>519</v>
      </c>
      <c r="G41" s="21" t="s">
        <v>536</v>
      </c>
    </row>
    <row r="42" spans="2:7">
      <c r="B42" s="20" t="s">
        <v>114</v>
      </c>
    </row>
    <row r="43" spans="2:7">
      <c r="B43" s="20" t="s">
        <v>114</v>
      </c>
    </row>
    <row r="44" spans="2:7" ht="15">
      <c r="B44" s="20" t="s">
        <v>114</v>
      </c>
      <c r="C44" s="14" t="s">
        <v>92</v>
      </c>
      <c r="D44" s="14"/>
    </row>
    <row r="45" spans="2:7" ht="14.25">
      <c r="B45" s="20" t="s">
        <v>114</v>
      </c>
      <c r="C45" s="16"/>
      <c r="D45" s="17" t="s">
        <v>78</v>
      </c>
    </row>
    <row r="46" spans="2:7" ht="15">
      <c r="B46" s="20" t="s">
        <v>114</v>
      </c>
      <c r="C46" s="18" t="s">
        <v>79</v>
      </c>
      <c r="D46" s="18" t="s">
        <v>80</v>
      </c>
      <c r="E46" s="18" t="s">
        <v>81</v>
      </c>
      <c r="F46" s="18" t="s">
        <v>82</v>
      </c>
      <c r="G46" s="18" t="s">
        <v>83</v>
      </c>
    </row>
    <row r="47" spans="2:7">
      <c r="B47" s="20" t="s">
        <v>114</v>
      </c>
      <c r="C47" s="15" t="s">
        <v>529</v>
      </c>
      <c r="D47" s="20" t="s">
        <v>78</v>
      </c>
      <c r="E47" s="21" t="s">
        <v>89</v>
      </c>
      <c r="F47" s="21" t="s">
        <v>255</v>
      </c>
      <c r="G47" s="21" t="s">
        <v>537</v>
      </c>
    </row>
    <row r="48" spans="2:7">
      <c r="B48" s="20" t="s">
        <v>114</v>
      </c>
      <c r="C48" s="15" t="s">
        <v>387</v>
      </c>
      <c r="D48" s="20" t="s">
        <v>78</v>
      </c>
      <c r="E48" s="21" t="s">
        <v>200</v>
      </c>
      <c r="F48" s="21" t="s">
        <v>40</v>
      </c>
      <c r="G48" s="21" t="s">
        <v>538</v>
      </c>
    </row>
    <row r="49" spans="2:7">
      <c r="B49" s="20" t="s">
        <v>114</v>
      </c>
      <c r="C49" s="15" t="s">
        <v>375</v>
      </c>
      <c r="D49" s="20" t="s">
        <v>78</v>
      </c>
      <c r="E49" s="21" t="s">
        <v>95</v>
      </c>
      <c r="F49" s="21" t="s">
        <v>285</v>
      </c>
      <c r="G49" s="21" t="s">
        <v>539</v>
      </c>
    </row>
    <row r="50" spans="2:7">
      <c r="B50" s="20" t="s">
        <v>114</v>
      </c>
    </row>
    <row r="51" spans="2:7" ht="14.25">
      <c r="B51" s="20" t="s">
        <v>114</v>
      </c>
      <c r="C51" s="16"/>
      <c r="D51" s="17" t="s">
        <v>87</v>
      </c>
    </row>
    <row r="52" spans="2:7" ht="15">
      <c r="B52" s="20" t="s">
        <v>114</v>
      </c>
      <c r="C52" s="18" t="s">
        <v>79</v>
      </c>
      <c r="D52" s="18" t="s">
        <v>80</v>
      </c>
      <c r="E52" s="18" t="s">
        <v>81</v>
      </c>
      <c r="F52" s="18" t="s">
        <v>82</v>
      </c>
      <c r="G52" s="18" t="s">
        <v>83</v>
      </c>
    </row>
    <row r="53" spans="2:7">
      <c r="B53" s="20" t="s">
        <v>114</v>
      </c>
      <c r="C53" s="15" t="s">
        <v>391</v>
      </c>
      <c r="D53" s="20" t="s">
        <v>88</v>
      </c>
      <c r="E53" s="21" t="s">
        <v>200</v>
      </c>
      <c r="F53" s="21" t="s">
        <v>255</v>
      </c>
      <c r="G53" s="21" t="s">
        <v>540</v>
      </c>
    </row>
    <row r="54" spans="2:7">
      <c r="B54" s="20" t="s">
        <v>114</v>
      </c>
    </row>
    <row r="55" spans="2:7">
      <c r="B55" s="20" t="s">
        <v>114</v>
      </c>
    </row>
    <row r="56" spans="2:7">
      <c r="B56" s="20" t="s">
        <v>114</v>
      </c>
    </row>
    <row r="57" spans="2:7">
      <c r="B57" s="20" t="s">
        <v>114</v>
      </c>
    </row>
    <row r="58" spans="2:7" ht="18">
      <c r="B58" s="20" t="s">
        <v>114</v>
      </c>
      <c r="C58" s="13" t="s">
        <v>105</v>
      </c>
      <c r="D58" s="13"/>
    </row>
    <row r="59" spans="2:7" ht="15">
      <c r="B59" s="20" t="s">
        <v>114</v>
      </c>
      <c r="C59" s="18" t="s">
        <v>106</v>
      </c>
      <c r="D59" s="18" t="s">
        <v>107</v>
      </c>
      <c r="E59" s="18" t="s">
        <v>108</v>
      </c>
    </row>
    <row r="60" spans="2:7">
      <c r="B60" s="20" t="s">
        <v>114</v>
      </c>
      <c r="C60" s="4" t="s">
        <v>20</v>
      </c>
      <c r="D60" s="4" t="s">
        <v>354</v>
      </c>
      <c r="E60" s="4" t="s">
        <v>541</v>
      </c>
    </row>
    <row r="61" spans="2:7">
      <c r="B61" s="20" t="s">
        <v>114</v>
      </c>
      <c r="C61" s="4" t="s">
        <v>126</v>
      </c>
      <c r="D61" s="4" t="s">
        <v>111</v>
      </c>
      <c r="E61" s="4" t="s">
        <v>542</v>
      </c>
    </row>
    <row r="62" spans="2:7">
      <c r="B62" s="20" t="s">
        <v>114</v>
      </c>
    </row>
  </sheetData>
  <mergeCells count="18">
    <mergeCell ref="A20:K20"/>
    <mergeCell ref="A5:K5"/>
    <mergeCell ref="A8:K8"/>
    <mergeCell ref="A11:K11"/>
    <mergeCell ref="A14:K14"/>
    <mergeCell ref="A17:K17"/>
    <mergeCell ref="A1:N2"/>
    <mergeCell ref="A3:A4"/>
    <mergeCell ref="C3:C4"/>
    <mergeCell ref="D3:D4"/>
    <mergeCell ref="E3:E4"/>
    <mergeCell ref="F3:F4"/>
    <mergeCell ref="G3:G4"/>
    <mergeCell ref="H3:K3"/>
    <mergeCell ref="B3:B4"/>
    <mergeCell ref="L3:L4"/>
    <mergeCell ref="M3:M4"/>
    <mergeCell ref="N3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selection activeCell="F31" sqref="F31:J36"/>
    </sheetView>
  </sheetViews>
  <sheetFormatPr defaultRowHeight="12.75"/>
  <cols>
    <col min="1" max="1" width="7.42578125" style="20" bestFit="1" customWidth="1"/>
    <col min="2" max="2" width="20.85546875" style="20" customWidth="1"/>
    <col min="3" max="3" width="26.5703125" style="4" customWidth="1"/>
    <col min="4" max="4" width="17.28515625" style="4" customWidth="1"/>
    <col min="5" max="5" width="8.85546875" style="4" customWidth="1"/>
    <col min="6" max="6" width="12.85546875" style="4" customWidth="1"/>
    <col min="7" max="7" width="29.7109375" style="4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19" style="4" bestFit="1" customWidth="1"/>
    <col min="15" max="16384" width="9.140625" style="3"/>
  </cols>
  <sheetData>
    <row r="1" spans="1:14" s="2" customFormat="1" ht="29.1" customHeight="1">
      <c r="A1" s="61" t="s">
        <v>497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7" t="s">
        <v>15</v>
      </c>
      <c r="I3" s="53"/>
      <c r="J3" s="53"/>
      <c r="K3" s="54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8">
        <v>1</v>
      </c>
      <c r="I4" s="6">
        <v>2</v>
      </c>
      <c r="J4" s="6">
        <v>3</v>
      </c>
      <c r="K4" s="9" t="s">
        <v>5</v>
      </c>
      <c r="L4" s="63"/>
      <c r="M4" s="52"/>
      <c r="N4" s="60"/>
    </row>
    <row r="5" spans="1:14" ht="15">
      <c r="A5" s="64" t="s">
        <v>16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332</v>
      </c>
      <c r="C6" s="10" t="s">
        <v>333</v>
      </c>
      <c r="D6" s="10" t="s">
        <v>334</v>
      </c>
      <c r="E6" s="10" t="str">
        <f>"0,9930"</f>
        <v>0,9930</v>
      </c>
      <c r="F6" s="10" t="s">
        <v>265</v>
      </c>
      <c r="G6" s="10" t="s">
        <v>266</v>
      </c>
      <c r="H6" s="22" t="s">
        <v>42</v>
      </c>
      <c r="I6" s="22" t="s">
        <v>51</v>
      </c>
      <c r="J6" s="24" t="s">
        <v>73</v>
      </c>
      <c r="K6" s="23"/>
      <c r="L6" s="10" t="str">
        <f>"150,0"</f>
        <v>150,0</v>
      </c>
      <c r="M6" s="11" t="str">
        <f>"148,9425"</f>
        <v>148,9425</v>
      </c>
      <c r="N6" s="10" t="s">
        <v>270</v>
      </c>
    </row>
    <row r="7" spans="1:14">
      <c r="B7" s="20" t="s">
        <v>114</v>
      </c>
    </row>
    <row r="8" spans="1:14" ht="15">
      <c r="A8" s="68" t="s">
        <v>32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25" t="s">
        <v>113</v>
      </c>
      <c r="B9" s="25" t="s">
        <v>282</v>
      </c>
      <c r="C9" s="10" t="s">
        <v>283</v>
      </c>
      <c r="D9" s="10" t="s">
        <v>284</v>
      </c>
      <c r="E9" s="10" t="str">
        <f>"0,9404"</f>
        <v>0,9404</v>
      </c>
      <c r="F9" s="10" t="s">
        <v>265</v>
      </c>
      <c r="G9" s="10" t="s">
        <v>266</v>
      </c>
      <c r="H9" s="22" t="s">
        <v>51</v>
      </c>
      <c r="I9" s="24" t="s">
        <v>73</v>
      </c>
      <c r="J9" s="24" t="s">
        <v>73</v>
      </c>
      <c r="K9" s="23"/>
      <c r="L9" s="10" t="str">
        <f>"150,0"</f>
        <v>150,0</v>
      </c>
      <c r="M9" s="11" t="str">
        <f>"141,0600"</f>
        <v>141,0600</v>
      </c>
      <c r="N9" s="10" t="s">
        <v>270</v>
      </c>
    </row>
    <row r="10" spans="1:14">
      <c r="B10" s="20" t="s">
        <v>114</v>
      </c>
    </row>
    <row r="11" spans="1:14" ht="15">
      <c r="A11" s="68" t="s">
        <v>272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4">
      <c r="A12" s="25" t="s">
        <v>113</v>
      </c>
      <c r="B12" s="25" t="s">
        <v>498</v>
      </c>
      <c r="C12" s="10" t="s">
        <v>499</v>
      </c>
      <c r="D12" s="10" t="s">
        <v>500</v>
      </c>
      <c r="E12" s="10" t="str">
        <f>"0,9257"</f>
        <v>0,9257</v>
      </c>
      <c r="F12" s="10" t="s">
        <v>49</v>
      </c>
      <c r="G12" s="10" t="s">
        <v>71</v>
      </c>
      <c r="H12" s="22" t="s">
        <v>184</v>
      </c>
      <c r="I12" s="22" t="s">
        <v>63</v>
      </c>
      <c r="J12" s="24" t="s">
        <v>501</v>
      </c>
      <c r="K12" s="23"/>
      <c r="L12" s="10" t="str">
        <f>"135,0"</f>
        <v>135,0</v>
      </c>
      <c r="M12" s="11" t="str">
        <f>"124,9628"</f>
        <v>124,9628</v>
      </c>
      <c r="N12" s="10" t="s">
        <v>502</v>
      </c>
    </row>
    <row r="13" spans="1:14">
      <c r="B13" s="20" t="s">
        <v>114</v>
      </c>
    </row>
    <row r="14" spans="1:14" ht="15">
      <c r="A14" s="68" t="s">
        <v>160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pans="1:14">
      <c r="A15" s="41" t="s">
        <v>113</v>
      </c>
      <c r="B15" s="41" t="s">
        <v>335</v>
      </c>
      <c r="C15" s="26" t="s">
        <v>503</v>
      </c>
      <c r="D15" s="26" t="s">
        <v>337</v>
      </c>
      <c r="E15" s="26" t="str">
        <f>"0,6718"</f>
        <v>0,6718</v>
      </c>
      <c r="F15" s="26" t="s">
        <v>265</v>
      </c>
      <c r="G15" s="26" t="s">
        <v>266</v>
      </c>
      <c r="H15" s="33" t="s">
        <v>122</v>
      </c>
      <c r="I15" s="33" t="s">
        <v>65</v>
      </c>
      <c r="J15" s="34" t="s">
        <v>229</v>
      </c>
      <c r="K15" s="32"/>
      <c r="L15" s="26" t="str">
        <f>"220,0"</f>
        <v>220,0</v>
      </c>
      <c r="M15" s="27" t="str">
        <f>"147,7960"</f>
        <v>147,7960</v>
      </c>
      <c r="N15" s="26" t="s">
        <v>270</v>
      </c>
    </row>
    <row r="16" spans="1:14">
      <c r="A16" s="42" t="s">
        <v>213</v>
      </c>
      <c r="B16" s="42" t="s">
        <v>295</v>
      </c>
      <c r="C16" s="28" t="s">
        <v>296</v>
      </c>
      <c r="D16" s="28" t="s">
        <v>297</v>
      </c>
      <c r="E16" s="28" t="str">
        <f>"0,6482"</f>
        <v>0,6482</v>
      </c>
      <c r="F16" s="28" t="s">
        <v>49</v>
      </c>
      <c r="G16" s="28" t="s">
        <v>298</v>
      </c>
      <c r="H16" s="36" t="s">
        <v>60</v>
      </c>
      <c r="I16" s="36" t="s">
        <v>122</v>
      </c>
      <c r="J16" s="36" t="s">
        <v>294</v>
      </c>
      <c r="K16" s="35"/>
      <c r="L16" s="28" t="str">
        <f>"215,0"</f>
        <v>215,0</v>
      </c>
      <c r="M16" s="29" t="str">
        <f>"139,3630"</f>
        <v>139,3630</v>
      </c>
      <c r="N16" s="28" t="s">
        <v>299</v>
      </c>
    </row>
    <row r="17" spans="1:14">
      <c r="B17" s="20" t="s">
        <v>114</v>
      </c>
    </row>
    <row r="18" spans="1:14" ht="15">
      <c r="A18" s="68" t="s">
        <v>175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4">
      <c r="A19" s="25" t="s">
        <v>113</v>
      </c>
      <c r="B19" s="25" t="s">
        <v>394</v>
      </c>
      <c r="C19" s="10" t="s">
        <v>395</v>
      </c>
      <c r="D19" s="10" t="s">
        <v>178</v>
      </c>
      <c r="E19" s="10" t="str">
        <f>"0,6130"</f>
        <v>0,6130</v>
      </c>
      <c r="F19" s="10" t="s">
        <v>49</v>
      </c>
      <c r="G19" s="10" t="s">
        <v>50</v>
      </c>
      <c r="H19" s="22" t="s">
        <v>62</v>
      </c>
      <c r="I19" s="22" t="s">
        <v>64</v>
      </c>
      <c r="J19" s="22" t="s">
        <v>504</v>
      </c>
      <c r="K19" s="23"/>
      <c r="L19" s="10" t="str">
        <f>"222,5"</f>
        <v>222,5</v>
      </c>
      <c r="M19" s="11" t="str">
        <f>"136,3925"</f>
        <v>136,3925</v>
      </c>
      <c r="N19" s="10" t="s">
        <v>31</v>
      </c>
    </row>
    <row r="20" spans="1:14">
      <c r="B20" s="20" t="s">
        <v>114</v>
      </c>
    </row>
    <row r="21" spans="1:14" ht="15">
      <c r="A21" s="68" t="s">
        <v>55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4">
      <c r="A22" s="25" t="s">
        <v>147</v>
      </c>
      <c r="B22" s="25" t="s">
        <v>416</v>
      </c>
      <c r="C22" s="10" t="s">
        <v>417</v>
      </c>
      <c r="D22" s="10" t="s">
        <v>418</v>
      </c>
      <c r="E22" s="10" t="str">
        <f>"0,5813"</f>
        <v>0,5813</v>
      </c>
      <c r="F22" s="10" t="s">
        <v>49</v>
      </c>
      <c r="G22" s="10" t="s">
        <v>370</v>
      </c>
      <c r="H22" s="23"/>
      <c r="I22" s="23"/>
      <c r="J22" s="23"/>
      <c r="K22" s="23"/>
      <c r="L22" s="10" t="str">
        <f>"0.00"</f>
        <v>0.00</v>
      </c>
      <c r="M22" s="11" t="str">
        <f>"0,0000"</f>
        <v>0,0000</v>
      </c>
      <c r="N22" s="10" t="s">
        <v>31</v>
      </c>
    </row>
    <row r="23" spans="1:14">
      <c r="B23" s="20" t="s">
        <v>114</v>
      </c>
    </row>
    <row r="24" spans="1:14" ht="15">
      <c r="A24" s="68" t="s">
        <v>66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4">
      <c r="A25" s="41" t="s">
        <v>113</v>
      </c>
      <c r="B25" s="41" t="s">
        <v>344</v>
      </c>
      <c r="C25" s="26" t="s">
        <v>345</v>
      </c>
      <c r="D25" s="26" t="s">
        <v>346</v>
      </c>
      <c r="E25" s="26" t="str">
        <f>"0,5632"</f>
        <v>0,5632</v>
      </c>
      <c r="F25" s="26" t="s">
        <v>265</v>
      </c>
      <c r="G25" s="26" t="s">
        <v>266</v>
      </c>
      <c r="H25" s="33" t="s">
        <v>131</v>
      </c>
      <c r="I25" s="33" t="s">
        <v>140</v>
      </c>
      <c r="J25" s="33" t="s">
        <v>133</v>
      </c>
      <c r="K25" s="32"/>
      <c r="L25" s="26" t="str">
        <f>"310,0"</f>
        <v>310,0</v>
      </c>
      <c r="M25" s="27" t="str">
        <f>"174,5920"</f>
        <v>174,5920</v>
      </c>
      <c r="N25" s="26" t="s">
        <v>270</v>
      </c>
    </row>
    <row r="26" spans="1:14">
      <c r="A26" s="42" t="s">
        <v>213</v>
      </c>
      <c r="B26" s="42" t="s">
        <v>505</v>
      </c>
      <c r="C26" s="28" t="s">
        <v>506</v>
      </c>
      <c r="D26" s="28" t="s">
        <v>507</v>
      </c>
      <c r="E26" s="28" t="str">
        <f>"0,5667"</f>
        <v>0,5667</v>
      </c>
      <c r="F26" s="28" t="s">
        <v>49</v>
      </c>
      <c r="G26" s="28" t="s">
        <v>50</v>
      </c>
      <c r="H26" s="36" t="s">
        <v>128</v>
      </c>
      <c r="I26" s="36" t="s">
        <v>303</v>
      </c>
      <c r="J26" s="37" t="s">
        <v>508</v>
      </c>
      <c r="K26" s="35"/>
      <c r="L26" s="28" t="str">
        <f>"260,0"</f>
        <v>260,0</v>
      </c>
      <c r="M26" s="29" t="str">
        <f>"147,3550"</f>
        <v>147,3550</v>
      </c>
      <c r="N26" s="28" t="s">
        <v>31</v>
      </c>
    </row>
    <row r="27" spans="1:14">
      <c r="B27" s="20" t="s">
        <v>114</v>
      </c>
    </row>
    <row r="28" spans="1:14" ht="15">
      <c r="A28" s="68" t="s">
        <v>135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4">
      <c r="A29" s="25" t="s">
        <v>113</v>
      </c>
      <c r="B29" s="25" t="s">
        <v>304</v>
      </c>
      <c r="C29" s="10" t="s">
        <v>305</v>
      </c>
      <c r="D29" s="10" t="s">
        <v>306</v>
      </c>
      <c r="E29" s="10" t="str">
        <f>"0,5515"</f>
        <v>0,5515</v>
      </c>
      <c r="F29" s="10" t="s">
        <v>307</v>
      </c>
      <c r="G29" s="10" t="s">
        <v>50</v>
      </c>
      <c r="H29" s="22" t="s">
        <v>75</v>
      </c>
      <c r="I29" s="22" t="s">
        <v>308</v>
      </c>
      <c r="J29" s="22" t="s">
        <v>309</v>
      </c>
      <c r="K29" s="23"/>
      <c r="L29" s="10" t="str">
        <f>"305,0"</f>
        <v>305,0</v>
      </c>
      <c r="M29" s="11" t="str">
        <f>"168,1923"</f>
        <v>168,1923</v>
      </c>
      <c r="N29" s="10" t="s">
        <v>31</v>
      </c>
    </row>
    <row r="30" spans="1:14">
      <c r="B30" s="20" t="s">
        <v>114</v>
      </c>
    </row>
    <row r="31" spans="1:14" ht="15">
      <c r="B31" s="20" t="s">
        <v>114</v>
      </c>
      <c r="F31" s="12" t="s">
        <v>602</v>
      </c>
    </row>
    <row r="32" spans="1:14" ht="15">
      <c r="B32" s="20" t="s">
        <v>114</v>
      </c>
      <c r="F32" s="12" t="s">
        <v>603</v>
      </c>
    </row>
    <row r="33" spans="2:7" ht="15">
      <c r="B33" s="20" t="s">
        <v>114</v>
      </c>
      <c r="F33" s="12" t="s">
        <v>604</v>
      </c>
    </row>
    <row r="34" spans="2:7" ht="15">
      <c r="B34" s="20" t="s">
        <v>114</v>
      </c>
      <c r="F34" s="12" t="s">
        <v>605</v>
      </c>
    </row>
    <row r="35" spans="2:7" ht="15">
      <c r="B35" s="20" t="s">
        <v>114</v>
      </c>
      <c r="F35" s="12" t="s">
        <v>606</v>
      </c>
    </row>
    <row r="36" spans="2:7" ht="15">
      <c r="B36" s="20" t="s">
        <v>114</v>
      </c>
      <c r="F36" s="12" t="s">
        <v>607</v>
      </c>
    </row>
    <row r="37" spans="2:7" ht="15">
      <c r="B37" s="20" t="s">
        <v>114</v>
      </c>
      <c r="F37" s="12"/>
    </row>
    <row r="38" spans="2:7">
      <c r="B38" s="20" t="s">
        <v>114</v>
      </c>
    </row>
    <row r="39" spans="2:7" ht="18">
      <c r="B39" s="20" t="s">
        <v>114</v>
      </c>
      <c r="C39" s="13" t="s">
        <v>76</v>
      </c>
      <c r="D39" s="13"/>
    </row>
    <row r="40" spans="2:7" ht="15">
      <c r="B40" s="20" t="s">
        <v>114</v>
      </c>
      <c r="C40" s="14" t="s">
        <v>77</v>
      </c>
      <c r="D40" s="14"/>
    </row>
    <row r="41" spans="2:7" ht="14.25">
      <c r="B41" s="20" t="s">
        <v>114</v>
      </c>
      <c r="C41" s="16"/>
      <c r="D41" s="17" t="s">
        <v>78</v>
      </c>
    </row>
    <row r="42" spans="2:7" ht="15">
      <c r="B42" s="20" t="s">
        <v>114</v>
      </c>
      <c r="C42" s="18" t="s">
        <v>79</v>
      </c>
      <c r="D42" s="18" t="s">
        <v>80</v>
      </c>
      <c r="E42" s="18" t="s">
        <v>81</v>
      </c>
      <c r="F42" s="18" t="s">
        <v>82</v>
      </c>
      <c r="G42" s="18" t="s">
        <v>83</v>
      </c>
    </row>
    <row r="43" spans="2:7">
      <c r="B43" s="20" t="s">
        <v>114</v>
      </c>
      <c r="C43" s="15" t="s">
        <v>332</v>
      </c>
      <c r="D43" s="20" t="s">
        <v>78</v>
      </c>
      <c r="E43" s="21" t="s">
        <v>89</v>
      </c>
      <c r="F43" s="21" t="s">
        <v>51</v>
      </c>
      <c r="G43" s="21" t="s">
        <v>509</v>
      </c>
    </row>
    <row r="44" spans="2:7">
      <c r="B44" s="20" t="s">
        <v>114</v>
      </c>
      <c r="C44" s="15" t="s">
        <v>282</v>
      </c>
      <c r="D44" s="20" t="s">
        <v>78</v>
      </c>
      <c r="E44" s="21" t="s">
        <v>84</v>
      </c>
      <c r="F44" s="21" t="s">
        <v>51</v>
      </c>
      <c r="G44" s="21" t="s">
        <v>510</v>
      </c>
    </row>
    <row r="45" spans="2:7">
      <c r="B45" s="20" t="s">
        <v>114</v>
      </c>
    </row>
    <row r="46" spans="2:7">
      <c r="B46" s="20" t="s">
        <v>114</v>
      </c>
    </row>
    <row r="47" spans="2:7" ht="15">
      <c r="B47" s="20" t="s">
        <v>114</v>
      </c>
      <c r="C47" s="14" t="s">
        <v>92</v>
      </c>
      <c r="D47" s="14"/>
    </row>
    <row r="48" spans="2:7" ht="14.25">
      <c r="B48" s="20" t="s">
        <v>114</v>
      </c>
      <c r="C48" s="16"/>
      <c r="D48" s="17" t="s">
        <v>93</v>
      </c>
    </row>
    <row r="49" spans="2:7" ht="15">
      <c r="B49" s="20" t="s">
        <v>114</v>
      </c>
      <c r="C49" s="18" t="s">
        <v>79</v>
      </c>
      <c r="D49" s="18" t="s">
        <v>80</v>
      </c>
      <c r="E49" s="18" t="s">
        <v>81</v>
      </c>
      <c r="F49" s="18" t="s">
        <v>82</v>
      </c>
      <c r="G49" s="18" t="s">
        <v>83</v>
      </c>
    </row>
    <row r="50" spans="2:7">
      <c r="B50" s="20" t="s">
        <v>114</v>
      </c>
      <c r="C50" s="15" t="s">
        <v>394</v>
      </c>
      <c r="D50" s="20" t="s">
        <v>311</v>
      </c>
      <c r="E50" s="21" t="s">
        <v>203</v>
      </c>
      <c r="F50" s="21" t="s">
        <v>504</v>
      </c>
      <c r="G50" s="21" t="s">
        <v>511</v>
      </c>
    </row>
    <row r="51" spans="2:7">
      <c r="B51" s="20" t="s">
        <v>114</v>
      </c>
    </row>
    <row r="52" spans="2:7" ht="14.25">
      <c r="B52" s="20" t="s">
        <v>114</v>
      </c>
      <c r="C52" s="16"/>
      <c r="D52" s="17" t="s">
        <v>78</v>
      </c>
    </row>
    <row r="53" spans="2:7" ht="15">
      <c r="B53" s="20" t="s">
        <v>114</v>
      </c>
      <c r="C53" s="18" t="s">
        <v>79</v>
      </c>
      <c r="D53" s="18" t="s">
        <v>80</v>
      </c>
      <c r="E53" s="18" t="s">
        <v>81</v>
      </c>
      <c r="F53" s="18" t="s">
        <v>82</v>
      </c>
      <c r="G53" s="18" t="s">
        <v>83</v>
      </c>
    </row>
    <row r="54" spans="2:7">
      <c r="B54" s="20" t="s">
        <v>114</v>
      </c>
      <c r="C54" s="15" t="s">
        <v>344</v>
      </c>
      <c r="D54" s="20" t="s">
        <v>78</v>
      </c>
      <c r="E54" s="21" t="s">
        <v>98</v>
      </c>
      <c r="F54" s="21" t="s">
        <v>133</v>
      </c>
      <c r="G54" s="21" t="s">
        <v>512</v>
      </c>
    </row>
    <row r="55" spans="2:7">
      <c r="B55" s="20" t="s">
        <v>114</v>
      </c>
      <c r="C55" s="15" t="s">
        <v>304</v>
      </c>
      <c r="D55" s="20" t="s">
        <v>78</v>
      </c>
      <c r="E55" s="21" t="s">
        <v>241</v>
      </c>
      <c r="F55" s="21" t="s">
        <v>309</v>
      </c>
      <c r="G55" s="21" t="s">
        <v>513</v>
      </c>
    </row>
    <row r="56" spans="2:7">
      <c r="B56" s="20" t="s">
        <v>114</v>
      </c>
      <c r="C56" s="15" t="s">
        <v>335</v>
      </c>
      <c r="D56" s="20" t="s">
        <v>78</v>
      </c>
      <c r="E56" s="21" t="s">
        <v>200</v>
      </c>
      <c r="F56" s="21" t="s">
        <v>65</v>
      </c>
      <c r="G56" s="21" t="s">
        <v>514</v>
      </c>
    </row>
    <row r="57" spans="2:7">
      <c r="B57" s="20" t="s">
        <v>114</v>
      </c>
    </row>
    <row r="58" spans="2:7">
      <c r="B58" s="20" t="s">
        <v>114</v>
      </c>
    </row>
    <row r="59" spans="2:7">
      <c r="B59" s="20" t="s">
        <v>114</v>
      </c>
    </row>
    <row r="60" spans="2:7">
      <c r="B60" s="20" t="s">
        <v>114</v>
      </c>
    </row>
    <row r="61" spans="2:7" ht="18">
      <c r="B61" s="20" t="s">
        <v>114</v>
      </c>
      <c r="C61" s="13" t="s">
        <v>105</v>
      </c>
      <c r="D61" s="13"/>
    </row>
    <row r="62" spans="2:7" ht="15">
      <c r="B62" s="20" t="s">
        <v>114</v>
      </c>
      <c r="C62" s="18" t="s">
        <v>106</v>
      </c>
      <c r="D62" s="18" t="s">
        <v>107</v>
      </c>
      <c r="E62" s="18" t="s">
        <v>108</v>
      </c>
    </row>
    <row r="63" spans="2:7">
      <c r="B63" s="20" t="s">
        <v>114</v>
      </c>
      <c r="C63" s="4" t="s">
        <v>265</v>
      </c>
      <c r="D63" s="4" t="s">
        <v>246</v>
      </c>
      <c r="E63" s="4" t="s">
        <v>515</v>
      </c>
    </row>
    <row r="64" spans="2:7">
      <c r="B64" s="20" t="s">
        <v>114</v>
      </c>
      <c r="C64" s="4" t="s">
        <v>307</v>
      </c>
      <c r="D64" s="4" t="s">
        <v>111</v>
      </c>
      <c r="E64" s="4" t="s">
        <v>330</v>
      </c>
    </row>
    <row r="65" spans="2:2">
      <c r="B65" s="20" t="s">
        <v>114</v>
      </c>
    </row>
  </sheetData>
  <mergeCells count="20">
    <mergeCell ref="A28:K28"/>
    <mergeCell ref="B3:B4"/>
    <mergeCell ref="A8:K8"/>
    <mergeCell ref="A11:K11"/>
    <mergeCell ref="A14:K14"/>
    <mergeCell ref="A18:K18"/>
    <mergeCell ref="A21:K21"/>
    <mergeCell ref="A24:K2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4"/>
  <sheetViews>
    <sheetView workbookViewId="0">
      <selection activeCell="F22" sqref="F22:J27"/>
    </sheetView>
  </sheetViews>
  <sheetFormatPr defaultRowHeight="12.75"/>
  <cols>
    <col min="1" max="1" width="7.42578125" style="20" bestFit="1" customWidth="1"/>
    <col min="2" max="2" width="20.42578125" style="20" customWidth="1"/>
    <col min="3" max="3" width="28.42578125" style="4" customWidth="1"/>
    <col min="4" max="4" width="15.85546875" style="4" customWidth="1"/>
    <col min="5" max="5" width="8.5703125" style="4" customWidth="1"/>
    <col min="6" max="6" width="13.42578125" style="4" customWidth="1"/>
    <col min="7" max="7" width="33.42578125" style="4" bestFit="1" customWidth="1"/>
    <col min="8" max="10" width="5.5703125" style="2" customWidth="1"/>
    <col min="11" max="11" width="4.85546875" style="2" customWidth="1"/>
    <col min="12" max="12" width="7.85546875" style="4" bestFit="1" customWidth="1"/>
    <col min="13" max="13" width="8.5703125" style="3" bestFit="1" customWidth="1"/>
    <col min="14" max="14" width="13.140625" style="4" bestFit="1" customWidth="1"/>
    <col min="15" max="16384" width="9.140625" style="3"/>
  </cols>
  <sheetData>
    <row r="1" spans="1:14" s="2" customFormat="1" ht="29.1" customHeight="1">
      <c r="A1" s="61" t="s">
        <v>459</v>
      </c>
      <c r="B1" s="6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s="1" customFormat="1" ht="12.75" customHeight="1">
      <c r="A3" s="49" t="s">
        <v>115</v>
      </c>
      <c r="B3" s="66" t="s">
        <v>0</v>
      </c>
      <c r="C3" s="51" t="s">
        <v>6</v>
      </c>
      <c r="D3" s="51" t="s">
        <v>10</v>
      </c>
      <c r="E3" s="53" t="s">
        <v>12</v>
      </c>
      <c r="F3" s="53" t="s">
        <v>4</v>
      </c>
      <c r="G3" s="54" t="s">
        <v>7</v>
      </c>
      <c r="H3" s="57" t="s">
        <v>15</v>
      </c>
      <c r="I3" s="53"/>
      <c r="J3" s="53"/>
      <c r="K3" s="54"/>
      <c r="L3" s="57" t="s">
        <v>212</v>
      </c>
      <c r="M3" s="53" t="s">
        <v>3</v>
      </c>
      <c r="N3" s="56" t="s">
        <v>2</v>
      </c>
    </row>
    <row r="4" spans="1:14" s="1" customFormat="1" ht="21" customHeight="1" thickBot="1">
      <c r="A4" s="50"/>
      <c r="B4" s="67"/>
      <c r="C4" s="52"/>
      <c r="D4" s="52"/>
      <c r="E4" s="52"/>
      <c r="F4" s="52"/>
      <c r="G4" s="55"/>
      <c r="H4" s="8">
        <v>1</v>
      </c>
      <c r="I4" s="6">
        <v>2</v>
      </c>
      <c r="J4" s="6">
        <v>3</v>
      </c>
      <c r="K4" s="9" t="s">
        <v>5</v>
      </c>
      <c r="L4" s="63"/>
      <c r="M4" s="52"/>
      <c r="N4" s="60"/>
    </row>
    <row r="5" spans="1:14" ht="15">
      <c r="A5" s="64" t="s">
        <v>272</v>
      </c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1:14">
      <c r="A6" s="25" t="s">
        <v>113</v>
      </c>
      <c r="B6" s="25" t="s">
        <v>460</v>
      </c>
      <c r="C6" s="10" t="s">
        <v>461</v>
      </c>
      <c r="D6" s="10" t="s">
        <v>462</v>
      </c>
      <c r="E6" s="10" t="str">
        <f>"1,0684"</f>
        <v>1,0684</v>
      </c>
      <c r="F6" s="10" t="s">
        <v>70</v>
      </c>
      <c r="G6" s="10" t="s">
        <v>71</v>
      </c>
      <c r="H6" s="22" t="s">
        <v>267</v>
      </c>
      <c r="I6" s="22" t="s">
        <v>260</v>
      </c>
      <c r="J6" s="22" t="s">
        <v>52</v>
      </c>
      <c r="K6" s="23"/>
      <c r="L6" s="10" t="str">
        <f>"90,0"</f>
        <v>90,0</v>
      </c>
      <c r="M6" s="11" t="str">
        <f>"96,1560"</f>
        <v>96,1560</v>
      </c>
      <c r="N6" s="10" t="s">
        <v>463</v>
      </c>
    </row>
    <row r="7" spans="1:14">
      <c r="B7" s="20" t="s">
        <v>114</v>
      </c>
    </row>
    <row r="8" spans="1:14" ht="15">
      <c r="A8" s="68" t="s">
        <v>160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4">
      <c r="A9" s="41" t="s">
        <v>113</v>
      </c>
      <c r="B9" s="41" t="s">
        <v>464</v>
      </c>
      <c r="C9" s="26" t="s">
        <v>465</v>
      </c>
      <c r="D9" s="26" t="s">
        <v>466</v>
      </c>
      <c r="E9" s="26" t="str">
        <f>"0,6589"</f>
        <v>0,6589</v>
      </c>
      <c r="F9" s="26" t="s">
        <v>360</v>
      </c>
      <c r="G9" s="26" t="s">
        <v>71</v>
      </c>
      <c r="H9" s="33" t="s">
        <v>39</v>
      </c>
      <c r="I9" s="33" t="s">
        <v>42</v>
      </c>
      <c r="J9" s="33" t="s">
        <v>157</v>
      </c>
      <c r="K9" s="32"/>
      <c r="L9" s="26" t="str">
        <f>"165,0"</f>
        <v>165,0</v>
      </c>
      <c r="M9" s="27" t="str">
        <f>"108,7267"</f>
        <v>108,7267</v>
      </c>
      <c r="N9" s="26" t="s">
        <v>31</v>
      </c>
    </row>
    <row r="10" spans="1:14">
      <c r="A10" s="42" t="s">
        <v>113</v>
      </c>
      <c r="B10" s="42" t="s">
        <v>467</v>
      </c>
      <c r="C10" s="28" t="s">
        <v>468</v>
      </c>
      <c r="D10" s="28" t="s">
        <v>469</v>
      </c>
      <c r="E10" s="28" t="str">
        <f>"0,6557"</f>
        <v>0,6557</v>
      </c>
      <c r="F10" s="28" t="s">
        <v>70</v>
      </c>
      <c r="G10" s="28" t="s">
        <v>71</v>
      </c>
      <c r="H10" s="36" t="s">
        <v>51</v>
      </c>
      <c r="I10" s="36" t="s">
        <v>73</v>
      </c>
      <c r="J10" s="36" t="s">
        <v>72</v>
      </c>
      <c r="K10" s="35"/>
      <c r="L10" s="28" t="str">
        <f>"170,0"</f>
        <v>170,0</v>
      </c>
      <c r="M10" s="29" t="str">
        <f>"111,4605"</f>
        <v>111,4605</v>
      </c>
      <c r="N10" s="28" t="s">
        <v>31</v>
      </c>
    </row>
    <row r="11" spans="1:14">
      <c r="B11" s="20" t="s">
        <v>114</v>
      </c>
    </row>
    <row r="12" spans="1:14" ht="15">
      <c r="A12" s="68" t="s">
        <v>175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>
      <c r="A13" s="41" t="s">
        <v>113</v>
      </c>
      <c r="B13" s="41" t="s">
        <v>470</v>
      </c>
      <c r="C13" s="26" t="s">
        <v>471</v>
      </c>
      <c r="D13" s="26" t="s">
        <v>472</v>
      </c>
      <c r="E13" s="26" t="str">
        <f>"0,6259"</f>
        <v>0,6259</v>
      </c>
      <c r="F13" s="26" t="s">
        <v>70</v>
      </c>
      <c r="G13" s="26" t="s">
        <v>71</v>
      </c>
      <c r="H13" s="33" t="s">
        <v>60</v>
      </c>
      <c r="I13" s="34" t="s">
        <v>61</v>
      </c>
      <c r="J13" s="34" t="s">
        <v>62</v>
      </c>
      <c r="K13" s="32"/>
      <c r="L13" s="26" t="str">
        <f>"180,0"</f>
        <v>180,0</v>
      </c>
      <c r="M13" s="27" t="str">
        <f>"112,6710"</f>
        <v>112,6710</v>
      </c>
      <c r="N13" s="26" t="s">
        <v>31</v>
      </c>
    </row>
    <row r="14" spans="1:14">
      <c r="A14" s="42" t="s">
        <v>113</v>
      </c>
      <c r="B14" s="42" t="s">
        <v>473</v>
      </c>
      <c r="C14" s="28" t="s">
        <v>474</v>
      </c>
      <c r="D14" s="28" t="s">
        <v>475</v>
      </c>
      <c r="E14" s="28" t="str">
        <f>"0,6402"</f>
        <v>0,6402</v>
      </c>
      <c r="F14" s="28" t="s">
        <v>49</v>
      </c>
      <c r="G14" s="28" t="s">
        <v>36</v>
      </c>
      <c r="H14" s="36" t="s">
        <v>64</v>
      </c>
      <c r="I14" s="36" t="s">
        <v>65</v>
      </c>
      <c r="J14" s="36" t="s">
        <v>224</v>
      </c>
      <c r="K14" s="35"/>
      <c r="L14" s="28" t="str">
        <f>"230,0"</f>
        <v>230,0</v>
      </c>
      <c r="M14" s="29" t="str">
        <f>"147,2345"</f>
        <v>147,2345</v>
      </c>
      <c r="N14" s="28" t="s">
        <v>31</v>
      </c>
    </row>
    <row r="15" spans="1:14">
      <c r="B15" s="20" t="s">
        <v>114</v>
      </c>
    </row>
    <row r="16" spans="1:14" ht="15">
      <c r="A16" s="68" t="s">
        <v>66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4">
      <c r="A17" s="41" t="s">
        <v>113</v>
      </c>
      <c r="B17" s="41" t="s">
        <v>476</v>
      </c>
      <c r="C17" s="26" t="s">
        <v>477</v>
      </c>
      <c r="D17" s="26" t="s">
        <v>421</v>
      </c>
      <c r="E17" s="26" t="str">
        <f>"0,5706"</f>
        <v>0,5706</v>
      </c>
      <c r="F17" s="26" t="s">
        <v>126</v>
      </c>
      <c r="G17" s="26" t="s">
        <v>127</v>
      </c>
      <c r="H17" s="33" t="s">
        <v>75</v>
      </c>
      <c r="I17" s="33" t="s">
        <v>308</v>
      </c>
      <c r="J17" s="34" t="s">
        <v>140</v>
      </c>
      <c r="K17" s="32"/>
      <c r="L17" s="26" t="str">
        <f>"290,0"</f>
        <v>290,0</v>
      </c>
      <c r="M17" s="27" t="str">
        <f>"165,4885"</f>
        <v>165,4885</v>
      </c>
      <c r="N17" s="26" t="s">
        <v>141</v>
      </c>
    </row>
    <row r="18" spans="1:14">
      <c r="A18" s="43" t="s">
        <v>213</v>
      </c>
      <c r="B18" s="43" t="s">
        <v>478</v>
      </c>
      <c r="C18" s="30" t="s">
        <v>479</v>
      </c>
      <c r="D18" s="30" t="s">
        <v>480</v>
      </c>
      <c r="E18" s="30" t="str">
        <f>"0,5677"</f>
        <v>0,5677</v>
      </c>
      <c r="F18" s="30" t="s">
        <v>70</v>
      </c>
      <c r="G18" s="30" t="s">
        <v>71</v>
      </c>
      <c r="H18" s="39" t="s">
        <v>75</v>
      </c>
      <c r="I18" s="39" t="s">
        <v>481</v>
      </c>
      <c r="J18" s="40" t="s">
        <v>140</v>
      </c>
      <c r="K18" s="38"/>
      <c r="L18" s="30" t="str">
        <f>"285,0"</f>
        <v>285,0</v>
      </c>
      <c r="M18" s="31" t="str">
        <f>"161,7803"</f>
        <v>161,7803</v>
      </c>
      <c r="N18" s="30" t="s">
        <v>31</v>
      </c>
    </row>
    <row r="19" spans="1:14">
      <c r="A19" s="43" t="s">
        <v>443</v>
      </c>
      <c r="B19" s="43" t="s">
        <v>196</v>
      </c>
      <c r="C19" s="30" t="s">
        <v>197</v>
      </c>
      <c r="D19" s="30" t="s">
        <v>198</v>
      </c>
      <c r="E19" s="30" t="str">
        <f>"0,5673"</f>
        <v>0,5673</v>
      </c>
      <c r="F19" s="30" t="s">
        <v>49</v>
      </c>
      <c r="G19" s="30" t="s">
        <v>127</v>
      </c>
      <c r="H19" s="39" t="s">
        <v>62</v>
      </c>
      <c r="I19" s="39" t="s">
        <v>64</v>
      </c>
      <c r="J19" s="39" t="s">
        <v>224</v>
      </c>
      <c r="K19" s="38"/>
      <c r="L19" s="30" t="str">
        <f>"230,0"</f>
        <v>230,0</v>
      </c>
      <c r="M19" s="31" t="str">
        <f>"130,4790"</f>
        <v>130,4790</v>
      </c>
      <c r="N19" s="30" t="s">
        <v>31</v>
      </c>
    </row>
    <row r="20" spans="1:14">
      <c r="A20" s="42" t="s">
        <v>113</v>
      </c>
      <c r="B20" s="42" t="s">
        <v>482</v>
      </c>
      <c r="C20" s="28" t="s">
        <v>483</v>
      </c>
      <c r="D20" s="28" t="s">
        <v>484</v>
      </c>
      <c r="E20" s="28" t="str">
        <f>"0,5810"</f>
        <v>0,5810</v>
      </c>
      <c r="F20" s="28" t="s">
        <v>360</v>
      </c>
      <c r="G20" s="28" t="s">
        <v>71</v>
      </c>
      <c r="H20" s="36" t="s">
        <v>61</v>
      </c>
      <c r="I20" s="36" t="s">
        <v>122</v>
      </c>
      <c r="J20" s="36" t="s">
        <v>139</v>
      </c>
      <c r="K20" s="35"/>
      <c r="L20" s="28" t="str">
        <f>"205,0"</f>
        <v>205,0</v>
      </c>
      <c r="M20" s="29" t="str">
        <f>"176,2906"</f>
        <v>176,2906</v>
      </c>
      <c r="N20" s="28" t="s">
        <v>31</v>
      </c>
    </row>
    <row r="21" spans="1:14">
      <c r="B21" s="20" t="s">
        <v>114</v>
      </c>
    </row>
    <row r="22" spans="1:14" ht="15">
      <c r="B22" s="20" t="s">
        <v>114</v>
      </c>
      <c r="F22" s="12" t="s">
        <v>602</v>
      </c>
    </row>
    <row r="23" spans="1:14" ht="15">
      <c r="B23" s="20" t="s">
        <v>114</v>
      </c>
      <c r="F23" s="12" t="s">
        <v>603</v>
      </c>
    </row>
    <row r="24" spans="1:14" ht="15">
      <c r="B24" s="20" t="s">
        <v>114</v>
      </c>
      <c r="F24" s="12" t="s">
        <v>604</v>
      </c>
    </row>
    <row r="25" spans="1:14" ht="15">
      <c r="B25" s="20" t="s">
        <v>114</v>
      </c>
      <c r="F25" s="12" t="s">
        <v>605</v>
      </c>
    </row>
    <row r="26" spans="1:14" ht="15">
      <c r="B26" s="20" t="s">
        <v>114</v>
      </c>
      <c r="F26" s="12" t="s">
        <v>606</v>
      </c>
    </row>
    <row r="27" spans="1:14" ht="15">
      <c r="B27" s="20" t="s">
        <v>114</v>
      </c>
      <c r="F27" s="12" t="s">
        <v>607</v>
      </c>
    </row>
    <row r="28" spans="1:14" ht="15">
      <c r="B28" s="20" t="s">
        <v>114</v>
      </c>
      <c r="F28" s="12"/>
    </row>
    <row r="29" spans="1:14">
      <c r="B29" s="20" t="s">
        <v>114</v>
      </c>
    </row>
    <row r="30" spans="1:14" ht="18">
      <c r="B30" s="20" t="s">
        <v>114</v>
      </c>
      <c r="C30" s="13" t="s">
        <v>76</v>
      </c>
      <c r="D30" s="13"/>
    </row>
    <row r="31" spans="1:14" ht="15">
      <c r="B31" s="20" t="s">
        <v>114</v>
      </c>
      <c r="C31" s="14" t="s">
        <v>77</v>
      </c>
      <c r="D31" s="14"/>
    </row>
    <row r="32" spans="1:14" ht="14.25">
      <c r="B32" s="20" t="s">
        <v>114</v>
      </c>
      <c r="C32" s="16"/>
      <c r="D32" s="17" t="s">
        <v>310</v>
      </c>
    </row>
    <row r="33" spans="2:7" ht="15">
      <c r="B33" s="20" t="s">
        <v>114</v>
      </c>
      <c r="C33" s="18" t="s">
        <v>79</v>
      </c>
      <c r="D33" s="18" t="s">
        <v>80</v>
      </c>
      <c r="E33" s="18" t="s">
        <v>81</v>
      </c>
      <c r="F33" s="18" t="s">
        <v>82</v>
      </c>
      <c r="G33" s="18" t="s">
        <v>83</v>
      </c>
    </row>
    <row r="34" spans="2:7">
      <c r="B34" s="20" t="s">
        <v>114</v>
      </c>
      <c r="C34" s="15" t="s">
        <v>460</v>
      </c>
      <c r="D34" s="20" t="s">
        <v>94</v>
      </c>
      <c r="E34" s="21" t="s">
        <v>314</v>
      </c>
      <c r="F34" s="21" t="s">
        <v>52</v>
      </c>
      <c r="G34" s="21" t="s">
        <v>485</v>
      </c>
    </row>
    <row r="35" spans="2:7">
      <c r="B35" s="20" t="s">
        <v>114</v>
      </c>
    </row>
    <row r="36" spans="2:7">
      <c r="B36" s="20" t="s">
        <v>114</v>
      </c>
    </row>
    <row r="37" spans="2:7" ht="15">
      <c r="B37" s="20" t="s">
        <v>114</v>
      </c>
      <c r="C37" s="14" t="s">
        <v>92</v>
      </c>
      <c r="D37" s="14"/>
    </row>
    <row r="38" spans="2:7" ht="14.25">
      <c r="B38" s="20" t="s">
        <v>114</v>
      </c>
      <c r="C38" s="16"/>
      <c r="D38" s="17" t="s">
        <v>93</v>
      </c>
    </row>
    <row r="39" spans="2:7" ht="15">
      <c r="B39" s="20" t="s">
        <v>114</v>
      </c>
      <c r="C39" s="18" t="s">
        <v>79</v>
      </c>
      <c r="D39" s="18" t="s">
        <v>80</v>
      </c>
      <c r="E39" s="18" t="s">
        <v>81</v>
      </c>
      <c r="F39" s="18" t="s">
        <v>82</v>
      </c>
      <c r="G39" s="18" t="s">
        <v>83</v>
      </c>
    </row>
    <row r="40" spans="2:7">
      <c r="B40" s="20" t="s">
        <v>114</v>
      </c>
      <c r="C40" s="15" t="s">
        <v>464</v>
      </c>
      <c r="D40" s="20" t="s">
        <v>311</v>
      </c>
      <c r="E40" s="21" t="s">
        <v>200</v>
      </c>
      <c r="F40" s="21" t="s">
        <v>157</v>
      </c>
      <c r="G40" s="21" t="s">
        <v>486</v>
      </c>
    </row>
    <row r="41" spans="2:7">
      <c r="B41" s="20" t="s">
        <v>114</v>
      </c>
    </row>
    <row r="42" spans="2:7" ht="14.25">
      <c r="B42" s="20" t="s">
        <v>114</v>
      </c>
      <c r="C42" s="16"/>
      <c r="D42" s="17" t="s">
        <v>142</v>
      </c>
    </row>
    <row r="43" spans="2:7" ht="15">
      <c r="B43" s="20" t="s">
        <v>114</v>
      </c>
      <c r="C43" s="18" t="s">
        <v>79</v>
      </c>
      <c r="D43" s="18" t="s">
        <v>80</v>
      </c>
      <c r="E43" s="18" t="s">
        <v>81</v>
      </c>
      <c r="F43" s="18" t="s">
        <v>82</v>
      </c>
      <c r="G43" s="18" t="s">
        <v>83</v>
      </c>
    </row>
    <row r="44" spans="2:7">
      <c r="B44" s="20" t="s">
        <v>114</v>
      </c>
      <c r="C44" s="15" t="s">
        <v>470</v>
      </c>
      <c r="D44" s="20" t="s">
        <v>143</v>
      </c>
      <c r="E44" s="21" t="s">
        <v>203</v>
      </c>
      <c r="F44" s="21" t="s">
        <v>60</v>
      </c>
      <c r="G44" s="21" t="s">
        <v>487</v>
      </c>
    </row>
    <row r="45" spans="2:7">
      <c r="B45" s="20" t="s">
        <v>114</v>
      </c>
    </row>
    <row r="46" spans="2:7" ht="14.25">
      <c r="B46" s="20" t="s">
        <v>114</v>
      </c>
      <c r="C46" s="16"/>
      <c r="D46" s="17" t="s">
        <v>78</v>
      </c>
    </row>
    <row r="47" spans="2:7" ht="15">
      <c r="B47" s="20" t="s">
        <v>114</v>
      </c>
      <c r="C47" s="18" t="s">
        <v>79</v>
      </c>
      <c r="D47" s="18" t="s">
        <v>80</v>
      </c>
      <c r="E47" s="18" t="s">
        <v>81</v>
      </c>
      <c r="F47" s="18" t="s">
        <v>82</v>
      </c>
      <c r="G47" s="18" t="s">
        <v>83</v>
      </c>
    </row>
    <row r="48" spans="2:7">
      <c r="B48" s="20" t="s">
        <v>114</v>
      </c>
      <c r="C48" s="15" t="s">
        <v>476</v>
      </c>
      <c r="D48" s="20" t="s">
        <v>78</v>
      </c>
      <c r="E48" s="21" t="s">
        <v>98</v>
      </c>
      <c r="F48" s="21" t="s">
        <v>308</v>
      </c>
      <c r="G48" s="21" t="s">
        <v>488</v>
      </c>
    </row>
    <row r="49" spans="2:7">
      <c r="B49" s="20" t="s">
        <v>114</v>
      </c>
      <c r="C49" s="15" t="s">
        <v>478</v>
      </c>
      <c r="D49" s="20" t="s">
        <v>78</v>
      </c>
      <c r="E49" s="21" t="s">
        <v>98</v>
      </c>
      <c r="F49" s="21" t="s">
        <v>481</v>
      </c>
      <c r="G49" s="21" t="s">
        <v>489</v>
      </c>
    </row>
    <row r="50" spans="2:7">
      <c r="B50" s="20" t="s">
        <v>114</v>
      </c>
      <c r="C50" s="15" t="s">
        <v>473</v>
      </c>
      <c r="D50" s="20" t="s">
        <v>78</v>
      </c>
      <c r="E50" s="21" t="s">
        <v>203</v>
      </c>
      <c r="F50" s="21" t="s">
        <v>224</v>
      </c>
      <c r="G50" s="21" t="s">
        <v>490</v>
      </c>
    </row>
    <row r="51" spans="2:7">
      <c r="B51" s="20" t="s">
        <v>114</v>
      </c>
    </row>
    <row r="52" spans="2:7" ht="14.25">
      <c r="B52" s="20" t="s">
        <v>114</v>
      </c>
      <c r="C52" s="16"/>
      <c r="D52" s="17" t="s">
        <v>87</v>
      </c>
    </row>
    <row r="53" spans="2:7" ht="15">
      <c r="B53" s="20" t="s">
        <v>114</v>
      </c>
      <c r="C53" s="18" t="s">
        <v>79</v>
      </c>
      <c r="D53" s="18" t="s">
        <v>80</v>
      </c>
      <c r="E53" s="18" t="s">
        <v>81</v>
      </c>
      <c r="F53" s="18" t="s">
        <v>82</v>
      </c>
      <c r="G53" s="18" t="s">
        <v>83</v>
      </c>
    </row>
    <row r="54" spans="2:7">
      <c r="B54" s="20" t="s">
        <v>114</v>
      </c>
      <c r="C54" s="15" t="s">
        <v>482</v>
      </c>
      <c r="D54" s="20" t="s">
        <v>491</v>
      </c>
      <c r="E54" s="21" t="s">
        <v>98</v>
      </c>
      <c r="F54" s="21" t="s">
        <v>139</v>
      </c>
      <c r="G54" s="21" t="s">
        <v>492</v>
      </c>
    </row>
    <row r="55" spans="2:7">
      <c r="B55" s="20" t="s">
        <v>114</v>
      </c>
    </row>
    <row r="56" spans="2:7">
      <c r="B56" s="20" t="s">
        <v>114</v>
      </c>
    </row>
    <row r="57" spans="2:7">
      <c r="B57" s="20" t="s">
        <v>114</v>
      </c>
    </row>
    <row r="58" spans="2:7">
      <c r="B58" s="20" t="s">
        <v>114</v>
      </c>
    </row>
    <row r="59" spans="2:7" ht="18">
      <c r="B59" s="20" t="s">
        <v>114</v>
      </c>
      <c r="C59" s="13" t="s">
        <v>105</v>
      </c>
      <c r="D59" s="13"/>
    </row>
    <row r="60" spans="2:7" ht="15">
      <c r="B60" s="20" t="s">
        <v>114</v>
      </c>
      <c r="C60" s="18" t="s">
        <v>106</v>
      </c>
      <c r="D60" s="18" t="s">
        <v>107</v>
      </c>
      <c r="E60" s="18" t="s">
        <v>108</v>
      </c>
    </row>
    <row r="61" spans="2:7">
      <c r="B61" s="20" t="s">
        <v>114</v>
      </c>
      <c r="C61" s="4" t="s">
        <v>70</v>
      </c>
      <c r="D61" s="4" t="s">
        <v>493</v>
      </c>
      <c r="E61" s="4" t="s">
        <v>494</v>
      </c>
    </row>
    <row r="62" spans="2:7">
      <c r="B62" s="20" t="s">
        <v>114</v>
      </c>
      <c r="C62" s="4" t="s">
        <v>360</v>
      </c>
      <c r="D62" s="4" t="s">
        <v>109</v>
      </c>
      <c r="E62" s="4" t="s">
        <v>495</v>
      </c>
    </row>
    <row r="63" spans="2:7">
      <c r="B63" s="20" t="s">
        <v>114</v>
      </c>
      <c r="C63" s="4" t="s">
        <v>126</v>
      </c>
      <c r="D63" s="4" t="s">
        <v>111</v>
      </c>
      <c r="E63" s="4" t="s">
        <v>496</v>
      </c>
    </row>
    <row r="64" spans="2:7">
      <c r="B64" s="20" t="s">
        <v>114</v>
      </c>
    </row>
  </sheetData>
  <mergeCells count="16">
    <mergeCell ref="A8:K8"/>
    <mergeCell ref="A12:K12"/>
    <mergeCell ref="A16:K16"/>
    <mergeCell ref="B3:B4"/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Excalibur</vt:lpstr>
      <vt:lpstr>Rus Axle</vt:lpstr>
      <vt:lpstr>Rus Roullette</vt:lpstr>
      <vt:lpstr>AWPC НЖ 1 вес</vt:lpstr>
      <vt:lpstr>WPC НЖ 1 вес</vt:lpstr>
      <vt:lpstr>WPC стр. под.на биц</vt:lpstr>
      <vt:lpstr>AWPC стр. под.на биц</vt:lpstr>
      <vt:lpstr>AWPC б_э тяга</vt:lpstr>
      <vt:lpstr>WPC б_э тяга</vt:lpstr>
      <vt:lpstr>AWPC ст. софт эк. жим</vt:lpstr>
      <vt:lpstr>WPC жим стоя</vt:lpstr>
      <vt:lpstr>AWPC жим стоя</vt:lpstr>
      <vt:lpstr>AWPC б_э жим</vt:lpstr>
      <vt:lpstr>AWPC 1 слой ПЛ</vt:lpstr>
      <vt:lpstr>AWPC Класс. ПЛ</vt:lpstr>
      <vt:lpstr>AWPC б_э ПЛ</vt:lpstr>
      <vt:lpstr>WPC ст. софт эк. жим</vt:lpstr>
      <vt:lpstr>WPC б_э жим</vt:lpstr>
      <vt:lpstr>WPC класс. ПЛ</vt:lpstr>
      <vt:lpstr>WPC б_э ПЛ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Franz</cp:lastModifiedBy>
  <cp:lastPrinted>2015-07-16T19:10:53Z</cp:lastPrinted>
  <dcterms:created xsi:type="dcterms:W3CDTF">2002-06-16T13:36:44Z</dcterms:created>
  <dcterms:modified xsi:type="dcterms:W3CDTF">2020-08-05T19:15:24Z</dcterms:modified>
</cp:coreProperties>
</file>