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Сентябрь/"/>
    </mc:Choice>
  </mc:AlternateContent>
  <xr:revisionPtr revIDLastSave="0" documentId="13_ncr:1_{35063A94-5FF2-C042-9878-89B3B6719F3D}" xr6:coauthVersionLast="45" xr6:coauthVersionMax="45" xr10:uidLastSave="{00000000-0000-0000-0000-000000000000}"/>
  <bookViews>
    <workbookView xWindow="480" yWindow="540" windowWidth="28100" windowHeight="15900" firstSheet="8" activeTab="13" xr2:uid="{00000000-000D-0000-FFFF-FFFF00000000}"/>
  </bookViews>
  <sheets>
    <sheet name="IPL ПЛ без экипировки ДК" sheetId="6" r:id="rId1"/>
    <sheet name="IPL ПЛ без экипировки" sheetId="5" r:id="rId2"/>
    <sheet name="IPL ПЛ в бинтах ДК" sheetId="8" r:id="rId3"/>
    <sheet name="IPL Двоеборье без экип ДК" sheetId="19" r:id="rId4"/>
    <sheet name="IPL Двоеборье без экип" sheetId="18" r:id="rId5"/>
    <sheet name="IPL Присед без экипировки ДК" sheetId="15" r:id="rId6"/>
    <sheet name="IPL Жим без экипировки ДК" sheetId="10" r:id="rId7"/>
    <sheet name="IPL Жим без экипировки" sheetId="9" r:id="rId8"/>
    <sheet name="СПР Жим софт однопетельная" sheetId="20" r:id="rId9"/>
    <sheet name="IPL Тяга без экипировки ДК" sheetId="12" r:id="rId10"/>
    <sheet name="IPL Тяга без экипировки" sheetId="11" r:id="rId11"/>
    <sheet name="СПР Жим стоя ДК" sheetId="25" r:id="rId12"/>
    <sheet name="СПР Подъем на бицепс ДК" sheetId="27" r:id="rId13"/>
    <sheet name="СПР Подъем на бицепс" sheetId="26" r:id="rId14"/>
  </sheets>
  <definedNames>
    <definedName name="_FilterDatabase" localSheetId="1" hidden="1">'IPL ПЛ без экипировки'!$A$1:$S$3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27" l="1"/>
  <c r="K18" i="27"/>
  <c r="L17" i="27"/>
  <c r="K17" i="27"/>
  <c r="L14" i="27"/>
  <c r="K14" i="27"/>
  <c r="L13" i="27"/>
  <c r="K13" i="27"/>
  <c r="L10" i="27"/>
  <c r="K10" i="27"/>
  <c r="L9" i="27"/>
  <c r="K9" i="27"/>
  <c r="L6" i="27"/>
  <c r="K6" i="27"/>
  <c r="L6" i="26"/>
  <c r="K6" i="26"/>
  <c r="L6" i="25"/>
  <c r="K6" i="25"/>
  <c r="L12" i="20"/>
  <c r="K12" i="20"/>
  <c r="L9" i="20"/>
  <c r="K9" i="20"/>
  <c r="L6" i="20"/>
  <c r="K6" i="20"/>
  <c r="P18" i="19"/>
  <c r="O18" i="19"/>
  <c r="P15" i="19"/>
  <c r="O15" i="19"/>
  <c r="P12" i="19"/>
  <c r="O12" i="19"/>
  <c r="P9" i="19"/>
  <c r="O9" i="19"/>
  <c r="P6" i="19"/>
  <c r="O6" i="19"/>
  <c r="P6" i="18"/>
  <c r="O6" i="18"/>
  <c r="L6" i="15"/>
  <c r="K6" i="15"/>
  <c r="L13" i="12"/>
  <c r="K13" i="12"/>
  <c r="L10" i="12"/>
  <c r="K10" i="12"/>
  <c r="L7" i="12"/>
  <c r="K7" i="12"/>
  <c r="L6" i="12"/>
  <c r="K6" i="12"/>
  <c r="L26" i="11"/>
  <c r="L23" i="11"/>
  <c r="K23" i="11"/>
  <c r="L20" i="11"/>
  <c r="K20" i="11"/>
  <c r="L19" i="11"/>
  <c r="K19" i="11"/>
  <c r="L16" i="11"/>
  <c r="K16" i="11"/>
  <c r="L15" i="11"/>
  <c r="K15" i="11"/>
  <c r="L12" i="11"/>
  <c r="K12" i="11"/>
  <c r="L9" i="11"/>
  <c r="K9" i="11"/>
  <c r="L6" i="11"/>
  <c r="K6" i="11"/>
  <c r="L39" i="10"/>
  <c r="K39" i="10"/>
  <c r="L36" i="10"/>
  <c r="K36" i="10"/>
  <c r="L35" i="10"/>
  <c r="K35" i="10"/>
  <c r="L32" i="10"/>
  <c r="K32" i="10"/>
  <c r="L31" i="10"/>
  <c r="K31" i="10"/>
  <c r="L30" i="10"/>
  <c r="K30" i="10"/>
  <c r="L29" i="10"/>
  <c r="K29" i="10"/>
  <c r="L26" i="10"/>
  <c r="K26" i="10"/>
  <c r="L25" i="10"/>
  <c r="K25" i="10"/>
  <c r="L24" i="10"/>
  <c r="K24" i="10"/>
  <c r="L23" i="10"/>
  <c r="K23" i="10"/>
  <c r="L20" i="10"/>
  <c r="K20" i="10"/>
  <c r="L19" i="10"/>
  <c r="K19" i="10"/>
  <c r="L18" i="10"/>
  <c r="K18" i="10"/>
  <c r="L15" i="10"/>
  <c r="K15" i="10"/>
  <c r="L12" i="10"/>
  <c r="K12" i="10"/>
  <c r="L9" i="10"/>
  <c r="K9" i="10"/>
  <c r="L6" i="10"/>
  <c r="K6" i="10"/>
  <c r="L23" i="9"/>
  <c r="K23" i="9"/>
  <c r="L20" i="9"/>
  <c r="K20" i="9"/>
  <c r="L17" i="9"/>
  <c r="K17" i="9"/>
  <c r="L16" i="9"/>
  <c r="K16" i="9"/>
  <c r="L15" i="9"/>
  <c r="K15" i="9"/>
  <c r="L12" i="9"/>
  <c r="K12" i="9"/>
  <c r="L9" i="9"/>
  <c r="K9" i="9"/>
  <c r="L6" i="9"/>
  <c r="K6" i="9"/>
  <c r="T6" i="8"/>
  <c r="S6" i="8"/>
  <c r="T39" i="6"/>
  <c r="S39" i="6"/>
  <c r="T36" i="6"/>
  <c r="S36" i="6"/>
  <c r="T35" i="6"/>
  <c r="S35" i="6"/>
  <c r="T32" i="6"/>
  <c r="S32" i="6"/>
  <c r="T31" i="6"/>
  <c r="S31" i="6"/>
  <c r="T28" i="6"/>
  <c r="S28" i="6"/>
  <c r="T27" i="6"/>
  <c r="S27" i="6"/>
  <c r="T24" i="6"/>
  <c r="S24" i="6"/>
  <c r="T23" i="6"/>
  <c r="S23" i="6"/>
  <c r="T22" i="6"/>
  <c r="S22" i="6"/>
  <c r="T21" i="6"/>
  <c r="S21" i="6"/>
  <c r="T18" i="6"/>
  <c r="S18" i="6"/>
  <c r="T15" i="6"/>
  <c r="S15" i="6"/>
  <c r="T12" i="6"/>
  <c r="S12" i="6"/>
  <c r="T9" i="6"/>
  <c r="S9" i="6"/>
  <c r="T6" i="6"/>
  <c r="T13" i="5"/>
  <c r="S13" i="5"/>
  <c r="T10" i="5"/>
  <c r="S10" i="5"/>
  <c r="T9" i="5"/>
  <c r="S9" i="5"/>
  <c r="T6" i="5"/>
  <c r="S6" i="5"/>
</calcChain>
</file>

<file path=xl/sharedStrings.xml><?xml version="1.0" encoding="utf-8"?>
<sst xmlns="http://schemas.openxmlformats.org/spreadsheetml/2006/main" count="1200" uniqueCount="367">
  <si>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</si>
  <si>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</si>
  <si>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</si>
  <si>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</si>
  <si>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</si>
  <si>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</si>
  <si>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</si>
  <si>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</si>
  <si>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</si>
  <si>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</si>
  <si>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67.5</t>
  </si>
  <si>
    <t>Открытая (23.08.1982)/41</t>
  </si>
  <si>
    <t>65,90</t>
  </si>
  <si>
    <t>80,0</t>
  </si>
  <si>
    <t>95,0</t>
  </si>
  <si>
    <t>100,0</t>
  </si>
  <si>
    <t>55,0</t>
  </si>
  <si>
    <t>60,0</t>
  </si>
  <si>
    <t>65,0</t>
  </si>
  <si>
    <t>120,0</t>
  </si>
  <si>
    <t>130,0</t>
  </si>
  <si>
    <t>140,0</t>
  </si>
  <si>
    <t>ВЕСОВАЯ КАТЕГОРИЯ   82.5</t>
  </si>
  <si>
    <t xml:space="preserve">Минаев Александр </t>
  </si>
  <si>
    <t>Открытая (01.08.1993)/30</t>
  </si>
  <si>
    <t>76,80</t>
  </si>
  <si>
    <t>190,0</t>
  </si>
  <si>
    <t>200,0</t>
  </si>
  <si>
    <t>210,0</t>
  </si>
  <si>
    <t>115,0</t>
  </si>
  <si>
    <t>125,0</t>
  </si>
  <si>
    <t>240,0</t>
  </si>
  <si>
    <t>260,0</t>
  </si>
  <si>
    <t>Открытая (19.05.1996)/27</t>
  </si>
  <si>
    <t>80,00</t>
  </si>
  <si>
    <t>145,0</t>
  </si>
  <si>
    <t>155,0</t>
  </si>
  <si>
    <t>165,0</t>
  </si>
  <si>
    <t>160,0</t>
  </si>
  <si>
    <t>175,0</t>
  </si>
  <si>
    <t>185,0</t>
  </si>
  <si>
    <t>ВЕСОВАЯ КАТЕГОРИЯ   100</t>
  </si>
  <si>
    <t>Открытая (20.10.1982)/40</t>
  </si>
  <si>
    <t>94,30</t>
  </si>
  <si>
    <t>150,0</t>
  </si>
  <si>
    <t>170,0</t>
  </si>
  <si>
    <t>180,0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</si>
  <si>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</si>
  <si>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</si>
  <si>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</si>
  <si>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</si>
  <si>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Сумма </t>
  </si>
  <si>
    <t xml:space="preserve">Wilks </t>
  </si>
  <si>
    <t xml:space="preserve">Мужчины </t>
  </si>
  <si>
    <t>82.5</t>
  </si>
  <si>
    <t>100</t>
  </si>
  <si>
    <t>1</t>
  </si>
  <si>
    <t>Шишкина Кира</t>
  </si>
  <si>
    <t>Минаев Александр</t>
  </si>
  <si>
    <t>2</t>
  </si>
  <si>
    <t>Мухин Александр</t>
  </si>
  <si>
    <t>Тюлькин Кирилл</t>
  </si>
  <si>
    <t>ВЕСОВАЯ КАТЕГОРИЯ   52</t>
  </si>
  <si>
    <t>Открытая (28.03.1988)/35</t>
  </si>
  <si>
    <t>50,60</t>
  </si>
  <si>
    <t>47,5</t>
  </si>
  <si>
    <t>102,5</t>
  </si>
  <si>
    <t>ВЕСОВАЯ КАТЕГОРИЯ   56</t>
  </si>
  <si>
    <t>Открытая (20.10.1990)/32</t>
  </si>
  <si>
    <t>55,60</t>
  </si>
  <si>
    <t>105,0</t>
  </si>
  <si>
    <t>107,5</t>
  </si>
  <si>
    <t>52,5</t>
  </si>
  <si>
    <t>57,5</t>
  </si>
  <si>
    <t>ВЕСОВАЯ КАТЕГОРИЯ   60</t>
  </si>
  <si>
    <t>Открытая (14.09.1998)/25</t>
  </si>
  <si>
    <t>57,40</t>
  </si>
  <si>
    <t>90,0</t>
  </si>
  <si>
    <t>97,5</t>
  </si>
  <si>
    <t>50,0</t>
  </si>
  <si>
    <t xml:space="preserve">Нойманн Юлия </t>
  </si>
  <si>
    <t>Открытая (02.09.1990)/33</t>
  </si>
  <si>
    <t>61,60</t>
  </si>
  <si>
    <t>42,5</t>
  </si>
  <si>
    <t>45,0</t>
  </si>
  <si>
    <t>110,0</t>
  </si>
  <si>
    <t>122,5</t>
  </si>
  <si>
    <t>Открытая (08.09.2008)/15</t>
  </si>
  <si>
    <t>63,30</t>
  </si>
  <si>
    <t>85,0</t>
  </si>
  <si>
    <t xml:space="preserve">Казанцев Сергей </t>
  </si>
  <si>
    <t>ВЕСОВАЯ КАТЕГОРИЯ   75</t>
  </si>
  <si>
    <t>Юноши 15-19 (15.04.2004)/19</t>
  </si>
  <si>
    <t>74,50</t>
  </si>
  <si>
    <t>71,00</t>
  </si>
  <si>
    <t>75,0</t>
  </si>
  <si>
    <t>135,0</t>
  </si>
  <si>
    <t>Открытая (07.12.1985)/37</t>
  </si>
  <si>
    <t>72,80</t>
  </si>
  <si>
    <t>Открытая (06.03.1977)/46</t>
  </si>
  <si>
    <t>69,40</t>
  </si>
  <si>
    <t>Юноши 15-19 (04.03.2007)/16</t>
  </si>
  <si>
    <t>81,60</t>
  </si>
  <si>
    <t>82,5</t>
  </si>
  <si>
    <t xml:space="preserve">Емельянов Алексей </t>
  </si>
  <si>
    <t>Открытая (25.02.1983)/40</t>
  </si>
  <si>
    <t>76,90</t>
  </si>
  <si>
    <t>132,5</t>
  </si>
  <si>
    <t>137,5</t>
  </si>
  <si>
    <t>142,5</t>
  </si>
  <si>
    <t>ВЕСОВАЯ КАТЕГОРИЯ   90</t>
  </si>
  <si>
    <t>89,40</t>
  </si>
  <si>
    <t>112,5</t>
  </si>
  <si>
    <t>215,0</t>
  </si>
  <si>
    <t xml:space="preserve">Киржанов Дмитрий </t>
  </si>
  <si>
    <t>Открытая (28.06.1994)/29</t>
  </si>
  <si>
    <t>83,90</t>
  </si>
  <si>
    <t xml:space="preserve">Малаховка/Московская область </t>
  </si>
  <si>
    <t>205,0</t>
  </si>
  <si>
    <t>225,0</t>
  </si>
  <si>
    <t xml:space="preserve">Макаров Максим </t>
  </si>
  <si>
    <t>Открытая (03.03.1985)/38</t>
  </si>
  <si>
    <t>98,50</t>
  </si>
  <si>
    <t>220,0</t>
  </si>
  <si>
    <t>227,5</t>
  </si>
  <si>
    <t>Открытая (01.01.1992)/31</t>
  </si>
  <si>
    <t>99,80</t>
  </si>
  <si>
    <t>235,0</t>
  </si>
  <si>
    <t xml:space="preserve">Гребнев Евгений </t>
  </si>
  <si>
    <t>ВЕСОВАЯ КАТЕГОРИЯ   110</t>
  </si>
  <si>
    <t>Юноши 15-19 (29.08.2004)/19</t>
  </si>
  <si>
    <t>110,00</t>
  </si>
  <si>
    <t>60</t>
  </si>
  <si>
    <t>110</t>
  </si>
  <si>
    <t>90</t>
  </si>
  <si>
    <t>-</t>
  </si>
  <si>
    <t>Давыдова Марина</t>
  </si>
  <si>
    <t>Щукина Светлана</t>
  </si>
  <si>
    <t>Мухина Елизавета</t>
  </si>
  <si>
    <t>Дмитриева Ирина</t>
  </si>
  <si>
    <t>Мельников Роман</t>
  </si>
  <si>
    <t>Крылов Ярослав</t>
  </si>
  <si>
    <t>Левин Артем</t>
  </si>
  <si>
    <t>Спудис-Костутис Евгений</t>
  </si>
  <si>
    <t>Графин Александр</t>
  </si>
  <si>
    <t>Сивак Артём</t>
  </si>
  <si>
    <t>Емельянов Алексей</t>
  </si>
  <si>
    <t>Воробьев Максим</t>
  </si>
  <si>
    <t>Киржанов Дмитрий</t>
  </si>
  <si>
    <t>Макаров Максим</t>
  </si>
  <si>
    <t>Левенец Евгений</t>
  </si>
  <si>
    <t>Шестаков Никита</t>
  </si>
  <si>
    <t>Открытая (04.09.1992)/31</t>
  </si>
  <si>
    <t>89,60</t>
  </si>
  <si>
    <t>270,0</t>
  </si>
  <si>
    <t>282,5</t>
  </si>
  <si>
    <t>265,0</t>
  </si>
  <si>
    <t>Майоров Дмитрий</t>
  </si>
  <si>
    <t>Девушки 15-19 (01.01.2005)/18</t>
  </si>
  <si>
    <t>58,60</t>
  </si>
  <si>
    <t>40,0</t>
  </si>
  <si>
    <t>Юноши 15-19 (13.07.2014)/9</t>
  </si>
  <si>
    <t>41,00</t>
  </si>
  <si>
    <t>20,0</t>
  </si>
  <si>
    <t>25,0</t>
  </si>
  <si>
    <t xml:space="preserve">Воробьев Александр </t>
  </si>
  <si>
    <t>Юноши 15-19 (04.07.2007)/16</t>
  </si>
  <si>
    <t>65,60</t>
  </si>
  <si>
    <t>92,5</t>
  </si>
  <si>
    <t>Открытая (09.07.1997)/26</t>
  </si>
  <si>
    <t>90,00</t>
  </si>
  <si>
    <t>167,5</t>
  </si>
  <si>
    <t>Открытая (11.10.1996)/26</t>
  </si>
  <si>
    <t>89,20</t>
  </si>
  <si>
    <t>152,5</t>
  </si>
  <si>
    <t>87,50</t>
  </si>
  <si>
    <t>127,5</t>
  </si>
  <si>
    <t xml:space="preserve">Жаченков Александр </t>
  </si>
  <si>
    <t>Открытая (30.07.1981)/42</t>
  </si>
  <si>
    <t>108,80</t>
  </si>
  <si>
    <t>ВЕСОВАЯ КАТЕГОРИЯ   125</t>
  </si>
  <si>
    <t>Открытая (24.11.1987)/35</t>
  </si>
  <si>
    <t>123,00</t>
  </si>
  <si>
    <t>187,5</t>
  </si>
  <si>
    <t xml:space="preserve">Результат </t>
  </si>
  <si>
    <t>Результат</t>
  </si>
  <si>
    <t>Родина Валерия</t>
  </si>
  <si>
    <t>Воробьев Владислав</t>
  </si>
  <si>
    <t>Ходжиев Жонибек</t>
  </si>
  <si>
    <t>Нагайцев Никита</t>
  </si>
  <si>
    <t>Пикулин Александр</t>
  </si>
  <si>
    <t>Воробьев Александр</t>
  </si>
  <si>
    <t>Жаченков Александр</t>
  </si>
  <si>
    <t>Лебедев Сергей</t>
  </si>
  <si>
    <t>Открытая (05.09.1987)/36</t>
  </si>
  <si>
    <t>52,00</t>
  </si>
  <si>
    <t xml:space="preserve">Сергей Казанцев </t>
  </si>
  <si>
    <t>Открытая (22.02.2001)/22</t>
  </si>
  <si>
    <t>55,70</t>
  </si>
  <si>
    <t>62,5</t>
  </si>
  <si>
    <t>Открытая (24.01.1983)/40</t>
  </si>
  <si>
    <t>37,90</t>
  </si>
  <si>
    <t xml:space="preserve">Проничкин Сергей </t>
  </si>
  <si>
    <t>Открытая (15.08.1989)/34</t>
  </si>
  <si>
    <t>59,90</t>
  </si>
  <si>
    <t>Юноши 15-19 (12.11.2004)/18</t>
  </si>
  <si>
    <t>73,60</t>
  </si>
  <si>
    <t>117,5</t>
  </si>
  <si>
    <t>Открытая (25.08.1996)/27</t>
  </si>
  <si>
    <t>Открытая (26.03.1999)/24</t>
  </si>
  <si>
    <t>81,90</t>
  </si>
  <si>
    <t>Открытая (19.12.1994)/28</t>
  </si>
  <si>
    <t>82,10</t>
  </si>
  <si>
    <t>77,70</t>
  </si>
  <si>
    <t>Открытая (16.08.1986)/37</t>
  </si>
  <si>
    <t>87,90</t>
  </si>
  <si>
    <t>Открытая (16.04.1997)/26</t>
  </si>
  <si>
    <t>87,70</t>
  </si>
  <si>
    <t xml:space="preserve">Волков Алексей </t>
  </si>
  <si>
    <t>Открытая (30.07.1976)/47</t>
  </si>
  <si>
    <t>Открытая (02.10.2003)/19</t>
  </si>
  <si>
    <t>97,70</t>
  </si>
  <si>
    <t>93,90</t>
  </si>
  <si>
    <t xml:space="preserve">Буторин Василий </t>
  </si>
  <si>
    <t>Открытая (20.04.1978)/45</t>
  </si>
  <si>
    <t>108,70</t>
  </si>
  <si>
    <t>Казанцева Оксана</t>
  </si>
  <si>
    <t>Комлякова Есения</t>
  </si>
  <si>
    <t>Прокопов Евгений</t>
  </si>
  <si>
    <t>Проничкин Сергей</t>
  </si>
  <si>
    <t>Баринов Артем</t>
  </si>
  <si>
    <t>Гусаров Денис</t>
  </si>
  <si>
    <t>Берус Олег</t>
  </si>
  <si>
    <t>3</t>
  </si>
  <si>
    <t>Калмаганбетов Рамиль</t>
  </si>
  <si>
    <t>Подделкин Павел</t>
  </si>
  <si>
    <t>Рябов Вадим</t>
  </si>
  <si>
    <t>Бирманов Талгат</t>
  </si>
  <si>
    <t>Солонин Дмитрий</t>
  </si>
  <si>
    <t>Лашин Владимир</t>
  </si>
  <si>
    <t>Рокитенец Валентин</t>
  </si>
  <si>
    <t>Матвеев Александр</t>
  </si>
  <si>
    <t>Буторин Василий</t>
  </si>
  <si>
    <t>Девушки 15-19 (07.12.2006)/16</t>
  </si>
  <si>
    <t>61,30</t>
  </si>
  <si>
    <t>70,0</t>
  </si>
  <si>
    <t>Юноши 15-19 (02.10.2013)/9</t>
  </si>
  <si>
    <t>35,30</t>
  </si>
  <si>
    <t>Открытая (15.04.2010)/13</t>
  </si>
  <si>
    <t>53,50</t>
  </si>
  <si>
    <t>Юноши 15-19 (23.02.2007)/16</t>
  </si>
  <si>
    <t>61,90</t>
  </si>
  <si>
    <t xml:space="preserve">Терехов Дмитрий </t>
  </si>
  <si>
    <t>Юноши 15-19 (20.03.2007)/16</t>
  </si>
  <si>
    <t>61,20</t>
  </si>
  <si>
    <t>Открытая (21.01.1989)/34</t>
  </si>
  <si>
    <t>71,90</t>
  </si>
  <si>
    <t>74,60</t>
  </si>
  <si>
    <t>Открытая (10.02.1996)/27</t>
  </si>
  <si>
    <t>116,90</t>
  </si>
  <si>
    <t>275,0</t>
  </si>
  <si>
    <t>Лапина Ксения</t>
  </si>
  <si>
    <t>Шишкин Егор</t>
  </si>
  <si>
    <t>Лапин Даниил</t>
  </si>
  <si>
    <t>Аутахунов Тимур</t>
  </si>
  <si>
    <t>Рябов Алексей</t>
  </si>
  <si>
    <t>Щемененко Вадим</t>
  </si>
  <si>
    <t>Митин Андрей</t>
  </si>
  <si>
    <t>Павлов Павел</t>
  </si>
  <si>
    <t>Открытая (07.12.2006)/16</t>
  </si>
  <si>
    <t>74,90</t>
  </si>
  <si>
    <t>207,5</t>
  </si>
  <si>
    <t>70,10</t>
  </si>
  <si>
    <t>85,80</t>
  </si>
  <si>
    <t>230,0</t>
  </si>
  <si>
    <t>Хачатрян Нарек</t>
  </si>
  <si>
    <t>Сухинин Владимир</t>
  </si>
  <si>
    <t>Макаров Михаил</t>
  </si>
  <si>
    <t>Открытая (14.10.1989)/33</t>
  </si>
  <si>
    <t>Савицкая Марина</t>
  </si>
  <si>
    <t xml:space="preserve">Винниченко Евгений </t>
  </si>
  <si>
    <t>Открытая (27.08.1989)/34</t>
  </si>
  <si>
    <t>71,50</t>
  </si>
  <si>
    <t>78,30</t>
  </si>
  <si>
    <t>Ахметшина Жанна</t>
  </si>
  <si>
    <t>Зайцев Александр</t>
  </si>
  <si>
    <t>Открытая (03.05.1985)/38</t>
  </si>
  <si>
    <t>80,30</t>
  </si>
  <si>
    <t>Открытая (31.03.1974)/49</t>
  </si>
  <si>
    <t>109,90</t>
  </si>
  <si>
    <t>245,0</t>
  </si>
  <si>
    <t>252,5</t>
  </si>
  <si>
    <t>255,0</t>
  </si>
  <si>
    <t xml:space="preserve">Грудев Александр </t>
  </si>
  <si>
    <t>Открытая (03.06.1975)/48</t>
  </si>
  <si>
    <t>112,30</t>
  </si>
  <si>
    <t>Волков Алексей</t>
  </si>
  <si>
    <t>Пузырев Денис</t>
  </si>
  <si>
    <t>Шлепин Олег</t>
  </si>
  <si>
    <t>Жим стоя</t>
  </si>
  <si>
    <t>72,5</t>
  </si>
  <si>
    <t>Открытая (15.09.2023)/0</t>
  </si>
  <si>
    <t>77,00</t>
  </si>
  <si>
    <t>Открытая (16.05.1979)/44</t>
  </si>
  <si>
    <t>98,00</t>
  </si>
  <si>
    <t>67,5</t>
  </si>
  <si>
    <t>Открытая (30.10.1981)/41</t>
  </si>
  <si>
    <t>124,10</t>
  </si>
  <si>
    <t>Головчанский Николай</t>
  </si>
  <si>
    <t>Фомин Павел</t>
  </si>
  <si>
    <t>Корчагин Виталий</t>
  </si>
  <si>
    <t>Самардин Алексей</t>
  </si>
  <si>
    <t xml:space="preserve">Самардин Алексей </t>
  </si>
  <si>
    <t xml:space="preserve">Длужневский Сергей </t>
  </si>
  <si>
    <t>Весовая категория</t>
  </si>
  <si>
    <t xml:space="preserve">Россия, Москва </t>
  </si>
  <si>
    <t>Россия, Московская область, Серпухов</t>
  </si>
  <si>
    <t>Россия, Московская область, Михнево</t>
  </si>
  <si>
    <t>Россия, Московская область, Подольск</t>
  </si>
  <si>
    <t>Всероссийский мастерский турнир «Окские богатыри X»
IPL Пауэрлифтинг без экипировки ДК
Серпухов/Московская область, 16 сентября 2023 года</t>
  </si>
  <si>
    <t>Всероссийский мастерский турнир «Окские богатыри X»
IPL Пауэрлифтинг без экипировки
Серпухов/Московская область, 16 сентября 2023 года</t>
  </si>
  <si>
    <t>Всероссийский мастерский турнир «Окские богатыри X»
IPL Пауэрлифтинг в бинтах ДК
Серпухов/Московская область, 16 сентября 2023 года</t>
  </si>
  <si>
    <t>Всероссийский мастерский турнир «Окские богатыри X»
IPL Силовое двоеборье без экипировки ДК
Серпухов/Московская область, 16 сентября 2023 года</t>
  </si>
  <si>
    <t>Всероссийский мастерский турнир «Окские богатыри X»
IPL Силовое двоеборье без экипировки
Серпухов/Московская область, 16 сентября 2023 года</t>
  </si>
  <si>
    <t>Всероссийский мастерский турнир «Окские богатыри X»
IPL Присед без экипировки ДК
Серпухов/Московская область, 16 сентября 2023 года</t>
  </si>
  <si>
    <t>Всероссийский мастерский турнир «Окские богатыри X»
IPL Жим лежа без экипировки ДК
Серпухов/Московская область, 16 сентября 2023 года</t>
  </si>
  <si>
    <t>Всероссийский мастерский турнир «Окские богатыри X»
IPL Жим лежа без экипировки
Серпухов/Московская область, 16 сентября 2023 года</t>
  </si>
  <si>
    <t>Всероссийский мастерский турнир «Окские богатыри X»
СПР Жим лежа в однопетельной софт экипировке
Серпухов/Московская область, 16 сентября 2023 года</t>
  </si>
  <si>
    <t>Всероссийский мастерский турнир «Окские богатыри X»
СПР Жим штанги стоя ДК
Серпухов/Московская область, 16 сентября 2023 года</t>
  </si>
  <si>
    <t>Всероссийский мастерский турнир «Окские богатыри X»
СПР Строгий подъем штанги на бицепс ДК
Серпухов/Московская область, 16 сентября 2023 года</t>
  </si>
  <si>
    <t>Всероссийский мастерский турнир «Окские богатыри X»
СПР Строгий подъем штанги на бицепс
Серпухов/Московская область, 16 сентября 2023 года</t>
  </si>
  <si>
    <t>Всероссийский мастерский турнир «Окские богатыри X»
IPL Становая тяга без экипировки ДК
Серпухов/Московская область, 16 сентября 2023 года</t>
  </si>
  <si>
    <t>Всероссийский мастерский турнир «Окские богатыри X»
IPL Становая тяга без экипировки
Серпухов/Московская область, 16 сентября 2023 года</t>
  </si>
  <si>
    <t>Юниоры 20-23 (12.11.1999)/23</t>
  </si>
  <si>
    <t>Мастера 40-44 (23.03.1979)/44</t>
  </si>
  <si>
    <t>Мастера 50-54 (14.05.1969)/54</t>
  </si>
  <si>
    <t>Мастера 60-64 (28.03.1960)/63</t>
  </si>
  <si>
    <t>Мастера 40-44 (06.10.1978)/44</t>
  </si>
  <si>
    <t>Мастера 55-59 (18.02.1967)/56</t>
  </si>
  <si>
    <t>Мастера 40-49 (23.03.1979)/44</t>
  </si>
  <si>
    <t>Юноши 13-19 (12.11.2004)/18</t>
  </si>
  <si>
    <t>Мастера 40-49 (30.10.1981)/41</t>
  </si>
  <si>
    <t>Мастера 70-74 (25.04.1951)/72</t>
  </si>
  <si>
    <t>Мастера 50-54 (07.01.1969)/54</t>
  </si>
  <si>
    <t>Мастера 50-54 (04.04.1970)/53</t>
  </si>
  <si>
    <t>Россия, Московская область, Люберцы</t>
  </si>
  <si>
    <t>Россия, Владимирская область, Гусь-Хрустальный</t>
  </si>
  <si>
    <t>Россия, Тульская область, Суворов</t>
  </si>
  <si>
    <t>Длужневский Сергей</t>
  </si>
  <si>
    <t>Россия, Тульская область, Тула</t>
  </si>
  <si>
    <t>Россия, Липецкая область, Елец</t>
  </si>
  <si>
    <t>Россия, Нижегородская область, Нижний Новгород</t>
  </si>
  <si>
    <t>Россия, Республика Якутия, Нерюнгри</t>
  </si>
  <si>
    <t>Россия, Тульская область, Венёв</t>
  </si>
  <si>
    <t>Россия, Московская область, Томилино</t>
  </si>
  <si>
    <t>№</t>
  </si>
  <si>
    <t xml:space="preserve"> </t>
  </si>
  <si>
    <t xml:space="preserve">
Дата рождения/Возраст</t>
  </si>
  <si>
    <t>Возрастная группа</t>
  </si>
  <si>
    <t>O</t>
  </si>
  <si>
    <t>T</t>
  </si>
  <si>
    <t>J</t>
  </si>
  <si>
    <t>M1</t>
  </si>
  <si>
    <t>M3</t>
  </si>
  <si>
    <t>M5</t>
  </si>
  <si>
    <t>M4</t>
  </si>
  <si>
    <t>M7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</si>
</sst>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49"/>
  <sheetViews>
    <sheetView topLeftCell="A3" workbookViewId="0">
      <selection activeCell="E40" sqref="E40"/>
    </sheetView>
  </sheetViews>
  <sheetFormatPr baseColWidth="10" defaultColWidth="9.1640625" defaultRowHeight="13"/>
  <cols>
    <col min="1" max="1" width="7.5" style="5" bestFit="1" customWidth="1"/>
    <col min="2" max="2" width="23.5" style="5" bestFit="1" customWidth="1"/>
    <col min="3" max="3" width="28.5" style="5" bestFit="1" customWidth="1"/>
    <col min="4" max="4" width="21.5" style="5" bestFit="1" customWidth="1"/>
    <col min="5" max="5" width="10.5" style="16" bestFit="1" customWidth="1"/>
    <col min="6" max="6" width="36" style="5" customWidth="1"/>
    <col min="7" max="9" width="5.5" style="24" customWidth="1"/>
    <col min="10" max="10" width="4.83203125" style="24" customWidth="1"/>
    <col min="11" max="13" width="5.5" style="24" customWidth="1"/>
    <col min="14" max="14" width="4.83203125" style="24" customWidth="1"/>
    <col min="15" max="17" width="5.5" style="24" customWidth="1"/>
    <col min="18" max="18" width="4.83203125" style="24" customWidth="1"/>
    <col min="19" max="19" width="7.83203125" style="25" bestFit="1" customWidth="1"/>
    <col min="20" max="20" width="8.5" style="6" bestFit="1" customWidth="1"/>
    <col min="21" max="21" width="19" style="5" customWidth="1"/>
    <col min="22" max="16384" width="9.1640625" style="3"/>
  </cols>
  <sheetData>
    <row r="1" spans="1:21" s="2" customFormat="1" ht="29" customHeight="1">
      <c r="A1" s="56" t="s">
        <v>319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9"/>
    </row>
    <row r="2" spans="1:21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</row>
    <row r="3" spans="1:21" s="1" customFormat="1" ht="12.75" customHeight="1">
      <c r="A3" s="64" t="s">
        <v>355</v>
      </c>
      <c r="B3" s="71" t="s">
        <v>0</v>
      </c>
      <c r="C3" s="66" t="s">
        <v>357</v>
      </c>
      <c r="D3" s="66" t="s">
        <v>6</v>
      </c>
      <c r="E3" s="50" t="s">
        <v>358</v>
      </c>
      <c r="F3" s="68" t="s">
        <v>5</v>
      </c>
      <c r="G3" s="68" t="s">
        <v>7</v>
      </c>
      <c r="H3" s="68"/>
      <c r="I3" s="68"/>
      <c r="J3" s="68"/>
      <c r="K3" s="68" t="s">
        <v>8</v>
      </c>
      <c r="L3" s="68"/>
      <c r="M3" s="68"/>
      <c r="N3" s="68"/>
      <c r="O3" s="68" t="s">
        <v>9</v>
      </c>
      <c r="P3" s="68"/>
      <c r="Q3" s="68"/>
      <c r="R3" s="68"/>
      <c r="S3" s="48" t="s">
        <v>1</v>
      </c>
      <c r="T3" s="50" t="s">
        <v>3</v>
      </c>
      <c r="U3" s="52" t="s">
        <v>2</v>
      </c>
    </row>
    <row r="4" spans="1:21" s="1" customFormat="1" ht="21" customHeight="1" thickBot="1">
      <c r="A4" s="65"/>
      <c r="B4" s="72"/>
      <c r="C4" s="67"/>
      <c r="D4" s="67"/>
      <c r="E4" s="51"/>
      <c r="F4" s="6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9"/>
      <c r="T4" s="51"/>
      <c r="U4" s="53"/>
    </row>
    <row r="5" spans="1:21" ht="16">
      <c r="A5" s="54" t="s">
        <v>62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21">
      <c r="A6" s="28" t="s">
        <v>135</v>
      </c>
      <c r="B6" s="7" t="s">
        <v>136</v>
      </c>
      <c r="C6" s="7" t="s">
        <v>63</v>
      </c>
      <c r="D6" s="7" t="s">
        <v>64</v>
      </c>
      <c r="E6" s="8" t="s">
        <v>359</v>
      </c>
      <c r="F6" s="7" t="s">
        <v>316</v>
      </c>
      <c r="G6" s="27" t="s">
        <v>13</v>
      </c>
      <c r="H6" s="27" t="s">
        <v>13</v>
      </c>
      <c r="I6" s="27" t="s">
        <v>13</v>
      </c>
      <c r="J6" s="28"/>
      <c r="K6" s="27"/>
      <c r="L6" s="28"/>
      <c r="M6" s="28"/>
      <c r="N6" s="28"/>
      <c r="O6" s="27"/>
      <c r="P6" s="28"/>
      <c r="Q6" s="28"/>
      <c r="R6" s="28"/>
      <c r="S6" s="44">
        <v>0</v>
      </c>
      <c r="T6" s="9" t="str">
        <f>"0,0000"</f>
        <v>0,0000</v>
      </c>
      <c r="U6" s="7" t="s">
        <v>356</v>
      </c>
    </row>
    <row r="8" spans="1:21" ht="16">
      <c r="A8" s="69" t="s">
        <v>67</v>
      </c>
      <c r="B8" s="69"/>
      <c r="C8" s="69"/>
      <c r="D8" s="69"/>
      <c r="E8" s="70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21">
      <c r="A9" s="28" t="s">
        <v>56</v>
      </c>
      <c r="B9" s="7" t="s">
        <v>137</v>
      </c>
      <c r="C9" s="7" t="s">
        <v>68</v>
      </c>
      <c r="D9" s="7" t="s">
        <v>69</v>
      </c>
      <c r="E9" s="8" t="s">
        <v>359</v>
      </c>
      <c r="F9" s="7" t="s">
        <v>316</v>
      </c>
      <c r="G9" s="26" t="s">
        <v>15</v>
      </c>
      <c r="H9" s="26" t="s">
        <v>70</v>
      </c>
      <c r="I9" s="26" t="s">
        <v>71</v>
      </c>
      <c r="J9" s="28"/>
      <c r="K9" s="26" t="s">
        <v>72</v>
      </c>
      <c r="L9" s="26" t="s">
        <v>16</v>
      </c>
      <c r="M9" s="27" t="s">
        <v>73</v>
      </c>
      <c r="N9" s="28"/>
      <c r="O9" s="27" t="s">
        <v>19</v>
      </c>
      <c r="P9" s="26" t="s">
        <v>30</v>
      </c>
      <c r="Q9" s="26" t="s">
        <v>20</v>
      </c>
      <c r="R9" s="28"/>
      <c r="S9" s="44" t="str">
        <f>"292,5"</f>
        <v>292,5</v>
      </c>
      <c r="T9" s="9" t="str">
        <f>"346,0860"</f>
        <v>346,0860</v>
      </c>
      <c r="U9" s="41" t="s">
        <v>356</v>
      </c>
    </row>
    <row r="11" spans="1:21" ht="16">
      <c r="A11" s="69" t="s">
        <v>74</v>
      </c>
      <c r="B11" s="69"/>
      <c r="C11" s="69"/>
      <c r="D11" s="69"/>
      <c r="E11" s="70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spans="1:21">
      <c r="A12" s="28" t="s">
        <v>56</v>
      </c>
      <c r="B12" s="7" t="s">
        <v>138</v>
      </c>
      <c r="C12" s="7" t="s">
        <v>75</v>
      </c>
      <c r="D12" s="7" t="s">
        <v>76</v>
      </c>
      <c r="E12" s="8" t="s">
        <v>359</v>
      </c>
      <c r="F12" s="7" t="s">
        <v>317</v>
      </c>
      <c r="G12" s="26" t="s">
        <v>77</v>
      </c>
      <c r="H12" s="26" t="s">
        <v>78</v>
      </c>
      <c r="I12" s="27" t="s">
        <v>66</v>
      </c>
      <c r="J12" s="28"/>
      <c r="K12" s="26" t="s">
        <v>79</v>
      </c>
      <c r="L12" s="26" t="s">
        <v>16</v>
      </c>
      <c r="M12" s="27" t="s">
        <v>17</v>
      </c>
      <c r="N12" s="28"/>
      <c r="O12" s="26" t="s">
        <v>29</v>
      </c>
      <c r="P12" s="27" t="s">
        <v>30</v>
      </c>
      <c r="Q12" s="27" t="s">
        <v>30</v>
      </c>
      <c r="R12" s="28"/>
      <c r="S12" s="44" t="str">
        <f>"267,5"</f>
        <v>267,5</v>
      </c>
      <c r="T12" s="9" t="str">
        <f>"308,7217"</f>
        <v>308,7217</v>
      </c>
      <c r="U12" s="7" t="s">
        <v>80</v>
      </c>
    </row>
    <row r="14" spans="1:21" ht="16">
      <c r="A14" s="69" t="s">
        <v>10</v>
      </c>
      <c r="B14" s="69"/>
      <c r="C14" s="69"/>
      <c r="D14" s="69"/>
      <c r="E14" s="70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</row>
    <row r="15" spans="1:21">
      <c r="A15" s="28" t="s">
        <v>56</v>
      </c>
      <c r="B15" s="7" t="s">
        <v>139</v>
      </c>
      <c r="C15" s="7" t="s">
        <v>81</v>
      </c>
      <c r="D15" s="7" t="s">
        <v>82</v>
      </c>
      <c r="E15" s="8" t="s">
        <v>359</v>
      </c>
      <c r="F15" s="7" t="s">
        <v>316</v>
      </c>
      <c r="G15" s="27" t="s">
        <v>13</v>
      </c>
      <c r="H15" s="27" t="s">
        <v>13</v>
      </c>
      <c r="I15" s="26" t="s">
        <v>13</v>
      </c>
      <c r="J15" s="28"/>
      <c r="K15" s="26" t="s">
        <v>83</v>
      </c>
      <c r="L15" s="27" t="s">
        <v>84</v>
      </c>
      <c r="M15" s="27" t="s">
        <v>84</v>
      </c>
      <c r="N15" s="28"/>
      <c r="O15" s="27" t="s">
        <v>85</v>
      </c>
      <c r="P15" s="26" t="s">
        <v>29</v>
      </c>
      <c r="Q15" s="27" t="s">
        <v>86</v>
      </c>
      <c r="R15" s="28"/>
      <c r="S15" s="44" t="str">
        <f>"237,5"</f>
        <v>237,5</v>
      </c>
      <c r="T15" s="9" t="str">
        <f>"259,4687"</f>
        <v>259,4687</v>
      </c>
      <c r="U15" s="7" t="s">
        <v>356</v>
      </c>
    </row>
    <row r="17" spans="1:21" ht="16">
      <c r="A17" s="69" t="s">
        <v>10</v>
      </c>
      <c r="B17" s="69"/>
      <c r="C17" s="69"/>
      <c r="D17" s="69"/>
      <c r="E17" s="70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spans="1:21">
      <c r="A18" s="28" t="s">
        <v>56</v>
      </c>
      <c r="B18" s="7" t="s">
        <v>140</v>
      </c>
      <c r="C18" s="7" t="s">
        <v>87</v>
      </c>
      <c r="D18" s="7" t="s">
        <v>88</v>
      </c>
      <c r="E18" s="8" t="s">
        <v>359</v>
      </c>
      <c r="F18" s="7" t="s">
        <v>316</v>
      </c>
      <c r="G18" s="26" t="s">
        <v>13</v>
      </c>
      <c r="H18" s="26" t="s">
        <v>89</v>
      </c>
      <c r="I18" s="26" t="s">
        <v>77</v>
      </c>
      <c r="J18" s="28"/>
      <c r="K18" s="26" t="s">
        <v>72</v>
      </c>
      <c r="L18" s="26" t="s">
        <v>16</v>
      </c>
      <c r="M18" s="26" t="s">
        <v>73</v>
      </c>
      <c r="N18" s="28"/>
      <c r="O18" s="26" t="s">
        <v>70</v>
      </c>
      <c r="P18" s="26" t="s">
        <v>85</v>
      </c>
      <c r="Q18" s="26" t="s">
        <v>29</v>
      </c>
      <c r="R18" s="28"/>
      <c r="S18" s="44" t="str">
        <f>"262,5"</f>
        <v>262,5</v>
      </c>
      <c r="T18" s="9" t="str">
        <f>"213,4913"</f>
        <v>213,4913</v>
      </c>
      <c r="U18" s="7" t="s">
        <v>90</v>
      </c>
    </row>
    <row r="20" spans="1:21" ht="16">
      <c r="A20" s="69" t="s">
        <v>91</v>
      </c>
      <c r="B20" s="69"/>
      <c r="C20" s="69"/>
      <c r="D20" s="69"/>
      <c r="E20" s="70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</row>
    <row r="21" spans="1:21">
      <c r="A21" s="31" t="s">
        <v>56</v>
      </c>
      <c r="B21" s="10" t="s">
        <v>141</v>
      </c>
      <c r="C21" s="10" t="s">
        <v>92</v>
      </c>
      <c r="D21" s="10" t="s">
        <v>93</v>
      </c>
      <c r="E21" s="11" t="s">
        <v>360</v>
      </c>
      <c r="F21" s="10" t="s">
        <v>318</v>
      </c>
      <c r="G21" s="30" t="s">
        <v>21</v>
      </c>
      <c r="H21" s="29" t="s">
        <v>21</v>
      </c>
      <c r="I21" s="29" t="s">
        <v>44</v>
      </c>
      <c r="J21" s="31"/>
      <c r="K21" s="29" t="s">
        <v>15</v>
      </c>
      <c r="L21" s="29" t="s">
        <v>85</v>
      </c>
      <c r="M21" s="29" t="s">
        <v>29</v>
      </c>
      <c r="N21" s="31"/>
      <c r="O21" s="29" t="s">
        <v>44</v>
      </c>
      <c r="P21" s="29" t="s">
        <v>37</v>
      </c>
      <c r="Q21" s="29" t="s">
        <v>39</v>
      </c>
      <c r="R21" s="31"/>
      <c r="S21" s="45" t="str">
        <f>"440,0"</f>
        <v>440,0</v>
      </c>
      <c r="T21" s="12" t="str">
        <f>"314,9960"</f>
        <v>314,9960</v>
      </c>
      <c r="U21" s="10" t="s">
        <v>356</v>
      </c>
    </row>
    <row r="22" spans="1:21">
      <c r="A22" s="39" t="s">
        <v>56</v>
      </c>
      <c r="B22" s="34" t="s">
        <v>142</v>
      </c>
      <c r="C22" s="34" t="s">
        <v>333</v>
      </c>
      <c r="D22" s="34" t="s">
        <v>94</v>
      </c>
      <c r="E22" s="35" t="s">
        <v>361</v>
      </c>
      <c r="F22" s="34" t="s">
        <v>315</v>
      </c>
      <c r="G22" s="37" t="s">
        <v>13</v>
      </c>
      <c r="H22" s="37" t="s">
        <v>77</v>
      </c>
      <c r="I22" s="38" t="s">
        <v>15</v>
      </c>
      <c r="J22" s="39"/>
      <c r="K22" s="37" t="s">
        <v>95</v>
      </c>
      <c r="L22" s="38" t="s">
        <v>89</v>
      </c>
      <c r="M22" s="37" t="s">
        <v>89</v>
      </c>
      <c r="N22" s="39"/>
      <c r="O22" s="37" t="s">
        <v>85</v>
      </c>
      <c r="P22" s="37" t="s">
        <v>30</v>
      </c>
      <c r="Q22" s="37" t="s">
        <v>96</v>
      </c>
      <c r="R22" s="39"/>
      <c r="S22" s="46" t="str">
        <f>"310,0"</f>
        <v>310,0</v>
      </c>
      <c r="T22" s="36" t="str">
        <f>"229,8340"</f>
        <v>229,8340</v>
      </c>
      <c r="U22" s="34" t="s">
        <v>356</v>
      </c>
    </row>
    <row r="23" spans="1:21">
      <c r="A23" s="39" t="s">
        <v>56</v>
      </c>
      <c r="B23" s="34" t="s">
        <v>143</v>
      </c>
      <c r="C23" s="34" t="s">
        <v>97</v>
      </c>
      <c r="D23" s="34" t="s">
        <v>98</v>
      </c>
      <c r="E23" s="35" t="s">
        <v>359</v>
      </c>
      <c r="F23" s="34" t="s">
        <v>316</v>
      </c>
      <c r="G23" s="37" t="s">
        <v>96</v>
      </c>
      <c r="H23" s="37" t="s">
        <v>21</v>
      </c>
      <c r="I23" s="38" t="s">
        <v>35</v>
      </c>
      <c r="J23" s="39"/>
      <c r="K23" s="37" t="s">
        <v>70</v>
      </c>
      <c r="L23" s="37" t="s">
        <v>85</v>
      </c>
      <c r="M23" s="37" t="s">
        <v>29</v>
      </c>
      <c r="N23" s="39"/>
      <c r="O23" s="38" t="s">
        <v>44</v>
      </c>
      <c r="P23" s="37" t="s">
        <v>38</v>
      </c>
      <c r="Q23" s="37" t="s">
        <v>45</v>
      </c>
      <c r="R23" s="39"/>
      <c r="S23" s="46" t="str">
        <f>"425,0"</f>
        <v>425,0</v>
      </c>
      <c r="T23" s="36" t="str">
        <f>"309,3150"</f>
        <v>309,3150</v>
      </c>
      <c r="U23" s="34" t="s">
        <v>356</v>
      </c>
    </row>
    <row r="24" spans="1:21">
      <c r="A24" s="33" t="s">
        <v>59</v>
      </c>
      <c r="B24" s="13" t="s">
        <v>144</v>
      </c>
      <c r="C24" s="13" t="s">
        <v>99</v>
      </c>
      <c r="D24" s="13" t="s">
        <v>100</v>
      </c>
      <c r="E24" s="14" t="s">
        <v>359</v>
      </c>
      <c r="F24" s="13" t="s">
        <v>316</v>
      </c>
      <c r="G24" s="32" t="s">
        <v>15</v>
      </c>
      <c r="H24" s="32" t="s">
        <v>85</v>
      </c>
      <c r="I24" s="33"/>
      <c r="J24" s="33"/>
      <c r="K24" s="32" t="s">
        <v>29</v>
      </c>
      <c r="L24" s="32" t="s">
        <v>19</v>
      </c>
      <c r="M24" s="40" t="s">
        <v>30</v>
      </c>
      <c r="N24" s="33"/>
      <c r="O24" s="32" t="s">
        <v>44</v>
      </c>
      <c r="P24" s="32" t="s">
        <v>38</v>
      </c>
      <c r="Q24" s="32" t="s">
        <v>45</v>
      </c>
      <c r="R24" s="33"/>
      <c r="S24" s="47" t="str">
        <f>"400,0"</f>
        <v>400,0</v>
      </c>
      <c r="T24" s="15" t="str">
        <f>"301,7600"</f>
        <v>301,7600</v>
      </c>
      <c r="U24" s="13" t="s">
        <v>356</v>
      </c>
    </row>
    <row r="26" spans="1:21" ht="16">
      <c r="A26" s="69" t="s">
        <v>22</v>
      </c>
      <c r="B26" s="69"/>
      <c r="C26" s="69"/>
      <c r="D26" s="69"/>
      <c r="E26" s="70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1:21">
      <c r="A27" s="31" t="s">
        <v>56</v>
      </c>
      <c r="B27" s="10" t="s">
        <v>145</v>
      </c>
      <c r="C27" s="10" t="s">
        <v>101</v>
      </c>
      <c r="D27" s="10" t="s">
        <v>102</v>
      </c>
      <c r="E27" s="11" t="s">
        <v>360</v>
      </c>
      <c r="F27" s="10" t="s">
        <v>316</v>
      </c>
      <c r="G27" s="29" t="s">
        <v>77</v>
      </c>
      <c r="H27" s="29" t="s">
        <v>14</v>
      </c>
      <c r="I27" s="29" t="s">
        <v>15</v>
      </c>
      <c r="J27" s="31"/>
      <c r="K27" s="29" t="s">
        <v>13</v>
      </c>
      <c r="L27" s="29" t="s">
        <v>103</v>
      </c>
      <c r="M27" s="31"/>
      <c r="N27" s="31"/>
      <c r="O27" s="29" t="s">
        <v>20</v>
      </c>
      <c r="P27" s="29" t="s">
        <v>21</v>
      </c>
      <c r="Q27" s="29" t="s">
        <v>35</v>
      </c>
      <c r="R27" s="31"/>
      <c r="S27" s="45" t="str">
        <f>"327,5"</f>
        <v>327,5</v>
      </c>
      <c r="T27" s="12" t="str">
        <f>"220,8660"</f>
        <v>220,8660</v>
      </c>
      <c r="U27" s="10" t="s">
        <v>356</v>
      </c>
    </row>
    <row r="28" spans="1:21">
      <c r="A28" s="33" t="s">
        <v>56</v>
      </c>
      <c r="B28" s="13" t="s">
        <v>146</v>
      </c>
      <c r="C28" s="13" t="s">
        <v>105</v>
      </c>
      <c r="D28" s="13" t="s">
        <v>106</v>
      </c>
      <c r="E28" s="14" t="s">
        <v>359</v>
      </c>
      <c r="F28" s="13" t="s">
        <v>316</v>
      </c>
      <c r="G28" s="32" t="s">
        <v>39</v>
      </c>
      <c r="H28" s="33"/>
      <c r="I28" s="33"/>
      <c r="J28" s="33"/>
      <c r="K28" s="32" t="s">
        <v>107</v>
      </c>
      <c r="L28" s="32" t="s">
        <v>108</v>
      </c>
      <c r="M28" s="32" t="s">
        <v>109</v>
      </c>
      <c r="N28" s="33"/>
      <c r="O28" s="32" t="s">
        <v>38</v>
      </c>
      <c r="P28" s="32" t="s">
        <v>46</v>
      </c>
      <c r="Q28" s="32" t="s">
        <v>27</v>
      </c>
      <c r="R28" s="33"/>
      <c r="S28" s="47" t="str">
        <f>"517,5"</f>
        <v>517,5</v>
      </c>
      <c r="T28" s="15" t="str">
        <f>"362,5088"</f>
        <v>362,5088</v>
      </c>
      <c r="U28" s="42" t="s">
        <v>313</v>
      </c>
    </row>
    <row r="30" spans="1:21" ht="16">
      <c r="A30" s="69" t="s">
        <v>110</v>
      </c>
      <c r="B30" s="69"/>
      <c r="C30" s="69"/>
      <c r="D30" s="69"/>
      <c r="E30" s="70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1:21">
      <c r="A31" s="31" t="s">
        <v>56</v>
      </c>
      <c r="B31" s="10" t="s">
        <v>147</v>
      </c>
      <c r="C31" s="10" t="s">
        <v>333</v>
      </c>
      <c r="D31" s="10" t="s">
        <v>111</v>
      </c>
      <c r="E31" s="11" t="s">
        <v>361</v>
      </c>
      <c r="F31" s="10" t="s">
        <v>315</v>
      </c>
      <c r="G31" s="29" t="s">
        <v>45</v>
      </c>
      <c r="H31" s="29" t="s">
        <v>46</v>
      </c>
      <c r="I31" s="29" t="s">
        <v>40</v>
      </c>
      <c r="J31" s="31"/>
      <c r="K31" s="29" t="s">
        <v>70</v>
      </c>
      <c r="L31" s="29" t="s">
        <v>112</v>
      </c>
      <c r="M31" s="30" t="s">
        <v>19</v>
      </c>
      <c r="N31" s="31"/>
      <c r="O31" s="30" t="s">
        <v>26</v>
      </c>
      <c r="P31" s="29" t="s">
        <v>27</v>
      </c>
      <c r="Q31" s="29" t="s">
        <v>113</v>
      </c>
      <c r="R31" s="31"/>
      <c r="S31" s="45" t="str">
        <f>"512,5"</f>
        <v>512,5</v>
      </c>
      <c r="T31" s="12" t="str">
        <f>"328,3075"</f>
        <v>328,3075</v>
      </c>
      <c r="U31" s="10" t="s">
        <v>356</v>
      </c>
    </row>
    <row r="32" spans="1:21">
      <c r="A32" s="33" t="s">
        <v>56</v>
      </c>
      <c r="B32" s="13" t="s">
        <v>148</v>
      </c>
      <c r="C32" s="13" t="s">
        <v>115</v>
      </c>
      <c r="D32" s="13" t="s">
        <v>116</v>
      </c>
      <c r="E32" s="14" t="s">
        <v>359</v>
      </c>
      <c r="F32" s="13" t="s">
        <v>117</v>
      </c>
      <c r="G32" s="32" t="s">
        <v>38</v>
      </c>
      <c r="H32" s="32" t="s">
        <v>45</v>
      </c>
      <c r="I32" s="40" t="s">
        <v>39</v>
      </c>
      <c r="J32" s="33"/>
      <c r="K32" s="32" t="s">
        <v>35</v>
      </c>
      <c r="L32" s="40" t="s">
        <v>44</v>
      </c>
      <c r="M32" s="40" t="s">
        <v>44</v>
      </c>
      <c r="N32" s="33"/>
      <c r="O32" s="32" t="s">
        <v>118</v>
      </c>
      <c r="P32" s="32" t="s">
        <v>113</v>
      </c>
      <c r="Q32" s="32" t="s">
        <v>119</v>
      </c>
      <c r="R32" s="33"/>
      <c r="S32" s="47" t="str">
        <f>"540,0"</f>
        <v>540,0</v>
      </c>
      <c r="T32" s="15" t="str">
        <f>"358,1820"</f>
        <v>358,1820</v>
      </c>
      <c r="U32" s="42" t="s">
        <v>356</v>
      </c>
    </row>
    <row r="34" spans="1:21" ht="16">
      <c r="A34" s="69" t="s">
        <v>41</v>
      </c>
      <c r="B34" s="69"/>
      <c r="C34" s="69"/>
      <c r="D34" s="69"/>
      <c r="E34" s="70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</row>
    <row r="35" spans="1:21">
      <c r="A35" s="31" t="s">
        <v>56</v>
      </c>
      <c r="B35" s="10" t="s">
        <v>149</v>
      </c>
      <c r="C35" s="10" t="s">
        <v>121</v>
      </c>
      <c r="D35" s="10" t="s">
        <v>122</v>
      </c>
      <c r="E35" s="11" t="s">
        <v>359</v>
      </c>
      <c r="F35" s="10" t="s">
        <v>316</v>
      </c>
      <c r="G35" s="29" t="s">
        <v>118</v>
      </c>
      <c r="H35" s="29" t="s">
        <v>28</v>
      </c>
      <c r="I35" s="29" t="s">
        <v>113</v>
      </c>
      <c r="J35" s="31"/>
      <c r="K35" s="29" t="s">
        <v>19</v>
      </c>
      <c r="L35" s="29" t="s">
        <v>30</v>
      </c>
      <c r="M35" s="31"/>
      <c r="N35" s="31"/>
      <c r="O35" s="29" t="s">
        <v>118</v>
      </c>
      <c r="P35" s="29" t="s">
        <v>123</v>
      </c>
      <c r="Q35" s="29" t="s">
        <v>124</v>
      </c>
      <c r="R35" s="31"/>
      <c r="S35" s="45" t="str">
        <f>"567,5"</f>
        <v>567,5</v>
      </c>
      <c r="T35" s="12" t="str">
        <f>"347,4802"</f>
        <v>347,4802</v>
      </c>
      <c r="U35" s="10" t="s">
        <v>356</v>
      </c>
    </row>
    <row r="36" spans="1:21">
      <c r="A36" s="33" t="s">
        <v>59</v>
      </c>
      <c r="B36" s="13" t="s">
        <v>150</v>
      </c>
      <c r="C36" s="13" t="s">
        <v>125</v>
      </c>
      <c r="D36" s="13" t="s">
        <v>126</v>
      </c>
      <c r="E36" s="14" t="s">
        <v>359</v>
      </c>
      <c r="F36" s="13" t="s">
        <v>316</v>
      </c>
      <c r="G36" s="32" t="s">
        <v>45</v>
      </c>
      <c r="H36" s="32" t="s">
        <v>46</v>
      </c>
      <c r="I36" s="40" t="s">
        <v>26</v>
      </c>
      <c r="J36" s="33"/>
      <c r="K36" s="32" t="s">
        <v>20</v>
      </c>
      <c r="L36" s="32" t="s">
        <v>96</v>
      </c>
      <c r="M36" s="32" t="s">
        <v>108</v>
      </c>
      <c r="N36" s="33"/>
      <c r="O36" s="32" t="s">
        <v>27</v>
      </c>
      <c r="P36" s="32" t="s">
        <v>119</v>
      </c>
      <c r="Q36" s="40" t="s">
        <v>127</v>
      </c>
      <c r="R36" s="33"/>
      <c r="S36" s="47" t="str">
        <f>"542,5"</f>
        <v>542,5</v>
      </c>
      <c r="T36" s="15" t="str">
        <f>"330,4367"</f>
        <v>330,4367</v>
      </c>
      <c r="U36" s="13" t="s">
        <v>128</v>
      </c>
    </row>
    <row r="38" spans="1:21" ht="16">
      <c r="A38" s="69" t="s">
        <v>129</v>
      </c>
      <c r="B38" s="69"/>
      <c r="C38" s="69"/>
      <c r="D38" s="69"/>
      <c r="E38" s="70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1:21">
      <c r="A39" s="28" t="s">
        <v>56</v>
      </c>
      <c r="B39" s="7" t="s">
        <v>151</v>
      </c>
      <c r="C39" s="7" t="s">
        <v>130</v>
      </c>
      <c r="D39" s="7" t="s">
        <v>131</v>
      </c>
      <c r="E39" s="8" t="s">
        <v>360</v>
      </c>
      <c r="F39" s="7" t="s">
        <v>318</v>
      </c>
      <c r="G39" s="26" t="s">
        <v>44</v>
      </c>
      <c r="H39" s="26" t="s">
        <v>38</v>
      </c>
      <c r="I39" s="26" t="s">
        <v>45</v>
      </c>
      <c r="J39" s="28"/>
      <c r="K39" s="26" t="s">
        <v>85</v>
      </c>
      <c r="L39" s="26" t="s">
        <v>19</v>
      </c>
      <c r="M39" s="26" t="s">
        <v>86</v>
      </c>
      <c r="N39" s="28"/>
      <c r="O39" s="26" t="s">
        <v>45</v>
      </c>
      <c r="P39" s="26" t="s">
        <v>46</v>
      </c>
      <c r="Q39" s="26" t="s">
        <v>26</v>
      </c>
      <c r="R39" s="28"/>
      <c r="S39" s="44" t="str">
        <f>"482,5"</f>
        <v>482,5</v>
      </c>
      <c r="T39" s="9" t="str">
        <f>"283,9513"</f>
        <v>283,9513</v>
      </c>
      <c r="U39" s="7" t="s">
        <v>356</v>
      </c>
    </row>
    <row r="41" spans="1:21">
      <c r="G41" s="5"/>
    </row>
    <row r="43" spans="1:21" ht="18">
      <c r="B43" s="17" t="s">
        <v>47</v>
      </c>
      <c r="C43" s="17"/>
      <c r="G43" s="3"/>
    </row>
    <row r="44" spans="1:21" ht="16">
      <c r="B44" s="18" t="s">
        <v>53</v>
      </c>
      <c r="C44" s="18"/>
      <c r="G44" s="3"/>
    </row>
    <row r="45" spans="1:21" ht="14">
      <c r="B45" s="19"/>
      <c r="C45" s="20" t="s">
        <v>48</v>
      </c>
      <c r="G45" s="3"/>
    </row>
    <row r="46" spans="1:21" ht="14">
      <c r="B46" s="21" t="s">
        <v>49</v>
      </c>
      <c r="C46" s="21" t="s">
        <v>50</v>
      </c>
      <c r="D46" s="21" t="s">
        <v>314</v>
      </c>
      <c r="E46" s="22" t="s">
        <v>51</v>
      </c>
      <c r="F46" s="21" t="s">
        <v>52</v>
      </c>
      <c r="G46" s="3"/>
    </row>
    <row r="47" spans="1:21">
      <c r="B47" s="5" t="s">
        <v>104</v>
      </c>
      <c r="C47" s="5" t="s">
        <v>48</v>
      </c>
      <c r="D47" s="24" t="s">
        <v>54</v>
      </c>
      <c r="E47" s="25">
        <v>517.5</v>
      </c>
      <c r="F47" s="23">
        <v>362.50875592231802</v>
      </c>
      <c r="G47" s="3"/>
    </row>
    <row r="48" spans="1:21">
      <c r="B48" s="5" t="s">
        <v>114</v>
      </c>
      <c r="C48" s="5" t="s">
        <v>48</v>
      </c>
      <c r="D48" s="24" t="s">
        <v>134</v>
      </c>
      <c r="E48" s="25">
        <v>540</v>
      </c>
      <c r="F48" s="23">
        <v>358.18198800086998</v>
      </c>
      <c r="G48" s="3"/>
    </row>
    <row r="49" spans="2:7">
      <c r="B49" s="5" t="s">
        <v>120</v>
      </c>
      <c r="C49" s="5" t="s">
        <v>48</v>
      </c>
      <c r="D49" s="24" t="s">
        <v>55</v>
      </c>
      <c r="E49" s="25">
        <v>567.5</v>
      </c>
      <c r="F49" s="23">
        <v>347.48023793101299</v>
      </c>
      <c r="G49" s="5"/>
    </row>
  </sheetData>
  <mergeCells count="23">
    <mergeCell ref="A30:R30"/>
    <mergeCell ref="A34:R34"/>
    <mergeCell ref="A38:R38"/>
    <mergeCell ref="B3:B4"/>
    <mergeCell ref="A8:R8"/>
    <mergeCell ref="A11:R11"/>
    <mergeCell ref="A14:R14"/>
    <mergeCell ref="A17:R17"/>
    <mergeCell ref="A20:R20"/>
    <mergeCell ref="A26:R26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3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16" bestFit="1" customWidth="1"/>
    <col min="6" max="6" width="35.33203125" style="5" customWidth="1"/>
    <col min="7" max="9" width="5.5" style="24" customWidth="1"/>
    <col min="10" max="10" width="4.83203125" style="24" customWidth="1"/>
    <col min="11" max="11" width="10.5" style="6" bestFit="1" customWidth="1"/>
    <col min="12" max="12" width="8.5" style="6" bestFit="1" customWidth="1"/>
    <col min="13" max="13" width="21" style="5" customWidth="1"/>
    <col min="14" max="16384" width="9.1640625" style="3"/>
  </cols>
  <sheetData>
    <row r="1" spans="1:13" s="2" customFormat="1" ht="29" customHeight="1">
      <c r="A1" s="56" t="s">
        <v>331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355</v>
      </c>
      <c r="B3" s="71" t="s">
        <v>0</v>
      </c>
      <c r="C3" s="66" t="s">
        <v>357</v>
      </c>
      <c r="D3" s="66" t="s">
        <v>6</v>
      </c>
      <c r="E3" s="50" t="s">
        <v>358</v>
      </c>
      <c r="F3" s="68" t="s">
        <v>5</v>
      </c>
      <c r="G3" s="68" t="s">
        <v>9</v>
      </c>
      <c r="H3" s="68"/>
      <c r="I3" s="68"/>
      <c r="J3" s="68"/>
      <c r="K3" s="50" t="s">
        <v>185</v>
      </c>
      <c r="L3" s="50" t="s">
        <v>3</v>
      </c>
      <c r="M3" s="52" t="s">
        <v>2</v>
      </c>
    </row>
    <row r="4" spans="1:13" s="1" customFormat="1" ht="21" customHeight="1" thickBot="1">
      <c r="A4" s="65"/>
      <c r="B4" s="72"/>
      <c r="C4" s="67"/>
      <c r="D4" s="67"/>
      <c r="E4" s="51"/>
      <c r="F4" s="67"/>
      <c r="G4" s="4">
        <v>1</v>
      </c>
      <c r="H4" s="4">
        <v>2</v>
      </c>
      <c r="I4" s="4">
        <v>3</v>
      </c>
      <c r="J4" s="4" t="s">
        <v>4</v>
      </c>
      <c r="K4" s="51"/>
      <c r="L4" s="51"/>
      <c r="M4" s="53"/>
    </row>
    <row r="5" spans="1:13" ht="16">
      <c r="A5" s="69" t="s">
        <v>91</v>
      </c>
      <c r="B5" s="69"/>
      <c r="C5" s="69"/>
      <c r="D5" s="69"/>
      <c r="E5" s="70"/>
      <c r="F5" s="69"/>
      <c r="G5" s="69"/>
      <c r="H5" s="69"/>
      <c r="I5" s="69"/>
      <c r="J5" s="69"/>
    </row>
    <row r="6" spans="1:13">
      <c r="A6" s="31" t="s">
        <v>56</v>
      </c>
      <c r="B6" s="10" t="s">
        <v>275</v>
      </c>
      <c r="C6" s="10" t="s">
        <v>269</v>
      </c>
      <c r="D6" s="10" t="s">
        <v>270</v>
      </c>
      <c r="E6" s="11" t="s">
        <v>359</v>
      </c>
      <c r="F6" s="10" t="s">
        <v>354</v>
      </c>
      <c r="G6" s="29" t="s">
        <v>271</v>
      </c>
      <c r="H6" s="29" t="s">
        <v>113</v>
      </c>
      <c r="I6" s="29" t="s">
        <v>123</v>
      </c>
      <c r="J6" s="31"/>
      <c r="K6" s="12" t="str">
        <f>"220,0"</f>
        <v>220,0</v>
      </c>
      <c r="L6" s="12" t="str">
        <f>"156,9040"</f>
        <v>156,9040</v>
      </c>
      <c r="M6" s="10" t="s">
        <v>23</v>
      </c>
    </row>
    <row r="7" spans="1:13">
      <c r="A7" s="33" t="s">
        <v>56</v>
      </c>
      <c r="B7" s="13" t="s">
        <v>276</v>
      </c>
      <c r="C7" s="13" t="s">
        <v>342</v>
      </c>
      <c r="D7" s="13" t="s">
        <v>272</v>
      </c>
      <c r="E7" s="14" t="s">
        <v>366</v>
      </c>
      <c r="F7" s="13" t="s">
        <v>318</v>
      </c>
      <c r="G7" s="32" t="s">
        <v>37</v>
      </c>
      <c r="H7" s="32" t="s">
        <v>39</v>
      </c>
      <c r="I7" s="40" t="s">
        <v>40</v>
      </c>
      <c r="J7" s="33"/>
      <c r="K7" s="15" t="str">
        <f>"175,0"</f>
        <v>175,0</v>
      </c>
      <c r="L7" s="15" t="str">
        <f>"233,1889"</f>
        <v>233,1889</v>
      </c>
      <c r="M7" s="13" t="s">
        <v>356</v>
      </c>
    </row>
    <row r="9" spans="1:13" ht="16">
      <c r="A9" s="69" t="s">
        <v>22</v>
      </c>
      <c r="B9" s="69"/>
      <c r="C9" s="69"/>
      <c r="D9" s="69"/>
      <c r="E9" s="70"/>
      <c r="F9" s="69"/>
      <c r="G9" s="69"/>
      <c r="H9" s="69"/>
      <c r="I9" s="69"/>
      <c r="J9" s="69"/>
    </row>
    <row r="10" spans="1:13">
      <c r="A10" s="28" t="s">
        <v>56</v>
      </c>
      <c r="B10" s="7" t="s">
        <v>146</v>
      </c>
      <c r="C10" s="7" t="s">
        <v>105</v>
      </c>
      <c r="D10" s="7" t="s">
        <v>106</v>
      </c>
      <c r="E10" s="8" t="s">
        <v>359</v>
      </c>
      <c r="F10" s="7" t="s">
        <v>316</v>
      </c>
      <c r="G10" s="26" t="s">
        <v>38</v>
      </c>
      <c r="H10" s="26" t="s">
        <v>46</v>
      </c>
      <c r="I10" s="26" t="s">
        <v>27</v>
      </c>
      <c r="J10" s="28"/>
      <c r="K10" s="9" t="str">
        <f>"200,0"</f>
        <v>200,0</v>
      </c>
      <c r="L10" s="9" t="str">
        <f>"140,1000"</f>
        <v>140,1000</v>
      </c>
      <c r="M10" s="41" t="s">
        <v>313</v>
      </c>
    </row>
    <row r="12" spans="1:13" ht="16">
      <c r="A12" s="69" t="s">
        <v>110</v>
      </c>
      <c r="B12" s="69"/>
      <c r="C12" s="69"/>
      <c r="D12" s="69"/>
      <c r="E12" s="70"/>
      <c r="F12" s="69"/>
      <c r="G12" s="69"/>
      <c r="H12" s="69"/>
      <c r="I12" s="69"/>
      <c r="J12" s="69"/>
    </row>
    <row r="13" spans="1:13">
      <c r="A13" s="28" t="s">
        <v>56</v>
      </c>
      <c r="B13" s="7" t="s">
        <v>277</v>
      </c>
      <c r="C13" s="7" t="s">
        <v>343</v>
      </c>
      <c r="D13" s="7" t="s">
        <v>273</v>
      </c>
      <c r="E13" s="8" t="s">
        <v>363</v>
      </c>
      <c r="F13" s="7" t="s">
        <v>315</v>
      </c>
      <c r="G13" s="27" t="s">
        <v>123</v>
      </c>
      <c r="H13" s="26" t="s">
        <v>274</v>
      </c>
      <c r="I13" s="28"/>
      <c r="J13" s="28"/>
      <c r="K13" s="9" t="str">
        <f>"230,0"</f>
        <v>230,0</v>
      </c>
      <c r="L13" s="9" t="str">
        <f>"184,9700"</f>
        <v>184,9700</v>
      </c>
      <c r="M13" s="7" t="s">
        <v>356</v>
      </c>
    </row>
  </sheetData>
  <mergeCells count="14">
    <mergeCell ref="A5:J5"/>
    <mergeCell ref="A9:J9"/>
    <mergeCell ref="A12:J12"/>
    <mergeCell ref="B3:B4"/>
    <mergeCell ref="K3:K4"/>
    <mergeCell ref="L3:L4"/>
    <mergeCell ref="M3:M4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6"/>
  <sheetViews>
    <sheetView workbookViewId="0">
      <selection activeCell="E27" sqref="E27"/>
    </sheetView>
  </sheetViews>
  <sheetFormatPr baseColWidth="10" defaultColWidth="9.1640625" defaultRowHeight="13"/>
  <cols>
    <col min="1" max="1" width="7.5" style="5" bestFit="1" customWidth="1"/>
    <col min="2" max="2" width="23.5" style="5" customWidth="1"/>
    <col min="3" max="3" width="28.5" style="5" bestFit="1" customWidth="1"/>
    <col min="4" max="4" width="21.5" style="5" bestFit="1" customWidth="1"/>
    <col min="5" max="5" width="10.5" style="16" bestFit="1" customWidth="1"/>
    <col min="6" max="6" width="38.33203125" style="5" customWidth="1"/>
    <col min="7" max="9" width="5.5" style="24" customWidth="1"/>
    <col min="10" max="10" width="4.83203125" style="24" customWidth="1"/>
    <col min="11" max="11" width="10.5" style="25" bestFit="1" customWidth="1"/>
    <col min="12" max="12" width="8.5" style="6" bestFit="1" customWidth="1"/>
    <col min="13" max="13" width="20.1640625" style="5" customWidth="1"/>
    <col min="14" max="16384" width="9.1640625" style="3"/>
  </cols>
  <sheetData>
    <row r="1" spans="1:13" s="2" customFormat="1" ht="29" customHeight="1">
      <c r="A1" s="56" t="s">
        <v>332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355</v>
      </c>
      <c r="B3" s="71" t="s">
        <v>0</v>
      </c>
      <c r="C3" s="66" t="s">
        <v>357</v>
      </c>
      <c r="D3" s="66" t="s">
        <v>6</v>
      </c>
      <c r="E3" s="50" t="s">
        <v>358</v>
      </c>
      <c r="F3" s="68" t="s">
        <v>5</v>
      </c>
      <c r="G3" s="68" t="s">
        <v>9</v>
      </c>
      <c r="H3" s="68"/>
      <c r="I3" s="68"/>
      <c r="J3" s="68"/>
      <c r="K3" s="48" t="s">
        <v>185</v>
      </c>
      <c r="L3" s="50" t="s">
        <v>3</v>
      </c>
      <c r="M3" s="52" t="s">
        <v>2</v>
      </c>
    </row>
    <row r="4" spans="1:13" s="1" customFormat="1" ht="21" customHeight="1" thickBot="1">
      <c r="A4" s="65"/>
      <c r="B4" s="72"/>
      <c r="C4" s="67"/>
      <c r="D4" s="67"/>
      <c r="E4" s="51"/>
      <c r="F4" s="67"/>
      <c r="G4" s="4">
        <v>1</v>
      </c>
      <c r="H4" s="4">
        <v>2</v>
      </c>
      <c r="I4" s="4">
        <v>3</v>
      </c>
      <c r="J4" s="4" t="s">
        <v>4</v>
      </c>
      <c r="K4" s="49"/>
      <c r="L4" s="51"/>
      <c r="M4" s="53"/>
    </row>
    <row r="5" spans="1:13" ht="16">
      <c r="A5" s="54" t="s">
        <v>10</v>
      </c>
      <c r="B5" s="54"/>
      <c r="C5" s="55"/>
      <c r="D5" s="55"/>
      <c r="E5" s="55"/>
      <c r="F5" s="55"/>
      <c r="G5" s="55"/>
      <c r="H5" s="55"/>
      <c r="I5" s="55"/>
      <c r="J5" s="55"/>
    </row>
    <row r="6" spans="1:13">
      <c r="A6" s="28" t="s">
        <v>56</v>
      </c>
      <c r="B6" s="7" t="s">
        <v>261</v>
      </c>
      <c r="C6" s="7" t="s">
        <v>243</v>
      </c>
      <c r="D6" s="7" t="s">
        <v>244</v>
      </c>
      <c r="E6" s="8" t="s">
        <v>360</v>
      </c>
      <c r="F6" s="7" t="s">
        <v>345</v>
      </c>
      <c r="G6" s="26" t="s">
        <v>245</v>
      </c>
      <c r="H6" s="26" t="s">
        <v>13</v>
      </c>
      <c r="I6" s="27" t="s">
        <v>77</v>
      </c>
      <c r="J6" s="28"/>
      <c r="K6" s="44" t="str">
        <f>"80,0"</f>
        <v>80,0</v>
      </c>
      <c r="L6" s="9" t="str">
        <f>"87,7280"</f>
        <v>87,7280</v>
      </c>
      <c r="M6" s="7" t="s">
        <v>23</v>
      </c>
    </row>
    <row r="8" spans="1:13" ht="16">
      <c r="A8" s="69" t="s">
        <v>62</v>
      </c>
      <c r="B8" s="69"/>
      <c r="C8" s="69"/>
      <c r="D8" s="69"/>
      <c r="E8" s="70"/>
      <c r="F8" s="69"/>
      <c r="G8" s="69"/>
      <c r="H8" s="69"/>
      <c r="I8" s="69"/>
      <c r="J8" s="69"/>
    </row>
    <row r="9" spans="1:13">
      <c r="A9" s="28" t="s">
        <v>56</v>
      </c>
      <c r="B9" s="7" t="s">
        <v>262</v>
      </c>
      <c r="C9" s="7" t="s">
        <v>246</v>
      </c>
      <c r="D9" s="7" t="s">
        <v>247</v>
      </c>
      <c r="E9" s="8" t="s">
        <v>360</v>
      </c>
      <c r="F9" s="7" t="s">
        <v>354</v>
      </c>
      <c r="G9" s="26" t="s">
        <v>84</v>
      </c>
      <c r="H9" s="26" t="s">
        <v>16</v>
      </c>
      <c r="I9" s="27" t="s">
        <v>18</v>
      </c>
      <c r="J9" s="28"/>
      <c r="K9" s="44" t="str">
        <f>"55,0"</f>
        <v>55,0</v>
      </c>
      <c r="L9" s="9" t="str">
        <f>"73,4470"</f>
        <v>73,4470</v>
      </c>
      <c r="M9" s="7" t="s">
        <v>23</v>
      </c>
    </row>
    <row r="11" spans="1:13" ht="16">
      <c r="A11" s="69" t="s">
        <v>67</v>
      </c>
      <c r="B11" s="69"/>
      <c r="C11" s="69"/>
      <c r="D11" s="69"/>
      <c r="E11" s="70"/>
      <c r="F11" s="69"/>
      <c r="G11" s="69"/>
      <c r="H11" s="69"/>
      <c r="I11" s="69"/>
      <c r="J11" s="69"/>
    </row>
    <row r="12" spans="1:13">
      <c r="A12" s="28" t="s">
        <v>56</v>
      </c>
      <c r="B12" s="7" t="s">
        <v>263</v>
      </c>
      <c r="C12" s="7" t="s">
        <v>248</v>
      </c>
      <c r="D12" s="7" t="s">
        <v>249</v>
      </c>
      <c r="E12" s="8" t="s">
        <v>359</v>
      </c>
      <c r="F12" s="7" t="s">
        <v>354</v>
      </c>
      <c r="G12" s="26" t="s">
        <v>245</v>
      </c>
      <c r="H12" s="26" t="s">
        <v>13</v>
      </c>
      <c r="I12" s="27" t="s">
        <v>77</v>
      </c>
      <c r="J12" s="28"/>
      <c r="K12" s="44" t="str">
        <f>"80,0"</f>
        <v>80,0</v>
      </c>
      <c r="L12" s="9" t="str">
        <f>"76,2240"</f>
        <v>76,2240</v>
      </c>
      <c r="M12" s="7" t="s">
        <v>23</v>
      </c>
    </row>
    <row r="14" spans="1:13" ht="16">
      <c r="A14" s="69" t="s">
        <v>10</v>
      </c>
      <c r="B14" s="69"/>
      <c r="C14" s="69"/>
      <c r="D14" s="69"/>
      <c r="E14" s="70"/>
      <c r="F14" s="69"/>
      <c r="G14" s="69"/>
      <c r="H14" s="69"/>
      <c r="I14" s="69"/>
      <c r="J14" s="69"/>
    </row>
    <row r="15" spans="1:13">
      <c r="A15" s="31" t="s">
        <v>56</v>
      </c>
      <c r="B15" s="10" t="s">
        <v>264</v>
      </c>
      <c r="C15" s="10" t="s">
        <v>250</v>
      </c>
      <c r="D15" s="10" t="s">
        <v>251</v>
      </c>
      <c r="E15" s="11" t="s">
        <v>360</v>
      </c>
      <c r="F15" s="10" t="s">
        <v>316</v>
      </c>
      <c r="G15" s="29" t="s">
        <v>15</v>
      </c>
      <c r="H15" s="29" t="s">
        <v>85</v>
      </c>
      <c r="I15" s="29" t="s">
        <v>207</v>
      </c>
      <c r="J15" s="31"/>
      <c r="K15" s="45" t="str">
        <f>"117,5"</f>
        <v>117,5</v>
      </c>
      <c r="L15" s="12" t="str">
        <f>"97,4427"</f>
        <v>97,4427</v>
      </c>
      <c r="M15" s="10" t="s">
        <v>252</v>
      </c>
    </row>
    <row r="16" spans="1:13">
      <c r="A16" s="33" t="s">
        <v>59</v>
      </c>
      <c r="B16" s="13" t="s">
        <v>265</v>
      </c>
      <c r="C16" s="13" t="s">
        <v>253</v>
      </c>
      <c r="D16" s="13" t="s">
        <v>254</v>
      </c>
      <c r="E16" s="14" t="s">
        <v>360</v>
      </c>
      <c r="F16" s="13" t="s">
        <v>316</v>
      </c>
      <c r="G16" s="32" t="s">
        <v>14</v>
      </c>
      <c r="H16" s="32" t="s">
        <v>66</v>
      </c>
      <c r="I16" s="32" t="s">
        <v>85</v>
      </c>
      <c r="J16" s="33"/>
      <c r="K16" s="47" t="str">
        <f>"110,0"</f>
        <v>110,0</v>
      </c>
      <c r="L16" s="15" t="str">
        <f>"92,1580"</f>
        <v>92,1580</v>
      </c>
      <c r="M16" s="13" t="s">
        <v>356</v>
      </c>
    </row>
    <row r="18" spans="1:13" ht="16">
      <c r="A18" s="69" t="s">
        <v>91</v>
      </c>
      <c r="B18" s="69"/>
      <c r="C18" s="69"/>
      <c r="D18" s="69"/>
      <c r="E18" s="70"/>
      <c r="F18" s="69"/>
      <c r="G18" s="69"/>
      <c r="H18" s="69"/>
      <c r="I18" s="69"/>
      <c r="J18" s="69"/>
    </row>
    <row r="19" spans="1:13">
      <c r="A19" s="31" t="s">
        <v>56</v>
      </c>
      <c r="B19" s="10" t="s">
        <v>266</v>
      </c>
      <c r="C19" s="10" t="s">
        <v>255</v>
      </c>
      <c r="D19" s="10" t="s">
        <v>256</v>
      </c>
      <c r="E19" s="11" t="s">
        <v>359</v>
      </c>
      <c r="F19" s="10" t="s">
        <v>315</v>
      </c>
      <c r="G19" s="29" t="s">
        <v>45</v>
      </c>
      <c r="H19" s="29" t="s">
        <v>40</v>
      </c>
      <c r="I19" s="30" t="s">
        <v>26</v>
      </c>
      <c r="J19" s="31"/>
      <c r="K19" s="45" t="str">
        <f>"185,0"</f>
        <v>185,0</v>
      </c>
      <c r="L19" s="12" t="str">
        <f>"135,8825"</f>
        <v>135,8825</v>
      </c>
      <c r="M19" s="10" t="s">
        <v>356</v>
      </c>
    </row>
    <row r="20" spans="1:13">
      <c r="A20" s="33" t="s">
        <v>56</v>
      </c>
      <c r="B20" s="13" t="s">
        <v>267</v>
      </c>
      <c r="C20" s="13" t="s">
        <v>344</v>
      </c>
      <c r="D20" s="13" t="s">
        <v>257</v>
      </c>
      <c r="E20" s="14" t="s">
        <v>363</v>
      </c>
      <c r="F20" s="13" t="s">
        <v>345</v>
      </c>
      <c r="G20" s="32" t="s">
        <v>27</v>
      </c>
      <c r="H20" s="32" t="s">
        <v>28</v>
      </c>
      <c r="I20" s="40" t="s">
        <v>113</v>
      </c>
      <c r="J20" s="33"/>
      <c r="K20" s="47" t="str">
        <f>"210,0"</f>
        <v>210,0</v>
      </c>
      <c r="L20" s="15" t="str">
        <f>"181,2817"</f>
        <v>181,2817</v>
      </c>
      <c r="M20" s="13" t="s">
        <v>23</v>
      </c>
    </row>
    <row r="22" spans="1:13" ht="16">
      <c r="A22" s="69" t="s">
        <v>22</v>
      </c>
      <c r="B22" s="69"/>
      <c r="C22" s="69"/>
      <c r="D22" s="69"/>
      <c r="E22" s="70"/>
      <c r="F22" s="69"/>
      <c r="G22" s="69"/>
      <c r="H22" s="69"/>
      <c r="I22" s="69"/>
      <c r="J22" s="69"/>
    </row>
    <row r="23" spans="1:13">
      <c r="A23" s="28" t="s">
        <v>56</v>
      </c>
      <c r="B23" s="7" t="s">
        <v>58</v>
      </c>
      <c r="C23" s="7" t="s">
        <v>24</v>
      </c>
      <c r="D23" s="7" t="s">
        <v>25</v>
      </c>
      <c r="E23" s="8" t="s">
        <v>359</v>
      </c>
      <c r="F23" s="7" t="s">
        <v>345</v>
      </c>
      <c r="G23" s="26" t="s">
        <v>31</v>
      </c>
      <c r="H23" s="26" t="s">
        <v>32</v>
      </c>
      <c r="I23" s="28"/>
      <c r="J23" s="28"/>
      <c r="K23" s="44" t="str">
        <f>"260,0"</f>
        <v>260,0</v>
      </c>
      <c r="L23" s="9" t="str">
        <f>"182,2860"</f>
        <v>182,2860</v>
      </c>
      <c r="M23" s="7" t="s">
        <v>356</v>
      </c>
    </row>
    <row r="25" spans="1:13" ht="16">
      <c r="A25" s="69" t="s">
        <v>180</v>
      </c>
      <c r="B25" s="69"/>
      <c r="C25" s="69"/>
      <c r="D25" s="69"/>
      <c r="E25" s="70"/>
      <c r="F25" s="69"/>
      <c r="G25" s="69"/>
      <c r="H25" s="69"/>
      <c r="I25" s="69"/>
      <c r="J25" s="69"/>
    </row>
    <row r="26" spans="1:13">
      <c r="A26" s="28" t="s">
        <v>135</v>
      </c>
      <c r="B26" s="7" t="s">
        <v>268</v>
      </c>
      <c r="C26" s="7" t="s">
        <v>258</v>
      </c>
      <c r="D26" s="7" t="s">
        <v>259</v>
      </c>
      <c r="E26" s="8" t="s">
        <v>359</v>
      </c>
      <c r="F26" s="7" t="s">
        <v>315</v>
      </c>
      <c r="G26" s="27" t="s">
        <v>260</v>
      </c>
      <c r="H26" s="27" t="s">
        <v>260</v>
      </c>
      <c r="I26" s="27" t="s">
        <v>260</v>
      </c>
      <c r="J26" s="28"/>
      <c r="K26" s="44">
        <v>0</v>
      </c>
      <c r="L26" s="9" t="str">
        <f>"0,0000"</f>
        <v>0,0000</v>
      </c>
      <c r="M26" s="7" t="s">
        <v>356</v>
      </c>
    </row>
  </sheetData>
  <mergeCells count="18">
    <mergeCell ref="A25:J25"/>
    <mergeCell ref="K3:K4"/>
    <mergeCell ref="L3:L4"/>
    <mergeCell ref="M3:M4"/>
    <mergeCell ref="A5:J5"/>
    <mergeCell ref="B3:B4"/>
    <mergeCell ref="A8:J8"/>
    <mergeCell ref="A11:J11"/>
    <mergeCell ref="A14:J14"/>
    <mergeCell ref="A18:J18"/>
    <mergeCell ref="A22:J22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"/>
  <sheetViews>
    <sheetView workbookViewId="0">
      <selection activeCell="F9" sqref="F9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8.5" style="5" bestFit="1" customWidth="1"/>
    <col min="4" max="4" width="21.5" style="5" bestFit="1" customWidth="1"/>
    <col min="5" max="5" width="10.5" style="16" bestFit="1" customWidth="1"/>
    <col min="6" max="6" width="33.33203125" style="5" customWidth="1"/>
    <col min="7" max="9" width="4.5" style="24" customWidth="1"/>
    <col min="10" max="10" width="4.83203125" style="24" customWidth="1"/>
    <col min="11" max="11" width="10.5" style="6" bestFit="1" customWidth="1"/>
    <col min="12" max="12" width="7.6640625" style="6" bestFit="1" customWidth="1"/>
    <col min="13" max="13" width="19" style="5" customWidth="1"/>
    <col min="14" max="16384" width="9.1640625" style="3"/>
  </cols>
  <sheetData>
    <row r="1" spans="1:13" s="2" customFormat="1" ht="29" customHeight="1">
      <c r="A1" s="56" t="s">
        <v>328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355</v>
      </c>
      <c r="B3" s="71" t="s">
        <v>0</v>
      </c>
      <c r="C3" s="66" t="s">
        <v>357</v>
      </c>
      <c r="D3" s="66" t="s">
        <v>6</v>
      </c>
      <c r="E3" s="50" t="s">
        <v>358</v>
      </c>
      <c r="F3" s="68" t="s">
        <v>5</v>
      </c>
      <c r="G3" s="68" t="s">
        <v>299</v>
      </c>
      <c r="H3" s="68"/>
      <c r="I3" s="68"/>
      <c r="J3" s="68"/>
      <c r="K3" s="50" t="s">
        <v>185</v>
      </c>
      <c r="L3" s="50" t="s">
        <v>3</v>
      </c>
      <c r="M3" s="52" t="s">
        <v>2</v>
      </c>
    </row>
    <row r="4" spans="1:13" s="1" customFormat="1" ht="21" customHeight="1" thickBot="1">
      <c r="A4" s="65"/>
      <c r="B4" s="72"/>
      <c r="C4" s="67"/>
      <c r="D4" s="67"/>
      <c r="E4" s="51"/>
      <c r="F4" s="67"/>
      <c r="G4" s="4">
        <v>1</v>
      </c>
      <c r="H4" s="4">
        <v>2</v>
      </c>
      <c r="I4" s="4">
        <v>3</v>
      </c>
      <c r="J4" s="4" t="s">
        <v>4</v>
      </c>
      <c r="K4" s="51"/>
      <c r="L4" s="51"/>
      <c r="M4" s="53"/>
    </row>
    <row r="5" spans="1:13" ht="16">
      <c r="A5" s="54" t="s">
        <v>22</v>
      </c>
      <c r="B5" s="54"/>
      <c r="C5" s="55"/>
      <c r="D5" s="55"/>
      <c r="E5" s="55"/>
      <c r="F5" s="55"/>
      <c r="G5" s="55"/>
      <c r="H5" s="55"/>
      <c r="I5" s="55"/>
      <c r="J5" s="55"/>
    </row>
    <row r="6" spans="1:13">
      <c r="A6" s="28" t="s">
        <v>56</v>
      </c>
      <c r="B6" s="7" t="s">
        <v>285</v>
      </c>
      <c r="C6" s="7" t="s">
        <v>339</v>
      </c>
      <c r="D6" s="7" t="s">
        <v>283</v>
      </c>
      <c r="E6" s="8" t="s">
        <v>362</v>
      </c>
      <c r="F6" s="7" t="s">
        <v>347</v>
      </c>
      <c r="G6" s="27" t="s">
        <v>245</v>
      </c>
      <c r="H6" s="26" t="s">
        <v>245</v>
      </c>
      <c r="I6" s="27" t="s">
        <v>95</v>
      </c>
      <c r="J6" s="28"/>
      <c r="K6" s="9" t="str">
        <f>"70,0"</f>
        <v>70,0</v>
      </c>
      <c r="L6" s="9" t="str">
        <f>"48,7415"</f>
        <v>48,7415</v>
      </c>
      <c r="M6" s="7" t="s">
        <v>356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4.1640625" style="5" customWidth="1"/>
    <col min="3" max="3" width="28.5" style="5" bestFit="1" customWidth="1"/>
    <col min="4" max="4" width="21.5" style="5" bestFit="1" customWidth="1"/>
    <col min="5" max="5" width="10.5" style="16" bestFit="1" customWidth="1"/>
    <col min="6" max="6" width="36.1640625" style="5" customWidth="1"/>
    <col min="7" max="9" width="4.5" style="24" customWidth="1"/>
    <col min="10" max="10" width="4.83203125" style="24" customWidth="1"/>
    <col min="11" max="11" width="10.5" style="6" bestFit="1" customWidth="1"/>
    <col min="12" max="12" width="7.5" style="6" bestFit="1" customWidth="1"/>
    <col min="13" max="13" width="18.83203125" style="5" customWidth="1"/>
    <col min="14" max="16384" width="9.1640625" style="3"/>
  </cols>
  <sheetData>
    <row r="1" spans="1:13" s="2" customFormat="1" ht="29" customHeight="1">
      <c r="A1" s="56" t="s">
        <v>329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355</v>
      </c>
      <c r="B3" s="71" t="s">
        <v>0</v>
      </c>
      <c r="C3" s="66" t="s">
        <v>357</v>
      </c>
      <c r="D3" s="66" t="s">
        <v>6</v>
      </c>
      <c r="E3" s="50" t="s">
        <v>358</v>
      </c>
      <c r="F3" s="68" t="s">
        <v>5</v>
      </c>
      <c r="G3" s="68" t="s">
        <v>8</v>
      </c>
      <c r="H3" s="68"/>
      <c r="I3" s="68"/>
      <c r="J3" s="68"/>
      <c r="K3" s="50" t="s">
        <v>185</v>
      </c>
      <c r="L3" s="50" t="s">
        <v>3</v>
      </c>
      <c r="M3" s="52" t="s">
        <v>2</v>
      </c>
    </row>
    <row r="4" spans="1:13" s="1" customFormat="1" ht="21" customHeight="1" thickBot="1">
      <c r="A4" s="65"/>
      <c r="B4" s="72"/>
      <c r="C4" s="67"/>
      <c r="D4" s="67"/>
      <c r="E4" s="51"/>
      <c r="F4" s="67"/>
      <c r="G4" s="4">
        <v>1</v>
      </c>
      <c r="H4" s="4">
        <v>2</v>
      </c>
      <c r="I4" s="4">
        <v>3</v>
      </c>
      <c r="J4" s="4" t="s">
        <v>4</v>
      </c>
      <c r="K4" s="51"/>
      <c r="L4" s="51"/>
      <c r="M4" s="53"/>
    </row>
    <row r="5" spans="1:13" ht="16">
      <c r="A5" s="54" t="s">
        <v>91</v>
      </c>
      <c r="B5" s="54"/>
      <c r="C5" s="55"/>
      <c r="D5" s="55"/>
      <c r="E5" s="55"/>
      <c r="F5" s="55"/>
      <c r="G5" s="55"/>
      <c r="H5" s="55"/>
      <c r="I5" s="55"/>
      <c r="J5" s="55"/>
    </row>
    <row r="6" spans="1:13">
      <c r="A6" s="28" t="s">
        <v>56</v>
      </c>
      <c r="B6" s="7" t="s">
        <v>230</v>
      </c>
      <c r="C6" s="7" t="s">
        <v>340</v>
      </c>
      <c r="D6" s="7" t="s">
        <v>206</v>
      </c>
      <c r="E6" s="8" t="s">
        <v>360</v>
      </c>
      <c r="F6" s="7" t="s">
        <v>316</v>
      </c>
      <c r="G6" s="26" t="s">
        <v>160</v>
      </c>
      <c r="H6" s="26" t="s">
        <v>79</v>
      </c>
      <c r="I6" s="27" t="s">
        <v>17</v>
      </c>
      <c r="J6" s="28"/>
      <c r="K6" s="9" t="str">
        <f>"50,0"</f>
        <v>50,0</v>
      </c>
      <c r="L6" s="9" t="str">
        <f>"34,9150"</f>
        <v>34,9150</v>
      </c>
      <c r="M6" s="7" t="s">
        <v>356</v>
      </c>
    </row>
    <row r="8" spans="1:13" ht="16">
      <c r="A8" s="69" t="s">
        <v>22</v>
      </c>
      <c r="B8" s="69"/>
      <c r="C8" s="69"/>
      <c r="D8" s="69"/>
      <c r="E8" s="70"/>
      <c r="F8" s="69"/>
      <c r="G8" s="69"/>
      <c r="H8" s="69"/>
      <c r="I8" s="69"/>
      <c r="J8" s="69"/>
    </row>
    <row r="9" spans="1:13">
      <c r="A9" s="31" t="s">
        <v>56</v>
      </c>
      <c r="B9" s="10" t="s">
        <v>308</v>
      </c>
      <c r="C9" s="10" t="s">
        <v>301</v>
      </c>
      <c r="D9" s="10" t="s">
        <v>302</v>
      </c>
      <c r="E9" s="11" t="s">
        <v>359</v>
      </c>
      <c r="F9" s="10" t="s">
        <v>316</v>
      </c>
      <c r="G9" s="29" t="s">
        <v>65</v>
      </c>
      <c r="H9" s="29" t="s">
        <v>79</v>
      </c>
      <c r="I9" s="29" t="s">
        <v>16</v>
      </c>
      <c r="J9" s="31"/>
      <c r="K9" s="12" t="str">
        <f>"55,0"</f>
        <v>55,0</v>
      </c>
      <c r="L9" s="12" t="str">
        <f>"37,1525"</f>
        <v>37,1525</v>
      </c>
      <c r="M9" s="10" t="s">
        <v>356</v>
      </c>
    </row>
    <row r="10" spans="1:13">
      <c r="A10" s="33" t="s">
        <v>56</v>
      </c>
      <c r="B10" s="13" t="s">
        <v>285</v>
      </c>
      <c r="C10" s="13" t="s">
        <v>339</v>
      </c>
      <c r="D10" s="13" t="s">
        <v>283</v>
      </c>
      <c r="E10" s="14" t="s">
        <v>362</v>
      </c>
      <c r="F10" s="13" t="s">
        <v>347</v>
      </c>
      <c r="G10" s="32" t="s">
        <v>79</v>
      </c>
      <c r="H10" s="32" t="s">
        <v>16</v>
      </c>
      <c r="I10" s="40" t="s">
        <v>17</v>
      </c>
      <c r="J10" s="33"/>
      <c r="K10" s="15" t="str">
        <f>"55,0"</f>
        <v>55,0</v>
      </c>
      <c r="L10" s="15" t="str">
        <f>"38,2969"</f>
        <v>38,2969</v>
      </c>
      <c r="M10" s="13" t="s">
        <v>356</v>
      </c>
    </row>
    <row r="12" spans="1:13" ht="16">
      <c r="A12" s="69" t="s">
        <v>41</v>
      </c>
      <c r="B12" s="69"/>
      <c r="C12" s="69"/>
      <c r="D12" s="69"/>
      <c r="E12" s="70"/>
      <c r="F12" s="69"/>
      <c r="G12" s="69"/>
      <c r="H12" s="69"/>
      <c r="I12" s="69"/>
      <c r="J12" s="69"/>
    </row>
    <row r="13" spans="1:13">
      <c r="A13" s="31" t="s">
        <v>56</v>
      </c>
      <c r="B13" s="10" t="s">
        <v>240</v>
      </c>
      <c r="C13" s="10" t="s">
        <v>220</v>
      </c>
      <c r="D13" s="10" t="s">
        <v>221</v>
      </c>
      <c r="E13" s="11" t="s">
        <v>359</v>
      </c>
      <c r="F13" s="10" t="s">
        <v>316</v>
      </c>
      <c r="G13" s="29" t="s">
        <v>245</v>
      </c>
      <c r="H13" s="29" t="s">
        <v>95</v>
      </c>
      <c r="I13" s="30" t="s">
        <v>13</v>
      </c>
      <c r="J13" s="31"/>
      <c r="K13" s="12" t="str">
        <f>"75,0"</f>
        <v>75,0</v>
      </c>
      <c r="L13" s="12" t="str">
        <f>"44,0362"</f>
        <v>44,0362</v>
      </c>
      <c r="M13" s="10" t="s">
        <v>356</v>
      </c>
    </row>
    <row r="14" spans="1:13">
      <c r="A14" s="33" t="s">
        <v>59</v>
      </c>
      <c r="B14" s="13" t="s">
        <v>309</v>
      </c>
      <c r="C14" s="13" t="s">
        <v>303</v>
      </c>
      <c r="D14" s="13" t="s">
        <v>304</v>
      </c>
      <c r="E14" s="14" t="s">
        <v>359</v>
      </c>
      <c r="F14" s="13" t="s">
        <v>315</v>
      </c>
      <c r="G14" s="32" t="s">
        <v>17</v>
      </c>
      <c r="H14" s="32" t="s">
        <v>18</v>
      </c>
      <c r="I14" s="40" t="s">
        <v>305</v>
      </c>
      <c r="J14" s="33"/>
      <c r="K14" s="15" t="str">
        <f>"65,0"</f>
        <v>65,0</v>
      </c>
      <c r="L14" s="15" t="str">
        <f>"38,1128"</f>
        <v>38,1128</v>
      </c>
      <c r="M14" s="13" t="s">
        <v>356</v>
      </c>
    </row>
    <row r="16" spans="1:13" ht="16">
      <c r="A16" s="69" t="s">
        <v>180</v>
      </c>
      <c r="B16" s="69"/>
      <c r="C16" s="69"/>
      <c r="D16" s="69"/>
      <c r="E16" s="70"/>
      <c r="F16" s="69"/>
      <c r="G16" s="69"/>
      <c r="H16" s="69"/>
      <c r="I16" s="69"/>
      <c r="J16" s="69"/>
    </row>
    <row r="17" spans="1:13">
      <c r="A17" s="31" t="s">
        <v>56</v>
      </c>
      <c r="B17" s="10" t="s">
        <v>310</v>
      </c>
      <c r="C17" s="10" t="s">
        <v>306</v>
      </c>
      <c r="D17" s="10" t="s">
        <v>307</v>
      </c>
      <c r="E17" s="11" t="s">
        <v>359</v>
      </c>
      <c r="F17" s="10" t="s">
        <v>315</v>
      </c>
      <c r="G17" s="29" t="s">
        <v>84</v>
      </c>
      <c r="H17" s="30" t="s">
        <v>79</v>
      </c>
      <c r="I17" s="29" t="s">
        <v>79</v>
      </c>
      <c r="J17" s="31"/>
      <c r="K17" s="12" t="str">
        <f>"50,0"</f>
        <v>50,0</v>
      </c>
      <c r="L17" s="12" t="str">
        <f>"27,3250"</f>
        <v>27,3250</v>
      </c>
      <c r="M17" s="10" t="s">
        <v>356</v>
      </c>
    </row>
    <row r="18" spans="1:13">
      <c r="A18" s="33" t="s">
        <v>56</v>
      </c>
      <c r="B18" s="13" t="s">
        <v>310</v>
      </c>
      <c r="C18" s="13" t="s">
        <v>341</v>
      </c>
      <c r="D18" s="13" t="s">
        <v>307</v>
      </c>
      <c r="E18" s="14" t="s">
        <v>362</v>
      </c>
      <c r="F18" s="13" t="s">
        <v>315</v>
      </c>
      <c r="G18" s="32" t="s">
        <v>84</v>
      </c>
      <c r="H18" s="40" t="s">
        <v>79</v>
      </c>
      <c r="I18" s="32" t="s">
        <v>79</v>
      </c>
      <c r="J18" s="33"/>
      <c r="K18" s="15" t="str">
        <f>"50,0"</f>
        <v>50,0</v>
      </c>
      <c r="L18" s="15" t="str">
        <f>"27,5983"</f>
        <v>27,5983</v>
      </c>
      <c r="M18" s="13" t="s">
        <v>356</v>
      </c>
    </row>
  </sheetData>
  <mergeCells count="15">
    <mergeCell ref="A8:J8"/>
    <mergeCell ref="A12:J12"/>
    <mergeCell ref="A16:J16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"/>
  <sheetViews>
    <sheetView tabSelected="1" workbookViewId="0">
      <selection activeCell="F12" sqref="F12"/>
    </sheetView>
  </sheetViews>
  <sheetFormatPr baseColWidth="10" defaultColWidth="9.1640625" defaultRowHeight="13"/>
  <cols>
    <col min="1" max="1" width="7.5" style="5" bestFit="1" customWidth="1"/>
    <col min="2" max="2" width="24.1640625" style="5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32.5" style="5" bestFit="1" customWidth="1"/>
    <col min="7" max="9" width="4.6640625" style="24" bestFit="1" customWidth="1"/>
    <col min="10" max="10" width="4.33203125" style="24" bestFit="1" customWidth="1"/>
    <col min="11" max="11" width="10.5" style="6" bestFit="1" customWidth="1"/>
    <col min="12" max="12" width="7.6640625" style="6" bestFit="1" customWidth="1"/>
    <col min="13" max="13" width="16.83203125" style="5" customWidth="1"/>
    <col min="14" max="16384" width="9.1640625" style="3"/>
  </cols>
  <sheetData>
    <row r="1" spans="1:13" s="2" customFormat="1" ht="29" customHeight="1">
      <c r="A1" s="56" t="s">
        <v>330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355</v>
      </c>
      <c r="B3" s="71" t="s">
        <v>0</v>
      </c>
      <c r="C3" s="66" t="s">
        <v>357</v>
      </c>
      <c r="D3" s="66" t="s">
        <v>6</v>
      </c>
      <c r="E3" s="50" t="s">
        <v>358</v>
      </c>
      <c r="F3" s="68" t="s">
        <v>5</v>
      </c>
      <c r="G3" s="68" t="s">
        <v>8</v>
      </c>
      <c r="H3" s="68"/>
      <c r="I3" s="68"/>
      <c r="J3" s="68"/>
      <c r="K3" s="50" t="s">
        <v>185</v>
      </c>
      <c r="L3" s="50" t="s">
        <v>3</v>
      </c>
      <c r="M3" s="52" t="s">
        <v>2</v>
      </c>
    </row>
    <row r="4" spans="1:13" s="1" customFormat="1" ht="21" customHeight="1" thickBot="1">
      <c r="A4" s="65"/>
      <c r="B4" s="72"/>
      <c r="C4" s="67"/>
      <c r="D4" s="67"/>
      <c r="E4" s="51"/>
      <c r="F4" s="67"/>
      <c r="G4" s="4">
        <v>1</v>
      </c>
      <c r="H4" s="4">
        <v>2</v>
      </c>
      <c r="I4" s="4">
        <v>3</v>
      </c>
      <c r="J4" s="4" t="s">
        <v>4</v>
      </c>
      <c r="K4" s="51"/>
      <c r="L4" s="51"/>
      <c r="M4" s="53"/>
    </row>
    <row r="5" spans="1:13" ht="16">
      <c r="A5" s="54" t="s">
        <v>22</v>
      </c>
      <c r="B5" s="54"/>
      <c r="C5" s="55"/>
      <c r="D5" s="55"/>
      <c r="E5" s="55"/>
      <c r="F5" s="55"/>
      <c r="G5" s="55"/>
      <c r="H5" s="55"/>
      <c r="I5" s="55"/>
      <c r="J5" s="55"/>
    </row>
    <row r="6" spans="1:13">
      <c r="A6" s="28" t="s">
        <v>56</v>
      </c>
      <c r="B6" s="7" t="s">
        <v>296</v>
      </c>
      <c r="C6" s="7" t="s">
        <v>286</v>
      </c>
      <c r="D6" s="7" t="s">
        <v>287</v>
      </c>
      <c r="E6" s="8" t="s">
        <v>359</v>
      </c>
      <c r="F6" s="7" t="s">
        <v>316</v>
      </c>
      <c r="G6" s="26" t="s">
        <v>18</v>
      </c>
      <c r="H6" s="27" t="s">
        <v>300</v>
      </c>
      <c r="I6" s="27" t="s">
        <v>95</v>
      </c>
      <c r="J6" s="28"/>
      <c r="K6" s="9" t="str">
        <f>"65,0"</f>
        <v>65,0</v>
      </c>
      <c r="L6" s="9" t="str">
        <f>"42,6497"</f>
        <v>42,6497</v>
      </c>
      <c r="M6" s="41" t="s">
        <v>311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5">
    <pageSetUpPr fitToPage="1"/>
  </sheetPr>
  <dimension ref="A1:U15"/>
  <sheetViews>
    <sheetView workbookViewId="0">
      <selection activeCell="F25" sqref="F25"/>
    </sheetView>
  </sheetViews>
  <sheetFormatPr baseColWidth="10" defaultColWidth="9.1640625" defaultRowHeight="13"/>
  <cols>
    <col min="1" max="1" width="7.5" style="5" bestFit="1" customWidth="1"/>
    <col min="2" max="2" width="17.6640625" style="5" bestFit="1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35.1640625" style="5" customWidth="1"/>
    <col min="7" max="9" width="5.5" style="24" customWidth="1"/>
    <col min="10" max="10" width="4.83203125" style="24" customWidth="1"/>
    <col min="11" max="13" width="5.5" style="24" customWidth="1"/>
    <col min="14" max="14" width="4.83203125" style="24" customWidth="1"/>
    <col min="15" max="17" width="5.5" style="24" customWidth="1"/>
    <col min="18" max="18" width="4.83203125" style="24" customWidth="1"/>
    <col min="19" max="19" width="7.83203125" style="6" bestFit="1" customWidth="1"/>
    <col min="20" max="20" width="8.5" style="6" bestFit="1" customWidth="1"/>
    <col min="21" max="21" width="18.1640625" style="5" customWidth="1"/>
    <col min="22" max="16384" width="9.1640625" style="3"/>
  </cols>
  <sheetData>
    <row r="1" spans="1:21" s="2" customFormat="1" ht="29" customHeight="1">
      <c r="A1" s="56" t="s">
        <v>320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9"/>
    </row>
    <row r="2" spans="1:21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</row>
    <row r="3" spans="1:21" s="1" customFormat="1" ht="12.75" customHeight="1">
      <c r="A3" s="64" t="s">
        <v>355</v>
      </c>
      <c r="B3" s="71" t="s">
        <v>0</v>
      </c>
      <c r="C3" s="66" t="s">
        <v>357</v>
      </c>
      <c r="D3" s="66" t="s">
        <v>6</v>
      </c>
      <c r="E3" s="50" t="s">
        <v>358</v>
      </c>
      <c r="F3" s="68" t="s">
        <v>5</v>
      </c>
      <c r="G3" s="68" t="s">
        <v>7</v>
      </c>
      <c r="H3" s="68"/>
      <c r="I3" s="68"/>
      <c r="J3" s="68"/>
      <c r="K3" s="68" t="s">
        <v>8</v>
      </c>
      <c r="L3" s="68"/>
      <c r="M3" s="68"/>
      <c r="N3" s="68"/>
      <c r="O3" s="68" t="s">
        <v>9</v>
      </c>
      <c r="P3" s="68"/>
      <c r="Q3" s="68"/>
      <c r="R3" s="68"/>
      <c r="S3" s="50" t="s">
        <v>1</v>
      </c>
      <c r="T3" s="50" t="s">
        <v>3</v>
      </c>
      <c r="U3" s="52" t="s">
        <v>2</v>
      </c>
    </row>
    <row r="4" spans="1:21" s="1" customFormat="1" ht="21" customHeight="1" thickBot="1">
      <c r="A4" s="65"/>
      <c r="B4" s="72"/>
      <c r="C4" s="67"/>
      <c r="D4" s="67"/>
      <c r="E4" s="51"/>
      <c r="F4" s="6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1"/>
      <c r="T4" s="51"/>
      <c r="U4" s="53"/>
    </row>
    <row r="5" spans="1:21" ht="16">
      <c r="A5" s="54" t="s">
        <v>10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21">
      <c r="A6" s="28" t="s">
        <v>56</v>
      </c>
      <c r="B6" s="7" t="s">
        <v>57</v>
      </c>
      <c r="C6" s="7" t="s">
        <v>11</v>
      </c>
      <c r="D6" s="7" t="s">
        <v>12</v>
      </c>
      <c r="E6" s="8" t="s">
        <v>359</v>
      </c>
      <c r="F6" s="7" t="s">
        <v>345</v>
      </c>
      <c r="G6" s="26" t="s">
        <v>13</v>
      </c>
      <c r="H6" s="27" t="s">
        <v>14</v>
      </c>
      <c r="I6" s="27" t="s">
        <v>15</v>
      </c>
      <c r="J6" s="28"/>
      <c r="K6" s="26" t="s">
        <v>16</v>
      </c>
      <c r="L6" s="26" t="s">
        <v>17</v>
      </c>
      <c r="M6" s="26" t="s">
        <v>18</v>
      </c>
      <c r="N6" s="28"/>
      <c r="O6" s="26" t="s">
        <v>19</v>
      </c>
      <c r="P6" s="26" t="s">
        <v>20</v>
      </c>
      <c r="Q6" s="26" t="s">
        <v>21</v>
      </c>
      <c r="R6" s="28"/>
      <c r="S6" s="9" t="str">
        <f>"285,0"</f>
        <v>285,0</v>
      </c>
      <c r="T6" s="9" t="str">
        <f>"295,9725"</f>
        <v>295,9725</v>
      </c>
      <c r="U6" s="41" t="s">
        <v>58</v>
      </c>
    </row>
    <row r="8" spans="1:21" ht="16">
      <c r="A8" s="69" t="s">
        <v>22</v>
      </c>
      <c r="B8" s="69"/>
      <c r="C8" s="69"/>
      <c r="D8" s="69"/>
      <c r="E8" s="70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21">
      <c r="A9" s="31" t="s">
        <v>56</v>
      </c>
      <c r="B9" s="10" t="s">
        <v>58</v>
      </c>
      <c r="C9" s="10" t="s">
        <v>24</v>
      </c>
      <c r="D9" s="10" t="s">
        <v>25</v>
      </c>
      <c r="E9" s="11" t="s">
        <v>359</v>
      </c>
      <c r="F9" s="10" t="s">
        <v>345</v>
      </c>
      <c r="G9" s="29" t="s">
        <v>26</v>
      </c>
      <c r="H9" s="29" t="s">
        <v>27</v>
      </c>
      <c r="I9" s="30" t="s">
        <v>28</v>
      </c>
      <c r="J9" s="31"/>
      <c r="K9" s="29" t="s">
        <v>29</v>
      </c>
      <c r="L9" s="29" t="s">
        <v>19</v>
      </c>
      <c r="M9" s="30" t="s">
        <v>30</v>
      </c>
      <c r="N9" s="31"/>
      <c r="O9" s="29" t="s">
        <v>31</v>
      </c>
      <c r="P9" s="29" t="s">
        <v>32</v>
      </c>
      <c r="Q9" s="31"/>
      <c r="R9" s="31"/>
      <c r="S9" s="12" t="str">
        <f>"580,0"</f>
        <v>580,0</v>
      </c>
      <c r="T9" s="12" t="str">
        <f>"406,6380"</f>
        <v>406,6380</v>
      </c>
      <c r="U9" s="43" t="s">
        <v>356</v>
      </c>
    </row>
    <row r="10" spans="1:21">
      <c r="A10" s="33" t="s">
        <v>59</v>
      </c>
      <c r="B10" s="13" t="s">
        <v>60</v>
      </c>
      <c r="C10" s="13" t="s">
        <v>33</v>
      </c>
      <c r="D10" s="13" t="s">
        <v>34</v>
      </c>
      <c r="E10" s="14" t="s">
        <v>359</v>
      </c>
      <c r="F10" s="13" t="s">
        <v>315</v>
      </c>
      <c r="G10" s="32" t="s">
        <v>35</v>
      </c>
      <c r="H10" s="32" t="s">
        <v>36</v>
      </c>
      <c r="I10" s="32" t="s">
        <v>37</v>
      </c>
      <c r="J10" s="33"/>
      <c r="K10" s="32" t="s">
        <v>19</v>
      </c>
      <c r="L10" s="32" t="s">
        <v>20</v>
      </c>
      <c r="M10" s="32" t="s">
        <v>35</v>
      </c>
      <c r="N10" s="33"/>
      <c r="O10" s="32" t="s">
        <v>38</v>
      </c>
      <c r="P10" s="32" t="s">
        <v>39</v>
      </c>
      <c r="Q10" s="32" t="s">
        <v>40</v>
      </c>
      <c r="R10" s="33"/>
      <c r="S10" s="15" t="str">
        <f>"495,0"</f>
        <v>495,0</v>
      </c>
      <c r="T10" s="15" t="str">
        <f>"337,9365"</f>
        <v>337,9365</v>
      </c>
      <c r="U10" s="13" t="s">
        <v>356</v>
      </c>
    </row>
    <row r="12" spans="1:21" ht="16">
      <c r="A12" s="69" t="s">
        <v>41</v>
      </c>
      <c r="B12" s="69"/>
      <c r="C12" s="69"/>
      <c r="D12" s="69"/>
      <c r="E12" s="70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1:21">
      <c r="A13" s="28" t="s">
        <v>56</v>
      </c>
      <c r="B13" s="7" t="s">
        <v>61</v>
      </c>
      <c r="C13" s="7" t="s">
        <v>42</v>
      </c>
      <c r="D13" s="7" t="s">
        <v>43</v>
      </c>
      <c r="E13" s="8" t="s">
        <v>359</v>
      </c>
      <c r="F13" s="7" t="s">
        <v>316</v>
      </c>
      <c r="G13" s="27" t="s">
        <v>44</v>
      </c>
      <c r="H13" s="26" t="s">
        <v>38</v>
      </c>
      <c r="I13" s="26" t="s">
        <v>45</v>
      </c>
      <c r="J13" s="28"/>
      <c r="K13" s="26" t="s">
        <v>21</v>
      </c>
      <c r="L13" s="26" t="s">
        <v>44</v>
      </c>
      <c r="M13" s="26" t="s">
        <v>38</v>
      </c>
      <c r="N13" s="28"/>
      <c r="O13" s="26" t="s">
        <v>46</v>
      </c>
      <c r="P13" s="26" t="s">
        <v>27</v>
      </c>
      <c r="Q13" s="26" t="s">
        <v>28</v>
      </c>
      <c r="R13" s="28"/>
      <c r="S13" s="9" t="str">
        <f>"540,0"</f>
        <v>540,0</v>
      </c>
      <c r="T13" s="9" t="str">
        <f>"337,0140"</f>
        <v>337,0140</v>
      </c>
      <c r="U13" s="7" t="s">
        <v>356</v>
      </c>
    </row>
    <row r="15" spans="1:21">
      <c r="E15" s="5"/>
      <c r="F15" s="16"/>
      <c r="G15" s="5"/>
    </row>
  </sheetData>
  <mergeCells count="16">
    <mergeCell ref="A5:R5"/>
    <mergeCell ref="A8:R8"/>
    <mergeCell ref="A12:R12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8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83203125" style="5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43.33203125" style="5" customWidth="1"/>
    <col min="7" max="9" width="5.5" style="24" customWidth="1"/>
    <col min="10" max="10" width="4.83203125" style="24" customWidth="1"/>
    <col min="11" max="13" width="5.5" style="24" customWidth="1"/>
    <col min="14" max="14" width="4.83203125" style="24" customWidth="1"/>
    <col min="15" max="17" width="5.5" style="24" customWidth="1"/>
    <col min="18" max="18" width="4.83203125" style="24" customWidth="1"/>
    <col min="19" max="19" width="7.83203125" style="6" bestFit="1" customWidth="1"/>
    <col min="20" max="20" width="8.5" style="6" bestFit="1" customWidth="1"/>
    <col min="21" max="21" width="15.6640625" style="5" bestFit="1" customWidth="1"/>
    <col min="22" max="16384" width="9.1640625" style="3"/>
  </cols>
  <sheetData>
    <row r="1" spans="1:21" s="2" customFormat="1" ht="29" customHeight="1">
      <c r="A1" s="56" t="s">
        <v>321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9"/>
    </row>
    <row r="2" spans="1:21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</row>
    <row r="3" spans="1:21" s="1" customFormat="1" ht="12.75" customHeight="1">
      <c r="A3" s="64" t="s">
        <v>355</v>
      </c>
      <c r="B3" s="71" t="s">
        <v>0</v>
      </c>
      <c r="C3" s="66" t="s">
        <v>357</v>
      </c>
      <c r="D3" s="66" t="s">
        <v>6</v>
      </c>
      <c r="E3" s="50" t="s">
        <v>358</v>
      </c>
      <c r="F3" s="68" t="s">
        <v>5</v>
      </c>
      <c r="G3" s="68" t="s">
        <v>7</v>
      </c>
      <c r="H3" s="68"/>
      <c r="I3" s="68"/>
      <c r="J3" s="68"/>
      <c r="K3" s="68" t="s">
        <v>8</v>
      </c>
      <c r="L3" s="68"/>
      <c r="M3" s="68"/>
      <c r="N3" s="68"/>
      <c r="O3" s="68" t="s">
        <v>9</v>
      </c>
      <c r="P3" s="68"/>
      <c r="Q3" s="68"/>
      <c r="R3" s="68"/>
      <c r="S3" s="50" t="s">
        <v>1</v>
      </c>
      <c r="T3" s="50" t="s">
        <v>3</v>
      </c>
      <c r="U3" s="52" t="s">
        <v>2</v>
      </c>
    </row>
    <row r="4" spans="1:21" s="1" customFormat="1" ht="21" customHeight="1" thickBot="1">
      <c r="A4" s="65"/>
      <c r="B4" s="72"/>
      <c r="C4" s="67"/>
      <c r="D4" s="67"/>
      <c r="E4" s="51"/>
      <c r="F4" s="6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1"/>
      <c r="T4" s="51"/>
      <c r="U4" s="53"/>
    </row>
    <row r="5" spans="1:21" ht="16">
      <c r="A5" s="54" t="s">
        <v>110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21">
      <c r="A6" s="28" t="s">
        <v>56</v>
      </c>
      <c r="B6" s="7" t="s">
        <v>157</v>
      </c>
      <c r="C6" s="7" t="s">
        <v>152</v>
      </c>
      <c r="D6" s="7" t="s">
        <v>153</v>
      </c>
      <c r="E6" s="8" t="s">
        <v>359</v>
      </c>
      <c r="F6" s="7" t="s">
        <v>346</v>
      </c>
      <c r="G6" s="26" t="s">
        <v>154</v>
      </c>
      <c r="H6" s="27" t="s">
        <v>155</v>
      </c>
      <c r="I6" s="27" t="s">
        <v>155</v>
      </c>
      <c r="J6" s="28"/>
      <c r="K6" s="27" t="s">
        <v>37</v>
      </c>
      <c r="L6" s="26" t="s">
        <v>37</v>
      </c>
      <c r="M6" s="27" t="s">
        <v>45</v>
      </c>
      <c r="N6" s="28"/>
      <c r="O6" s="27" t="s">
        <v>156</v>
      </c>
      <c r="P6" s="26" t="s">
        <v>156</v>
      </c>
      <c r="Q6" s="26" t="s">
        <v>154</v>
      </c>
      <c r="R6" s="28"/>
      <c r="S6" s="9" t="str">
        <f>"705,0"</f>
        <v>705,0</v>
      </c>
      <c r="T6" s="9" t="str">
        <f>"451,0590"</f>
        <v>451,0590</v>
      </c>
      <c r="U6" s="7" t="s">
        <v>356</v>
      </c>
    </row>
    <row r="8" spans="1:21">
      <c r="E8" s="5"/>
      <c r="F8" s="16"/>
      <c r="G8" s="5"/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8"/>
  <sheetViews>
    <sheetView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21.5" style="5" customWidth="1"/>
    <col min="3" max="3" width="28.5" style="5" bestFit="1" customWidth="1"/>
    <col min="4" max="4" width="21.5" style="5" bestFit="1" customWidth="1"/>
    <col min="5" max="5" width="10.5" style="16" bestFit="1" customWidth="1"/>
    <col min="6" max="6" width="35.6640625" style="5" customWidth="1"/>
    <col min="7" max="9" width="5.5" style="24" customWidth="1"/>
    <col min="10" max="10" width="4.83203125" style="24" customWidth="1"/>
    <col min="11" max="13" width="5.5" style="24" customWidth="1"/>
    <col min="14" max="14" width="4.83203125" style="24" customWidth="1"/>
    <col min="15" max="15" width="7.83203125" style="6" bestFit="1" customWidth="1"/>
    <col min="16" max="16" width="8.5" style="6" bestFit="1" customWidth="1"/>
    <col min="17" max="17" width="19.5" style="5" bestFit="1" customWidth="1"/>
    <col min="18" max="16384" width="9.1640625" style="3"/>
  </cols>
  <sheetData>
    <row r="1" spans="1:17" s="2" customFormat="1" ht="29" customHeight="1">
      <c r="A1" s="56" t="s">
        <v>322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</row>
    <row r="2" spans="1:17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</row>
    <row r="3" spans="1:17" s="1" customFormat="1" ht="12.75" customHeight="1">
      <c r="A3" s="64" t="s">
        <v>355</v>
      </c>
      <c r="B3" s="71" t="s">
        <v>0</v>
      </c>
      <c r="C3" s="66" t="s">
        <v>357</v>
      </c>
      <c r="D3" s="66" t="s">
        <v>6</v>
      </c>
      <c r="E3" s="50" t="s">
        <v>358</v>
      </c>
      <c r="F3" s="68" t="s">
        <v>5</v>
      </c>
      <c r="G3" s="68" t="s">
        <v>8</v>
      </c>
      <c r="H3" s="68"/>
      <c r="I3" s="68"/>
      <c r="J3" s="68"/>
      <c r="K3" s="68" t="s">
        <v>9</v>
      </c>
      <c r="L3" s="68"/>
      <c r="M3" s="68"/>
      <c r="N3" s="68"/>
      <c r="O3" s="50" t="s">
        <v>1</v>
      </c>
      <c r="P3" s="50" t="s">
        <v>3</v>
      </c>
      <c r="Q3" s="52" t="s">
        <v>2</v>
      </c>
    </row>
    <row r="4" spans="1:17" s="1" customFormat="1" ht="21" customHeight="1" thickBot="1">
      <c r="A4" s="65"/>
      <c r="B4" s="72"/>
      <c r="C4" s="67"/>
      <c r="D4" s="67"/>
      <c r="E4" s="51"/>
      <c r="F4" s="6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1"/>
      <c r="P4" s="51"/>
      <c r="Q4" s="53"/>
    </row>
    <row r="5" spans="1:17" ht="16">
      <c r="A5" s="54" t="s">
        <v>62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7">
      <c r="A6" s="28" t="s">
        <v>135</v>
      </c>
      <c r="B6" s="7" t="s">
        <v>136</v>
      </c>
      <c r="C6" s="7" t="s">
        <v>63</v>
      </c>
      <c r="D6" s="7" t="s">
        <v>64</v>
      </c>
      <c r="E6" s="8" t="s">
        <v>359</v>
      </c>
      <c r="F6" s="7" t="s">
        <v>316</v>
      </c>
      <c r="G6" s="26" t="s">
        <v>65</v>
      </c>
      <c r="H6" s="27" t="s">
        <v>79</v>
      </c>
      <c r="I6" s="27" t="s">
        <v>79</v>
      </c>
      <c r="J6" s="28"/>
      <c r="K6" s="27" t="s">
        <v>66</v>
      </c>
      <c r="L6" s="27" t="s">
        <v>66</v>
      </c>
      <c r="M6" s="27" t="s">
        <v>66</v>
      </c>
      <c r="N6" s="28"/>
      <c r="O6" s="9" t="str">
        <f>"0.00"</f>
        <v>0.00</v>
      </c>
      <c r="P6" s="9" t="str">
        <f>"0,0000"</f>
        <v>0,0000</v>
      </c>
      <c r="Q6" s="7" t="s">
        <v>280</v>
      </c>
    </row>
    <row r="8" spans="1:17" ht="16">
      <c r="A8" s="69" t="s">
        <v>67</v>
      </c>
      <c r="B8" s="69"/>
      <c r="C8" s="69"/>
      <c r="D8" s="69"/>
      <c r="E8" s="70"/>
      <c r="F8" s="69"/>
      <c r="G8" s="69"/>
      <c r="H8" s="69"/>
      <c r="I8" s="69"/>
      <c r="J8" s="69"/>
      <c r="K8" s="69"/>
      <c r="L8" s="69"/>
      <c r="M8" s="69"/>
      <c r="N8" s="69"/>
    </row>
    <row r="9" spans="1:17">
      <c r="A9" s="28" t="s">
        <v>56</v>
      </c>
      <c r="B9" s="7" t="s">
        <v>227</v>
      </c>
      <c r="C9" s="7" t="s">
        <v>197</v>
      </c>
      <c r="D9" s="7" t="s">
        <v>198</v>
      </c>
      <c r="E9" s="8" t="s">
        <v>359</v>
      </c>
      <c r="F9" s="7" t="s">
        <v>316</v>
      </c>
      <c r="G9" s="26" t="s">
        <v>73</v>
      </c>
      <c r="H9" s="26" t="s">
        <v>199</v>
      </c>
      <c r="I9" s="26" t="s">
        <v>18</v>
      </c>
      <c r="J9" s="28"/>
      <c r="K9" s="26" t="s">
        <v>29</v>
      </c>
      <c r="L9" s="26" t="s">
        <v>19</v>
      </c>
      <c r="M9" s="27" t="s">
        <v>30</v>
      </c>
      <c r="N9" s="28"/>
      <c r="O9" s="9" t="str">
        <f>"185,0"</f>
        <v>185,0</v>
      </c>
      <c r="P9" s="9" t="str">
        <f>"218,5960"</f>
        <v>218,5960</v>
      </c>
      <c r="Q9" s="7" t="s">
        <v>104</v>
      </c>
    </row>
    <row r="11" spans="1:17" ht="16">
      <c r="A11" s="69" t="s">
        <v>91</v>
      </c>
      <c r="B11" s="69"/>
      <c r="C11" s="69"/>
      <c r="D11" s="69"/>
      <c r="E11" s="70"/>
      <c r="F11" s="69"/>
      <c r="G11" s="69"/>
      <c r="H11" s="69"/>
      <c r="I11" s="69"/>
      <c r="J11" s="69"/>
      <c r="K11" s="69"/>
      <c r="L11" s="69"/>
      <c r="M11" s="69"/>
      <c r="N11" s="69"/>
    </row>
    <row r="12" spans="1:17">
      <c r="A12" s="28" t="s">
        <v>56</v>
      </c>
      <c r="B12" s="7" t="s">
        <v>284</v>
      </c>
      <c r="C12" s="7" t="s">
        <v>281</v>
      </c>
      <c r="D12" s="7" t="s">
        <v>282</v>
      </c>
      <c r="E12" s="8" t="s">
        <v>359</v>
      </c>
      <c r="F12" s="7" t="s">
        <v>315</v>
      </c>
      <c r="G12" s="27" t="s">
        <v>17</v>
      </c>
      <c r="H12" s="26" t="s">
        <v>17</v>
      </c>
      <c r="I12" s="26" t="s">
        <v>199</v>
      </c>
      <c r="J12" s="28"/>
      <c r="K12" s="27" t="s">
        <v>95</v>
      </c>
      <c r="L12" s="26" t="s">
        <v>95</v>
      </c>
      <c r="M12" s="26" t="s">
        <v>89</v>
      </c>
      <c r="N12" s="28"/>
      <c r="O12" s="9" t="str">
        <f>"147,5"</f>
        <v>147,5</v>
      </c>
      <c r="P12" s="9" t="str">
        <f>"144,6385"</f>
        <v>144,6385</v>
      </c>
      <c r="Q12" s="7" t="s">
        <v>356</v>
      </c>
    </row>
    <row r="14" spans="1:17" ht="16">
      <c r="A14" s="69" t="s">
        <v>22</v>
      </c>
      <c r="B14" s="69"/>
      <c r="C14" s="69"/>
      <c r="D14" s="69"/>
      <c r="E14" s="70"/>
      <c r="F14" s="69"/>
      <c r="G14" s="69"/>
      <c r="H14" s="69"/>
      <c r="I14" s="69"/>
      <c r="J14" s="69"/>
      <c r="K14" s="69"/>
      <c r="L14" s="69"/>
      <c r="M14" s="69"/>
      <c r="N14" s="69"/>
    </row>
    <row r="15" spans="1:17">
      <c r="A15" s="28" t="s">
        <v>56</v>
      </c>
      <c r="B15" s="7" t="s">
        <v>285</v>
      </c>
      <c r="C15" s="7" t="s">
        <v>334</v>
      </c>
      <c r="D15" s="7" t="s">
        <v>283</v>
      </c>
      <c r="E15" s="8" t="s">
        <v>362</v>
      </c>
      <c r="F15" s="7" t="s">
        <v>347</v>
      </c>
      <c r="G15" s="26" t="s">
        <v>85</v>
      </c>
      <c r="H15" s="27" t="s">
        <v>19</v>
      </c>
      <c r="I15" s="28"/>
      <c r="J15" s="28"/>
      <c r="K15" s="26" t="s">
        <v>21</v>
      </c>
      <c r="L15" s="26" t="s">
        <v>38</v>
      </c>
      <c r="M15" s="26" t="s">
        <v>45</v>
      </c>
      <c r="N15" s="28"/>
      <c r="O15" s="9" t="str">
        <f>"280,0"</f>
        <v>280,0</v>
      </c>
      <c r="P15" s="9" t="str">
        <f>"202,3439"</f>
        <v>202,3439</v>
      </c>
      <c r="Q15" s="7" t="s">
        <v>356</v>
      </c>
    </row>
    <row r="17" spans="1:17" ht="16">
      <c r="A17" s="69" t="s">
        <v>110</v>
      </c>
      <c r="B17" s="69"/>
      <c r="C17" s="69"/>
      <c r="D17" s="69"/>
      <c r="E17" s="70"/>
      <c r="F17" s="69"/>
      <c r="G17" s="69"/>
      <c r="H17" s="69"/>
      <c r="I17" s="69"/>
      <c r="J17" s="69"/>
      <c r="K17" s="69"/>
      <c r="L17" s="69"/>
      <c r="M17" s="69"/>
      <c r="N17" s="69"/>
    </row>
    <row r="18" spans="1:17">
      <c r="A18" s="28" t="s">
        <v>56</v>
      </c>
      <c r="B18" s="7" t="s">
        <v>236</v>
      </c>
      <c r="C18" s="7" t="s">
        <v>214</v>
      </c>
      <c r="D18" s="7" t="s">
        <v>215</v>
      </c>
      <c r="E18" s="8" t="s">
        <v>359</v>
      </c>
      <c r="F18" s="7" t="s">
        <v>345</v>
      </c>
      <c r="G18" s="26" t="s">
        <v>20</v>
      </c>
      <c r="H18" s="26" t="s">
        <v>21</v>
      </c>
      <c r="I18" s="27" t="s">
        <v>174</v>
      </c>
      <c r="J18" s="28"/>
      <c r="K18" s="26" t="s">
        <v>20</v>
      </c>
      <c r="L18" s="26" t="s">
        <v>21</v>
      </c>
      <c r="M18" s="26" t="s">
        <v>44</v>
      </c>
      <c r="N18" s="28"/>
      <c r="O18" s="9" t="str">
        <f>"290,0"</f>
        <v>290,0</v>
      </c>
      <c r="P18" s="9" t="str">
        <f>"187,4270"</f>
        <v>187,4270</v>
      </c>
      <c r="Q18" s="41" t="s">
        <v>58</v>
      </c>
    </row>
  </sheetData>
  <mergeCells count="17">
    <mergeCell ref="A8:N8"/>
    <mergeCell ref="A11:N11"/>
    <mergeCell ref="A14:N14"/>
    <mergeCell ref="A17:N17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8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9.5" style="5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32.33203125" style="5" bestFit="1" customWidth="1"/>
    <col min="7" max="9" width="5.5" style="24" customWidth="1"/>
    <col min="10" max="10" width="4.83203125" style="24" customWidth="1"/>
    <col min="11" max="13" width="5.5" style="24" customWidth="1"/>
    <col min="14" max="14" width="4.83203125" style="24" customWidth="1"/>
    <col min="15" max="15" width="7.83203125" style="6" bestFit="1" customWidth="1"/>
    <col min="16" max="16" width="8.5" style="6" bestFit="1" customWidth="1"/>
    <col min="17" max="17" width="18" style="5" customWidth="1"/>
    <col min="18" max="16384" width="9.1640625" style="3"/>
  </cols>
  <sheetData>
    <row r="1" spans="1:17" s="2" customFormat="1" ht="29" customHeight="1">
      <c r="A1" s="56" t="s">
        <v>323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</row>
    <row r="2" spans="1:17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</row>
    <row r="3" spans="1:17" s="1" customFormat="1" ht="12.75" customHeight="1">
      <c r="A3" s="64" t="s">
        <v>355</v>
      </c>
      <c r="B3" s="71" t="s">
        <v>0</v>
      </c>
      <c r="C3" s="66" t="s">
        <v>357</v>
      </c>
      <c r="D3" s="66" t="s">
        <v>6</v>
      </c>
      <c r="E3" s="50" t="s">
        <v>358</v>
      </c>
      <c r="F3" s="68" t="s">
        <v>5</v>
      </c>
      <c r="G3" s="68" t="s">
        <v>8</v>
      </c>
      <c r="H3" s="68"/>
      <c r="I3" s="68"/>
      <c r="J3" s="68"/>
      <c r="K3" s="68" t="s">
        <v>9</v>
      </c>
      <c r="L3" s="68"/>
      <c r="M3" s="68"/>
      <c r="N3" s="68"/>
      <c r="O3" s="50" t="s">
        <v>1</v>
      </c>
      <c r="P3" s="50" t="s">
        <v>3</v>
      </c>
      <c r="Q3" s="52" t="s">
        <v>2</v>
      </c>
    </row>
    <row r="4" spans="1:17" s="1" customFormat="1" ht="21" customHeight="1" thickBot="1">
      <c r="A4" s="65"/>
      <c r="B4" s="72"/>
      <c r="C4" s="67"/>
      <c r="D4" s="67"/>
      <c r="E4" s="51"/>
      <c r="F4" s="6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1"/>
      <c r="P4" s="51"/>
      <c r="Q4" s="53"/>
    </row>
    <row r="5" spans="1:17" ht="16">
      <c r="A5" s="54" t="s">
        <v>10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7">
      <c r="A6" s="28" t="s">
        <v>56</v>
      </c>
      <c r="B6" s="7" t="s">
        <v>57</v>
      </c>
      <c r="C6" s="7" t="s">
        <v>11</v>
      </c>
      <c r="D6" s="7" t="s">
        <v>12</v>
      </c>
      <c r="E6" s="8" t="s">
        <v>359</v>
      </c>
      <c r="F6" s="7" t="s">
        <v>345</v>
      </c>
      <c r="G6" s="26" t="s">
        <v>16</v>
      </c>
      <c r="H6" s="26" t="s">
        <v>17</v>
      </c>
      <c r="I6" s="26" t="s">
        <v>18</v>
      </c>
      <c r="J6" s="28"/>
      <c r="K6" s="26" t="s">
        <v>19</v>
      </c>
      <c r="L6" s="26" t="s">
        <v>20</v>
      </c>
      <c r="M6" s="26" t="s">
        <v>21</v>
      </c>
      <c r="N6" s="28"/>
      <c r="O6" s="9" t="str">
        <f>"205,0"</f>
        <v>205,0</v>
      </c>
      <c r="P6" s="9" t="str">
        <f>"212,8925"</f>
        <v>212,8925</v>
      </c>
      <c r="Q6" s="41" t="s">
        <v>23</v>
      </c>
    </row>
    <row r="8" spans="1:17">
      <c r="E8" s="5"/>
      <c r="F8" s="16"/>
      <c r="G8" s="5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8"/>
  <sheetViews>
    <sheetView workbookViewId="0">
      <selection activeCell="A5" sqref="A5:XFD7"/>
    </sheetView>
  </sheetViews>
  <sheetFormatPr baseColWidth="10" defaultColWidth="9.1640625" defaultRowHeight="13"/>
  <cols>
    <col min="1" max="1" width="7.5" style="5" bestFit="1" customWidth="1"/>
    <col min="2" max="2" width="19.5" style="5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35.1640625" style="5" customWidth="1"/>
    <col min="7" max="9" width="5.5" style="24" customWidth="1"/>
    <col min="10" max="10" width="4.83203125" style="24" customWidth="1"/>
    <col min="11" max="11" width="10.5" style="6" bestFit="1" customWidth="1"/>
    <col min="12" max="12" width="8.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56" t="s">
        <v>324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355</v>
      </c>
      <c r="B3" s="71" t="s">
        <v>0</v>
      </c>
      <c r="C3" s="66" t="s">
        <v>357</v>
      </c>
      <c r="D3" s="66" t="s">
        <v>6</v>
      </c>
      <c r="E3" s="50" t="s">
        <v>358</v>
      </c>
      <c r="F3" s="68" t="s">
        <v>5</v>
      </c>
      <c r="G3" s="68" t="s">
        <v>7</v>
      </c>
      <c r="H3" s="68"/>
      <c r="I3" s="68"/>
      <c r="J3" s="68"/>
      <c r="K3" s="50" t="s">
        <v>185</v>
      </c>
      <c r="L3" s="50" t="s">
        <v>3</v>
      </c>
      <c r="M3" s="52" t="s">
        <v>2</v>
      </c>
    </row>
    <row r="4" spans="1:13" s="1" customFormat="1" ht="21" customHeight="1" thickBot="1">
      <c r="A4" s="65"/>
      <c r="B4" s="72"/>
      <c r="C4" s="67"/>
      <c r="D4" s="67"/>
      <c r="E4" s="51"/>
      <c r="F4" s="67"/>
      <c r="G4" s="4">
        <v>1</v>
      </c>
      <c r="H4" s="4">
        <v>2</v>
      </c>
      <c r="I4" s="4">
        <v>3</v>
      </c>
      <c r="J4" s="4" t="s">
        <v>4</v>
      </c>
      <c r="K4" s="51"/>
      <c r="L4" s="51"/>
      <c r="M4" s="53"/>
    </row>
    <row r="5" spans="1:13" ht="16">
      <c r="A5" s="69" t="s">
        <v>74</v>
      </c>
      <c r="B5" s="69"/>
      <c r="C5" s="69"/>
      <c r="D5" s="69"/>
      <c r="E5" s="70"/>
      <c r="F5" s="69"/>
      <c r="G5" s="69"/>
      <c r="H5" s="69"/>
      <c r="I5" s="69"/>
      <c r="J5" s="69"/>
    </row>
    <row r="6" spans="1:13">
      <c r="A6" s="28" t="s">
        <v>56</v>
      </c>
      <c r="B6" s="7" t="s">
        <v>279</v>
      </c>
      <c r="C6" s="7" t="s">
        <v>278</v>
      </c>
      <c r="D6" s="7" t="s">
        <v>76</v>
      </c>
      <c r="E6" s="8" t="s">
        <v>359</v>
      </c>
      <c r="F6" s="7" t="s">
        <v>315</v>
      </c>
      <c r="G6" s="26" t="s">
        <v>89</v>
      </c>
      <c r="H6" s="26" t="s">
        <v>14</v>
      </c>
      <c r="I6" s="26" t="s">
        <v>70</v>
      </c>
      <c r="J6" s="28"/>
      <c r="K6" s="9" t="str">
        <f>"105,0"</f>
        <v>105,0</v>
      </c>
      <c r="L6" s="9" t="str">
        <f>"121,1805"</f>
        <v>121,1805</v>
      </c>
      <c r="M6" s="7" t="s">
        <v>356</v>
      </c>
    </row>
    <row r="8" spans="1:13">
      <c r="E8" s="5"/>
      <c r="F8" s="16"/>
      <c r="G8" s="5"/>
      <c r="K8" s="24"/>
      <c r="M8" s="6"/>
    </row>
  </sheetData>
  <mergeCells count="12">
    <mergeCell ref="A5:J5"/>
    <mergeCell ref="B3:B4"/>
    <mergeCell ref="K3:K4"/>
    <mergeCell ref="L3:L4"/>
    <mergeCell ref="M3:M4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51"/>
  <sheetViews>
    <sheetView topLeftCell="A9" workbookViewId="0">
      <selection activeCell="E40" sqref="E40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8.5" style="5" bestFit="1" customWidth="1"/>
    <col min="4" max="4" width="21.5" style="5" bestFit="1" customWidth="1"/>
    <col min="5" max="5" width="10.5" style="16" bestFit="1" customWidth="1"/>
    <col min="6" max="6" width="43.5" style="5" customWidth="1"/>
    <col min="7" max="7" width="5.6640625" style="24" bestFit="1" customWidth="1"/>
    <col min="8" max="9" width="5.5" style="24" customWidth="1"/>
    <col min="10" max="10" width="4.83203125" style="24" customWidth="1"/>
    <col min="11" max="11" width="10.5" style="6" bestFit="1" customWidth="1"/>
    <col min="12" max="12" width="8.5" style="6" bestFit="1" customWidth="1"/>
    <col min="13" max="13" width="25.1640625" style="5" customWidth="1"/>
    <col min="14" max="16384" width="9.1640625" style="3"/>
  </cols>
  <sheetData>
    <row r="1" spans="1:13" s="2" customFormat="1" ht="29" customHeight="1">
      <c r="A1" s="56" t="s">
        <v>325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355</v>
      </c>
      <c r="B3" s="71" t="s">
        <v>0</v>
      </c>
      <c r="C3" s="66" t="s">
        <v>357</v>
      </c>
      <c r="D3" s="66" t="s">
        <v>6</v>
      </c>
      <c r="E3" s="50" t="s">
        <v>358</v>
      </c>
      <c r="F3" s="68" t="s">
        <v>5</v>
      </c>
      <c r="G3" s="68" t="s">
        <v>8</v>
      </c>
      <c r="H3" s="68"/>
      <c r="I3" s="68"/>
      <c r="J3" s="68"/>
      <c r="K3" s="50" t="s">
        <v>185</v>
      </c>
      <c r="L3" s="50" t="s">
        <v>3</v>
      </c>
      <c r="M3" s="52" t="s">
        <v>2</v>
      </c>
    </row>
    <row r="4" spans="1:13" s="1" customFormat="1" ht="21" customHeight="1" thickBot="1">
      <c r="A4" s="65"/>
      <c r="B4" s="72"/>
      <c r="C4" s="67"/>
      <c r="D4" s="67"/>
      <c r="E4" s="51"/>
      <c r="F4" s="67"/>
      <c r="G4" s="4">
        <v>1</v>
      </c>
      <c r="H4" s="4">
        <v>2</v>
      </c>
      <c r="I4" s="4">
        <v>3</v>
      </c>
      <c r="J4" s="4" t="s">
        <v>4</v>
      </c>
      <c r="K4" s="51"/>
      <c r="L4" s="51"/>
      <c r="M4" s="53"/>
    </row>
    <row r="5" spans="1:13" ht="16">
      <c r="A5" s="54" t="s">
        <v>62</v>
      </c>
      <c r="B5" s="54"/>
      <c r="C5" s="55"/>
      <c r="D5" s="55"/>
      <c r="E5" s="55"/>
      <c r="F5" s="55"/>
      <c r="G5" s="55"/>
      <c r="H5" s="55"/>
      <c r="I5" s="55"/>
      <c r="J5" s="55"/>
    </row>
    <row r="6" spans="1:13">
      <c r="A6" s="31" t="s">
        <v>56</v>
      </c>
      <c r="B6" s="10" t="s">
        <v>226</v>
      </c>
      <c r="C6" s="10" t="s">
        <v>194</v>
      </c>
      <c r="D6" s="10" t="s">
        <v>195</v>
      </c>
      <c r="E6" s="11" t="s">
        <v>359</v>
      </c>
      <c r="F6" s="10" t="s">
        <v>352</v>
      </c>
      <c r="G6" s="29" t="s">
        <v>79</v>
      </c>
      <c r="H6" s="29" t="s">
        <v>16</v>
      </c>
      <c r="I6" s="30" t="s">
        <v>73</v>
      </c>
      <c r="J6" s="31"/>
      <c r="K6" s="12" t="str">
        <f>"55,0"</f>
        <v>55,0</v>
      </c>
      <c r="L6" s="12" t="str">
        <f>"68,5630"</f>
        <v>68,5630</v>
      </c>
      <c r="M6" s="10" t="s">
        <v>196</v>
      </c>
    </row>
    <row r="8" spans="1:13" ht="16">
      <c r="A8" s="69" t="s">
        <v>67</v>
      </c>
      <c r="B8" s="69"/>
      <c r="C8" s="69"/>
      <c r="D8" s="69"/>
      <c r="E8" s="70"/>
      <c r="F8" s="69"/>
      <c r="G8" s="69"/>
      <c r="H8" s="69"/>
      <c r="I8" s="69"/>
      <c r="J8" s="69"/>
    </row>
    <row r="9" spans="1:13">
      <c r="A9" s="28" t="s">
        <v>56</v>
      </c>
      <c r="B9" s="7" t="s">
        <v>227</v>
      </c>
      <c r="C9" s="7" t="s">
        <v>197</v>
      </c>
      <c r="D9" s="7" t="s">
        <v>198</v>
      </c>
      <c r="E9" s="8" t="s">
        <v>359</v>
      </c>
      <c r="F9" s="7" t="s">
        <v>316</v>
      </c>
      <c r="G9" s="26" t="s">
        <v>73</v>
      </c>
      <c r="H9" s="26" t="s">
        <v>199</v>
      </c>
      <c r="I9" s="26" t="s">
        <v>18</v>
      </c>
      <c r="J9" s="28"/>
      <c r="K9" s="9" t="str">
        <f>"65,0"</f>
        <v>65,0</v>
      </c>
      <c r="L9" s="9" t="str">
        <f>"76,8040"</f>
        <v>76,8040</v>
      </c>
      <c r="M9" s="7" t="s">
        <v>104</v>
      </c>
    </row>
    <row r="11" spans="1:13" ht="16">
      <c r="A11" s="69" t="s">
        <v>62</v>
      </c>
      <c r="B11" s="69"/>
      <c r="C11" s="69"/>
      <c r="D11" s="69"/>
      <c r="E11" s="70"/>
      <c r="F11" s="69"/>
      <c r="G11" s="69"/>
      <c r="H11" s="69"/>
      <c r="I11" s="69"/>
      <c r="J11" s="69"/>
    </row>
    <row r="12" spans="1:13">
      <c r="A12" s="28" t="s">
        <v>56</v>
      </c>
      <c r="B12" s="7" t="s">
        <v>228</v>
      </c>
      <c r="C12" s="7" t="s">
        <v>200</v>
      </c>
      <c r="D12" s="7" t="s">
        <v>201</v>
      </c>
      <c r="E12" s="8" t="s">
        <v>359</v>
      </c>
      <c r="F12" s="7" t="s">
        <v>316</v>
      </c>
      <c r="G12" s="26" t="s">
        <v>79</v>
      </c>
      <c r="H12" s="26" t="s">
        <v>72</v>
      </c>
      <c r="I12" s="27" t="s">
        <v>16</v>
      </c>
      <c r="J12" s="28"/>
      <c r="K12" s="9" t="str">
        <f>"52,5"</f>
        <v>52,5</v>
      </c>
      <c r="L12" s="9" t="str">
        <f>"70,1085"</f>
        <v>70,1085</v>
      </c>
      <c r="M12" s="7" t="s">
        <v>90</v>
      </c>
    </row>
    <row r="14" spans="1:13" ht="16">
      <c r="A14" s="69" t="s">
        <v>74</v>
      </c>
      <c r="B14" s="69"/>
      <c r="C14" s="69"/>
      <c r="D14" s="69"/>
      <c r="E14" s="70"/>
      <c r="F14" s="69"/>
      <c r="G14" s="69"/>
      <c r="H14" s="69"/>
      <c r="I14" s="69"/>
      <c r="J14" s="69"/>
    </row>
    <row r="15" spans="1:13">
      <c r="A15" s="28" t="s">
        <v>56</v>
      </c>
      <c r="B15" s="7" t="s">
        <v>229</v>
      </c>
      <c r="C15" s="7" t="s">
        <v>203</v>
      </c>
      <c r="D15" s="7" t="s">
        <v>204</v>
      </c>
      <c r="E15" s="8" t="s">
        <v>359</v>
      </c>
      <c r="F15" s="7" t="s">
        <v>316</v>
      </c>
      <c r="G15" s="26" t="s">
        <v>86</v>
      </c>
      <c r="H15" s="26" t="s">
        <v>30</v>
      </c>
      <c r="I15" s="26" t="s">
        <v>176</v>
      </c>
      <c r="J15" s="28"/>
      <c r="K15" s="9" t="str">
        <f>"127,5"</f>
        <v>127,5</v>
      </c>
      <c r="L15" s="9" t="str">
        <f>"108,9105"</f>
        <v>108,9105</v>
      </c>
      <c r="M15" s="7" t="s">
        <v>146</v>
      </c>
    </row>
    <row r="17" spans="1:13" ht="16">
      <c r="A17" s="69" t="s">
        <v>91</v>
      </c>
      <c r="B17" s="69"/>
      <c r="C17" s="69"/>
      <c r="D17" s="69"/>
      <c r="E17" s="70"/>
      <c r="F17" s="69"/>
      <c r="G17" s="69"/>
      <c r="H17" s="69"/>
      <c r="I17" s="69"/>
      <c r="J17" s="69"/>
    </row>
    <row r="18" spans="1:13">
      <c r="A18" s="31" t="s">
        <v>56</v>
      </c>
      <c r="B18" s="10" t="s">
        <v>230</v>
      </c>
      <c r="C18" s="10" t="s">
        <v>205</v>
      </c>
      <c r="D18" s="10" t="s">
        <v>206</v>
      </c>
      <c r="E18" s="11" t="s">
        <v>360</v>
      </c>
      <c r="F18" s="10" t="s">
        <v>316</v>
      </c>
      <c r="G18" s="30" t="s">
        <v>85</v>
      </c>
      <c r="H18" s="29" t="s">
        <v>207</v>
      </c>
      <c r="I18" s="30" t="s">
        <v>19</v>
      </c>
      <c r="J18" s="31"/>
      <c r="K18" s="12" t="str">
        <f>"117,5"</f>
        <v>117,5</v>
      </c>
      <c r="L18" s="12" t="str">
        <f>"84,8468"</f>
        <v>84,8468</v>
      </c>
      <c r="M18" s="10" t="s">
        <v>356</v>
      </c>
    </row>
    <row r="19" spans="1:13">
      <c r="A19" s="39" t="s">
        <v>56</v>
      </c>
      <c r="B19" s="34" t="s">
        <v>231</v>
      </c>
      <c r="C19" s="34" t="s">
        <v>208</v>
      </c>
      <c r="D19" s="34" t="s">
        <v>98</v>
      </c>
      <c r="E19" s="35" t="s">
        <v>359</v>
      </c>
      <c r="F19" s="34" t="s">
        <v>351</v>
      </c>
      <c r="G19" s="37" t="s">
        <v>20</v>
      </c>
      <c r="H19" s="37" t="s">
        <v>96</v>
      </c>
      <c r="I19" s="38" t="s">
        <v>108</v>
      </c>
      <c r="J19" s="39"/>
      <c r="K19" s="36" t="str">
        <f>"135,0"</f>
        <v>135,0</v>
      </c>
      <c r="L19" s="36" t="str">
        <f>"98,2530"</f>
        <v>98,2530</v>
      </c>
      <c r="M19" s="34" t="s">
        <v>356</v>
      </c>
    </row>
    <row r="20" spans="1:13">
      <c r="A20" s="33" t="s">
        <v>59</v>
      </c>
      <c r="B20" s="13" t="s">
        <v>144</v>
      </c>
      <c r="C20" s="13" t="s">
        <v>99</v>
      </c>
      <c r="D20" s="13" t="s">
        <v>100</v>
      </c>
      <c r="E20" s="14" t="s">
        <v>359</v>
      </c>
      <c r="F20" s="13" t="s">
        <v>316</v>
      </c>
      <c r="G20" s="32" t="s">
        <v>29</v>
      </c>
      <c r="H20" s="32" t="s">
        <v>19</v>
      </c>
      <c r="I20" s="40" t="s">
        <v>30</v>
      </c>
      <c r="J20" s="33"/>
      <c r="K20" s="15" t="str">
        <f>"120,0"</f>
        <v>120,0</v>
      </c>
      <c r="L20" s="15" t="str">
        <f>"90,5280"</f>
        <v>90,5280</v>
      </c>
      <c r="M20" s="13" t="s">
        <v>356</v>
      </c>
    </row>
    <row r="22" spans="1:13" ht="16">
      <c r="A22" s="69" t="s">
        <v>22</v>
      </c>
      <c r="B22" s="69"/>
      <c r="C22" s="69"/>
      <c r="D22" s="69"/>
      <c r="E22" s="70"/>
      <c r="F22" s="69"/>
      <c r="G22" s="69"/>
      <c r="H22" s="69"/>
      <c r="I22" s="69"/>
      <c r="J22" s="69"/>
    </row>
    <row r="23" spans="1:13">
      <c r="A23" s="31" t="s">
        <v>56</v>
      </c>
      <c r="B23" s="10" t="s">
        <v>232</v>
      </c>
      <c r="C23" s="10" t="s">
        <v>209</v>
      </c>
      <c r="D23" s="10" t="s">
        <v>210</v>
      </c>
      <c r="E23" s="11" t="s">
        <v>359</v>
      </c>
      <c r="F23" s="10" t="s">
        <v>350</v>
      </c>
      <c r="G23" s="29" t="s">
        <v>35</v>
      </c>
      <c r="H23" s="30" t="s">
        <v>44</v>
      </c>
      <c r="I23" s="31"/>
      <c r="J23" s="31"/>
      <c r="K23" s="12" t="str">
        <f>"145,0"</f>
        <v>145,0</v>
      </c>
      <c r="L23" s="12" t="str">
        <f>"97,5705"</f>
        <v>97,5705</v>
      </c>
      <c r="M23" s="10" t="s">
        <v>356</v>
      </c>
    </row>
    <row r="24" spans="1:13">
      <c r="A24" s="39" t="s">
        <v>59</v>
      </c>
      <c r="B24" s="34" t="s">
        <v>146</v>
      </c>
      <c r="C24" s="34" t="s">
        <v>105</v>
      </c>
      <c r="D24" s="34" t="s">
        <v>106</v>
      </c>
      <c r="E24" s="35" t="s">
        <v>359</v>
      </c>
      <c r="F24" s="34" t="s">
        <v>316</v>
      </c>
      <c r="G24" s="37" t="s">
        <v>107</v>
      </c>
      <c r="H24" s="37" t="s">
        <v>108</v>
      </c>
      <c r="I24" s="37" t="s">
        <v>109</v>
      </c>
      <c r="J24" s="39"/>
      <c r="K24" s="36" t="str">
        <f>"142,5"</f>
        <v>142,5</v>
      </c>
      <c r="L24" s="36" t="str">
        <f>"99,8213"</f>
        <v>99,8213</v>
      </c>
      <c r="M24" s="34" t="s">
        <v>348</v>
      </c>
    </row>
    <row r="25" spans="1:13">
      <c r="A25" s="39" t="s">
        <v>233</v>
      </c>
      <c r="B25" s="34" t="s">
        <v>234</v>
      </c>
      <c r="C25" s="34" t="s">
        <v>211</v>
      </c>
      <c r="D25" s="34" t="s">
        <v>212</v>
      </c>
      <c r="E25" s="35" t="s">
        <v>359</v>
      </c>
      <c r="F25" s="34" t="s">
        <v>316</v>
      </c>
      <c r="G25" s="37" t="s">
        <v>85</v>
      </c>
      <c r="H25" s="38" t="s">
        <v>112</v>
      </c>
      <c r="I25" s="38" t="s">
        <v>112</v>
      </c>
      <c r="J25" s="39"/>
      <c r="K25" s="36" t="str">
        <f>"110,0"</f>
        <v>110,0</v>
      </c>
      <c r="L25" s="36" t="str">
        <f>"73,9090"</f>
        <v>73,9090</v>
      </c>
      <c r="M25" s="34" t="s">
        <v>356</v>
      </c>
    </row>
    <row r="26" spans="1:13">
      <c r="A26" s="33" t="s">
        <v>56</v>
      </c>
      <c r="B26" s="13" t="s">
        <v>235</v>
      </c>
      <c r="C26" s="13" t="s">
        <v>335</v>
      </c>
      <c r="D26" s="13" t="s">
        <v>213</v>
      </c>
      <c r="E26" s="14" t="s">
        <v>363</v>
      </c>
      <c r="F26" s="13" t="s">
        <v>316</v>
      </c>
      <c r="G26" s="32" t="s">
        <v>95</v>
      </c>
      <c r="H26" s="40" t="s">
        <v>13</v>
      </c>
      <c r="I26" s="32" t="s">
        <v>103</v>
      </c>
      <c r="J26" s="33"/>
      <c r="K26" s="15" t="str">
        <f>"82,5"</f>
        <v>82,5</v>
      </c>
      <c r="L26" s="15" t="str">
        <f>"70,4814"</f>
        <v>70,4814</v>
      </c>
      <c r="M26" s="13" t="s">
        <v>90</v>
      </c>
    </row>
    <row r="28" spans="1:13" ht="16">
      <c r="A28" s="69" t="s">
        <v>110</v>
      </c>
      <c r="B28" s="69"/>
      <c r="C28" s="69"/>
      <c r="D28" s="69"/>
      <c r="E28" s="70"/>
      <c r="F28" s="69"/>
      <c r="G28" s="69"/>
      <c r="H28" s="69"/>
      <c r="I28" s="69"/>
      <c r="J28" s="69"/>
    </row>
    <row r="29" spans="1:13">
      <c r="A29" s="31" t="s">
        <v>56</v>
      </c>
      <c r="B29" s="10" t="s">
        <v>236</v>
      </c>
      <c r="C29" s="10" t="s">
        <v>214</v>
      </c>
      <c r="D29" s="10" t="s">
        <v>215</v>
      </c>
      <c r="E29" s="11" t="s">
        <v>359</v>
      </c>
      <c r="F29" s="10" t="s">
        <v>345</v>
      </c>
      <c r="G29" s="29" t="s">
        <v>20</v>
      </c>
      <c r="H29" s="29" t="s">
        <v>21</v>
      </c>
      <c r="I29" s="30" t="s">
        <v>174</v>
      </c>
      <c r="J29" s="31"/>
      <c r="K29" s="12" t="str">
        <f>"140,0"</f>
        <v>140,0</v>
      </c>
      <c r="L29" s="12" t="str">
        <f>"90,4820"</f>
        <v>90,4820</v>
      </c>
      <c r="M29" s="10" t="s">
        <v>58</v>
      </c>
    </row>
    <row r="30" spans="1:13">
      <c r="A30" s="39" t="s">
        <v>59</v>
      </c>
      <c r="B30" s="34" t="s">
        <v>237</v>
      </c>
      <c r="C30" s="34" t="s">
        <v>216</v>
      </c>
      <c r="D30" s="34" t="s">
        <v>217</v>
      </c>
      <c r="E30" s="35" t="s">
        <v>359</v>
      </c>
      <c r="F30" s="34" t="s">
        <v>316</v>
      </c>
      <c r="G30" s="37" t="s">
        <v>30</v>
      </c>
      <c r="H30" s="37" t="s">
        <v>20</v>
      </c>
      <c r="I30" s="37" t="s">
        <v>108</v>
      </c>
      <c r="J30" s="39"/>
      <c r="K30" s="36" t="str">
        <f>"137,5"</f>
        <v>137,5</v>
      </c>
      <c r="L30" s="36" t="str">
        <f>"88,9762"</f>
        <v>88,9762</v>
      </c>
      <c r="M30" s="34" t="s">
        <v>218</v>
      </c>
    </row>
    <row r="31" spans="1:13">
      <c r="A31" s="39" t="s">
        <v>233</v>
      </c>
      <c r="B31" s="34" t="s">
        <v>238</v>
      </c>
      <c r="C31" s="34" t="s">
        <v>219</v>
      </c>
      <c r="D31" s="34" t="s">
        <v>170</v>
      </c>
      <c r="E31" s="35" t="s">
        <v>359</v>
      </c>
      <c r="F31" s="34" t="s">
        <v>316</v>
      </c>
      <c r="G31" s="37" t="s">
        <v>29</v>
      </c>
      <c r="H31" s="37" t="s">
        <v>30</v>
      </c>
      <c r="I31" s="38" t="s">
        <v>107</v>
      </c>
      <c r="J31" s="39"/>
      <c r="K31" s="36" t="str">
        <f>"125,0"</f>
        <v>125,0</v>
      </c>
      <c r="L31" s="36" t="str">
        <f>"79,8000"</f>
        <v>79,8000</v>
      </c>
      <c r="M31" s="34" t="s">
        <v>218</v>
      </c>
    </row>
    <row r="32" spans="1:13">
      <c r="A32" s="33" t="s">
        <v>56</v>
      </c>
      <c r="B32" s="13" t="s">
        <v>239</v>
      </c>
      <c r="C32" s="13" t="s">
        <v>336</v>
      </c>
      <c r="D32" s="13" t="s">
        <v>111</v>
      </c>
      <c r="E32" s="14" t="s">
        <v>364</v>
      </c>
      <c r="F32" s="13" t="s">
        <v>316</v>
      </c>
      <c r="G32" s="40" t="s">
        <v>19</v>
      </c>
      <c r="H32" s="32" t="s">
        <v>19</v>
      </c>
      <c r="I32" s="40" t="s">
        <v>30</v>
      </c>
      <c r="J32" s="33"/>
      <c r="K32" s="15" t="str">
        <f>"120,0"</f>
        <v>120,0</v>
      </c>
      <c r="L32" s="15" t="str">
        <f>"113,0018"</f>
        <v>113,0018</v>
      </c>
      <c r="M32" s="13" t="s">
        <v>356</v>
      </c>
    </row>
    <row r="34" spans="1:13" ht="16">
      <c r="A34" s="69" t="s">
        <v>41</v>
      </c>
      <c r="B34" s="69"/>
      <c r="C34" s="69"/>
      <c r="D34" s="69"/>
      <c r="E34" s="70"/>
      <c r="F34" s="69"/>
      <c r="G34" s="69"/>
      <c r="H34" s="69"/>
      <c r="I34" s="69"/>
      <c r="J34" s="69"/>
    </row>
    <row r="35" spans="1:13">
      <c r="A35" s="31" t="s">
        <v>56</v>
      </c>
      <c r="B35" s="10" t="s">
        <v>240</v>
      </c>
      <c r="C35" s="10" t="s">
        <v>220</v>
      </c>
      <c r="D35" s="10" t="s">
        <v>221</v>
      </c>
      <c r="E35" s="11" t="s">
        <v>359</v>
      </c>
      <c r="F35" s="10" t="s">
        <v>316</v>
      </c>
      <c r="G35" s="29" t="s">
        <v>96</v>
      </c>
      <c r="H35" s="29" t="s">
        <v>21</v>
      </c>
      <c r="I35" s="29" t="s">
        <v>35</v>
      </c>
      <c r="J35" s="31"/>
      <c r="K35" s="12" t="str">
        <f>"145,0"</f>
        <v>145,0</v>
      </c>
      <c r="L35" s="12" t="str">
        <f>"89,0880"</f>
        <v>89,0880</v>
      </c>
      <c r="M35" s="10" t="s">
        <v>356</v>
      </c>
    </row>
    <row r="36" spans="1:13">
      <c r="A36" s="33" t="s">
        <v>56</v>
      </c>
      <c r="B36" s="13" t="s">
        <v>241</v>
      </c>
      <c r="C36" s="13" t="s">
        <v>337</v>
      </c>
      <c r="D36" s="13" t="s">
        <v>222</v>
      </c>
      <c r="E36" s="14" t="s">
        <v>362</v>
      </c>
      <c r="F36" s="13" t="s">
        <v>316</v>
      </c>
      <c r="G36" s="32" t="s">
        <v>29</v>
      </c>
      <c r="H36" s="32" t="s">
        <v>19</v>
      </c>
      <c r="I36" s="40" t="s">
        <v>30</v>
      </c>
      <c r="J36" s="33"/>
      <c r="K36" s="15" t="str">
        <f>"120,0"</f>
        <v>120,0</v>
      </c>
      <c r="L36" s="15" t="str">
        <f>"78,3501"</f>
        <v>78,3501</v>
      </c>
      <c r="M36" s="13" t="s">
        <v>356</v>
      </c>
    </row>
    <row r="38" spans="1:13" ht="16">
      <c r="A38" s="69" t="s">
        <v>129</v>
      </c>
      <c r="B38" s="69"/>
      <c r="C38" s="69"/>
      <c r="D38" s="69"/>
      <c r="E38" s="70"/>
      <c r="F38" s="69"/>
      <c r="G38" s="69"/>
      <c r="H38" s="69"/>
      <c r="I38" s="69"/>
      <c r="J38" s="69"/>
    </row>
    <row r="39" spans="1:13">
      <c r="A39" s="28" t="s">
        <v>56</v>
      </c>
      <c r="B39" s="7" t="s">
        <v>242</v>
      </c>
      <c r="C39" s="7" t="s">
        <v>224</v>
      </c>
      <c r="D39" s="7" t="s">
        <v>225</v>
      </c>
      <c r="E39" s="8" t="s">
        <v>359</v>
      </c>
      <c r="F39" s="7" t="s">
        <v>349</v>
      </c>
      <c r="G39" s="26" t="s">
        <v>118</v>
      </c>
      <c r="H39" s="27" t="s">
        <v>28</v>
      </c>
      <c r="I39" s="27" t="s">
        <v>28</v>
      </c>
      <c r="J39" s="28"/>
      <c r="K39" s="9" t="str">
        <f>"205,0"</f>
        <v>205,0</v>
      </c>
      <c r="L39" s="9" t="str">
        <f>"121,0935"</f>
        <v>121,0935</v>
      </c>
      <c r="M39" s="7" t="s">
        <v>356</v>
      </c>
    </row>
    <row r="41" spans="1:13">
      <c r="G41" s="5"/>
      <c r="K41" s="24"/>
      <c r="M41" s="6"/>
    </row>
    <row r="42" spans="1:13">
      <c r="K42" s="24"/>
      <c r="M42" s="6"/>
    </row>
    <row r="43" spans="1:13" ht="18">
      <c r="B43" s="17" t="s">
        <v>47</v>
      </c>
      <c r="C43" s="17"/>
      <c r="G43" s="3"/>
      <c r="K43" s="24"/>
      <c r="M43" s="6"/>
    </row>
    <row r="44" spans="1:13" ht="16">
      <c r="B44" s="18" t="s">
        <v>53</v>
      </c>
      <c r="C44" s="18"/>
      <c r="G44" s="3"/>
      <c r="K44" s="24"/>
      <c r="M44" s="6"/>
    </row>
    <row r="45" spans="1:13" ht="14">
      <c r="B45" s="19"/>
      <c r="C45" s="20" t="s">
        <v>48</v>
      </c>
      <c r="G45" s="3"/>
      <c r="K45" s="24"/>
      <c r="M45" s="6"/>
    </row>
    <row r="46" spans="1:13" ht="14">
      <c r="B46" s="21" t="s">
        <v>49</v>
      </c>
      <c r="C46" s="21" t="s">
        <v>50</v>
      </c>
      <c r="D46" s="21" t="s">
        <v>314</v>
      </c>
      <c r="E46" s="22" t="s">
        <v>184</v>
      </c>
      <c r="F46" s="21" t="s">
        <v>52</v>
      </c>
      <c r="G46" s="3"/>
      <c r="K46" s="24"/>
      <c r="M46" s="6"/>
    </row>
    <row r="47" spans="1:13">
      <c r="B47" s="5" t="s">
        <v>223</v>
      </c>
      <c r="C47" s="5" t="s">
        <v>48</v>
      </c>
      <c r="D47" s="24" t="s">
        <v>133</v>
      </c>
      <c r="E47" s="25">
        <v>205</v>
      </c>
      <c r="F47" s="23">
        <v>121.093493998051</v>
      </c>
      <c r="G47" s="3"/>
      <c r="K47" s="24"/>
      <c r="M47" s="6"/>
    </row>
    <row r="48" spans="1:13">
      <c r="B48" s="5" t="s">
        <v>202</v>
      </c>
      <c r="C48" s="5" t="s">
        <v>48</v>
      </c>
      <c r="D48" s="24" t="s">
        <v>132</v>
      </c>
      <c r="E48" s="25">
        <v>127.5</v>
      </c>
      <c r="F48" s="23">
        <v>108.910500705242</v>
      </c>
      <c r="G48" s="3"/>
      <c r="K48" s="24"/>
      <c r="M48" s="6"/>
    </row>
    <row r="49" spans="2:13">
      <c r="B49" s="5" t="s">
        <v>104</v>
      </c>
      <c r="C49" s="5" t="s">
        <v>48</v>
      </c>
      <c r="D49" s="24" t="s">
        <v>54</v>
      </c>
      <c r="E49" s="25">
        <v>142.5</v>
      </c>
      <c r="F49" s="23">
        <v>99.821251630783095</v>
      </c>
      <c r="G49" s="5"/>
      <c r="K49" s="24"/>
      <c r="M49" s="6"/>
    </row>
    <row r="50" spans="2:13" ht="14">
      <c r="C50" s="19"/>
      <c r="D50" s="20"/>
      <c r="E50" s="5"/>
      <c r="F50" s="16"/>
      <c r="G50" s="5"/>
      <c r="K50" s="24"/>
      <c r="M50" s="6"/>
    </row>
    <row r="51" spans="2:13">
      <c r="E51" s="5"/>
      <c r="F51" s="16"/>
      <c r="G51" s="5"/>
      <c r="K51" s="24"/>
      <c r="M51" s="6"/>
    </row>
  </sheetData>
  <mergeCells count="20">
    <mergeCell ref="A34:J34"/>
    <mergeCell ref="A38:J38"/>
    <mergeCell ref="B3:B4"/>
    <mergeCell ref="A8:J8"/>
    <mergeCell ref="A11:J11"/>
    <mergeCell ref="A14:J14"/>
    <mergeCell ref="A17:J17"/>
    <mergeCell ref="A22:J22"/>
    <mergeCell ref="A28:J28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31"/>
  <sheetViews>
    <sheetView workbookViewId="0">
      <selection activeCell="E24" sqref="E24"/>
    </sheetView>
  </sheetViews>
  <sheetFormatPr baseColWidth="10" defaultColWidth="9.1640625" defaultRowHeight="13"/>
  <cols>
    <col min="1" max="1" width="7.5" style="5" bestFit="1" customWidth="1"/>
    <col min="2" max="2" width="22.6640625" style="5" customWidth="1"/>
    <col min="3" max="3" width="28.5" style="5" bestFit="1" customWidth="1"/>
    <col min="4" max="4" width="21.5" style="5" bestFit="1" customWidth="1"/>
    <col min="5" max="5" width="10.5" style="16" bestFit="1" customWidth="1"/>
    <col min="6" max="6" width="36.1640625" style="5" customWidth="1"/>
    <col min="7" max="9" width="5.5" style="24" customWidth="1"/>
    <col min="10" max="10" width="4.83203125" style="24" customWidth="1"/>
    <col min="11" max="11" width="10.5" style="6" bestFit="1" customWidth="1"/>
    <col min="12" max="12" width="8.5" style="6" bestFit="1" customWidth="1"/>
    <col min="13" max="13" width="20" style="5" bestFit="1" customWidth="1"/>
    <col min="14" max="16384" width="9.1640625" style="3"/>
  </cols>
  <sheetData>
    <row r="1" spans="1:13" s="2" customFormat="1" ht="29" customHeight="1">
      <c r="A1" s="56" t="s">
        <v>326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355</v>
      </c>
      <c r="B3" s="71" t="s">
        <v>0</v>
      </c>
      <c r="C3" s="66" t="s">
        <v>357</v>
      </c>
      <c r="D3" s="66" t="s">
        <v>6</v>
      </c>
      <c r="E3" s="50" t="s">
        <v>358</v>
      </c>
      <c r="F3" s="68" t="s">
        <v>5</v>
      </c>
      <c r="G3" s="68" t="s">
        <v>8</v>
      </c>
      <c r="H3" s="68"/>
      <c r="I3" s="68"/>
      <c r="J3" s="68"/>
      <c r="K3" s="50" t="s">
        <v>185</v>
      </c>
      <c r="L3" s="50" t="s">
        <v>3</v>
      </c>
      <c r="M3" s="52" t="s">
        <v>2</v>
      </c>
    </row>
    <row r="4" spans="1:13" s="1" customFormat="1" ht="21" customHeight="1" thickBot="1">
      <c r="A4" s="65"/>
      <c r="B4" s="72"/>
      <c r="C4" s="67"/>
      <c r="D4" s="67"/>
      <c r="E4" s="51"/>
      <c r="F4" s="67"/>
      <c r="G4" s="4">
        <v>1</v>
      </c>
      <c r="H4" s="4">
        <v>2</v>
      </c>
      <c r="I4" s="4">
        <v>3</v>
      </c>
      <c r="J4" s="4" t="s">
        <v>4</v>
      </c>
      <c r="K4" s="51"/>
      <c r="L4" s="51"/>
      <c r="M4" s="53"/>
    </row>
    <row r="5" spans="1:13" ht="16">
      <c r="A5" s="54" t="s">
        <v>74</v>
      </c>
      <c r="B5" s="54"/>
      <c r="C5" s="55"/>
      <c r="D5" s="55"/>
      <c r="E5" s="55"/>
      <c r="F5" s="55"/>
      <c r="G5" s="55"/>
      <c r="H5" s="55"/>
      <c r="I5" s="55"/>
      <c r="J5" s="55"/>
    </row>
    <row r="6" spans="1:13">
      <c r="A6" s="28" t="s">
        <v>56</v>
      </c>
      <c r="B6" s="7" t="s">
        <v>186</v>
      </c>
      <c r="C6" s="7" t="s">
        <v>158</v>
      </c>
      <c r="D6" s="7" t="s">
        <v>159</v>
      </c>
      <c r="E6" s="8" t="s">
        <v>360</v>
      </c>
      <c r="F6" s="7" t="s">
        <v>316</v>
      </c>
      <c r="G6" s="26" t="s">
        <v>160</v>
      </c>
      <c r="H6" s="26" t="s">
        <v>84</v>
      </c>
      <c r="I6" s="26" t="s">
        <v>79</v>
      </c>
      <c r="J6" s="28"/>
      <c r="K6" s="9" t="str">
        <f>"50,0"</f>
        <v>50,0</v>
      </c>
      <c r="L6" s="9" t="str">
        <f>"56,7750"</f>
        <v>56,7750</v>
      </c>
      <c r="M6" s="7" t="s">
        <v>356</v>
      </c>
    </row>
    <row r="8" spans="1:13" ht="16">
      <c r="A8" s="69" t="s">
        <v>62</v>
      </c>
      <c r="B8" s="69"/>
      <c r="C8" s="69"/>
      <c r="D8" s="69"/>
      <c r="E8" s="70"/>
      <c r="F8" s="69"/>
      <c r="G8" s="69"/>
      <c r="H8" s="69"/>
      <c r="I8" s="69"/>
      <c r="J8" s="69"/>
    </row>
    <row r="9" spans="1:13">
      <c r="A9" s="28" t="s">
        <v>56</v>
      </c>
      <c r="B9" s="7" t="s">
        <v>187</v>
      </c>
      <c r="C9" s="7" t="s">
        <v>161</v>
      </c>
      <c r="D9" s="7" t="s">
        <v>162</v>
      </c>
      <c r="E9" s="8" t="s">
        <v>360</v>
      </c>
      <c r="F9" s="7" t="s">
        <v>316</v>
      </c>
      <c r="G9" s="26" t="s">
        <v>163</v>
      </c>
      <c r="H9" s="27" t="s">
        <v>164</v>
      </c>
      <c r="I9" s="26" t="s">
        <v>164</v>
      </c>
      <c r="J9" s="28"/>
      <c r="K9" s="9" t="str">
        <f>"25,0"</f>
        <v>25,0</v>
      </c>
      <c r="L9" s="9" t="str">
        <f>"32,3350"</f>
        <v>32,3350</v>
      </c>
      <c r="M9" s="7" t="s">
        <v>165</v>
      </c>
    </row>
    <row r="11" spans="1:13" ht="16">
      <c r="A11" s="69" t="s">
        <v>10</v>
      </c>
      <c r="B11" s="69"/>
      <c r="C11" s="69"/>
      <c r="D11" s="69"/>
      <c r="E11" s="70"/>
      <c r="F11" s="69"/>
      <c r="G11" s="69"/>
      <c r="H11" s="69"/>
      <c r="I11" s="69"/>
      <c r="J11" s="69"/>
    </row>
    <row r="12" spans="1:13">
      <c r="A12" s="28" t="s">
        <v>56</v>
      </c>
      <c r="B12" s="7" t="s">
        <v>188</v>
      </c>
      <c r="C12" s="7" t="s">
        <v>166</v>
      </c>
      <c r="D12" s="7" t="s">
        <v>167</v>
      </c>
      <c r="E12" s="8" t="s">
        <v>360</v>
      </c>
      <c r="F12" s="7" t="s">
        <v>316</v>
      </c>
      <c r="G12" s="26" t="s">
        <v>13</v>
      </c>
      <c r="H12" s="26" t="s">
        <v>168</v>
      </c>
      <c r="I12" s="26" t="s">
        <v>15</v>
      </c>
      <c r="J12" s="28"/>
      <c r="K12" s="9" t="str">
        <f>"100,0"</f>
        <v>100,0</v>
      </c>
      <c r="L12" s="9" t="str">
        <f>"78,9100"</f>
        <v>78,9100</v>
      </c>
      <c r="M12" s="7" t="s">
        <v>356</v>
      </c>
    </row>
    <row r="14" spans="1:13" ht="16">
      <c r="A14" s="69" t="s">
        <v>110</v>
      </c>
      <c r="B14" s="69"/>
      <c r="C14" s="69"/>
      <c r="D14" s="69"/>
      <c r="E14" s="70"/>
      <c r="F14" s="69"/>
      <c r="G14" s="69"/>
      <c r="H14" s="69"/>
      <c r="I14" s="69"/>
      <c r="J14" s="69"/>
    </row>
    <row r="15" spans="1:13">
      <c r="A15" s="31" t="s">
        <v>56</v>
      </c>
      <c r="B15" s="10" t="s">
        <v>189</v>
      </c>
      <c r="C15" s="10" t="s">
        <v>169</v>
      </c>
      <c r="D15" s="10" t="s">
        <v>170</v>
      </c>
      <c r="E15" s="11" t="s">
        <v>359</v>
      </c>
      <c r="F15" s="10" t="s">
        <v>316</v>
      </c>
      <c r="G15" s="29" t="s">
        <v>38</v>
      </c>
      <c r="H15" s="29" t="s">
        <v>171</v>
      </c>
      <c r="I15" s="29" t="s">
        <v>39</v>
      </c>
      <c r="J15" s="31"/>
      <c r="K15" s="12" t="str">
        <f>"175,0"</f>
        <v>175,0</v>
      </c>
      <c r="L15" s="12" t="str">
        <f>"111,7200"</f>
        <v>111,7200</v>
      </c>
      <c r="M15" s="10" t="s">
        <v>356</v>
      </c>
    </row>
    <row r="16" spans="1:13">
      <c r="A16" s="39" t="s">
        <v>59</v>
      </c>
      <c r="B16" s="34" t="s">
        <v>190</v>
      </c>
      <c r="C16" s="34" t="s">
        <v>172</v>
      </c>
      <c r="D16" s="34" t="s">
        <v>173</v>
      </c>
      <c r="E16" s="35" t="s">
        <v>359</v>
      </c>
      <c r="F16" s="34" t="s">
        <v>315</v>
      </c>
      <c r="G16" s="37" t="s">
        <v>109</v>
      </c>
      <c r="H16" s="37" t="s">
        <v>174</v>
      </c>
      <c r="I16" s="39"/>
      <c r="J16" s="39"/>
      <c r="K16" s="36" t="str">
        <f>"152,5"</f>
        <v>152,5</v>
      </c>
      <c r="L16" s="36" t="str">
        <f>"97,7983"</f>
        <v>97,7983</v>
      </c>
      <c r="M16" s="34" t="s">
        <v>356</v>
      </c>
    </row>
    <row r="17" spans="1:21">
      <c r="A17" s="33" t="s">
        <v>56</v>
      </c>
      <c r="B17" s="13" t="s">
        <v>191</v>
      </c>
      <c r="C17" s="13" t="s">
        <v>338</v>
      </c>
      <c r="D17" s="13" t="s">
        <v>175</v>
      </c>
      <c r="E17" s="14" t="s">
        <v>365</v>
      </c>
      <c r="F17" s="13" t="s">
        <v>316</v>
      </c>
      <c r="G17" s="32" t="s">
        <v>19</v>
      </c>
      <c r="H17" s="32" t="s">
        <v>176</v>
      </c>
      <c r="I17" s="32" t="s">
        <v>107</v>
      </c>
      <c r="J17" s="33"/>
      <c r="K17" s="15" t="str">
        <f>"132,5"</f>
        <v>132,5</v>
      </c>
      <c r="L17" s="15" t="str">
        <f>"109,2829"</f>
        <v>109,2829</v>
      </c>
      <c r="M17" s="13" t="s">
        <v>356</v>
      </c>
    </row>
    <row r="19" spans="1:21" ht="16">
      <c r="A19" s="69" t="s">
        <v>129</v>
      </c>
      <c r="B19" s="69"/>
      <c r="C19" s="69"/>
      <c r="D19" s="69"/>
      <c r="E19" s="70"/>
      <c r="F19" s="69"/>
      <c r="G19" s="69"/>
      <c r="H19" s="69"/>
      <c r="I19" s="69"/>
      <c r="J19" s="69"/>
    </row>
    <row r="20" spans="1:21">
      <c r="A20" s="28" t="s">
        <v>56</v>
      </c>
      <c r="B20" s="7" t="s">
        <v>192</v>
      </c>
      <c r="C20" s="7" t="s">
        <v>178</v>
      </c>
      <c r="D20" s="7" t="s">
        <v>179</v>
      </c>
      <c r="E20" s="8" t="s">
        <v>359</v>
      </c>
      <c r="F20" s="7" t="s">
        <v>316</v>
      </c>
      <c r="G20" s="26" t="s">
        <v>26</v>
      </c>
      <c r="H20" s="26" t="s">
        <v>27</v>
      </c>
      <c r="I20" s="28"/>
      <c r="J20" s="28"/>
      <c r="K20" s="9" t="str">
        <f>"200,0"</f>
        <v>200,0</v>
      </c>
      <c r="L20" s="9" t="str">
        <f>"118,1000"</f>
        <v>118,1000</v>
      </c>
      <c r="M20" s="7" t="s">
        <v>356</v>
      </c>
    </row>
    <row r="22" spans="1:21" ht="16">
      <c r="A22" s="69" t="s">
        <v>180</v>
      </c>
      <c r="B22" s="69"/>
      <c r="C22" s="69"/>
      <c r="D22" s="69"/>
      <c r="E22" s="70"/>
      <c r="F22" s="69"/>
      <c r="G22" s="69"/>
      <c r="H22" s="69"/>
      <c r="I22" s="69"/>
      <c r="J22" s="69"/>
    </row>
    <row r="23" spans="1:21">
      <c r="A23" s="28" t="s">
        <v>56</v>
      </c>
      <c r="B23" s="7" t="s">
        <v>193</v>
      </c>
      <c r="C23" s="7" t="s">
        <v>181</v>
      </c>
      <c r="D23" s="7" t="s">
        <v>182</v>
      </c>
      <c r="E23" s="8" t="s">
        <v>359</v>
      </c>
      <c r="F23" s="7" t="s">
        <v>353</v>
      </c>
      <c r="G23" s="26" t="s">
        <v>39</v>
      </c>
      <c r="H23" s="26" t="s">
        <v>40</v>
      </c>
      <c r="I23" s="26" t="s">
        <v>183</v>
      </c>
      <c r="J23" s="28"/>
      <c r="K23" s="9" t="str">
        <f>"187,5"</f>
        <v>187,5</v>
      </c>
      <c r="L23" s="9" t="str">
        <f>"107,2125"</f>
        <v>107,2125</v>
      </c>
      <c r="M23" s="7" t="s">
        <v>356</v>
      </c>
    </row>
    <row r="25" spans="1:21">
      <c r="G25" s="5"/>
      <c r="K25" s="24"/>
      <c r="M25" s="6"/>
    </row>
    <row r="26" spans="1:21">
      <c r="K26" s="24"/>
      <c r="M26" s="6"/>
    </row>
    <row r="27" spans="1:21" ht="18">
      <c r="B27" s="17" t="s">
        <v>47</v>
      </c>
      <c r="C27" s="17"/>
      <c r="K27" s="24"/>
      <c r="M27" s="6"/>
    </row>
    <row r="28" spans="1:21" ht="16">
      <c r="B28" s="18" t="s">
        <v>53</v>
      </c>
      <c r="C28" s="18"/>
      <c r="G28" s="3"/>
      <c r="K28" s="24"/>
      <c r="L28" s="24"/>
      <c r="M28" s="24"/>
      <c r="N28" s="24"/>
      <c r="O28" s="24"/>
      <c r="P28" s="24"/>
      <c r="Q28" s="24"/>
      <c r="R28" s="24"/>
      <c r="S28" s="25"/>
      <c r="T28" s="6"/>
      <c r="U28" s="5"/>
    </row>
    <row r="29" spans="1:21" ht="14">
      <c r="B29" s="19"/>
      <c r="C29" s="20" t="s">
        <v>48</v>
      </c>
      <c r="K29" s="24"/>
      <c r="M29" s="6"/>
    </row>
    <row r="30" spans="1:21" ht="14">
      <c r="B30" s="21" t="s">
        <v>49</v>
      </c>
      <c r="C30" s="21" t="s">
        <v>50</v>
      </c>
      <c r="D30" s="21" t="s">
        <v>314</v>
      </c>
      <c r="E30" s="22" t="s">
        <v>184</v>
      </c>
      <c r="F30" s="21" t="s">
        <v>52</v>
      </c>
      <c r="K30" s="24"/>
      <c r="M30" s="6"/>
    </row>
    <row r="31" spans="1:21">
      <c r="B31" s="5" t="s">
        <v>177</v>
      </c>
      <c r="C31" s="5" t="s">
        <v>48</v>
      </c>
      <c r="D31" s="24" t="s">
        <v>133</v>
      </c>
      <c r="E31" s="25">
        <v>200</v>
      </c>
      <c r="F31" s="23">
        <v>118.099999427795</v>
      </c>
      <c r="G31" s="5"/>
      <c r="K31" s="24"/>
      <c r="M31" s="6"/>
    </row>
  </sheetData>
  <mergeCells count="17">
    <mergeCell ref="A22:J22"/>
    <mergeCell ref="A5:J5"/>
    <mergeCell ref="A8:J8"/>
    <mergeCell ref="A11:J11"/>
    <mergeCell ref="A14:J14"/>
    <mergeCell ref="A19:J19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2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4.33203125" style="5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32.5" style="5" bestFit="1" customWidth="1"/>
    <col min="7" max="9" width="5.5" style="24" customWidth="1"/>
    <col min="10" max="10" width="4.83203125" style="24" customWidth="1"/>
    <col min="11" max="11" width="10.5" style="6" bestFit="1" customWidth="1"/>
    <col min="12" max="12" width="8.5" style="6" bestFit="1" customWidth="1"/>
    <col min="13" max="13" width="17.83203125" style="5" bestFit="1" customWidth="1"/>
    <col min="14" max="16384" width="9.1640625" style="3"/>
  </cols>
  <sheetData>
    <row r="1" spans="1:13" s="2" customFormat="1" ht="29" customHeight="1">
      <c r="A1" s="56" t="s">
        <v>327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355</v>
      </c>
      <c r="B3" s="71" t="s">
        <v>0</v>
      </c>
      <c r="C3" s="66" t="s">
        <v>357</v>
      </c>
      <c r="D3" s="66" t="s">
        <v>6</v>
      </c>
      <c r="E3" s="50" t="s">
        <v>358</v>
      </c>
      <c r="F3" s="68" t="s">
        <v>5</v>
      </c>
      <c r="G3" s="68" t="s">
        <v>8</v>
      </c>
      <c r="H3" s="68"/>
      <c r="I3" s="68"/>
      <c r="J3" s="68"/>
      <c r="K3" s="50" t="s">
        <v>185</v>
      </c>
      <c r="L3" s="50" t="s">
        <v>3</v>
      </c>
      <c r="M3" s="52" t="s">
        <v>2</v>
      </c>
    </row>
    <row r="4" spans="1:13" s="1" customFormat="1" ht="21" customHeight="1" thickBot="1">
      <c r="A4" s="65"/>
      <c r="B4" s="72"/>
      <c r="C4" s="67"/>
      <c r="D4" s="67"/>
      <c r="E4" s="51"/>
      <c r="F4" s="67"/>
      <c r="G4" s="4">
        <v>1</v>
      </c>
      <c r="H4" s="4">
        <v>2</v>
      </c>
      <c r="I4" s="4">
        <v>3</v>
      </c>
      <c r="J4" s="4" t="s">
        <v>4</v>
      </c>
      <c r="K4" s="51"/>
      <c r="L4" s="51"/>
      <c r="M4" s="53"/>
    </row>
    <row r="5" spans="1:13" ht="16">
      <c r="A5" s="54" t="s">
        <v>22</v>
      </c>
      <c r="B5" s="54"/>
      <c r="C5" s="55"/>
      <c r="D5" s="55"/>
      <c r="E5" s="55"/>
      <c r="F5" s="55"/>
      <c r="G5" s="55"/>
      <c r="H5" s="55"/>
      <c r="I5" s="55"/>
      <c r="J5" s="55"/>
    </row>
    <row r="6" spans="1:13">
      <c r="A6" s="28" t="s">
        <v>56</v>
      </c>
      <c r="B6" s="7" t="s">
        <v>296</v>
      </c>
      <c r="C6" s="7" t="s">
        <v>286</v>
      </c>
      <c r="D6" s="7" t="s">
        <v>287</v>
      </c>
      <c r="E6" s="8" t="s">
        <v>359</v>
      </c>
      <c r="F6" s="7" t="s">
        <v>316</v>
      </c>
      <c r="G6" s="26" t="s">
        <v>27</v>
      </c>
      <c r="H6" s="26" t="s">
        <v>28</v>
      </c>
      <c r="I6" s="26" t="s">
        <v>123</v>
      </c>
      <c r="J6" s="28"/>
      <c r="K6" s="9" t="str">
        <f>"220,0"</f>
        <v>220,0</v>
      </c>
      <c r="L6" s="9" t="str">
        <f>"144,3530"</f>
        <v>144,3530</v>
      </c>
      <c r="M6" s="41" t="s">
        <v>312</v>
      </c>
    </row>
    <row r="8" spans="1:13" ht="16">
      <c r="A8" s="69" t="s">
        <v>129</v>
      </c>
      <c r="B8" s="69"/>
      <c r="C8" s="69"/>
      <c r="D8" s="69"/>
      <c r="E8" s="70"/>
      <c r="F8" s="69"/>
      <c r="G8" s="69"/>
      <c r="H8" s="69"/>
      <c r="I8" s="69"/>
      <c r="J8" s="69"/>
    </row>
    <row r="9" spans="1:13">
      <c r="A9" s="28" t="s">
        <v>56</v>
      </c>
      <c r="B9" s="7" t="s">
        <v>297</v>
      </c>
      <c r="C9" s="7" t="s">
        <v>288</v>
      </c>
      <c r="D9" s="7" t="s">
        <v>289</v>
      </c>
      <c r="E9" s="8" t="s">
        <v>359</v>
      </c>
      <c r="F9" s="7" t="s">
        <v>316</v>
      </c>
      <c r="G9" s="26" t="s">
        <v>290</v>
      </c>
      <c r="H9" s="26" t="s">
        <v>291</v>
      </c>
      <c r="I9" s="27" t="s">
        <v>292</v>
      </c>
      <c r="J9" s="28"/>
      <c r="K9" s="9" t="str">
        <f>"252,5"</f>
        <v>252,5</v>
      </c>
      <c r="L9" s="9" t="str">
        <f>"142,0691"</f>
        <v>142,0691</v>
      </c>
      <c r="M9" s="7" t="s">
        <v>293</v>
      </c>
    </row>
    <row r="11" spans="1:13" ht="16">
      <c r="A11" s="69" t="s">
        <v>180</v>
      </c>
      <c r="B11" s="69"/>
      <c r="C11" s="69"/>
      <c r="D11" s="69"/>
      <c r="E11" s="70"/>
      <c r="F11" s="69"/>
      <c r="G11" s="69"/>
      <c r="H11" s="69"/>
      <c r="I11" s="69"/>
      <c r="J11" s="69"/>
    </row>
    <row r="12" spans="1:13">
      <c r="A12" s="28" t="s">
        <v>56</v>
      </c>
      <c r="B12" s="7" t="s">
        <v>298</v>
      </c>
      <c r="C12" s="7" t="s">
        <v>294</v>
      </c>
      <c r="D12" s="7" t="s">
        <v>295</v>
      </c>
      <c r="E12" s="8" t="s">
        <v>359</v>
      </c>
      <c r="F12" s="7" t="s">
        <v>316</v>
      </c>
      <c r="G12" s="26" t="s">
        <v>290</v>
      </c>
      <c r="H12" s="27" t="s">
        <v>292</v>
      </c>
      <c r="I12" s="27" t="s">
        <v>292</v>
      </c>
      <c r="J12" s="28"/>
      <c r="K12" s="9" t="str">
        <f>"245,0"</f>
        <v>245,0</v>
      </c>
      <c r="L12" s="9" t="str">
        <f>"137,0530"</f>
        <v>137,0530</v>
      </c>
      <c r="M12" s="7" t="s">
        <v>356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IPL ПЛ без экипировки ДК</vt:lpstr>
      <vt:lpstr>IPL ПЛ без экипировки</vt:lpstr>
      <vt:lpstr>IPL ПЛ в бинтах ДК</vt:lpstr>
      <vt:lpstr>IPL Двоеборье без экип ДК</vt:lpstr>
      <vt:lpstr>IPL Двоеборье без экип</vt:lpstr>
      <vt:lpstr>IPL Присед без экипировки ДК</vt:lpstr>
      <vt:lpstr>IPL Жим без экипировки ДК</vt:lpstr>
      <vt:lpstr>IPL Жим без экипировки</vt:lpstr>
      <vt:lpstr>СПР Жим софт однопетельная</vt:lpstr>
      <vt:lpstr>IPL Тяга без экипировки ДК</vt:lpstr>
      <vt:lpstr>IPL Тяга без экипировки</vt:lpstr>
      <vt:lpstr>СПР Жим стоя ДК</vt:lpstr>
      <vt:lpstr>СПР Подъем на бицепс ДК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2023-09-19T16:43:39Z</dcterms:modified>
</cp:coreProperties>
</file>