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Ноябрь/"/>
    </mc:Choice>
  </mc:AlternateContent>
  <xr:revisionPtr revIDLastSave="0" documentId="13_ncr:1_{6441C134-2DA1-FD45-A6B8-EF49C861F9CE}" xr6:coauthVersionLast="45" xr6:coauthVersionMax="47" xr10:uidLastSave="{00000000-0000-0000-0000-000000000000}"/>
  <bookViews>
    <workbookView xWindow="0" yWindow="460" windowWidth="28400" windowHeight="15940" firstSheet="5" activeTab="9" xr2:uid="{00000000-000D-0000-FFFF-FFFF00000000}"/>
  </bookViews>
  <sheets>
    <sheet name="IPL ПЛ без экипировки ДК" sheetId="6" r:id="rId1"/>
    <sheet name="IPL ПЛ без экипировки" sheetId="5" r:id="rId2"/>
    <sheet name="IPL Двоеборье без экип ДК" sheetId="12" r:id="rId3"/>
    <sheet name="IPL Двоеборье без экип" sheetId="11" r:id="rId4"/>
    <sheet name="IPL Жим без экипировки ДК" sheetId="8" r:id="rId5"/>
    <sheet name="IPL Жим без экипировки" sheetId="7" r:id="rId6"/>
    <sheet name="IPL Тяга без экипировки ДК" sheetId="10" r:id="rId7"/>
    <sheet name="IPL Тяга без экипировки" sheetId="9" r:id="rId8"/>
    <sheet name="СПР Подъем на бицепс ДК" sheetId="17" r:id="rId9"/>
    <sheet name="СПР Подъем на бицепс" sheetId="18" r:id="rId10"/>
  </sheets>
  <definedNames>
    <definedName name="_FilterDatabase" localSheetId="9" hidden="1">'СПР Подъем на бицепс'!$A$1:$K$3</definedName>
    <definedName name="_FilterDatabase" localSheetId="1" hidden="1">'IPL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18" l="1"/>
  <c r="K10" i="18"/>
  <c r="L7" i="18"/>
  <c r="K7" i="18"/>
  <c r="L6" i="18"/>
  <c r="K6" i="18"/>
  <c r="L29" i="17"/>
  <c r="K29" i="17"/>
  <c r="L26" i="17"/>
  <c r="K26" i="17"/>
  <c r="L25" i="17"/>
  <c r="K25" i="17"/>
  <c r="L24" i="17"/>
  <c r="K24" i="17"/>
  <c r="L21" i="17"/>
  <c r="K21" i="17"/>
  <c r="L20" i="17"/>
  <c r="K20" i="17"/>
  <c r="L19" i="17"/>
  <c r="K19" i="17"/>
  <c r="L16" i="17"/>
  <c r="K16" i="17"/>
  <c r="L13" i="17"/>
  <c r="K13" i="17"/>
  <c r="L12" i="17"/>
  <c r="K12" i="17"/>
  <c r="L9" i="17"/>
  <c r="K9" i="17"/>
  <c r="L8" i="17"/>
  <c r="K8" i="17"/>
  <c r="L7" i="17"/>
  <c r="K7" i="17"/>
  <c r="L6" i="17"/>
  <c r="K6" i="17"/>
  <c r="P29" i="12"/>
  <c r="O29" i="12"/>
  <c r="P26" i="12"/>
  <c r="O26" i="12"/>
  <c r="P23" i="12"/>
  <c r="O23" i="12"/>
  <c r="P22" i="12"/>
  <c r="O22" i="12"/>
  <c r="P21" i="12"/>
  <c r="O21" i="12"/>
  <c r="P20" i="12"/>
  <c r="O20" i="12"/>
  <c r="P17" i="12"/>
  <c r="O17" i="12"/>
  <c r="P16" i="12"/>
  <c r="O16" i="12"/>
  <c r="P13" i="12"/>
  <c r="O13" i="12"/>
  <c r="P10" i="12"/>
  <c r="O10" i="12"/>
  <c r="P9" i="12"/>
  <c r="O9" i="12"/>
  <c r="P6" i="12"/>
  <c r="O6" i="12"/>
  <c r="P6" i="11"/>
  <c r="O6" i="11"/>
  <c r="L36" i="10"/>
  <c r="K36" i="10"/>
  <c r="L33" i="10"/>
  <c r="K33" i="10"/>
  <c r="L32" i="10"/>
  <c r="K32" i="10"/>
  <c r="L29" i="10"/>
  <c r="K29" i="10"/>
  <c r="L26" i="10"/>
  <c r="K26" i="10"/>
  <c r="L25" i="10"/>
  <c r="K25" i="10"/>
  <c r="L22" i="10"/>
  <c r="K22" i="10"/>
  <c r="L19" i="10"/>
  <c r="K19" i="10"/>
  <c r="L16" i="10"/>
  <c r="K16" i="10"/>
  <c r="L15" i="10"/>
  <c r="K15" i="10"/>
  <c r="L14" i="10"/>
  <c r="K14" i="10"/>
  <c r="L11" i="10"/>
  <c r="K11" i="10"/>
  <c r="L10" i="10"/>
  <c r="K10" i="10"/>
  <c r="L9" i="10"/>
  <c r="K9" i="10"/>
  <c r="L6" i="10"/>
  <c r="K6" i="10"/>
  <c r="L13" i="9"/>
  <c r="K13" i="9"/>
  <c r="L12" i="9"/>
  <c r="K12" i="9"/>
  <c r="L9" i="9"/>
  <c r="K9" i="9"/>
  <c r="L6" i="9"/>
  <c r="K6" i="9"/>
  <c r="L46" i="8"/>
  <c r="K46" i="8"/>
  <c r="L43" i="8"/>
  <c r="K43" i="8"/>
  <c r="L40" i="8"/>
  <c r="K40" i="8"/>
  <c r="L39" i="8"/>
  <c r="K39" i="8"/>
  <c r="L38" i="8"/>
  <c r="K38" i="8"/>
  <c r="L35" i="8"/>
  <c r="K35" i="8"/>
  <c r="L34" i="8"/>
  <c r="K34" i="8"/>
  <c r="L33" i="8"/>
  <c r="K33" i="8"/>
  <c r="L32" i="8"/>
  <c r="K32" i="8"/>
  <c r="L31" i="8"/>
  <c r="K31" i="8"/>
  <c r="L28" i="8"/>
  <c r="K28" i="8"/>
  <c r="L27" i="8"/>
  <c r="K27" i="8"/>
  <c r="L26" i="8"/>
  <c r="K26" i="8"/>
  <c r="L25" i="8"/>
  <c r="K25" i="8"/>
  <c r="L22" i="8"/>
  <c r="K22" i="8"/>
  <c r="L21" i="8"/>
  <c r="K21" i="8"/>
  <c r="L20" i="8"/>
  <c r="K20" i="8"/>
  <c r="L19" i="8"/>
  <c r="K19" i="8"/>
  <c r="L16" i="8"/>
  <c r="K16" i="8"/>
  <c r="L13" i="8"/>
  <c r="K13" i="8"/>
  <c r="L10" i="8"/>
  <c r="K10" i="8"/>
  <c r="L7" i="8"/>
  <c r="L6" i="8"/>
  <c r="K6" i="8"/>
  <c r="L20" i="7"/>
  <c r="K20" i="7"/>
  <c r="L17" i="7"/>
  <c r="K17" i="7"/>
  <c r="L14" i="7"/>
  <c r="K14" i="7"/>
  <c r="L13" i="7"/>
  <c r="K13" i="7"/>
  <c r="L10" i="7"/>
  <c r="K10" i="7"/>
  <c r="L7" i="7"/>
  <c r="K7" i="7"/>
  <c r="L6" i="7"/>
  <c r="K6" i="7"/>
  <c r="T25" i="6"/>
  <c r="S25" i="6"/>
  <c r="T24" i="6"/>
  <c r="S24" i="6"/>
  <c r="T21" i="6"/>
  <c r="S21" i="6"/>
  <c r="T20" i="6"/>
  <c r="S20" i="6"/>
  <c r="T19" i="6"/>
  <c r="S19" i="6"/>
  <c r="T18" i="6"/>
  <c r="S18" i="6"/>
  <c r="T17" i="6"/>
  <c r="S17" i="6"/>
  <c r="T14" i="6"/>
  <c r="S14" i="6"/>
  <c r="T13" i="6"/>
  <c r="S13" i="6"/>
  <c r="T10" i="6"/>
  <c r="S10" i="6"/>
  <c r="T7" i="6"/>
  <c r="S7" i="6"/>
  <c r="T6" i="6"/>
  <c r="S6" i="6"/>
  <c r="T9" i="5"/>
  <c r="S9" i="5"/>
  <c r="T6" i="5"/>
  <c r="S6" i="5"/>
</calcChain>
</file>

<file path=xl/sharedStrings.xml><?xml version="1.0" encoding="utf-8"?>
<sst xmlns="http://schemas.openxmlformats.org/spreadsheetml/2006/main" count="1274" uniqueCount="361">
  <si>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</si>
  <si>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</si>
  <si>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</si>
  <si>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</si>
  <si>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</si>
  <si>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</si>
  <si>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</si>
  <si>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</si>
  <si>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</si>
  <si>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</si>
  <si>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67.5</t>
  </si>
  <si>
    <t>Открытая (03.07.1995)/28</t>
  </si>
  <si>
    <t>62,30</t>
  </si>
  <si>
    <t>65,0</t>
  </si>
  <si>
    <t>70,0</t>
  </si>
  <si>
    <t>75,0</t>
  </si>
  <si>
    <t>40,0</t>
  </si>
  <si>
    <t>42,5</t>
  </si>
  <si>
    <t>45,0</t>
  </si>
  <si>
    <t>85,0</t>
  </si>
  <si>
    <t>92,5</t>
  </si>
  <si>
    <t>100,0</t>
  </si>
  <si>
    <t>ВЕСОВАЯ КАТЕГОРИЯ   82.5</t>
  </si>
  <si>
    <t>Открытая (17.02.1999)/24</t>
  </si>
  <si>
    <t>76,90</t>
  </si>
  <si>
    <t>115,0</t>
  </si>
  <si>
    <t>120,0</t>
  </si>
  <si>
    <t>125,0</t>
  </si>
  <si>
    <t>77,5</t>
  </si>
  <si>
    <t>82,5</t>
  </si>
  <si>
    <t>130,0</t>
  </si>
  <si>
    <t>140,0</t>
  </si>
  <si>
    <t>150,0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</si>
  <si>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</si>
  <si>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</si>
  <si>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</si>
  <si>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</si>
  <si>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</si>
  <si>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</si>
  <si>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Wilks </t>
  </si>
  <si>
    <t>67.5</t>
  </si>
  <si>
    <t xml:space="preserve">Мужчины </t>
  </si>
  <si>
    <t>1</t>
  </si>
  <si>
    <t>Абрамова Полина</t>
  </si>
  <si>
    <t>Татаренко Егор</t>
  </si>
  <si>
    <t>ВЕСОВАЯ КАТЕГОРИЯ   52</t>
  </si>
  <si>
    <t>Открытая (04.11.1992)/30</t>
  </si>
  <si>
    <t>51,40</t>
  </si>
  <si>
    <t>80,0</t>
  </si>
  <si>
    <t>90,0</t>
  </si>
  <si>
    <t>47,5</t>
  </si>
  <si>
    <t>95,0</t>
  </si>
  <si>
    <t>Открытая (06.01.1994)/29</t>
  </si>
  <si>
    <t>51,50</t>
  </si>
  <si>
    <t>60,0</t>
  </si>
  <si>
    <t>67,5</t>
  </si>
  <si>
    <t>30,0</t>
  </si>
  <si>
    <t>32,5</t>
  </si>
  <si>
    <t>ВЕСОВАЯ КАТЕГОРИЯ   60</t>
  </si>
  <si>
    <t>Открытая (19.04.1986)/37</t>
  </si>
  <si>
    <t>58,40</t>
  </si>
  <si>
    <t>87,5</t>
  </si>
  <si>
    <t>97,5</t>
  </si>
  <si>
    <t>52,5</t>
  </si>
  <si>
    <t>57,5</t>
  </si>
  <si>
    <t>117,5</t>
  </si>
  <si>
    <t>ВЕСОВАЯ КАТЕГОРИЯ   90</t>
  </si>
  <si>
    <t>Открытая (10.02.1993)/30</t>
  </si>
  <si>
    <t>89,50</t>
  </si>
  <si>
    <t>165,0</t>
  </si>
  <si>
    <t>175,0</t>
  </si>
  <si>
    <t>180,0</t>
  </si>
  <si>
    <t>205,0</t>
  </si>
  <si>
    <t>212,5</t>
  </si>
  <si>
    <t>220,0</t>
  </si>
  <si>
    <t>Открытая (09.09.1994)/29</t>
  </si>
  <si>
    <t>89,00</t>
  </si>
  <si>
    <t>160,0</t>
  </si>
  <si>
    <t>170,0</t>
  </si>
  <si>
    <t>145,0</t>
  </si>
  <si>
    <t>182,5</t>
  </si>
  <si>
    <t>185,0</t>
  </si>
  <si>
    <t>ВЕСОВАЯ КАТЕГОРИЯ   100</t>
  </si>
  <si>
    <t xml:space="preserve">Сафонов Владимир </t>
  </si>
  <si>
    <t>Открытая (21.03.1987)/36</t>
  </si>
  <si>
    <t>99,90</t>
  </si>
  <si>
    <t>195,0</t>
  </si>
  <si>
    <t>207,5</t>
  </si>
  <si>
    <t>155,0</t>
  </si>
  <si>
    <t>157,5</t>
  </si>
  <si>
    <t>230,0</t>
  </si>
  <si>
    <t>232,5</t>
  </si>
  <si>
    <t>Открытая (13.08.1978)/45</t>
  </si>
  <si>
    <t>99,70</t>
  </si>
  <si>
    <t>190,0</t>
  </si>
  <si>
    <t>200,0</t>
  </si>
  <si>
    <t xml:space="preserve">Бунин Александр </t>
  </si>
  <si>
    <t>Открытая (18.12.1983)/39</t>
  </si>
  <si>
    <t>92,00</t>
  </si>
  <si>
    <t>147,5</t>
  </si>
  <si>
    <t>250,0</t>
  </si>
  <si>
    <t>Открытая (05.11.1994)/28</t>
  </si>
  <si>
    <t>100,00</t>
  </si>
  <si>
    <t>102,5</t>
  </si>
  <si>
    <t>107,5</t>
  </si>
  <si>
    <t>110,0</t>
  </si>
  <si>
    <t>210,0</t>
  </si>
  <si>
    <t>215,0</t>
  </si>
  <si>
    <t>ВЕСОВАЯ КАТЕГОРИЯ   110</t>
  </si>
  <si>
    <t xml:space="preserve">Семенихин Сергей </t>
  </si>
  <si>
    <t>Открытая (07.07.1994)/29</t>
  </si>
  <si>
    <t>106,00</t>
  </si>
  <si>
    <t>227,5</t>
  </si>
  <si>
    <t>Открытая (26.02.1989)/34</t>
  </si>
  <si>
    <t>106,90</t>
  </si>
  <si>
    <t>60</t>
  </si>
  <si>
    <t>100</t>
  </si>
  <si>
    <t>110</t>
  </si>
  <si>
    <t>Кошелева Екатерина</t>
  </si>
  <si>
    <t>2</t>
  </si>
  <si>
    <t>Нетцель Александра</t>
  </si>
  <si>
    <t>Золотухина Кристина</t>
  </si>
  <si>
    <t>Хаткевич Александр</t>
  </si>
  <si>
    <t>Кулиев Шамиль</t>
  </si>
  <si>
    <t>Сафонов Владимир</t>
  </si>
  <si>
    <t>Чирков Алексей</t>
  </si>
  <si>
    <t>3</t>
  </si>
  <si>
    <t>Бунин Александр</t>
  </si>
  <si>
    <t>4</t>
  </si>
  <si>
    <t>Шараевский Александр</t>
  </si>
  <si>
    <t>Семенихин Сергей</t>
  </si>
  <si>
    <t>Васильев Роман</t>
  </si>
  <si>
    <t>Открытая (08.11.1975)/47</t>
  </si>
  <si>
    <t>61,50</t>
  </si>
  <si>
    <t>Юноши 15-19 (20.11.2009)/13</t>
  </si>
  <si>
    <t>46,25</t>
  </si>
  <si>
    <t>35,0</t>
  </si>
  <si>
    <t>Юноши 15-19 (01.09.2011)/12</t>
  </si>
  <si>
    <t>81,70</t>
  </si>
  <si>
    <t>37,5</t>
  </si>
  <si>
    <t>Открытая (31.03.1982)/41</t>
  </si>
  <si>
    <t>75,70</t>
  </si>
  <si>
    <t>Открытая (26.01.1987)/36</t>
  </si>
  <si>
    <t>97,00</t>
  </si>
  <si>
    <t>192,5</t>
  </si>
  <si>
    <t>197,5</t>
  </si>
  <si>
    <t>ВЕСОВАЯ КАТЕГОРИЯ   125</t>
  </si>
  <si>
    <t>Открытая (12.02.1982)/41</t>
  </si>
  <si>
    <t>124,90</t>
  </si>
  <si>
    <t xml:space="preserve">Результат </t>
  </si>
  <si>
    <t>Результат</t>
  </si>
  <si>
    <t>Гоголева Мария</t>
  </si>
  <si>
    <t>Лосенков Егор</t>
  </si>
  <si>
    <t>Пашинцев Илья</t>
  </si>
  <si>
    <t>Сильвестров Антон</t>
  </si>
  <si>
    <t>Тарасов Сергей</t>
  </si>
  <si>
    <t>Смирнов Дмитрий</t>
  </si>
  <si>
    <t>ВЕСОВАЯ КАТЕГОРИЯ   56</t>
  </si>
  <si>
    <t>Открытая (31.12.1984)/38</t>
  </si>
  <si>
    <t>55,60</t>
  </si>
  <si>
    <t>62,5</t>
  </si>
  <si>
    <t>Открытая (03.10.1990)/33</t>
  </si>
  <si>
    <t>55,50</t>
  </si>
  <si>
    <t>59,50</t>
  </si>
  <si>
    <t>50,0</t>
  </si>
  <si>
    <t>Открытая (23.09.2000)/23</t>
  </si>
  <si>
    <t>81,30</t>
  </si>
  <si>
    <t>Юноши 15-19 (26.12.2007)/15</t>
  </si>
  <si>
    <t>61,10</t>
  </si>
  <si>
    <t>72,5</t>
  </si>
  <si>
    <t>ВЕСОВАЯ КАТЕГОРИЯ   75</t>
  </si>
  <si>
    <t>Юноши 15-19 (19.04.2007)/16</t>
  </si>
  <si>
    <t>74,30</t>
  </si>
  <si>
    <t xml:space="preserve">Румянцев Степан </t>
  </si>
  <si>
    <t>Открытая (19.02.1992)/31</t>
  </si>
  <si>
    <t>73,70</t>
  </si>
  <si>
    <t>135,0</t>
  </si>
  <si>
    <t>Открытая (09.02.2004)/19</t>
  </si>
  <si>
    <t>72,10</t>
  </si>
  <si>
    <t>74,80</t>
  </si>
  <si>
    <t>Юноши 15-19 (22.03.2007)/16</t>
  </si>
  <si>
    <t>88,20</t>
  </si>
  <si>
    <t>105,0</t>
  </si>
  <si>
    <t>Открытая (30.03.1999)/24</t>
  </si>
  <si>
    <t>87,70</t>
  </si>
  <si>
    <t>132,5</t>
  </si>
  <si>
    <t>137,5</t>
  </si>
  <si>
    <t>87,90</t>
  </si>
  <si>
    <t>Юноши 15-19 (31.08.2006)/17</t>
  </si>
  <si>
    <t>97,30</t>
  </si>
  <si>
    <t xml:space="preserve">Колесников Артём </t>
  </si>
  <si>
    <t>98,30</t>
  </si>
  <si>
    <t>172,5</t>
  </si>
  <si>
    <t>99,80</t>
  </si>
  <si>
    <t>162,5</t>
  </si>
  <si>
    <t>Открытая (04.06.2002)/21</t>
  </si>
  <si>
    <t>Открытая (11.05.1974)/49</t>
  </si>
  <si>
    <t>98,00</t>
  </si>
  <si>
    <t xml:space="preserve">Тетерин Валентин </t>
  </si>
  <si>
    <t>Открытая (25.02.1997)/26</t>
  </si>
  <si>
    <t>109,90</t>
  </si>
  <si>
    <t>280,0</t>
  </si>
  <si>
    <t>290,0</t>
  </si>
  <si>
    <t>300,0</t>
  </si>
  <si>
    <t>104,60</t>
  </si>
  <si>
    <t>ВЕСОВАЯ КАТЕГОРИЯ   140</t>
  </si>
  <si>
    <t>Открытая (04.04.1986)/37</t>
  </si>
  <si>
    <t>135,90</t>
  </si>
  <si>
    <t>ВЕСОВАЯ КАТЕГОРИЯ   140+</t>
  </si>
  <si>
    <t>Открытая (15.05.1984)/39</t>
  </si>
  <si>
    <t>168,90</t>
  </si>
  <si>
    <t>56</t>
  </si>
  <si>
    <t>75</t>
  </si>
  <si>
    <t>90</t>
  </si>
  <si>
    <t>Мазур Наталья</t>
  </si>
  <si>
    <t>-</t>
  </si>
  <si>
    <t>Тарасова Юлия</t>
  </si>
  <si>
    <t>Долгашова Тамара</t>
  </si>
  <si>
    <t>Старчукова Вероника</t>
  </si>
  <si>
    <t>Фомин Валерий</t>
  </si>
  <si>
    <t>Колесников Никита</t>
  </si>
  <si>
    <t>Румянцев Степан</t>
  </si>
  <si>
    <t>Головенкин Андрей</t>
  </si>
  <si>
    <t>Илюхин Александр</t>
  </si>
  <si>
    <t>Петров Иван</t>
  </si>
  <si>
    <t>Законов Владислав</t>
  </si>
  <si>
    <t>Паншин Константин</t>
  </si>
  <si>
    <t>Шандер Михаил</t>
  </si>
  <si>
    <t>Колесников Артём</t>
  </si>
  <si>
    <t>Федоров Семен</t>
  </si>
  <si>
    <t>Шарков Сергей</t>
  </si>
  <si>
    <t>Тетерин Валентин</t>
  </si>
  <si>
    <t>Колесников Алексей</t>
  </si>
  <si>
    <t>Кутергин Евгений</t>
  </si>
  <si>
    <t>Янченко Евгений</t>
  </si>
  <si>
    <t>Открытая (12.07.1990)/33</t>
  </si>
  <si>
    <t>59,40</t>
  </si>
  <si>
    <t>Открытая (08.11.1988)/34</t>
  </si>
  <si>
    <t>61,80</t>
  </si>
  <si>
    <t>78,90</t>
  </si>
  <si>
    <t>225,0</t>
  </si>
  <si>
    <t>Открытая (30.09.1996)/27</t>
  </si>
  <si>
    <t>77,30</t>
  </si>
  <si>
    <t>Сычева Ольга</t>
  </si>
  <si>
    <t>Шеронкина Любовь</t>
  </si>
  <si>
    <t>Мамуров Диловар</t>
  </si>
  <si>
    <t>Гарбуз Алексей</t>
  </si>
  <si>
    <t xml:space="preserve">Максимова Екатерина </t>
  </si>
  <si>
    <t>Открытая (20.11.1981)/41</t>
  </si>
  <si>
    <t>55,20</t>
  </si>
  <si>
    <t>112,5</t>
  </si>
  <si>
    <t>Открытая (15.12.1996)/26</t>
  </si>
  <si>
    <t>55,30</t>
  </si>
  <si>
    <t xml:space="preserve">Гурьева Евгения </t>
  </si>
  <si>
    <t>Открытая (05.05.1995)/28</t>
  </si>
  <si>
    <t>Открытая (27.09.1975)/48</t>
  </si>
  <si>
    <t>59,80</t>
  </si>
  <si>
    <t xml:space="preserve">Абрамова Инга </t>
  </si>
  <si>
    <t>Открытая (30.09.2002)/21</t>
  </si>
  <si>
    <t>65,20</t>
  </si>
  <si>
    <t>Открытая (01.10.2002)/21</t>
  </si>
  <si>
    <t>63,10</t>
  </si>
  <si>
    <t>Юноши 15-19 (31.01.2006)/17</t>
  </si>
  <si>
    <t>80,40</t>
  </si>
  <si>
    <t>Открытая (09.11.1987)/35</t>
  </si>
  <si>
    <t>82,00</t>
  </si>
  <si>
    <t>142,5</t>
  </si>
  <si>
    <t>152,5</t>
  </si>
  <si>
    <t>217,5</t>
  </si>
  <si>
    <t>Максимова Екатерина</t>
  </si>
  <si>
    <t>Рассохина Анна</t>
  </si>
  <si>
    <t>Гурьева Евгения</t>
  </si>
  <si>
    <t>Бояринцева Елена</t>
  </si>
  <si>
    <t>Абрамова Инга</t>
  </si>
  <si>
    <t>Секирко Александр</t>
  </si>
  <si>
    <t>Лашков Никита</t>
  </si>
  <si>
    <t>Ан Сергей</t>
  </si>
  <si>
    <t>Открытая (04.03.1995)/28</t>
  </si>
  <si>
    <t>Юноши 15-19 (08.01.2006)/17</t>
  </si>
  <si>
    <t>71,00</t>
  </si>
  <si>
    <t>Открытая (06.03.1997)/26</t>
  </si>
  <si>
    <t>82,50</t>
  </si>
  <si>
    <t>Открытая (20.05.1984)/39</t>
  </si>
  <si>
    <t>114,70</t>
  </si>
  <si>
    <t>Бачурин Владислав</t>
  </si>
  <si>
    <t>Чулочи Никита</t>
  </si>
  <si>
    <t>Орешин Игорь</t>
  </si>
  <si>
    <t>Золотухин Евгений</t>
  </si>
  <si>
    <t>Шмигирин Егор</t>
  </si>
  <si>
    <t>66,10</t>
  </si>
  <si>
    <t xml:space="preserve">Ульяновск/Ульяновская область </t>
  </si>
  <si>
    <t>Романюк Денис</t>
  </si>
  <si>
    <t>66,50</t>
  </si>
  <si>
    <t>55,0</t>
  </si>
  <si>
    <t>Лопатенко Григорий</t>
  </si>
  <si>
    <t>65,85</t>
  </si>
  <si>
    <t>Сидин Павел</t>
  </si>
  <si>
    <t>Открытая (08.08.1994)/29</t>
  </si>
  <si>
    <t>66,75</t>
  </si>
  <si>
    <t>Левицкий Игорь</t>
  </si>
  <si>
    <t>Открытая (31.01.1983)/40</t>
  </si>
  <si>
    <t>84,95</t>
  </si>
  <si>
    <t>87,65</t>
  </si>
  <si>
    <t>88,95</t>
  </si>
  <si>
    <t>Степанов Павел</t>
  </si>
  <si>
    <t>Мастера 60+ (20.01.1960)/63</t>
  </si>
  <si>
    <t>97,10</t>
  </si>
  <si>
    <t>135,85</t>
  </si>
  <si>
    <t xml:space="preserve">Gloss </t>
  </si>
  <si>
    <t xml:space="preserve">Кутергин Евгений </t>
  </si>
  <si>
    <t>140</t>
  </si>
  <si>
    <t xml:space="preserve">Левицкий Игорь </t>
  </si>
  <si>
    <t xml:space="preserve">Головенкин Андрей </t>
  </si>
  <si>
    <t>77,25</t>
  </si>
  <si>
    <t>75,65</t>
  </si>
  <si>
    <t>Сорокин Евгений</t>
  </si>
  <si>
    <t>87,85</t>
  </si>
  <si>
    <t>Весовая категория</t>
  </si>
  <si>
    <t>Открытый мастерский турнир «Кубок Выборга»
IPL Пауэрлифтинг без экипировки ДК
Ленинградская область/Выборг, 03-04 ноября 2023 года</t>
  </si>
  <si>
    <t>Открытый мастерский турнир «Кубок Выборга»
IPL Пауэрлифтинг без экипировки
Ленинградская область/Выборг, 03-04 ноября 2023 года</t>
  </si>
  <si>
    <t>Открытый мастерский турнир «Кубок Выборга»
IPL Силовое двоеборье без экипировки ДК
Ленинградская область/Выборг, 03-04 ноября 2023 года</t>
  </si>
  <si>
    <t>Открытый мастерский турнир «Кубок Выборга»
IPL Силовое двоеборье без экипировки
Ленинградская область/Выборг, 03-04 ноября 2023 года</t>
  </si>
  <si>
    <t>Открытый мастерский турнир «Кубок Выборга»
IPL Жим лежа без экипировки ДК
Ленинградская область/Выборг, 03-04 ноября 2023 года</t>
  </si>
  <si>
    <t>Открытый мастерский турнир «Кубок Выборга»
IPL Жим лежа без экипировки
Ленинградская область/Выборг, 03-04 ноября 2023 года</t>
  </si>
  <si>
    <t>Открытый мастерский турнир «Кубок Выборга»
IPL Становая тяга без экипировки ДК
Ленинградская область/Выборг, 03-04 ноября 2023 года</t>
  </si>
  <si>
    <t>Открытый мастерский турнир «Кубок Выборга»
IPL Становая тяга без экипировки
Ленинградская область/Выборг, 03-04 ноября 2023 года</t>
  </si>
  <si>
    <t>Открытый мастерский турнир «Кубок Выборга»
СПР Строгий подъем штанги на бицепс ДК
Ленинградская область/Выборг, 03-04 ноября 2023 года</t>
  </si>
  <si>
    <t>Открытый мастерский турнир «Кубок Выборга»
СПР Строгий подъем штанги на бицепс
Ленинградская область/Выборг, 03-04 ноября 2023 года</t>
  </si>
  <si>
    <t>Мастера 45-49 (13.08.1978)/45</t>
  </si>
  <si>
    <t>Мастера 55-59 (13.09.1967)/56</t>
  </si>
  <si>
    <t>Мастера 60-64 (03.10.1962)/61</t>
  </si>
  <si>
    <t>Мастера 60-64 (22.01.1960)/63</t>
  </si>
  <si>
    <t>Юниоры 20-23 (04.06.2002)/21</t>
  </si>
  <si>
    <t>Юниоры 20-23 (03.10.2001)/22</t>
  </si>
  <si>
    <t>Мастера 45-49 (28.11.1977)/45</t>
  </si>
  <si>
    <t>Мастера 45-49 (08.11.1975)/47</t>
  </si>
  <si>
    <t>Мастера 40-44 (20.11.1981)/41</t>
  </si>
  <si>
    <t>Мастера 45-49 (27.09.1975)/48</t>
  </si>
  <si>
    <t>Юниоры 20-23 (16.09.2001)/22</t>
  </si>
  <si>
    <t>Юноши 13-19 (12.03.2008)/15</t>
  </si>
  <si>
    <t>Юниоры 20-23 (06.05.2000)/23</t>
  </si>
  <si>
    <t>Юниоры 20-23 (30.11.2000)/22</t>
  </si>
  <si>
    <t>Юноши 13-19 (31.01.2006)/17</t>
  </si>
  <si>
    <t>Мастера 40-49 (11.02.1977)/46</t>
  </si>
  <si>
    <t xml:space="preserve"> </t>
  </si>
  <si>
    <t>Ленинградская область, Выборг</t>
  </si>
  <si>
    <t>Санкт-Петербург</t>
  </si>
  <si>
    <t>Республика Карелия, Петрозаводск</t>
  </si>
  <si>
    <t>Приморский край, Владивосток</t>
  </si>
  <si>
    <t>№</t>
  </si>
  <si>
    <t xml:space="preserve">
Дата рождения/Возраст</t>
  </si>
  <si>
    <t>Возрастная группа</t>
  </si>
  <si>
    <t>O</t>
  </si>
  <si>
    <t>M2</t>
  </si>
  <si>
    <t>T</t>
  </si>
  <si>
    <t>M4</t>
  </si>
  <si>
    <t>M5</t>
  </si>
  <si>
    <t>J</t>
  </si>
  <si>
    <t>M1</t>
  </si>
  <si>
    <t>M3</t>
  </si>
  <si>
    <t>жим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</si>
</sst>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 indent="1"/>
    </xf>
    <xf numFmtId="49" fontId="6" fillId="0" borderId="0" xfId="0" applyNumberFormat="1" applyFont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712F5-C0D1-4551-87B4-395A6A4E8E40}">
  <dimension ref="A1:U35"/>
  <sheetViews>
    <sheetView workbookViewId="0">
      <selection activeCell="E26" sqref="E26"/>
    </sheetView>
  </sheetViews>
  <sheetFormatPr baseColWidth="10" defaultColWidth="9.1640625" defaultRowHeight="13"/>
  <cols>
    <col min="1" max="1" width="7.5" style="5" bestFit="1" customWidth="1"/>
    <col min="2" max="2" width="21.6640625" style="5" bestFit="1" customWidth="1"/>
    <col min="3" max="3" width="28.5" style="5" bestFit="1" customWidth="1"/>
    <col min="4" max="4" width="21.5" style="5" bestFit="1" customWidth="1"/>
    <col min="5" max="5" width="10.5" style="11" bestFit="1" customWidth="1"/>
    <col min="6" max="6" width="39.33203125" style="5" customWidth="1"/>
    <col min="7" max="9" width="5.5" style="18" customWidth="1"/>
    <col min="10" max="10" width="4.83203125" style="18" customWidth="1"/>
    <col min="11" max="13" width="5.5" style="18" customWidth="1"/>
    <col min="14" max="14" width="4.83203125" style="18" customWidth="1"/>
    <col min="15" max="17" width="5.5" style="18" customWidth="1"/>
    <col min="18" max="18" width="4.83203125" style="18" customWidth="1"/>
    <col min="19" max="19" width="7.83203125" style="6" bestFit="1" customWidth="1"/>
    <col min="20" max="20" width="8.5" style="6" bestFit="1" customWidth="1"/>
    <col min="21" max="21" width="19.33203125" style="5" customWidth="1"/>
    <col min="22" max="16384" width="9.1640625" style="3"/>
  </cols>
  <sheetData>
    <row r="1" spans="1:21" s="2" customFormat="1" ht="29" customHeight="1">
      <c r="A1" s="51" t="s">
        <v>318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s="1" customFormat="1" ht="12.75" customHeight="1">
      <c r="A3" s="59" t="s">
        <v>349</v>
      </c>
      <c r="B3" s="66" t="s">
        <v>0</v>
      </c>
      <c r="C3" s="61" t="s">
        <v>350</v>
      </c>
      <c r="D3" s="61" t="s">
        <v>6</v>
      </c>
      <c r="E3" s="45" t="s">
        <v>351</v>
      </c>
      <c r="F3" s="63" t="s">
        <v>5</v>
      </c>
      <c r="G3" s="63" t="s">
        <v>7</v>
      </c>
      <c r="H3" s="63"/>
      <c r="I3" s="63"/>
      <c r="J3" s="63"/>
      <c r="K3" s="63" t="s">
        <v>8</v>
      </c>
      <c r="L3" s="63"/>
      <c r="M3" s="63"/>
      <c r="N3" s="63"/>
      <c r="O3" s="63" t="s">
        <v>9</v>
      </c>
      <c r="P3" s="63"/>
      <c r="Q3" s="63"/>
      <c r="R3" s="63"/>
      <c r="S3" s="45" t="s">
        <v>1</v>
      </c>
      <c r="T3" s="45" t="s">
        <v>3</v>
      </c>
      <c r="U3" s="47" t="s">
        <v>2</v>
      </c>
    </row>
    <row r="4" spans="1:21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6"/>
      <c r="T4" s="46"/>
      <c r="U4" s="48"/>
    </row>
    <row r="5" spans="1:21" ht="16">
      <c r="A5" s="49" t="s">
        <v>45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21">
      <c r="A6" s="33" t="s">
        <v>42</v>
      </c>
      <c r="B6" s="23" t="s">
        <v>118</v>
      </c>
      <c r="C6" s="23" t="s">
        <v>46</v>
      </c>
      <c r="D6" s="23" t="s">
        <v>47</v>
      </c>
      <c r="E6" s="24" t="s">
        <v>352</v>
      </c>
      <c r="F6" s="23" t="s">
        <v>345</v>
      </c>
      <c r="G6" s="32" t="s">
        <v>48</v>
      </c>
      <c r="H6" s="32" t="s">
        <v>19</v>
      </c>
      <c r="I6" s="32" t="s">
        <v>49</v>
      </c>
      <c r="J6" s="33"/>
      <c r="K6" s="32" t="s">
        <v>17</v>
      </c>
      <c r="L6" s="32" t="s">
        <v>18</v>
      </c>
      <c r="M6" s="34" t="s">
        <v>50</v>
      </c>
      <c r="N6" s="33"/>
      <c r="O6" s="32" t="s">
        <v>19</v>
      </c>
      <c r="P6" s="32" t="s">
        <v>49</v>
      </c>
      <c r="Q6" s="32" t="s">
        <v>51</v>
      </c>
      <c r="R6" s="33"/>
      <c r="S6" s="25" t="str">
        <f>"230,0"</f>
        <v>230,0</v>
      </c>
      <c r="T6" s="25" t="str">
        <f>"289,2940"</f>
        <v>289,2940</v>
      </c>
      <c r="U6" s="23"/>
    </row>
    <row r="7" spans="1:21">
      <c r="A7" s="37" t="s">
        <v>119</v>
      </c>
      <c r="B7" s="26" t="s">
        <v>120</v>
      </c>
      <c r="C7" s="26" t="s">
        <v>52</v>
      </c>
      <c r="D7" s="26" t="s">
        <v>53</v>
      </c>
      <c r="E7" s="27" t="s">
        <v>352</v>
      </c>
      <c r="F7" s="26" t="s">
        <v>345</v>
      </c>
      <c r="G7" s="35" t="s">
        <v>54</v>
      </c>
      <c r="H7" s="36" t="s">
        <v>13</v>
      </c>
      <c r="I7" s="36" t="s">
        <v>55</v>
      </c>
      <c r="J7" s="37"/>
      <c r="K7" s="36" t="s">
        <v>56</v>
      </c>
      <c r="L7" s="35" t="s">
        <v>57</v>
      </c>
      <c r="M7" s="35" t="s">
        <v>57</v>
      </c>
      <c r="N7" s="37"/>
      <c r="O7" s="36" t="s">
        <v>28</v>
      </c>
      <c r="P7" s="36" t="s">
        <v>19</v>
      </c>
      <c r="Q7" s="36" t="s">
        <v>49</v>
      </c>
      <c r="R7" s="37"/>
      <c r="S7" s="28" t="str">
        <f>"187,5"</f>
        <v>187,5</v>
      </c>
      <c r="T7" s="28" t="str">
        <f>"235,5000"</f>
        <v>235,5000</v>
      </c>
      <c r="U7" s="26"/>
    </row>
    <row r="9" spans="1:21" ht="16">
      <c r="A9" s="64" t="s">
        <v>58</v>
      </c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21">
      <c r="A10" s="21" t="s">
        <v>42</v>
      </c>
      <c r="B10" s="7" t="s">
        <v>121</v>
      </c>
      <c r="C10" s="7" t="s">
        <v>59</v>
      </c>
      <c r="D10" s="7" t="s">
        <v>60</v>
      </c>
      <c r="E10" s="8" t="s">
        <v>352</v>
      </c>
      <c r="F10" s="7" t="s">
        <v>345</v>
      </c>
      <c r="G10" s="20" t="s">
        <v>61</v>
      </c>
      <c r="H10" s="20" t="s">
        <v>20</v>
      </c>
      <c r="I10" s="20" t="s">
        <v>62</v>
      </c>
      <c r="J10" s="21"/>
      <c r="K10" s="20" t="s">
        <v>63</v>
      </c>
      <c r="L10" s="20" t="s">
        <v>64</v>
      </c>
      <c r="M10" s="20" t="s">
        <v>54</v>
      </c>
      <c r="N10" s="21"/>
      <c r="O10" s="20" t="s">
        <v>65</v>
      </c>
      <c r="P10" s="20" t="s">
        <v>27</v>
      </c>
      <c r="Q10" s="20" t="s">
        <v>30</v>
      </c>
      <c r="R10" s="21"/>
      <c r="S10" s="9" t="str">
        <f>"287,5"</f>
        <v>287,5</v>
      </c>
      <c r="T10" s="9" t="str">
        <f>"327,3475"</f>
        <v>327,3475</v>
      </c>
      <c r="U10" s="7" t="s">
        <v>344</v>
      </c>
    </row>
    <row r="12" spans="1:21" ht="16">
      <c r="A12" s="64" t="s">
        <v>66</v>
      </c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21">
      <c r="A13" s="33" t="s">
        <v>42</v>
      </c>
      <c r="B13" s="23" t="s">
        <v>122</v>
      </c>
      <c r="C13" s="23" t="s">
        <v>67</v>
      </c>
      <c r="D13" s="23" t="s">
        <v>68</v>
      </c>
      <c r="E13" s="24" t="s">
        <v>352</v>
      </c>
      <c r="F13" s="23" t="s">
        <v>345</v>
      </c>
      <c r="G13" s="32" t="s">
        <v>69</v>
      </c>
      <c r="H13" s="32" t="s">
        <v>70</v>
      </c>
      <c r="I13" s="32" t="s">
        <v>71</v>
      </c>
      <c r="J13" s="33"/>
      <c r="K13" s="32" t="s">
        <v>25</v>
      </c>
      <c r="L13" s="32" t="s">
        <v>26</v>
      </c>
      <c r="M13" s="32" t="s">
        <v>27</v>
      </c>
      <c r="N13" s="33"/>
      <c r="O13" s="32" t="s">
        <v>72</v>
      </c>
      <c r="P13" s="32" t="s">
        <v>73</v>
      </c>
      <c r="Q13" s="32" t="s">
        <v>74</v>
      </c>
      <c r="R13" s="33"/>
      <c r="S13" s="25" t="str">
        <f>"525,0"</f>
        <v>525,0</v>
      </c>
      <c r="T13" s="25" t="str">
        <f>"336,1050"</f>
        <v>336,1050</v>
      </c>
      <c r="U13" s="23"/>
    </row>
    <row r="14" spans="1:21">
      <c r="A14" s="37" t="s">
        <v>119</v>
      </c>
      <c r="B14" s="26" t="s">
        <v>123</v>
      </c>
      <c r="C14" s="26" t="s">
        <v>75</v>
      </c>
      <c r="D14" s="26" t="s">
        <v>76</v>
      </c>
      <c r="E14" s="27" t="s">
        <v>352</v>
      </c>
      <c r="F14" s="26" t="s">
        <v>345</v>
      </c>
      <c r="G14" s="36" t="s">
        <v>77</v>
      </c>
      <c r="H14" s="35" t="s">
        <v>78</v>
      </c>
      <c r="I14" s="35" t="s">
        <v>78</v>
      </c>
      <c r="J14" s="37"/>
      <c r="K14" s="36" t="s">
        <v>79</v>
      </c>
      <c r="L14" s="35" t="s">
        <v>32</v>
      </c>
      <c r="M14" s="36" t="s">
        <v>32</v>
      </c>
      <c r="N14" s="37"/>
      <c r="O14" s="36" t="s">
        <v>70</v>
      </c>
      <c r="P14" s="36" t="s">
        <v>80</v>
      </c>
      <c r="Q14" s="35" t="s">
        <v>81</v>
      </c>
      <c r="R14" s="37"/>
      <c r="S14" s="28" t="str">
        <f>"492,5"</f>
        <v>492,5</v>
      </c>
      <c r="T14" s="28" t="str">
        <f>"316,2342"</f>
        <v>316,2342</v>
      </c>
      <c r="U14" s="26"/>
    </row>
    <row r="16" spans="1:21" ht="16">
      <c r="A16" s="64" t="s">
        <v>82</v>
      </c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21">
      <c r="A17" s="33" t="s">
        <v>42</v>
      </c>
      <c r="B17" s="23" t="s">
        <v>124</v>
      </c>
      <c r="C17" s="23" t="s">
        <v>84</v>
      </c>
      <c r="D17" s="23" t="s">
        <v>85</v>
      </c>
      <c r="E17" s="24" t="s">
        <v>352</v>
      </c>
      <c r="F17" s="23" t="s">
        <v>345</v>
      </c>
      <c r="G17" s="32" t="s">
        <v>86</v>
      </c>
      <c r="H17" s="32" t="s">
        <v>87</v>
      </c>
      <c r="I17" s="32" t="s">
        <v>73</v>
      </c>
      <c r="J17" s="33"/>
      <c r="K17" s="32" t="s">
        <v>32</v>
      </c>
      <c r="L17" s="32" t="s">
        <v>88</v>
      </c>
      <c r="M17" s="34" t="s">
        <v>89</v>
      </c>
      <c r="N17" s="33"/>
      <c r="O17" s="32" t="s">
        <v>74</v>
      </c>
      <c r="P17" s="32" t="s">
        <v>90</v>
      </c>
      <c r="Q17" s="34" t="s">
        <v>91</v>
      </c>
      <c r="R17" s="33"/>
      <c r="S17" s="25" t="str">
        <f>"597,5"</f>
        <v>597,5</v>
      </c>
      <c r="T17" s="25" t="str">
        <f>"363,7580"</f>
        <v>363,7580</v>
      </c>
      <c r="U17" s="23"/>
    </row>
    <row r="18" spans="1:21">
      <c r="A18" s="39" t="s">
        <v>119</v>
      </c>
      <c r="B18" s="29" t="s">
        <v>125</v>
      </c>
      <c r="C18" s="29" t="s">
        <v>92</v>
      </c>
      <c r="D18" s="29" t="s">
        <v>93</v>
      </c>
      <c r="E18" s="30" t="s">
        <v>352</v>
      </c>
      <c r="F18" s="29" t="s">
        <v>345</v>
      </c>
      <c r="G18" s="38" t="s">
        <v>71</v>
      </c>
      <c r="H18" s="38" t="s">
        <v>94</v>
      </c>
      <c r="I18" s="38" t="s">
        <v>95</v>
      </c>
      <c r="J18" s="39"/>
      <c r="K18" s="38" t="s">
        <v>79</v>
      </c>
      <c r="L18" s="38" t="s">
        <v>32</v>
      </c>
      <c r="M18" s="38" t="s">
        <v>88</v>
      </c>
      <c r="N18" s="39"/>
      <c r="O18" s="38" t="s">
        <v>74</v>
      </c>
      <c r="P18" s="40" t="s">
        <v>90</v>
      </c>
      <c r="Q18" s="40" t="s">
        <v>90</v>
      </c>
      <c r="R18" s="39"/>
      <c r="S18" s="31" t="str">
        <f>"575,0"</f>
        <v>575,0</v>
      </c>
      <c r="T18" s="31" t="str">
        <f>"350,3475"</f>
        <v>350,3475</v>
      </c>
      <c r="U18" s="29"/>
    </row>
    <row r="19" spans="1:21">
      <c r="A19" s="39" t="s">
        <v>126</v>
      </c>
      <c r="B19" s="29" t="s">
        <v>127</v>
      </c>
      <c r="C19" s="29" t="s">
        <v>97</v>
      </c>
      <c r="D19" s="29" t="s">
        <v>98</v>
      </c>
      <c r="E19" s="30" t="s">
        <v>352</v>
      </c>
      <c r="F19" s="29" t="s">
        <v>346</v>
      </c>
      <c r="G19" s="38" t="s">
        <v>71</v>
      </c>
      <c r="H19" s="40" t="s">
        <v>94</v>
      </c>
      <c r="I19" s="38" t="s">
        <v>94</v>
      </c>
      <c r="J19" s="39"/>
      <c r="K19" s="38" t="s">
        <v>30</v>
      </c>
      <c r="L19" s="38" t="s">
        <v>31</v>
      </c>
      <c r="M19" s="38" t="s">
        <v>99</v>
      </c>
      <c r="N19" s="39"/>
      <c r="O19" s="38" t="s">
        <v>74</v>
      </c>
      <c r="P19" s="38" t="s">
        <v>90</v>
      </c>
      <c r="Q19" s="40" t="s">
        <v>100</v>
      </c>
      <c r="R19" s="39"/>
      <c r="S19" s="31" t="str">
        <f>"567,5"</f>
        <v>567,5</v>
      </c>
      <c r="T19" s="31" t="str">
        <f>"358,3763"</f>
        <v>358,3763</v>
      </c>
      <c r="U19" s="29" t="s">
        <v>344</v>
      </c>
    </row>
    <row r="20" spans="1:21">
      <c r="A20" s="39" t="s">
        <v>128</v>
      </c>
      <c r="B20" s="29" t="s">
        <v>129</v>
      </c>
      <c r="C20" s="29" t="s">
        <v>101</v>
      </c>
      <c r="D20" s="29" t="s">
        <v>102</v>
      </c>
      <c r="E20" s="30" t="s">
        <v>352</v>
      </c>
      <c r="F20" s="29" t="s">
        <v>345</v>
      </c>
      <c r="G20" s="38" t="s">
        <v>69</v>
      </c>
      <c r="H20" s="38" t="s">
        <v>70</v>
      </c>
      <c r="I20" s="38" t="s">
        <v>71</v>
      </c>
      <c r="J20" s="39"/>
      <c r="K20" s="38" t="s">
        <v>103</v>
      </c>
      <c r="L20" s="38" t="s">
        <v>104</v>
      </c>
      <c r="M20" s="38" t="s">
        <v>105</v>
      </c>
      <c r="N20" s="39"/>
      <c r="O20" s="38" t="s">
        <v>72</v>
      </c>
      <c r="P20" s="38" t="s">
        <v>106</v>
      </c>
      <c r="Q20" s="38" t="s">
        <v>107</v>
      </c>
      <c r="R20" s="39"/>
      <c r="S20" s="31" t="str">
        <f>"505,0"</f>
        <v>505,0</v>
      </c>
      <c r="T20" s="31" t="str">
        <f>"307,3430"</f>
        <v>307,3430</v>
      </c>
      <c r="U20" s="29" t="s">
        <v>344</v>
      </c>
    </row>
    <row r="21" spans="1:21">
      <c r="A21" s="37" t="s">
        <v>42</v>
      </c>
      <c r="B21" s="26" t="s">
        <v>125</v>
      </c>
      <c r="C21" s="26" t="s">
        <v>328</v>
      </c>
      <c r="D21" s="26" t="s">
        <v>93</v>
      </c>
      <c r="E21" s="27" t="s">
        <v>353</v>
      </c>
      <c r="F21" s="26" t="s">
        <v>345</v>
      </c>
      <c r="G21" s="36" t="s">
        <v>71</v>
      </c>
      <c r="H21" s="36" t="s">
        <v>94</v>
      </c>
      <c r="I21" s="36" t="s">
        <v>95</v>
      </c>
      <c r="J21" s="37"/>
      <c r="K21" s="36" t="s">
        <v>79</v>
      </c>
      <c r="L21" s="36" t="s">
        <v>32</v>
      </c>
      <c r="M21" s="36" t="s">
        <v>88</v>
      </c>
      <c r="N21" s="37"/>
      <c r="O21" s="36" t="s">
        <v>74</v>
      </c>
      <c r="P21" s="35" t="s">
        <v>90</v>
      </c>
      <c r="Q21" s="35" t="s">
        <v>90</v>
      </c>
      <c r="R21" s="37"/>
      <c r="S21" s="28" t="str">
        <f>"575,0"</f>
        <v>575,0</v>
      </c>
      <c r="T21" s="28" t="str">
        <f>"371,3684"</f>
        <v>371,3684</v>
      </c>
      <c r="U21" s="26" t="s">
        <v>344</v>
      </c>
    </row>
    <row r="23" spans="1:21" ht="16">
      <c r="A23" s="64" t="s">
        <v>108</v>
      </c>
      <c r="B23" s="64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21">
      <c r="A24" s="33" t="s">
        <v>42</v>
      </c>
      <c r="B24" s="23" t="s">
        <v>130</v>
      </c>
      <c r="C24" s="23" t="s">
        <v>110</v>
      </c>
      <c r="D24" s="23" t="s">
        <v>111</v>
      </c>
      <c r="E24" s="24" t="s">
        <v>352</v>
      </c>
      <c r="F24" s="23" t="s">
        <v>345</v>
      </c>
      <c r="G24" s="32" t="s">
        <v>81</v>
      </c>
      <c r="H24" s="32" t="s">
        <v>95</v>
      </c>
      <c r="I24" s="34" t="s">
        <v>73</v>
      </c>
      <c r="J24" s="33"/>
      <c r="K24" s="32" t="s">
        <v>77</v>
      </c>
      <c r="L24" s="32" t="s">
        <v>78</v>
      </c>
      <c r="M24" s="34" t="s">
        <v>70</v>
      </c>
      <c r="N24" s="33"/>
      <c r="O24" s="32" t="s">
        <v>95</v>
      </c>
      <c r="P24" s="32" t="s">
        <v>74</v>
      </c>
      <c r="Q24" s="34" t="s">
        <v>112</v>
      </c>
      <c r="R24" s="33"/>
      <c r="S24" s="25" t="str">
        <f>"590,0"</f>
        <v>590,0</v>
      </c>
      <c r="T24" s="25" t="str">
        <f>"351,4040"</f>
        <v>351,4040</v>
      </c>
      <c r="U24" s="23" t="s">
        <v>344</v>
      </c>
    </row>
    <row r="25" spans="1:21">
      <c r="A25" s="37" t="s">
        <v>119</v>
      </c>
      <c r="B25" s="26" t="s">
        <v>131</v>
      </c>
      <c r="C25" s="26" t="s">
        <v>113</v>
      </c>
      <c r="D25" s="26" t="s">
        <v>114</v>
      </c>
      <c r="E25" s="27" t="s">
        <v>352</v>
      </c>
      <c r="F25" s="26" t="s">
        <v>345</v>
      </c>
      <c r="G25" s="36" t="s">
        <v>78</v>
      </c>
      <c r="H25" s="36" t="s">
        <v>71</v>
      </c>
      <c r="I25" s="36" t="s">
        <v>81</v>
      </c>
      <c r="J25" s="37"/>
      <c r="K25" s="36" t="s">
        <v>32</v>
      </c>
      <c r="L25" s="36" t="s">
        <v>88</v>
      </c>
      <c r="M25" s="36" t="s">
        <v>77</v>
      </c>
      <c r="N25" s="37"/>
      <c r="O25" s="35" t="s">
        <v>72</v>
      </c>
      <c r="P25" s="36" t="s">
        <v>106</v>
      </c>
      <c r="Q25" s="36" t="s">
        <v>74</v>
      </c>
      <c r="R25" s="37"/>
      <c r="S25" s="28" t="str">
        <f>"565,0"</f>
        <v>565,0</v>
      </c>
      <c r="T25" s="28" t="str">
        <f>"335,5535"</f>
        <v>335,5535</v>
      </c>
      <c r="U25" s="26"/>
    </row>
    <row r="27" spans="1:21">
      <c r="G27" s="5"/>
    </row>
    <row r="29" spans="1:21" ht="18">
      <c r="B29" s="12" t="s">
        <v>33</v>
      </c>
      <c r="C29" s="12"/>
    </row>
    <row r="30" spans="1:21" ht="16">
      <c r="B30" s="10" t="s">
        <v>41</v>
      </c>
      <c r="C30" s="10"/>
    </row>
    <row r="31" spans="1:21" ht="14">
      <c r="B31" s="13"/>
      <c r="C31" s="14" t="s">
        <v>35</v>
      </c>
    </row>
    <row r="32" spans="1:21" ht="14">
      <c r="B32" s="15" t="s">
        <v>36</v>
      </c>
      <c r="C32" s="15" t="s">
        <v>37</v>
      </c>
      <c r="D32" s="15" t="s">
        <v>317</v>
      </c>
      <c r="E32" s="16" t="s">
        <v>38</v>
      </c>
      <c r="F32" s="15" t="s">
        <v>39</v>
      </c>
    </row>
    <row r="33" spans="2:7">
      <c r="B33" s="5" t="s">
        <v>83</v>
      </c>
      <c r="C33" s="5" t="s">
        <v>35</v>
      </c>
      <c r="D33" s="18" t="s">
        <v>116</v>
      </c>
      <c r="E33" s="19">
        <v>597.5</v>
      </c>
      <c r="F33" s="17">
        <v>363.757996410131</v>
      </c>
    </row>
    <row r="34" spans="2:7">
      <c r="B34" s="5" t="s">
        <v>96</v>
      </c>
      <c r="C34" s="5" t="s">
        <v>35</v>
      </c>
      <c r="D34" s="18" t="s">
        <v>116</v>
      </c>
      <c r="E34" s="19">
        <v>567.5</v>
      </c>
      <c r="F34" s="17">
        <v>358.37625324726099</v>
      </c>
    </row>
    <row r="35" spans="2:7">
      <c r="B35" s="5" t="s">
        <v>109</v>
      </c>
      <c r="C35" s="5" t="s">
        <v>35</v>
      </c>
      <c r="D35" s="18" t="s">
        <v>117</v>
      </c>
      <c r="E35" s="19">
        <v>590</v>
      </c>
      <c r="F35" s="17">
        <v>351.40400528907799</v>
      </c>
      <c r="G35" s="5"/>
    </row>
  </sheetData>
  <mergeCells count="18">
    <mergeCell ref="A9:R9"/>
    <mergeCell ref="A12:R12"/>
    <mergeCell ref="A16:R16"/>
    <mergeCell ref="A23:R23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96ED-A522-4120-8EC3-385E669316CB}">
  <sheetPr>
    <pageSetUpPr fitToPage="1"/>
  </sheetPr>
  <dimension ref="A1:M10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" style="5" customWidth="1"/>
    <col min="3" max="3" width="28.5" style="5" bestFit="1" customWidth="1"/>
    <col min="4" max="4" width="21.5" style="5" bestFit="1" customWidth="1"/>
    <col min="5" max="5" width="10.5" style="11" bestFit="1" customWidth="1"/>
    <col min="6" max="6" width="36" style="5" customWidth="1"/>
    <col min="7" max="9" width="4.5" style="18" customWidth="1"/>
    <col min="10" max="10" width="4.83203125" style="18" customWidth="1"/>
    <col min="11" max="11" width="10.5" style="6" bestFit="1" customWidth="1"/>
    <col min="12" max="12" width="7.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51" t="s">
        <v>327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349</v>
      </c>
      <c r="B3" s="66" t="s">
        <v>0</v>
      </c>
      <c r="C3" s="61" t="s">
        <v>350</v>
      </c>
      <c r="D3" s="61" t="s">
        <v>6</v>
      </c>
      <c r="E3" s="45" t="s">
        <v>351</v>
      </c>
      <c r="F3" s="63" t="s">
        <v>5</v>
      </c>
      <c r="G3" s="63" t="s">
        <v>360</v>
      </c>
      <c r="H3" s="63"/>
      <c r="I3" s="63"/>
      <c r="J3" s="63"/>
      <c r="K3" s="45" t="s">
        <v>150</v>
      </c>
      <c r="L3" s="45" t="s">
        <v>3</v>
      </c>
      <c r="M3" s="47" t="s">
        <v>2</v>
      </c>
    </row>
    <row r="4" spans="1:13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48"/>
    </row>
    <row r="5" spans="1:13" ht="16">
      <c r="A5" s="49" t="s">
        <v>22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33" t="s">
        <v>42</v>
      </c>
      <c r="B6" s="23" t="s">
        <v>246</v>
      </c>
      <c r="C6" s="23" t="s">
        <v>241</v>
      </c>
      <c r="D6" s="23" t="s">
        <v>313</v>
      </c>
      <c r="E6" s="24" t="s">
        <v>352</v>
      </c>
      <c r="F6" s="23" t="s">
        <v>345</v>
      </c>
      <c r="G6" s="32" t="s">
        <v>13</v>
      </c>
      <c r="H6" s="32" t="s">
        <v>14</v>
      </c>
      <c r="I6" s="34" t="s">
        <v>169</v>
      </c>
      <c r="J6" s="33"/>
      <c r="K6" s="25" t="str">
        <f>"70,0"</f>
        <v>70,0</v>
      </c>
      <c r="L6" s="25" t="str">
        <f>"47,1765"</f>
        <v>47,1765</v>
      </c>
      <c r="M6" s="23"/>
    </row>
    <row r="7" spans="1:13">
      <c r="A7" s="37" t="s">
        <v>119</v>
      </c>
      <c r="B7" s="26" t="s">
        <v>154</v>
      </c>
      <c r="C7" s="26" t="s">
        <v>140</v>
      </c>
      <c r="D7" s="26" t="s">
        <v>314</v>
      </c>
      <c r="E7" s="27" t="s">
        <v>352</v>
      </c>
      <c r="F7" s="26" t="s">
        <v>345</v>
      </c>
      <c r="G7" s="36" t="s">
        <v>293</v>
      </c>
      <c r="H7" s="36" t="s">
        <v>54</v>
      </c>
      <c r="I7" s="35" t="s">
        <v>13</v>
      </c>
      <c r="J7" s="37"/>
      <c r="K7" s="28" t="str">
        <f>"60,0"</f>
        <v>60,0</v>
      </c>
      <c r="L7" s="28" t="str">
        <f>"41,0490"</f>
        <v>41,0490</v>
      </c>
      <c r="M7" s="26"/>
    </row>
    <row r="9" spans="1:13" ht="16">
      <c r="A9" s="64" t="s">
        <v>66</v>
      </c>
      <c r="B9" s="64"/>
      <c r="C9" s="65"/>
      <c r="D9" s="65"/>
      <c r="E9" s="65"/>
      <c r="F9" s="65"/>
      <c r="G9" s="65"/>
      <c r="H9" s="65"/>
      <c r="I9" s="65"/>
      <c r="J9" s="65"/>
    </row>
    <row r="10" spans="1:13">
      <c r="A10" s="21" t="s">
        <v>42</v>
      </c>
      <c r="B10" s="7" t="s">
        <v>315</v>
      </c>
      <c r="C10" s="7" t="s">
        <v>343</v>
      </c>
      <c r="D10" s="7" t="s">
        <v>316</v>
      </c>
      <c r="E10" s="8" t="s">
        <v>358</v>
      </c>
      <c r="F10" s="7" t="s">
        <v>348</v>
      </c>
      <c r="G10" s="20" t="s">
        <v>14</v>
      </c>
      <c r="H10" s="20" t="s">
        <v>15</v>
      </c>
      <c r="I10" s="20" t="s">
        <v>29</v>
      </c>
      <c r="J10" s="21"/>
      <c r="K10" s="9" t="str">
        <f>"82,5"</f>
        <v>82,5</v>
      </c>
      <c r="L10" s="9" t="str">
        <f>"54,6546"</f>
        <v>54,6546</v>
      </c>
      <c r="M10" s="7"/>
    </row>
  </sheetData>
  <mergeCells count="13">
    <mergeCell ref="L3:L4"/>
    <mergeCell ref="M3:M4"/>
    <mergeCell ref="A5:J5"/>
    <mergeCell ref="A9:J9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2.33203125" style="5" customWidth="1"/>
    <col min="3" max="3" width="26.33203125" style="5" bestFit="1" customWidth="1"/>
    <col min="4" max="4" width="21.5" style="5" bestFit="1" customWidth="1"/>
    <col min="5" max="5" width="10.5" style="11" bestFit="1" customWidth="1"/>
    <col min="6" max="6" width="36.1640625" style="5" bestFit="1" customWidth="1"/>
    <col min="7" max="9" width="5.5" style="18" customWidth="1"/>
    <col min="10" max="10" width="4.83203125" style="18" customWidth="1"/>
    <col min="11" max="13" width="4.5" style="18" customWidth="1"/>
    <col min="14" max="14" width="4.83203125" style="18" customWidth="1"/>
    <col min="15" max="17" width="5.5" style="18" customWidth="1"/>
    <col min="18" max="18" width="4.83203125" style="18" customWidth="1"/>
    <col min="19" max="19" width="7.83203125" style="6" bestFit="1" customWidth="1"/>
    <col min="20" max="20" width="8.5" style="6" bestFit="1" customWidth="1"/>
    <col min="21" max="21" width="21.33203125" style="5" customWidth="1"/>
    <col min="22" max="16384" width="9.1640625" style="3"/>
  </cols>
  <sheetData>
    <row r="1" spans="1:21" s="2" customFormat="1" ht="29" customHeight="1">
      <c r="A1" s="51" t="s">
        <v>319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s="1" customFormat="1" ht="12.75" customHeight="1">
      <c r="A3" s="59" t="s">
        <v>349</v>
      </c>
      <c r="B3" s="66" t="s">
        <v>0</v>
      </c>
      <c r="C3" s="61" t="s">
        <v>350</v>
      </c>
      <c r="D3" s="61" t="s">
        <v>6</v>
      </c>
      <c r="E3" s="45" t="s">
        <v>351</v>
      </c>
      <c r="F3" s="63" t="s">
        <v>5</v>
      </c>
      <c r="G3" s="63" t="s">
        <v>7</v>
      </c>
      <c r="H3" s="63"/>
      <c r="I3" s="63"/>
      <c r="J3" s="63"/>
      <c r="K3" s="63" t="s">
        <v>8</v>
      </c>
      <c r="L3" s="63"/>
      <c r="M3" s="63"/>
      <c r="N3" s="63"/>
      <c r="O3" s="63" t="s">
        <v>9</v>
      </c>
      <c r="P3" s="63"/>
      <c r="Q3" s="63"/>
      <c r="R3" s="63"/>
      <c r="S3" s="45" t="s">
        <v>1</v>
      </c>
      <c r="T3" s="45" t="s">
        <v>3</v>
      </c>
      <c r="U3" s="47" t="s">
        <v>2</v>
      </c>
    </row>
    <row r="4" spans="1:21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6"/>
      <c r="T4" s="46"/>
      <c r="U4" s="48"/>
    </row>
    <row r="5" spans="1:21" ht="16">
      <c r="A5" s="49" t="s">
        <v>10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21">
      <c r="A6" s="21" t="s">
        <v>42</v>
      </c>
      <c r="B6" s="7" t="s">
        <v>43</v>
      </c>
      <c r="C6" s="7" t="s">
        <v>11</v>
      </c>
      <c r="D6" s="7" t="s">
        <v>12</v>
      </c>
      <c r="E6" s="8" t="s">
        <v>352</v>
      </c>
      <c r="F6" s="7" t="s">
        <v>346</v>
      </c>
      <c r="G6" s="20" t="s">
        <v>13</v>
      </c>
      <c r="H6" s="20" t="s">
        <v>14</v>
      </c>
      <c r="I6" s="20" t="s">
        <v>15</v>
      </c>
      <c r="J6" s="21"/>
      <c r="K6" s="22" t="s">
        <v>16</v>
      </c>
      <c r="L6" s="20" t="s">
        <v>17</v>
      </c>
      <c r="M6" s="20" t="s">
        <v>18</v>
      </c>
      <c r="N6" s="21"/>
      <c r="O6" s="20" t="s">
        <v>19</v>
      </c>
      <c r="P6" s="22" t="s">
        <v>20</v>
      </c>
      <c r="Q6" s="20" t="s">
        <v>21</v>
      </c>
      <c r="R6" s="21"/>
      <c r="S6" s="9" t="str">
        <f>"220,0"</f>
        <v>220,0</v>
      </c>
      <c r="T6" s="9" t="str">
        <f>"238,2820"</f>
        <v>238,2820</v>
      </c>
      <c r="U6" s="7" t="s">
        <v>344</v>
      </c>
    </row>
    <row r="8" spans="1:21" ht="16">
      <c r="A8" s="64" t="s">
        <v>22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21">
      <c r="A9" s="21" t="s">
        <v>42</v>
      </c>
      <c r="B9" s="7" t="s">
        <v>44</v>
      </c>
      <c r="C9" s="7" t="s">
        <v>23</v>
      </c>
      <c r="D9" s="7" t="s">
        <v>24</v>
      </c>
      <c r="E9" s="8" t="s">
        <v>352</v>
      </c>
      <c r="F9" s="7" t="s">
        <v>347</v>
      </c>
      <c r="G9" s="20" t="s">
        <v>25</v>
      </c>
      <c r="H9" s="20" t="s">
        <v>26</v>
      </c>
      <c r="I9" s="20" t="s">
        <v>27</v>
      </c>
      <c r="J9" s="21"/>
      <c r="K9" s="20" t="s">
        <v>28</v>
      </c>
      <c r="L9" s="20" t="s">
        <v>29</v>
      </c>
      <c r="M9" s="22" t="s">
        <v>19</v>
      </c>
      <c r="N9" s="21"/>
      <c r="O9" s="20" t="s">
        <v>30</v>
      </c>
      <c r="P9" s="20" t="s">
        <v>31</v>
      </c>
      <c r="Q9" s="20" t="s">
        <v>32</v>
      </c>
      <c r="R9" s="21"/>
      <c r="S9" s="9" t="str">
        <f>"357,5"</f>
        <v>357,5</v>
      </c>
      <c r="T9" s="9" t="str">
        <f>"250,4288"</f>
        <v>250,4288</v>
      </c>
      <c r="U9" s="7" t="s">
        <v>344</v>
      </c>
    </row>
  </sheetData>
  <mergeCells count="15">
    <mergeCell ref="A5:R5"/>
    <mergeCell ref="A8:R8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931AB-0EFF-4CA8-A2B9-C3400E0EB3D1}">
  <dimension ref="A1:Q31"/>
  <sheetViews>
    <sheetView workbookViewId="0">
      <selection activeCell="E30" sqref="E30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11" bestFit="1" customWidth="1"/>
    <col min="6" max="6" width="36.6640625" style="5" customWidth="1"/>
    <col min="7" max="9" width="5.5" style="18" customWidth="1"/>
    <col min="10" max="10" width="4.83203125" style="18" customWidth="1"/>
    <col min="11" max="13" width="5.5" style="18" customWidth="1"/>
    <col min="14" max="14" width="4.83203125" style="18" customWidth="1"/>
    <col min="15" max="15" width="7.83203125" style="6" bestFit="1" customWidth="1"/>
    <col min="16" max="16" width="8.5" style="6" bestFit="1" customWidth="1"/>
    <col min="17" max="17" width="21" style="5" customWidth="1"/>
    <col min="18" max="16384" width="9.1640625" style="3"/>
  </cols>
  <sheetData>
    <row r="1" spans="1:17" s="2" customFormat="1" ht="29" customHeight="1">
      <c r="A1" s="51" t="s">
        <v>320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</row>
    <row r="2" spans="1:17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s="1" customFormat="1" ht="12.75" customHeight="1">
      <c r="A3" s="59" t="s">
        <v>349</v>
      </c>
      <c r="B3" s="66" t="s">
        <v>0</v>
      </c>
      <c r="C3" s="61" t="s">
        <v>350</v>
      </c>
      <c r="D3" s="61" t="s">
        <v>6</v>
      </c>
      <c r="E3" s="45" t="s">
        <v>351</v>
      </c>
      <c r="F3" s="63" t="s">
        <v>5</v>
      </c>
      <c r="G3" s="63" t="s">
        <v>8</v>
      </c>
      <c r="H3" s="63"/>
      <c r="I3" s="63"/>
      <c r="J3" s="63"/>
      <c r="K3" s="63" t="s">
        <v>9</v>
      </c>
      <c r="L3" s="63"/>
      <c r="M3" s="63"/>
      <c r="N3" s="63"/>
      <c r="O3" s="45" t="s">
        <v>1</v>
      </c>
      <c r="P3" s="45" t="s">
        <v>3</v>
      </c>
      <c r="Q3" s="47" t="s">
        <v>2</v>
      </c>
    </row>
    <row r="4" spans="1:17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6"/>
      <c r="P4" s="46"/>
      <c r="Q4" s="48"/>
    </row>
    <row r="5" spans="1:17" ht="16">
      <c r="A5" s="49" t="s">
        <v>58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7">
      <c r="A6" s="21" t="s">
        <v>42</v>
      </c>
      <c r="B6" s="7" t="s">
        <v>121</v>
      </c>
      <c r="C6" s="7" t="s">
        <v>59</v>
      </c>
      <c r="D6" s="7" t="s">
        <v>60</v>
      </c>
      <c r="E6" s="8" t="s">
        <v>352</v>
      </c>
      <c r="F6" s="7" t="s">
        <v>345</v>
      </c>
      <c r="G6" s="20" t="s">
        <v>63</v>
      </c>
      <c r="H6" s="20" t="s">
        <v>64</v>
      </c>
      <c r="I6" s="20" t="s">
        <v>54</v>
      </c>
      <c r="J6" s="21"/>
      <c r="K6" s="20" t="s">
        <v>65</v>
      </c>
      <c r="L6" s="20" t="s">
        <v>27</v>
      </c>
      <c r="M6" s="20" t="s">
        <v>30</v>
      </c>
      <c r="N6" s="21"/>
      <c r="O6" s="9" t="str">
        <f>"190,0"</f>
        <v>190,0</v>
      </c>
      <c r="P6" s="9" t="str">
        <f>"216,3340"</f>
        <v>216,3340</v>
      </c>
      <c r="Q6" s="7" t="s">
        <v>344</v>
      </c>
    </row>
    <row r="8" spans="1:17" ht="16">
      <c r="A8" s="64" t="s">
        <v>10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7">
      <c r="A9" s="33" t="s">
        <v>42</v>
      </c>
      <c r="B9" s="23" t="s">
        <v>284</v>
      </c>
      <c r="C9" s="23" t="s">
        <v>277</v>
      </c>
      <c r="D9" s="23" t="s">
        <v>259</v>
      </c>
      <c r="E9" s="24" t="s">
        <v>352</v>
      </c>
      <c r="F9" s="23" t="s">
        <v>345</v>
      </c>
      <c r="G9" s="32" t="s">
        <v>21</v>
      </c>
      <c r="H9" s="34" t="s">
        <v>182</v>
      </c>
      <c r="I9" s="34" t="s">
        <v>182</v>
      </c>
      <c r="J9" s="33"/>
      <c r="K9" s="32" t="s">
        <v>81</v>
      </c>
      <c r="L9" s="34" t="s">
        <v>86</v>
      </c>
      <c r="M9" s="34" t="s">
        <v>86</v>
      </c>
      <c r="N9" s="33"/>
      <c r="O9" s="25" t="str">
        <f>"285,0"</f>
        <v>285,0</v>
      </c>
      <c r="P9" s="25" t="str">
        <f>"226,0620"</f>
        <v>226,0620</v>
      </c>
      <c r="Q9" s="23" t="s">
        <v>344</v>
      </c>
    </row>
    <row r="10" spans="1:17">
      <c r="A10" s="37" t="s">
        <v>119</v>
      </c>
      <c r="B10" s="26" t="s">
        <v>274</v>
      </c>
      <c r="C10" s="26" t="s">
        <v>260</v>
      </c>
      <c r="D10" s="26" t="s">
        <v>261</v>
      </c>
      <c r="E10" s="27" t="s">
        <v>352</v>
      </c>
      <c r="F10" s="26" t="s">
        <v>345</v>
      </c>
      <c r="G10" s="36" t="s">
        <v>15</v>
      </c>
      <c r="H10" s="36" t="s">
        <v>48</v>
      </c>
      <c r="I10" s="35" t="s">
        <v>19</v>
      </c>
      <c r="J10" s="37"/>
      <c r="K10" s="36" t="s">
        <v>77</v>
      </c>
      <c r="L10" s="35" t="s">
        <v>78</v>
      </c>
      <c r="M10" s="35" t="s">
        <v>78</v>
      </c>
      <c r="N10" s="37"/>
      <c r="O10" s="28" t="str">
        <f>"240,0"</f>
        <v>240,0</v>
      </c>
      <c r="P10" s="28" t="str">
        <f>"195,7200"</f>
        <v>195,7200</v>
      </c>
      <c r="Q10" s="26" t="s">
        <v>344</v>
      </c>
    </row>
    <row r="12" spans="1:17" ht="16">
      <c r="A12" s="64" t="s">
        <v>170</v>
      </c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7">
      <c r="A13" s="21" t="s">
        <v>42</v>
      </c>
      <c r="B13" s="7" t="s">
        <v>285</v>
      </c>
      <c r="C13" s="7" t="s">
        <v>278</v>
      </c>
      <c r="D13" s="7" t="s">
        <v>279</v>
      </c>
      <c r="E13" s="8" t="s">
        <v>354</v>
      </c>
      <c r="F13" s="7" t="s">
        <v>345</v>
      </c>
      <c r="G13" s="20" t="s">
        <v>29</v>
      </c>
      <c r="H13" s="20" t="s">
        <v>19</v>
      </c>
      <c r="I13" s="20" t="s">
        <v>61</v>
      </c>
      <c r="J13" s="21"/>
      <c r="K13" s="20" t="s">
        <v>79</v>
      </c>
      <c r="L13" s="20" t="s">
        <v>267</v>
      </c>
      <c r="M13" s="20" t="s">
        <v>89</v>
      </c>
      <c r="N13" s="21"/>
      <c r="O13" s="9" t="str">
        <f>"245,0"</f>
        <v>245,0</v>
      </c>
      <c r="P13" s="9" t="str">
        <f>"181,6430"</f>
        <v>181,6430</v>
      </c>
      <c r="Q13" s="7" t="s">
        <v>344</v>
      </c>
    </row>
    <row r="15" spans="1:17" ht="16">
      <c r="A15" s="64" t="s">
        <v>22</v>
      </c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</row>
    <row r="16" spans="1:17">
      <c r="A16" s="33" t="s">
        <v>42</v>
      </c>
      <c r="B16" s="23" t="s">
        <v>276</v>
      </c>
      <c r="C16" s="23" t="s">
        <v>264</v>
      </c>
      <c r="D16" s="23" t="s">
        <v>265</v>
      </c>
      <c r="E16" s="24" t="s">
        <v>352</v>
      </c>
      <c r="F16" s="23" t="s">
        <v>345</v>
      </c>
      <c r="G16" s="32" t="s">
        <v>185</v>
      </c>
      <c r="H16" s="32" t="s">
        <v>266</v>
      </c>
      <c r="I16" s="34" t="s">
        <v>267</v>
      </c>
      <c r="J16" s="33"/>
      <c r="K16" s="32" t="s">
        <v>268</v>
      </c>
      <c r="L16" s="32" t="s">
        <v>112</v>
      </c>
      <c r="M16" s="34" t="s">
        <v>91</v>
      </c>
      <c r="N16" s="33"/>
      <c r="O16" s="25" t="str">
        <f>"370,0"</f>
        <v>370,0</v>
      </c>
      <c r="P16" s="25" t="str">
        <f>"248,7880"</f>
        <v>248,7880</v>
      </c>
      <c r="Q16" s="23" t="s">
        <v>344</v>
      </c>
    </row>
    <row r="17" spans="1:17">
      <c r="A17" s="37" t="s">
        <v>119</v>
      </c>
      <c r="B17" s="26" t="s">
        <v>286</v>
      </c>
      <c r="C17" s="26" t="s">
        <v>280</v>
      </c>
      <c r="D17" s="26" t="s">
        <v>281</v>
      </c>
      <c r="E17" s="27" t="s">
        <v>352</v>
      </c>
      <c r="F17" s="26" t="s">
        <v>345</v>
      </c>
      <c r="G17" s="36" t="s">
        <v>21</v>
      </c>
      <c r="H17" s="36" t="s">
        <v>105</v>
      </c>
      <c r="I17" s="36" t="s">
        <v>25</v>
      </c>
      <c r="J17" s="37"/>
      <c r="K17" s="36" t="s">
        <v>77</v>
      </c>
      <c r="L17" s="36" t="s">
        <v>70</v>
      </c>
      <c r="M17" s="35" t="s">
        <v>94</v>
      </c>
      <c r="N17" s="37"/>
      <c r="O17" s="28" t="str">
        <f>"290,0"</f>
        <v>290,0</v>
      </c>
      <c r="P17" s="28" t="str">
        <f>"194,2710"</f>
        <v>194,2710</v>
      </c>
      <c r="Q17" s="26" t="s">
        <v>344</v>
      </c>
    </row>
    <row r="19" spans="1:17" ht="16">
      <c r="A19" s="64" t="s">
        <v>82</v>
      </c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1:17">
      <c r="A20" s="33" t="s">
        <v>42</v>
      </c>
      <c r="B20" s="23" t="s">
        <v>124</v>
      </c>
      <c r="C20" s="23" t="s">
        <v>84</v>
      </c>
      <c r="D20" s="23" t="s">
        <v>85</v>
      </c>
      <c r="E20" s="24" t="s">
        <v>352</v>
      </c>
      <c r="F20" s="23" t="s">
        <v>345</v>
      </c>
      <c r="G20" s="32" t="s">
        <v>32</v>
      </c>
      <c r="H20" s="32" t="s">
        <v>88</v>
      </c>
      <c r="I20" s="34" t="s">
        <v>89</v>
      </c>
      <c r="J20" s="33"/>
      <c r="K20" s="32" t="s">
        <v>74</v>
      </c>
      <c r="L20" s="32" t="s">
        <v>90</v>
      </c>
      <c r="M20" s="34" t="s">
        <v>91</v>
      </c>
      <c r="N20" s="33"/>
      <c r="O20" s="25" t="str">
        <f>"385,0"</f>
        <v>385,0</v>
      </c>
      <c r="P20" s="25" t="str">
        <f>"234,3880"</f>
        <v>234,3880</v>
      </c>
      <c r="Q20" s="23" t="s">
        <v>344</v>
      </c>
    </row>
    <row r="21" spans="1:17">
      <c r="A21" s="39" t="s">
        <v>119</v>
      </c>
      <c r="B21" s="29" t="s">
        <v>127</v>
      </c>
      <c r="C21" s="29" t="s">
        <v>97</v>
      </c>
      <c r="D21" s="29" t="s">
        <v>98</v>
      </c>
      <c r="E21" s="30" t="s">
        <v>352</v>
      </c>
      <c r="F21" s="29" t="s">
        <v>346</v>
      </c>
      <c r="G21" s="38" t="s">
        <v>30</v>
      </c>
      <c r="H21" s="38" t="s">
        <v>31</v>
      </c>
      <c r="I21" s="38" t="s">
        <v>99</v>
      </c>
      <c r="J21" s="39"/>
      <c r="K21" s="38" t="s">
        <v>74</v>
      </c>
      <c r="L21" s="38" t="s">
        <v>90</v>
      </c>
      <c r="M21" s="40" t="s">
        <v>100</v>
      </c>
      <c r="N21" s="39"/>
      <c r="O21" s="31" t="str">
        <f>"377,5"</f>
        <v>377,5</v>
      </c>
      <c r="P21" s="31" t="str">
        <f>"238,3913"</f>
        <v>238,3913</v>
      </c>
      <c r="Q21" s="29" t="s">
        <v>344</v>
      </c>
    </row>
    <row r="22" spans="1:17">
      <c r="A22" s="39" t="s">
        <v>126</v>
      </c>
      <c r="B22" s="29" t="s">
        <v>125</v>
      </c>
      <c r="C22" s="29" t="s">
        <v>92</v>
      </c>
      <c r="D22" s="29" t="s">
        <v>93</v>
      </c>
      <c r="E22" s="30" t="s">
        <v>352</v>
      </c>
      <c r="F22" s="29" t="s">
        <v>345</v>
      </c>
      <c r="G22" s="38" t="s">
        <v>79</v>
      </c>
      <c r="H22" s="38" t="s">
        <v>32</v>
      </c>
      <c r="I22" s="38" t="s">
        <v>88</v>
      </c>
      <c r="J22" s="39"/>
      <c r="K22" s="38" t="s">
        <v>74</v>
      </c>
      <c r="L22" s="40" t="s">
        <v>90</v>
      </c>
      <c r="M22" s="40" t="s">
        <v>90</v>
      </c>
      <c r="N22" s="39"/>
      <c r="O22" s="31" t="str">
        <f>"375,0"</f>
        <v>375,0</v>
      </c>
      <c r="P22" s="31" t="str">
        <f>"228,4875"</f>
        <v>228,4875</v>
      </c>
      <c r="Q22" s="29" t="s">
        <v>344</v>
      </c>
    </row>
    <row r="23" spans="1:17">
      <c r="A23" s="37" t="s">
        <v>42</v>
      </c>
      <c r="B23" s="26" t="s">
        <v>125</v>
      </c>
      <c r="C23" s="26" t="s">
        <v>328</v>
      </c>
      <c r="D23" s="26" t="s">
        <v>93</v>
      </c>
      <c r="E23" s="27" t="s">
        <v>353</v>
      </c>
      <c r="F23" s="26" t="s">
        <v>345</v>
      </c>
      <c r="G23" s="36" t="s">
        <v>79</v>
      </c>
      <c r="H23" s="36" t="s">
        <v>32</v>
      </c>
      <c r="I23" s="36" t="s">
        <v>88</v>
      </c>
      <c r="J23" s="37"/>
      <c r="K23" s="36" t="s">
        <v>74</v>
      </c>
      <c r="L23" s="35" t="s">
        <v>90</v>
      </c>
      <c r="M23" s="35" t="s">
        <v>90</v>
      </c>
      <c r="N23" s="37"/>
      <c r="O23" s="28" t="str">
        <f>"375,0"</f>
        <v>375,0</v>
      </c>
      <c r="P23" s="28" t="str">
        <f>"242,1968"</f>
        <v>242,1968</v>
      </c>
      <c r="Q23" s="26" t="s">
        <v>344</v>
      </c>
    </row>
    <row r="25" spans="1:17" ht="16">
      <c r="A25" s="64" t="s">
        <v>108</v>
      </c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7">
      <c r="A26" s="21" t="s">
        <v>42</v>
      </c>
      <c r="B26" s="7" t="s">
        <v>231</v>
      </c>
      <c r="C26" s="7" t="s">
        <v>199</v>
      </c>
      <c r="D26" s="7" t="s">
        <v>200</v>
      </c>
      <c r="E26" s="8" t="s">
        <v>352</v>
      </c>
      <c r="F26" s="7" t="s">
        <v>345</v>
      </c>
      <c r="G26" s="20" t="s">
        <v>81</v>
      </c>
      <c r="H26" s="22" t="s">
        <v>86</v>
      </c>
      <c r="I26" s="22" t="s">
        <v>145</v>
      </c>
      <c r="J26" s="21"/>
      <c r="K26" s="20" t="s">
        <v>201</v>
      </c>
      <c r="L26" s="20" t="s">
        <v>202</v>
      </c>
      <c r="M26" s="20" t="s">
        <v>203</v>
      </c>
      <c r="N26" s="21"/>
      <c r="O26" s="9" t="str">
        <f>"485,0"</f>
        <v>485,0</v>
      </c>
      <c r="P26" s="9" t="str">
        <f>"285,5195"</f>
        <v>285,5195</v>
      </c>
      <c r="Q26" s="7" t="s">
        <v>344</v>
      </c>
    </row>
    <row r="28" spans="1:17" ht="16">
      <c r="A28" s="64" t="s">
        <v>146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7">
      <c r="A29" s="21" t="s">
        <v>42</v>
      </c>
      <c r="B29" s="7" t="s">
        <v>287</v>
      </c>
      <c r="C29" s="7" t="s">
        <v>282</v>
      </c>
      <c r="D29" s="7" t="s">
        <v>283</v>
      </c>
      <c r="E29" s="8" t="s">
        <v>352</v>
      </c>
      <c r="F29" s="7" t="s">
        <v>345</v>
      </c>
      <c r="G29" s="20" t="s">
        <v>26</v>
      </c>
      <c r="H29" s="20" t="s">
        <v>30</v>
      </c>
      <c r="I29" s="20" t="s">
        <v>176</v>
      </c>
      <c r="J29" s="21"/>
      <c r="K29" s="20" t="s">
        <v>81</v>
      </c>
      <c r="L29" s="20" t="s">
        <v>95</v>
      </c>
      <c r="M29" s="20" t="s">
        <v>72</v>
      </c>
      <c r="N29" s="21"/>
      <c r="O29" s="9" t="str">
        <f>"340,0"</f>
        <v>340,0</v>
      </c>
      <c r="P29" s="9" t="str">
        <f>"197,7100"</f>
        <v>197,7100</v>
      </c>
      <c r="Q29" s="7" t="s">
        <v>344</v>
      </c>
    </row>
    <row r="31" spans="1:17">
      <c r="E31" s="5"/>
      <c r="F31" s="11"/>
      <c r="G31" s="5"/>
    </row>
  </sheetData>
  <mergeCells count="19">
    <mergeCell ref="A28:N28"/>
    <mergeCell ref="O3:O4"/>
    <mergeCell ref="P3:P4"/>
    <mergeCell ref="Q3:Q4"/>
    <mergeCell ref="A5:N5"/>
    <mergeCell ref="B3:B4"/>
    <mergeCell ref="A8:N8"/>
    <mergeCell ref="A12:N12"/>
    <mergeCell ref="A15:N15"/>
    <mergeCell ref="A19:N19"/>
    <mergeCell ref="A25:N2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CF595-7464-431C-A539-1AE04467257A}"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33203125" style="5" customWidth="1"/>
    <col min="3" max="3" width="26.33203125" style="5" bestFit="1" customWidth="1"/>
    <col min="4" max="4" width="21.5" style="5" bestFit="1" customWidth="1"/>
    <col min="5" max="5" width="10.5" style="11" bestFit="1" customWidth="1"/>
    <col min="6" max="6" width="33.33203125" style="5" bestFit="1" customWidth="1"/>
    <col min="7" max="9" width="5.5" style="18" customWidth="1"/>
    <col min="10" max="10" width="4.83203125" style="18" customWidth="1"/>
    <col min="11" max="13" width="5.5" style="18" customWidth="1"/>
    <col min="14" max="14" width="4.83203125" style="18" customWidth="1"/>
    <col min="15" max="15" width="7.83203125" style="6" bestFit="1" customWidth="1"/>
    <col min="16" max="16" width="8.5" style="6" bestFit="1" customWidth="1"/>
    <col min="17" max="17" width="22.83203125" style="5" customWidth="1"/>
    <col min="18" max="16384" width="9.1640625" style="3"/>
  </cols>
  <sheetData>
    <row r="1" spans="1:17" s="2" customFormat="1" ht="29" customHeight="1">
      <c r="A1" s="51" t="s">
        <v>321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</row>
    <row r="2" spans="1:17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s="1" customFormat="1" ht="12.75" customHeight="1">
      <c r="A3" s="59" t="s">
        <v>349</v>
      </c>
      <c r="B3" s="66" t="s">
        <v>0</v>
      </c>
      <c r="C3" s="61" t="s">
        <v>350</v>
      </c>
      <c r="D3" s="61" t="s">
        <v>6</v>
      </c>
      <c r="E3" s="45" t="s">
        <v>351</v>
      </c>
      <c r="F3" s="63" t="s">
        <v>5</v>
      </c>
      <c r="G3" s="63" t="s">
        <v>8</v>
      </c>
      <c r="H3" s="63"/>
      <c r="I3" s="63"/>
      <c r="J3" s="63"/>
      <c r="K3" s="63" t="s">
        <v>9</v>
      </c>
      <c r="L3" s="63"/>
      <c r="M3" s="63"/>
      <c r="N3" s="63"/>
      <c r="O3" s="45" t="s">
        <v>1</v>
      </c>
      <c r="P3" s="45" t="s">
        <v>3</v>
      </c>
      <c r="Q3" s="47" t="s">
        <v>2</v>
      </c>
    </row>
    <row r="4" spans="1:17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6"/>
      <c r="P4" s="46"/>
      <c r="Q4" s="48"/>
    </row>
    <row r="5" spans="1:17" ht="16">
      <c r="A5" s="49" t="s">
        <v>22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7">
      <c r="A6" s="21" t="s">
        <v>42</v>
      </c>
      <c r="B6" s="7" t="s">
        <v>246</v>
      </c>
      <c r="C6" s="7" t="s">
        <v>241</v>
      </c>
      <c r="D6" s="7" t="s">
        <v>242</v>
      </c>
      <c r="E6" s="8" t="s">
        <v>352</v>
      </c>
      <c r="F6" s="7" t="s">
        <v>345</v>
      </c>
      <c r="G6" s="20" t="s">
        <v>26</v>
      </c>
      <c r="H6" s="20" t="s">
        <v>27</v>
      </c>
      <c r="I6" s="22" t="s">
        <v>30</v>
      </c>
      <c r="J6" s="21"/>
      <c r="K6" s="20" t="s">
        <v>95</v>
      </c>
      <c r="L6" s="20" t="s">
        <v>74</v>
      </c>
      <c r="M6" s="22" t="s">
        <v>90</v>
      </c>
      <c r="N6" s="21"/>
      <c r="O6" s="9" t="str">
        <f>"345,0"</f>
        <v>345,0</v>
      </c>
      <c r="P6" s="9" t="str">
        <f>"240,8445"</f>
        <v>240,8445</v>
      </c>
      <c r="Q6" s="7" t="s">
        <v>344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E44C5-3414-4C52-BF85-3FC65D0A1DA9}">
  <dimension ref="A1:M56"/>
  <sheetViews>
    <sheetView topLeftCell="A21" workbookViewId="0">
      <selection activeCell="E47" sqref="E47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8.5" style="5" bestFit="1" customWidth="1"/>
    <col min="4" max="4" width="21.5" style="5" bestFit="1" customWidth="1"/>
    <col min="5" max="5" width="10.5" style="11" bestFit="1" customWidth="1"/>
    <col min="6" max="6" width="36.5" style="5" customWidth="1"/>
    <col min="7" max="9" width="5.5" style="18" customWidth="1"/>
    <col min="10" max="10" width="4.83203125" style="18" customWidth="1"/>
    <col min="11" max="11" width="10.5" style="19" bestFit="1" customWidth="1"/>
    <col min="12" max="12" width="8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51" t="s">
        <v>322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349</v>
      </c>
      <c r="B3" s="66" t="s">
        <v>0</v>
      </c>
      <c r="C3" s="61" t="s">
        <v>350</v>
      </c>
      <c r="D3" s="61" t="s">
        <v>6</v>
      </c>
      <c r="E3" s="45" t="s">
        <v>351</v>
      </c>
      <c r="F3" s="63" t="s">
        <v>5</v>
      </c>
      <c r="G3" s="63" t="s">
        <v>8</v>
      </c>
      <c r="H3" s="63"/>
      <c r="I3" s="63"/>
      <c r="J3" s="63"/>
      <c r="K3" s="68" t="s">
        <v>150</v>
      </c>
      <c r="L3" s="45" t="s">
        <v>3</v>
      </c>
      <c r="M3" s="47" t="s">
        <v>2</v>
      </c>
    </row>
    <row r="4" spans="1:13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69"/>
      <c r="L4" s="46"/>
      <c r="M4" s="48"/>
    </row>
    <row r="5" spans="1:13" ht="16">
      <c r="A5" s="49" t="s">
        <v>157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33" t="s">
        <v>42</v>
      </c>
      <c r="B6" s="23" t="s">
        <v>214</v>
      </c>
      <c r="C6" s="23" t="s">
        <v>158</v>
      </c>
      <c r="D6" s="23" t="s">
        <v>159</v>
      </c>
      <c r="E6" s="24" t="s">
        <v>352</v>
      </c>
      <c r="F6" s="23" t="s">
        <v>345</v>
      </c>
      <c r="G6" s="32" t="s">
        <v>64</v>
      </c>
      <c r="H6" s="32" t="s">
        <v>54</v>
      </c>
      <c r="I6" s="32" t="s">
        <v>160</v>
      </c>
      <c r="J6" s="33"/>
      <c r="K6" s="41" t="str">
        <f>"62,5"</f>
        <v>62,5</v>
      </c>
      <c r="L6" s="25" t="str">
        <f>"73,9500"</f>
        <v>73,9500</v>
      </c>
      <c r="M6" s="23"/>
    </row>
    <row r="7" spans="1:13">
      <c r="A7" s="37" t="s">
        <v>215</v>
      </c>
      <c r="B7" s="26" t="s">
        <v>216</v>
      </c>
      <c r="C7" s="26" t="s">
        <v>161</v>
      </c>
      <c r="D7" s="26" t="s">
        <v>162</v>
      </c>
      <c r="E7" s="27" t="s">
        <v>352</v>
      </c>
      <c r="F7" s="26" t="s">
        <v>345</v>
      </c>
      <c r="G7" s="35" t="s">
        <v>54</v>
      </c>
      <c r="H7" s="35" t="s">
        <v>54</v>
      </c>
      <c r="I7" s="35" t="s">
        <v>54</v>
      </c>
      <c r="J7" s="37"/>
      <c r="K7" s="42">
        <v>0</v>
      </c>
      <c r="L7" s="28" t="str">
        <f>"0,0000"</f>
        <v>0,0000</v>
      </c>
      <c r="M7" s="26" t="s">
        <v>344</v>
      </c>
    </row>
    <row r="9" spans="1:13" ht="16">
      <c r="A9" s="64" t="s">
        <v>58</v>
      </c>
      <c r="B9" s="64"/>
      <c r="C9" s="65"/>
      <c r="D9" s="65"/>
      <c r="E9" s="65"/>
      <c r="F9" s="65"/>
      <c r="G9" s="65"/>
      <c r="H9" s="65"/>
      <c r="I9" s="65"/>
      <c r="J9" s="65"/>
    </row>
    <row r="10" spans="1:13">
      <c r="A10" s="21" t="s">
        <v>42</v>
      </c>
      <c r="B10" s="7" t="s">
        <v>217</v>
      </c>
      <c r="C10" s="7" t="s">
        <v>329</v>
      </c>
      <c r="D10" s="7" t="s">
        <v>163</v>
      </c>
      <c r="E10" s="8" t="s">
        <v>355</v>
      </c>
      <c r="F10" s="7" t="s">
        <v>345</v>
      </c>
      <c r="G10" s="20" t="s">
        <v>50</v>
      </c>
      <c r="H10" s="20" t="s">
        <v>164</v>
      </c>
      <c r="I10" s="22" t="s">
        <v>63</v>
      </c>
      <c r="J10" s="21"/>
      <c r="K10" s="43" t="str">
        <f>"50,0"</f>
        <v>50,0</v>
      </c>
      <c r="L10" s="9" t="str">
        <f>"71,4217"</f>
        <v>71,4217</v>
      </c>
      <c r="M10" s="7" t="s">
        <v>344</v>
      </c>
    </row>
    <row r="12" spans="1:13" ht="16">
      <c r="A12" s="64" t="s">
        <v>22</v>
      </c>
      <c r="B12" s="64"/>
      <c r="C12" s="65"/>
      <c r="D12" s="65"/>
      <c r="E12" s="65"/>
      <c r="F12" s="65"/>
      <c r="G12" s="65"/>
      <c r="H12" s="65"/>
      <c r="I12" s="65"/>
      <c r="J12" s="65"/>
    </row>
    <row r="13" spans="1:13">
      <c r="A13" s="21" t="s">
        <v>42</v>
      </c>
      <c r="B13" s="7" t="s">
        <v>218</v>
      </c>
      <c r="C13" s="7" t="s">
        <v>165</v>
      </c>
      <c r="D13" s="7" t="s">
        <v>166</v>
      </c>
      <c r="E13" s="8" t="s">
        <v>352</v>
      </c>
      <c r="F13" s="7" t="s">
        <v>345</v>
      </c>
      <c r="G13" s="20" t="s">
        <v>50</v>
      </c>
      <c r="H13" s="20" t="s">
        <v>164</v>
      </c>
      <c r="I13" s="20" t="s">
        <v>63</v>
      </c>
      <c r="J13" s="21"/>
      <c r="K13" s="43" t="str">
        <f>"52,5"</f>
        <v>52,5</v>
      </c>
      <c r="L13" s="9" t="str">
        <f>"47,6175"</f>
        <v>47,6175</v>
      </c>
      <c r="M13" s="7" t="s">
        <v>344</v>
      </c>
    </row>
    <row r="15" spans="1:13" ht="16">
      <c r="A15" s="64" t="s">
        <v>10</v>
      </c>
      <c r="B15" s="64"/>
      <c r="C15" s="65"/>
      <c r="D15" s="65"/>
      <c r="E15" s="65"/>
      <c r="F15" s="65"/>
      <c r="G15" s="65"/>
      <c r="H15" s="65"/>
      <c r="I15" s="65"/>
      <c r="J15" s="65"/>
    </row>
    <row r="16" spans="1:13">
      <c r="A16" s="21" t="s">
        <v>42</v>
      </c>
      <c r="B16" s="7" t="s">
        <v>219</v>
      </c>
      <c r="C16" s="7" t="s">
        <v>167</v>
      </c>
      <c r="D16" s="7" t="s">
        <v>168</v>
      </c>
      <c r="E16" s="8" t="s">
        <v>354</v>
      </c>
      <c r="F16" s="7" t="s">
        <v>345</v>
      </c>
      <c r="G16" s="20" t="s">
        <v>55</v>
      </c>
      <c r="H16" s="20" t="s">
        <v>14</v>
      </c>
      <c r="I16" s="20" t="s">
        <v>169</v>
      </c>
      <c r="J16" s="21"/>
      <c r="K16" s="43" t="str">
        <f>"72,5"</f>
        <v>72,5</v>
      </c>
      <c r="L16" s="9" t="str">
        <f>"60,8275"</f>
        <v>60,8275</v>
      </c>
      <c r="M16" s="7" t="s">
        <v>344</v>
      </c>
    </row>
    <row r="18" spans="1:13" ht="16">
      <c r="A18" s="64" t="s">
        <v>170</v>
      </c>
      <c r="B18" s="64"/>
      <c r="C18" s="65"/>
      <c r="D18" s="65"/>
      <c r="E18" s="65"/>
      <c r="F18" s="65"/>
      <c r="G18" s="65"/>
      <c r="H18" s="65"/>
      <c r="I18" s="65"/>
      <c r="J18" s="65"/>
    </row>
    <row r="19" spans="1:13">
      <c r="A19" s="33" t="s">
        <v>42</v>
      </c>
      <c r="B19" s="23" t="s">
        <v>220</v>
      </c>
      <c r="C19" s="23" t="s">
        <v>171</v>
      </c>
      <c r="D19" s="23" t="s">
        <v>172</v>
      </c>
      <c r="E19" s="24" t="s">
        <v>354</v>
      </c>
      <c r="F19" s="23" t="s">
        <v>345</v>
      </c>
      <c r="G19" s="32" t="s">
        <v>105</v>
      </c>
      <c r="H19" s="32" t="s">
        <v>65</v>
      </c>
      <c r="I19" s="34" t="s">
        <v>26</v>
      </c>
      <c r="J19" s="33"/>
      <c r="K19" s="41" t="str">
        <f>"117,5"</f>
        <v>117,5</v>
      </c>
      <c r="L19" s="25" t="str">
        <f>"84,2827"</f>
        <v>84,2827</v>
      </c>
      <c r="M19" s="23" t="s">
        <v>344</v>
      </c>
    </row>
    <row r="20" spans="1:13">
      <c r="A20" s="39" t="s">
        <v>42</v>
      </c>
      <c r="B20" s="29" t="s">
        <v>221</v>
      </c>
      <c r="C20" s="29" t="s">
        <v>174</v>
      </c>
      <c r="D20" s="29" t="s">
        <v>175</v>
      </c>
      <c r="E20" s="30" t="s">
        <v>352</v>
      </c>
      <c r="F20" s="29" t="s">
        <v>345</v>
      </c>
      <c r="G20" s="38" t="s">
        <v>27</v>
      </c>
      <c r="H20" s="38" t="s">
        <v>176</v>
      </c>
      <c r="I20" s="40" t="s">
        <v>31</v>
      </c>
      <c r="J20" s="39"/>
      <c r="K20" s="44" t="str">
        <f>"135,0"</f>
        <v>135,0</v>
      </c>
      <c r="L20" s="31" t="str">
        <f>"97,3890"</f>
        <v>97,3890</v>
      </c>
      <c r="M20" s="29" t="s">
        <v>344</v>
      </c>
    </row>
    <row r="21" spans="1:13">
      <c r="A21" s="39" t="s">
        <v>119</v>
      </c>
      <c r="B21" s="29" t="s">
        <v>222</v>
      </c>
      <c r="C21" s="29" t="s">
        <v>177</v>
      </c>
      <c r="D21" s="29" t="s">
        <v>178</v>
      </c>
      <c r="E21" s="30" t="s">
        <v>352</v>
      </c>
      <c r="F21" s="29" t="s">
        <v>345</v>
      </c>
      <c r="G21" s="38" t="s">
        <v>25</v>
      </c>
      <c r="H21" s="40" t="s">
        <v>65</v>
      </c>
      <c r="I21" s="40" t="s">
        <v>65</v>
      </c>
      <c r="J21" s="39"/>
      <c r="K21" s="44" t="str">
        <f>"115,0"</f>
        <v>115,0</v>
      </c>
      <c r="L21" s="31" t="str">
        <f>"84,2950"</f>
        <v>84,2950</v>
      </c>
      <c r="M21" s="29" t="s">
        <v>344</v>
      </c>
    </row>
    <row r="22" spans="1:13">
      <c r="A22" s="37" t="s">
        <v>42</v>
      </c>
      <c r="B22" s="26" t="s">
        <v>223</v>
      </c>
      <c r="C22" s="26" t="s">
        <v>330</v>
      </c>
      <c r="D22" s="26" t="s">
        <v>179</v>
      </c>
      <c r="E22" s="27" t="s">
        <v>356</v>
      </c>
      <c r="F22" s="26" t="s">
        <v>345</v>
      </c>
      <c r="G22" s="36" t="s">
        <v>105</v>
      </c>
      <c r="H22" s="35" t="s">
        <v>25</v>
      </c>
      <c r="I22" s="36" t="s">
        <v>25</v>
      </c>
      <c r="J22" s="37"/>
      <c r="K22" s="42" t="str">
        <f>"115,0"</f>
        <v>115,0</v>
      </c>
      <c r="L22" s="28" t="str">
        <f>"115,7589"</f>
        <v>115,7589</v>
      </c>
      <c r="M22" s="26"/>
    </row>
    <row r="24" spans="1:13" ht="16">
      <c r="A24" s="64" t="s">
        <v>66</v>
      </c>
      <c r="B24" s="64"/>
      <c r="C24" s="65"/>
      <c r="D24" s="65"/>
      <c r="E24" s="65"/>
      <c r="F24" s="65"/>
      <c r="G24" s="65"/>
      <c r="H24" s="65"/>
      <c r="I24" s="65"/>
      <c r="J24" s="65"/>
    </row>
    <row r="25" spans="1:13">
      <c r="A25" s="33" t="s">
        <v>42</v>
      </c>
      <c r="B25" s="23" t="s">
        <v>224</v>
      </c>
      <c r="C25" s="23" t="s">
        <v>180</v>
      </c>
      <c r="D25" s="23" t="s">
        <v>181</v>
      </c>
      <c r="E25" s="24" t="s">
        <v>354</v>
      </c>
      <c r="F25" s="23" t="s">
        <v>345</v>
      </c>
      <c r="G25" s="32" t="s">
        <v>21</v>
      </c>
      <c r="H25" s="32" t="s">
        <v>182</v>
      </c>
      <c r="I25" s="32" t="s">
        <v>105</v>
      </c>
      <c r="J25" s="33"/>
      <c r="K25" s="41" t="str">
        <f>"110,0"</f>
        <v>110,0</v>
      </c>
      <c r="L25" s="25" t="str">
        <f>"70,9610"</f>
        <v>70,9610</v>
      </c>
      <c r="M25" s="23" t="s">
        <v>344</v>
      </c>
    </row>
    <row r="26" spans="1:13">
      <c r="A26" s="39" t="s">
        <v>42</v>
      </c>
      <c r="B26" s="29" t="s">
        <v>123</v>
      </c>
      <c r="C26" s="29" t="s">
        <v>75</v>
      </c>
      <c r="D26" s="29" t="s">
        <v>76</v>
      </c>
      <c r="E26" s="30" t="s">
        <v>352</v>
      </c>
      <c r="F26" s="29" t="s">
        <v>345</v>
      </c>
      <c r="G26" s="38" t="s">
        <v>79</v>
      </c>
      <c r="H26" s="40" t="s">
        <v>32</v>
      </c>
      <c r="I26" s="38" t="s">
        <v>32</v>
      </c>
      <c r="J26" s="39"/>
      <c r="K26" s="44" t="str">
        <f>"150,0"</f>
        <v>150,0</v>
      </c>
      <c r="L26" s="31" t="str">
        <f>"96,3150"</f>
        <v>96,3150</v>
      </c>
      <c r="M26" s="29" t="s">
        <v>344</v>
      </c>
    </row>
    <row r="27" spans="1:13">
      <c r="A27" s="39" t="s">
        <v>119</v>
      </c>
      <c r="B27" s="29" t="s">
        <v>225</v>
      </c>
      <c r="C27" s="29" t="s">
        <v>183</v>
      </c>
      <c r="D27" s="29" t="s">
        <v>184</v>
      </c>
      <c r="E27" s="30" t="s">
        <v>352</v>
      </c>
      <c r="F27" s="29" t="s">
        <v>345</v>
      </c>
      <c r="G27" s="38" t="s">
        <v>185</v>
      </c>
      <c r="H27" s="40" t="s">
        <v>186</v>
      </c>
      <c r="I27" s="40" t="s">
        <v>186</v>
      </c>
      <c r="J27" s="39"/>
      <c r="K27" s="44" t="str">
        <f>"132,5"</f>
        <v>132,5</v>
      </c>
      <c r="L27" s="31" t="str">
        <f>"85,7407"</f>
        <v>85,7407</v>
      </c>
      <c r="M27" s="29" t="s">
        <v>344</v>
      </c>
    </row>
    <row r="28" spans="1:13">
      <c r="A28" s="37" t="s">
        <v>42</v>
      </c>
      <c r="B28" s="26" t="s">
        <v>226</v>
      </c>
      <c r="C28" s="26" t="s">
        <v>331</v>
      </c>
      <c r="D28" s="26" t="s">
        <v>187</v>
      </c>
      <c r="E28" s="27" t="s">
        <v>356</v>
      </c>
      <c r="F28" s="26" t="s">
        <v>345</v>
      </c>
      <c r="G28" s="36" t="s">
        <v>31</v>
      </c>
      <c r="H28" s="36" t="s">
        <v>79</v>
      </c>
      <c r="I28" s="36" t="s">
        <v>32</v>
      </c>
      <c r="J28" s="37"/>
      <c r="K28" s="42" t="str">
        <f>"150,0"</f>
        <v>150,0</v>
      </c>
      <c r="L28" s="28" t="str">
        <f>"142,5092"</f>
        <v>142,5092</v>
      </c>
      <c r="M28" s="26" t="s">
        <v>344</v>
      </c>
    </row>
    <row r="30" spans="1:13" ht="16">
      <c r="A30" s="64" t="s">
        <v>82</v>
      </c>
      <c r="B30" s="64"/>
      <c r="C30" s="65"/>
      <c r="D30" s="65"/>
      <c r="E30" s="65"/>
      <c r="F30" s="65"/>
      <c r="G30" s="65"/>
      <c r="H30" s="65"/>
      <c r="I30" s="65"/>
      <c r="J30" s="65"/>
    </row>
    <row r="31" spans="1:13">
      <c r="A31" s="33" t="s">
        <v>42</v>
      </c>
      <c r="B31" s="23" t="s">
        <v>227</v>
      </c>
      <c r="C31" s="23" t="s">
        <v>188</v>
      </c>
      <c r="D31" s="23" t="s">
        <v>189</v>
      </c>
      <c r="E31" s="24" t="s">
        <v>354</v>
      </c>
      <c r="F31" s="23" t="s">
        <v>345</v>
      </c>
      <c r="G31" s="32" t="s">
        <v>26</v>
      </c>
      <c r="H31" s="34" t="s">
        <v>27</v>
      </c>
      <c r="I31" s="32" t="s">
        <v>27</v>
      </c>
      <c r="J31" s="33"/>
      <c r="K31" s="41" t="str">
        <f>"125,0"</f>
        <v>125,0</v>
      </c>
      <c r="L31" s="25" t="str">
        <f>"76,9375"</f>
        <v>76,9375</v>
      </c>
      <c r="M31" s="23" t="s">
        <v>344</v>
      </c>
    </row>
    <row r="32" spans="1:13">
      <c r="A32" s="39" t="s">
        <v>42</v>
      </c>
      <c r="B32" s="29" t="s">
        <v>228</v>
      </c>
      <c r="C32" s="29" t="s">
        <v>332</v>
      </c>
      <c r="D32" s="29" t="s">
        <v>191</v>
      </c>
      <c r="E32" s="30" t="s">
        <v>357</v>
      </c>
      <c r="F32" s="29" t="s">
        <v>345</v>
      </c>
      <c r="G32" s="38" t="s">
        <v>192</v>
      </c>
      <c r="H32" s="40" t="s">
        <v>71</v>
      </c>
      <c r="I32" s="40" t="s">
        <v>71</v>
      </c>
      <c r="J32" s="39"/>
      <c r="K32" s="44" t="str">
        <f>"172,5"</f>
        <v>172,5</v>
      </c>
      <c r="L32" s="31" t="str">
        <f>"105,7253"</f>
        <v>105,7253</v>
      </c>
      <c r="M32" s="29" t="s">
        <v>344</v>
      </c>
    </row>
    <row r="33" spans="1:13">
      <c r="A33" s="39" t="s">
        <v>119</v>
      </c>
      <c r="B33" s="29" t="s">
        <v>229</v>
      </c>
      <c r="C33" s="29" t="s">
        <v>333</v>
      </c>
      <c r="D33" s="29" t="s">
        <v>193</v>
      </c>
      <c r="E33" s="30" t="s">
        <v>357</v>
      </c>
      <c r="F33" s="29" t="s">
        <v>345</v>
      </c>
      <c r="G33" s="40" t="s">
        <v>88</v>
      </c>
      <c r="H33" s="38" t="s">
        <v>88</v>
      </c>
      <c r="I33" s="38" t="s">
        <v>194</v>
      </c>
      <c r="J33" s="39"/>
      <c r="K33" s="44" t="str">
        <f>"162,5"</f>
        <v>162,5</v>
      </c>
      <c r="L33" s="31" t="str">
        <f>"98,9787"</f>
        <v>98,9787</v>
      </c>
      <c r="M33" s="29" t="s">
        <v>344</v>
      </c>
    </row>
    <row r="34" spans="1:13">
      <c r="A34" s="39" t="s">
        <v>42</v>
      </c>
      <c r="B34" s="29" t="s">
        <v>228</v>
      </c>
      <c r="C34" s="29" t="s">
        <v>195</v>
      </c>
      <c r="D34" s="29" t="s">
        <v>191</v>
      </c>
      <c r="E34" s="30" t="s">
        <v>352</v>
      </c>
      <c r="F34" s="29" t="s">
        <v>345</v>
      </c>
      <c r="G34" s="38" t="s">
        <v>192</v>
      </c>
      <c r="H34" s="40" t="s">
        <v>71</v>
      </c>
      <c r="I34" s="40" t="s">
        <v>71</v>
      </c>
      <c r="J34" s="39"/>
      <c r="K34" s="44" t="str">
        <f>"172,5"</f>
        <v>172,5</v>
      </c>
      <c r="L34" s="31" t="str">
        <f>"105,7253"</f>
        <v>105,7253</v>
      </c>
      <c r="M34" s="29" t="s">
        <v>344</v>
      </c>
    </row>
    <row r="35" spans="1:13">
      <c r="A35" s="37" t="s">
        <v>119</v>
      </c>
      <c r="B35" s="26" t="s">
        <v>230</v>
      </c>
      <c r="C35" s="26" t="s">
        <v>196</v>
      </c>
      <c r="D35" s="26" t="s">
        <v>197</v>
      </c>
      <c r="E35" s="27" t="s">
        <v>352</v>
      </c>
      <c r="F35" s="26" t="s">
        <v>345</v>
      </c>
      <c r="G35" s="36" t="s">
        <v>31</v>
      </c>
      <c r="H35" s="36" t="s">
        <v>79</v>
      </c>
      <c r="I35" s="35" t="s">
        <v>32</v>
      </c>
      <c r="J35" s="37"/>
      <c r="K35" s="42" t="str">
        <f>"145,0"</f>
        <v>145,0</v>
      </c>
      <c r="L35" s="28" t="str">
        <f>"88,9720"</f>
        <v>88,9720</v>
      </c>
      <c r="M35" s="26" t="s">
        <v>344</v>
      </c>
    </row>
    <row r="37" spans="1:13" ht="16">
      <c r="A37" s="64" t="s">
        <v>108</v>
      </c>
      <c r="B37" s="64"/>
      <c r="C37" s="65"/>
      <c r="D37" s="65"/>
      <c r="E37" s="65"/>
      <c r="F37" s="65"/>
      <c r="G37" s="65"/>
      <c r="H37" s="65"/>
      <c r="I37" s="65"/>
      <c r="J37" s="65"/>
    </row>
    <row r="38" spans="1:13">
      <c r="A38" s="33" t="s">
        <v>42</v>
      </c>
      <c r="B38" s="23" t="s">
        <v>231</v>
      </c>
      <c r="C38" s="23" t="s">
        <v>199</v>
      </c>
      <c r="D38" s="23" t="s">
        <v>200</v>
      </c>
      <c r="E38" s="24" t="s">
        <v>352</v>
      </c>
      <c r="F38" s="23" t="s">
        <v>345</v>
      </c>
      <c r="G38" s="32" t="s">
        <v>81</v>
      </c>
      <c r="H38" s="34" t="s">
        <v>86</v>
      </c>
      <c r="I38" s="34" t="s">
        <v>145</v>
      </c>
      <c r="J38" s="33"/>
      <c r="K38" s="41" t="str">
        <f>"185,0"</f>
        <v>185,0</v>
      </c>
      <c r="L38" s="25" t="str">
        <f>"108,9095"</f>
        <v>108,9095</v>
      </c>
      <c r="M38" s="23" t="s">
        <v>344</v>
      </c>
    </row>
    <row r="39" spans="1:13">
      <c r="A39" s="39" t="s">
        <v>119</v>
      </c>
      <c r="B39" s="29" t="s">
        <v>131</v>
      </c>
      <c r="C39" s="29" t="s">
        <v>113</v>
      </c>
      <c r="D39" s="29" t="s">
        <v>114</v>
      </c>
      <c r="E39" s="30" t="s">
        <v>352</v>
      </c>
      <c r="F39" s="29" t="s">
        <v>345</v>
      </c>
      <c r="G39" s="38" t="s">
        <v>32</v>
      </c>
      <c r="H39" s="38" t="s">
        <v>88</v>
      </c>
      <c r="I39" s="38" t="s">
        <v>77</v>
      </c>
      <c r="J39" s="39"/>
      <c r="K39" s="44" t="str">
        <f>"160,0"</f>
        <v>160,0</v>
      </c>
      <c r="L39" s="31" t="str">
        <f>"95,0240"</f>
        <v>95,0240</v>
      </c>
      <c r="M39" s="29" t="s">
        <v>344</v>
      </c>
    </row>
    <row r="40" spans="1:13">
      <c r="A40" s="37" t="s">
        <v>42</v>
      </c>
      <c r="B40" s="26" t="s">
        <v>232</v>
      </c>
      <c r="C40" s="26" t="s">
        <v>334</v>
      </c>
      <c r="D40" s="26" t="s">
        <v>204</v>
      </c>
      <c r="E40" s="27" t="s">
        <v>353</v>
      </c>
      <c r="F40" s="26" t="s">
        <v>345</v>
      </c>
      <c r="G40" s="35" t="s">
        <v>31</v>
      </c>
      <c r="H40" s="36" t="s">
        <v>31</v>
      </c>
      <c r="I40" s="36" t="s">
        <v>79</v>
      </c>
      <c r="J40" s="37"/>
      <c r="K40" s="42" t="str">
        <f>"145,0"</f>
        <v>145,0</v>
      </c>
      <c r="L40" s="28" t="str">
        <f>"91,9741"</f>
        <v>91,9741</v>
      </c>
      <c r="M40" s="26" t="s">
        <v>344</v>
      </c>
    </row>
    <row r="42" spans="1:13" ht="16">
      <c r="A42" s="64" t="s">
        <v>205</v>
      </c>
      <c r="B42" s="64"/>
      <c r="C42" s="65"/>
      <c r="D42" s="65"/>
      <c r="E42" s="65"/>
      <c r="F42" s="65"/>
      <c r="G42" s="65"/>
      <c r="H42" s="65"/>
      <c r="I42" s="65"/>
      <c r="J42" s="65"/>
    </row>
    <row r="43" spans="1:13">
      <c r="A43" s="21" t="s">
        <v>42</v>
      </c>
      <c r="B43" s="7" t="s">
        <v>233</v>
      </c>
      <c r="C43" s="7" t="s">
        <v>206</v>
      </c>
      <c r="D43" s="7" t="s">
        <v>207</v>
      </c>
      <c r="E43" s="8" t="s">
        <v>352</v>
      </c>
      <c r="F43" s="7" t="s">
        <v>345</v>
      </c>
      <c r="G43" s="20" t="s">
        <v>192</v>
      </c>
      <c r="H43" s="22" t="s">
        <v>80</v>
      </c>
      <c r="I43" s="22" t="s">
        <v>80</v>
      </c>
      <c r="J43" s="21"/>
      <c r="K43" s="43" t="str">
        <f>"172,5"</f>
        <v>172,5</v>
      </c>
      <c r="L43" s="9" t="str">
        <f>"96,8415"</f>
        <v>96,8415</v>
      </c>
      <c r="M43" s="7"/>
    </row>
    <row r="44" spans="1:13">
      <c r="E44" s="11" t="s">
        <v>352</v>
      </c>
    </row>
    <row r="45" spans="1:13" ht="16">
      <c r="A45" s="64" t="s">
        <v>208</v>
      </c>
      <c r="B45" s="64"/>
      <c r="C45" s="65"/>
      <c r="D45" s="65"/>
      <c r="E45" s="65"/>
      <c r="F45" s="65"/>
      <c r="G45" s="65"/>
      <c r="H45" s="65"/>
      <c r="I45" s="65"/>
      <c r="J45" s="65"/>
    </row>
    <row r="46" spans="1:13">
      <c r="A46" s="21" t="s">
        <v>42</v>
      </c>
      <c r="B46" s="7" t="s">
        <v>234</v>
      </c>
      <c r="C46" s="7" t="s">
        <v>209</v>
      </c>
      <c r="D46" s="7" t="s">
        <v>210</v>
      </c>
      <c r="E46" s="8" t="s">
        <v>352</v>
      </c>
      <c r="F46" s="7" t="s">
        <v>345</v>
      </c>
      <c r="G46" s="20" t="s">
        <v>176</v>
      </c>
      <c r="H46" s="20" t="s">
        <v>79</v>
      </c>
      <c r="I46" s="20" t="s">
        <v>32</v>
      </c>
      <c r="J46" s="21"/>
      <c r="K46" s="43" t="str">
        <f>"150,0"</f>
        <v>150,0</v>
      </c>
      <c r="L46" s="9" t="str">
        <f>"81,5550"</f>
        <v>81,5550</v>
      </c>
      <c r="M46" s="7" t="s">
        <v>344</v>
      </c>
    </row>
    <row r="48" spans="1:13">
      <c r="G48" s="5"/>
      <c r="M48" s="6"/>
    </row>
    <row r="49" spans="2:13">
      <c r="M49" s="6"/>
    </row>
    <row r="50" spans="2:13" ht="18">
      <c r="B50" s="12" t="s">
        <v>33</v>
      </c>
      <c r="C50" s="12"/>
      <c r="G50" s="3"/>
      <c r="M50" s="6"/>
    </row>
    <row r="51" spans="2:13" ht="16">
      <c r="B51" s="10" t="s">
        <v>41</v>
      </c>
      <c r="C51" s="10"/>
      <c r="G51" s="3"/>
      <c r="M51" s="6"/>
    </row>
    <row r="52" spans="2:13" ht="14">
      <c r="B52" s="13"/>
      <c r="C52" s="14" t="s">
        <v>35</v>
      </c>
      <c r="G52" s="3"/>
      <c r="M52" s="6"/>
    </row>
    <row r="53" spans="2:13" ht="14">
      <c r="B53" s="15" t="s">
        <v>36</v>
      </c>
      <c r="C53" s="15" t="s">
        <v>37</v>
      </c>
      <c r="D53" s="15" t="s">
        <v>317</v>
      </c>
      <c r="E53" s="16" t="s">
        <v>149</v>
      </c>
      <c r="F53" s="15" t="s">
        <v>39</v>
      </c>
      <c r="G53" s="3"/>
      <c r="M53" s="6"/>
    </row>
    <row r="54" spans="2:13">
      <c r="B54" s="5" t="s">
        <v>198</v>
      </c>
      <c r="C54" s="5" t="s">
        <v>35</v>
      </c>
      <c r="D54" s="18" t="s">
        <v>117</v>
      </c>
      <c r="E54" s="19">
        <v>185</v>
      </c>
      <c r="F54" s="17">
        <v>108.90949934721</v>
      </c>
      <c r="G54" s="3"/>
      <c r="M54" s="6"/>
    </row>
    <row r="55" spans="2:13">
      <c r="B55" s="5" t="s">
        <v>190</v>
      </c>
      <c r="C55" s="5" t="s">
        <v>35</v>
      </c>
      <c r="D55" s="18" t="s">
        <v>116</v>
      </c>
      <c r="E55" s="19">
        <v>172.5</v>
      </c>
      <c r="F55" s="17">
        <v>105.72525322437301</v>
      </c>
      <c r="G55" s="3"/>
      <c r="M55" s="6"/>
    </row>
    <row r="56" spans="2:13">
      <c r="B56" s="5" t="s">
        <v>173</v>
      </c>
      <c r="C56" s="5" t="s">
        <v>35</v>
      </c>
      <c r="D56" s="18" t="s">
        <v>212</v>
      </c>
      <c r="E56" s="19">
        <v>135</v>
      </c>
      <c r="F56" s="17">
        <v>97.3890030384064</v>
      </c>
      <c r="G56" s="5"/>
      <c r="M56" s="6"/>
    </row>
  </sheetData>
  <mergeCells count="21">
    <mergeCell ref="A37:J37"/>
    <mergeCell ref="A42:J42"/>
    <mergeCell ref="A45:J45"/>
    <mergeCell ref="B3:B4"/>
    <mergeCell ref="A9:J9"/>
    <mergeCell ref="A12:J12"/>
    <mergeCell ref="A15:J15"/>
    <mergeCell ref="A18:J18"/>
    <mergeCell ref="A24:J24"/>
    <mergeCell ref="A30:J30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84426-A359-4688-9F08-62089576E9DA}">
  <dimension ref="A1:M22"/>
  <sheetViews>
    <sheetView workbookViewId="0">
      <selection activeCell="E21" sqref="E21"/>
    </sheetView>
  </sheetViews>
  <sheetFormatPr baseColWidth="10" defaultColWidth="9.1640625" defaultRowHeight="13"/>
  <cols>
    <col min="1" max="1" width="7.5" style="5" bestFit="1" customWidth="1"/>
    <col min="2" max="2" width="21.6640625" style="5" customWidth="1"/>
    <col min="3" max="3" width="28.5" style="5" bestFit="1" customWidth="1"/>
    <col min="4" max="4" width="21.5" style="5" bestFit="1" customWidth="1"/>
    <col min="5" max="5" width="10.5" style="11" bestFit="1" customWidth="1"/>
    <col min="6" max="6" width="35.33203125" style="5" customWidth="1"/>
    <col min="7" max="9" width="5.5" style="18" customWidth="1"/>
    <col min="10" max="10" width="4.83203125" style="18" customWidth="1"/>
    <col min="11" max="11" width="10.5" style="6" bestFit="1" customWidth="1"/>
    <col min="12" max="12" width="8.5" style="6" bestFit="1" customWidth="1"/>
    <col min="13" max="13" width="24.6640625" style="5" customWidth="1"/>
    <col min="14" max="16384" width="9.1640625" style="3"/>
  </cols>
  <sheetData>
    <row r="1" spans="1:13" s="2" customFormat="1" ht="29" customHeight="1">
      <c r="A1" s="51" t="s">
        <v>323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349</v>
      </c>
      <c r="B3" s="66" t="s">
        <v>0</v>
      </c>
      <c r="C3" s="61" t="s">
        <v>350</v>
      </c>
      <c r="D3" s="61" t="s">
        <v>6</v>
      </c>
      <c r="E3" s="45" t="s">
        <v>351</v>
      </c>
      <c r="F3" s="63" t="s">
        <v>5</v>
      </c>
      <c r="G3" s="63" t="s">
        <v>8</v>
      </c>
      <c r="H3" s="63"/>
      <c r="I3" s="63"/>
      <c r="J3" s="63"/>
      <c r="K3" s="45" t="s">
        <v>150</v>
      </c>
      <c r="L3" s="45" t="s">
        <v>3</v>
      </c>
      <c r="M3" s="47" t="s">
        <v>2</v>
      </c>
    </row>
    <row r="4" spans="1:13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48"/>
    </row>
    <row r="5" spans="1:13" ht="16">
      <c r="A5" s="49" t="s">
        <v>10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33" t="s">
        <v>42</v>
      </c>
      <c r="B6" s="23" t="s">
        <v>151</v>
      </c>
      <c r="C6" s="23" t="s">
        <v>132</v>
      </c>
      <c r="D6" s="23" t="s">
        <v>133</v>
      </c>
      <c r="E6" s="24" t="s">
        <v>352</v>
      </c>
      <c r="F6" s="23" t="s">
        <v>345</v>
      </c>
      <c r="G6" s="32" t="s">
        <v>29</v>
      </c>
      <c r="H6" s="32" t="s">
        <v>19</v>
      </c>
      <c r="I6" s="32" t="s">
        <v>49</v>
      </c>
      <c r="J6" s="33"/>
      <c r="K6" s="25" t="str">
        <f>"90,0"</f>
        <v>90,0</v>
      </c>
      <c r="L6" s="25" t="str">
        <f>"98,4510"</f>
        <v>98,4510</v>
      </c>
      <c r="M6" s="23" t="s">
        <v>344</v>
      </c>
    </row>
    <row r="7" spans="1:13">
      <c r="A7" s="37" t="s">
        <v>42</v>
      </c>
      <c r="B7" s="26" t="s">
        <v>151</v>
      </c>
      <c r="C7" s="26" t="s">
        <v>335</v>
      </c>
      <c r="D7" s="26" t="s">
        <v>133</v>
      </c>
      <c r="E7" s="27" t="s">
        <v>353</v>
      </c>
      <c r="F7" s="26" t="s">
        <v>345</v>
      </c>
      <c r="G7" s="36" t="s">
        <v>29</v>
      </c>
      <c r="H7" s="36" t="s">
        <v>19</v>
      </c>
      <c r="I7" s="36" t="s">
        <v>49</v>
      </c>
      <c r="J7" s="37"/>
      <c r="K7" s="28" t="str">
        <f>"90,0"</f>
        <v>90,0</v>
      </c>
      <c r="L7" s="28" t="str">
        <f>"107,9023"</f>
        <v>107,9023</v>
      </c>
      <c r="M7" s="26" t="s">
        <v>344</v>
      </c>
    </row>
    <row r="9" spans="1:13" ht="16">
      <c r="A9" s="64" t="s">
        <v>45</v>
      </c>
      <c r="B9" s="64"/>
      <c r="C9" s="65"/>
      <c r="D9" s="65"/>
      <c r="E9" s="65"/>
      <c r="F9" s="65"/>
      <c r="G9" s="65"/>
      <c r="H9" s="65"/>
      <c r="I9" s="65"/>
      <c r="J9" s="65"/>
    </row>
    <row r="10" spans="1:13">
      <c r="A10" s="21" t="s">
        <v>42</v>
      </c>
      <c r="B10" s="7" t="s">
        <v>152</v>
      </c>
      <c r="C10" s="7" t="s">
        <v>134</v>
      </c>
      <c r="D10" s="7" t="s">
        <v>135</v>
      </c>
      <c r="E10" s="8" t="s">
        <v>354</v>
      </c>
      <c r="F10" s="7" t="s">
        <v>345</v>
      </c>
      <c r="G10" s="20" t="s">
        <v>56</v>
      </c>
      <c r="H10" s="20" t="s">
        <v>57</v>
      </c>
      <c r="I10" s="20" t="s">
        <v>136</v>
      </c>
      <c r="J10" s="21"/>
      <c r="K10" s="9" t="str">
        <f>"35,0"</f>
        <v>35,0</v>
      </c>
      <c r="L10" s="9" t="str">
        <f>"46,7390"</f>
        <v>46,7390</v>
      </c>
      <c r="M10" s="7" t="s">
        <v>344</v>
      </c>
    </row>
    <row r="12" spans="1:13" ht="16">
      <c r="A12" s="64" t="s">
        <v>22</v>
      </c>
      <c r="B12" s="64"/>
      <c r="C12" s="65"/>
      <c r="D12" s="65"/>
      <c r="E12" s="65"/>
      <c r="F12" s="65"/>
      <c r="G12" s="65"/>
      <c r="H12" s="65"/>
      <c r="I12" s="65"/>
      <c r="J12" s="65"/>
    </row>
    <row r="13" spans="1:13">
      <c r="A13" s="33" t="s">
        <v>42</v>
      </c>
      <c r="B13" s="23" t="s">
        <v>153</v>
      </c>
      <c r="C13" s="23" t="s">
        <v>137</v>
      </c>
      <c r="D13" s="23" t="s">
        <v>138</v>
      </c>
      <c r="E13" s="24" t="s">
        <v>354</v>
      </c>
      <c r="F13" s="23" t="s">
        <v>345</v>
      </c>
      <c r="G13" s="32" t="s">
        <v>57</v>
      </c>
      <c r="H13" s="32" t="s">
        <v>136</v>
      </c>
      <c r="I13" s="32" t="s">
        <v>139</v>
      </c>
      <c r="J13" s="33"/>
      <c r="K13" s="25" t="str">
        <f>"37,5"</f>
        <v>37,5</v>
      </c>
      <c r="L13" s="25" t="str">
        <f>"25,2713"</f>
        <v>25,2713</v>
      </c>
      <c r="M13" s="23" t="s">
        <v>344</v>
      </c>
    </row>
    <row r="14" spans="1:13">
      <c r="A14" s="37" t="s">
        <v>42</v>
      </c>
      <c r="B14" s="26" t="s">
        <v>154</v>
      </c>
      <c r="C14" s="26" t="s">
        <v>140</v>
      </c>
      <c r="D14" s="26" t="s">
        <v>141</v>
      </c>
      <c r="E14" s="27" t="s">
        <v>352</v>
      </c>
      <c r="F14" s="26" t="s">
        <v>345</v>
      </c>
      <c r="G14" s="36" t="s">
        <v>26</v>
      </c>
      <c r="H14" s="35" t="s">
        <v>27</v>
      </c>
      <c r="I14" s="35" t="s">
        <v>27</v>
      </c>
      <c r="J14" s="37"/>
      <c r="K14" s="28" t="str">
        <f>"120,0"</f>
        <v>120,0</v>
      </c>
      <c r="L14" s="28" t="str">
        <f>"84,9600"</f>
        <v>84,9600</v>
      </c>
      <c r="M14" s="26" t="s">
        <v>344</v>
      </c>
    </row>
    <row r="16" spans="1:13" ht="16">
      <c r="A16" s="64" t="s">
        <v>82</v>
      </c>
      <c r="B16" s="64"/>
      <c r="C16" s="65"/>
      <c r="D16" s="65"/>
      <c r="E16" s="65"/>
      <c r="F16" s="65"/>
      <c r="G16" s="65"/>
      <c r="H16" s="65"/>
      <c r="I16" s="65"/>
      <c r="J16" s="65"/>
    </row>
    <row r="17" spans="1:13">
      <c r="A17" s="21" t="s">
        <v>42</v>
      </c>
      <c r="B17" s="7" t="s">
        <v>155</v>
      </c>
      <c r="C17" s="7" t="s">
        <v>142</v>
      </c>
      <c r="D17" s="7" t="s">
        <v>143</v>
      </c>
      <c r="E17" s="8" t="s">
        <v>352</v>
      </c>
      <c r="F17" s="7" t="s">
        <v>345</v>
      </c>
      <c r="G17" s="20" t="s">
        <v>81</v>
      </c>
      <c r="H17" s="20" t="s">
        <v>144</v>
      </c>
      <c r="I17" s="20" t="s">
        <v>145</v>
      </c>
      <c r="J17" s="21"/>
      <c r="K17" s="9" t="str">
        <f>"197,5"</f>
        <v>197,5</v>
      </c>
      <c r="L17" s="9" t="str">
        <f>"121,7192"</f>
        <v>121,7192</v>
      </c>
      <c r="M17" s="7" t="s">
        <v>344</v>
      </c>
    </row>
    <row r="19" spans="1:13" ht="16">
      <c r="A19" s="64" t="s">
        <v>146</v>
      </c>
      <c r="B19" s="64"/>
      <c r="C19" s="65"/>
      <c r="D19" s="65"/>
      <c r="E19" s="65"/>
      <c r="F19" s="65"/>
      <c r="G19" s="65"/>
      <c r="H19" s="65"/>
      <c r="I19" s="65"/>
      <c r="J19" s="65"/>
    </row>
    <row r="20" spans="1:13">
      <c r="A20" s="21" t="s">
        <v>42</v>
      </c>
      <c r="B20" s="7" t="s">
        <v>156</v>
      </c>
      <c r="C20" s="7" t="s">
        <v>147</v>
      </c>
      <c r="D20" s="7" t="s">
        <v>148</v>
      </c>
      <c r="E20" s="8" t="s">
        <v>352</v>
      </c>
      <c r="F20" s="7" t="s">
        <v>345</v>
      </c>
      <c r="G20" s="20" t="s">
        <v>70</v>
      </c>
      <c r="H20" s="20" t="s">
        <v>81</v>
      </c>
      <c r="I20" s="22" t="s">
        <v>144</v>
      </c>
      <c r="J20" s="21"/>
      <c r="K20" s="9" t="str">
        <f>"185,0"</f>
        <v>185,0</v>
      </c>
      <c r="L20" s="9" t="str">
        <f>"105,4315"</f>
        <v>105,4315</v>
      </c>
      <c r="M20" s="7" t="s">
        <v>344</v>
      </c>
    </row>
    <row r="22" spans="1:13">
      <c r="E22" s="5"/>
      <c r="F22" s="11"/>
      <c r="G22" s="5"/>
      <c r="K22" s="18"/>
      <c r="M22" s="6"/>
    </row>
  </sheetData>
  <mergeCells count="16">
    <mergeCell ref="A9:J9"/>
    <mergeCell ref="A12:J12"/>
    <mergeCell ref="A16:J16"/>
    <mergeCell ref="A19:J1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7275C-D589-41ED-95C8-71E1DDD664F7}">
  <dimension ref="A1:M46"/>
  <sheetViews>
    <sheetView topLeftCell="A2" workbookViewId="0">
      <selection activeCell="E37" sqref="E37"/>
    </sheetView>
  </sheetViews>
  <sheetFormatPr baseColWidth="10" defaultColWidth="9.1640625" defaultRowHeight="13"/>
  <cols>
    <col min="1" max="1" width="7.5" style="5" bestFit="1" customWidth="1"/>
    <col min="2" max="2" width="21.6640625" style="5" bestFit="1" customWidth="1"/>
    <col min="3" max="3" width="28.5" style="5" bestFit="1" customWidth="1"/>
    <col min="4" max="4" width="21.5" style="5" bestFit="1" customWidth="1"/>
    <col min="5" max="5" width="10.5" style="11" bestFit="1" customWidth="1"/>
    <col min="6" max="6" width="36.1640625" style="5" customWidth="1"/>
    <col min="7" max="9" width="5.5" style="18" customWidth="1"/>
    <col min="10" max="10" width="4.83203125" style="18" customWidth="1"/>
    <col min="11" max="11" width="10.5" style="6" bestFit="1" customWidth="1"/>
    <col min="12" max="12" width="8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51" t="s">
        <v>324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349</v>
      </c>
      <c r="B3" s="66" t="s">
        <v>0</v>
      </c>
      <c r="C3" s="61" t="s">
        <v>350</v>
      </c>
      <c r="D3" s="61" t="s">
        <v>6</v>
      </c>
      <c r="E3" s="45" t="s">
        <v>351</v>
      </c>
      <c r="F3" s="63" t="s">
        <v>5</v>
      </c>
      <c r="G3" s="63" t="s">
        <v>9</v>
      </c>
      <c r="H3" s="63"/>
      <c r="I3" s="63"/>
      <c r="J3" s="63"/>
      <c r="K3" s="45" t="s">
        <v>150</v>
      </c>
      <c r="L3" s="45" t="s">
        <v>3</v>
      </c>
      <c r="M3" s="47" t="s">
        <v>2</v>
      </c>
    </row>
    <row r="4" spans="1:13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48"/>
    </row>
    <row r="5" spans="1:13" ht="16">
      <c r="A5" s="49" t="s">
        <v>45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21" t="s">
        <v>42</v>
      </c>
      <c r="B6" s="7" t="s">
        <v>120</v>
      </c>
      <c r="C6" s="7" t="s">
        <v>52</v>
      </c>
      <c r="D6" s="7" t="s">
        <v>53</v>
      </c>
      <c r="E6" s="8" t="s">
        <v>352</v>
      </c>
      <c r="F6" s="7" t="s">
        <v>345</v>
      </c>
      <c r="G6" s="20" t="s">
        <v>28</v>
      </c>
      <c r="H6" s="20" t="s">
        <v>19</v>
      </c>
      <c r="I6" s="20" t="s">
        <v>49</v>
      </c>
      <c r="J6" s="21"/>
      <c r="K6" s="9" t="str">
        <f>"90,0"</f>
        <v>90,0</v>
      </c>
      <c r="L6" s="9" t="str">
        <f>"113,0400"</f>
        <v>113,0400</v>
      </c>
      <c r="M6" s="7" t="s">
        <v>344</v>
      </c>
    </row>
    <row r="8" spans="1:13" ht="16">
      <c r="A8" s="64" t="s">
        <v>157</v>
      </c>
      <c r="B8" s="64"/>
      <c r="C8" s="65"/>
      <c r="D8" s="65"/>
      <c r="E8" s="65"/>
      <c r="F8" s="65"/>
      <c r="G8" s="65"/>
      <c r="H8" s="65"/>
      <c r="I8" s="65"/>
      <c r="J8" s="65"/>
    </row>
    <row r="9" spans="1:13">
      <c r="A9" s="33" t="s">
        <v>42</v>
      </c>
      <c r="B9" s="23" t="s">
        <v>269</v>
      </c>
      <c r="C9" s="23" t="s">
        <v>248</v>
      </c>
      <c r="D9" s="23" t="s">
        <v>249</v>
      </c>
      <c r="E9" s="24" t="s">
        <v>352</v>
      </c>
      <c r="F9" s="23" t="s">
        <v>345</v>
      </c>
      <c r="G9" s="32" t="s">
        <v>104</v>
      </c>
      <c r="H9" s="32" t="s">
        <v>250</v>
      </c>
      <c r="I9" s="32" t="s">
        <v>65</v>
      </c>
      <c r="J9" s="33"/>
      <c r="K9" s="25" t="str">
        <f>"117,5"</f>
        <v>117,5</v>
      </c>
      <c r="L9" s="25" t="str">
        <f>"139,8250"</f>
        <v>139,8250</v>
      </c>
      <c r="M9" s="23" t="s">
        <v>344</v>
      </c>
    </row>
    <row r="10" spans="1:13">
      <c r="A10" s="39" t="s">
        <v>119</v>
      </c>
      <c r="B10" s="29" t="s">
        <v>270</v>
      </c>
      <c r="C10" s="29" t="s">
        <v>251</v>
      </c>
      <c r="D10" s="29" t="s">
        <v>252</v>
      </c>
      <c r="E10" s="30" t="s">
        <v>352</v>
      </c>
      <c r="F10" s="29" t="s">
        <v>345</v>
      </c>
      <c r="G10" s="38" t="s">
        <v>182</v>
      </c>
      <c r="H10" s="38" t="s">
        <v>105</v>
      </c>
      <c r="I10" s="40" t="s">
        <v>25</v>
      </c>
      <c r="J10" s="39"/>
      <c r="K10" s="31" t="str">
        <f>"110,0"</f>
        <v>110,0</v>
      </c>
      <c r="L10" s="31" t="str">
        <f>"130,7130"</f>
        <v>130,7130</v>
      </c>
      <c r="M10" s="29" t="s">
        <v>344</v>
      </c>
    </row>
    <row r="11" spans="1:13">
      <c r="A11" s="37" t="s">
        <v>42</v>
      </c>
      <c r="B11" s="26" t="s">
        <v>269</v>
      </c>
      <c r="C11" s="26" t="s">
        <v>336</v>
      </c>
      <c r="D11" s="26" t="s">
        <v>249</v>
      </c>
      <c r="E11" s="27" t="s">
        <v>358</v>
      </c>
      <c r="F11" s="26" t="s">
        <v>345</v>
      </c>
      <c r="G11" s="36" t="s">
        <v>104</v>
      </c>
      <c r="H11" s="36" t="s">
        <v>250</v>
      </c>
      <c r="I11" s="36" t="s">
        <v>65</v>
      </c>
      <c r="J11" s="37"/>
      <c r="K11" s="28" t="str">
        <f>"117,5"</f>
        <v>117,5</v>
      </c>
      <c r="L11" s="28" t="str">
        <f>"140,5241"</f>
        <v>140,5241</v>
      </c>
      <c r="M11" s="26" t="s">
        <v>344</v>
      </c>
    </row>
    <row r="13" spans="1:13" ht="16">
      <c r="A13" s="64" t="s">
        <v>58</v>
      </c>
      <c r="B13" s="64"/>
      <c r="C13" s="65"/>
      <c r="D13" s="65"/>
      <c r="E13" s="65"/>
      <c r="F13" s="65"/>
      <c r="G13" s="65"/>
      <c r="H13" s="65"/>
      <c r="I13" s="65"/>
      <c r="J13" s="65"/>
    </row>
    <row r="14" spans="1:13">
      <c r="A14" s="33" t="s">
        <v>42</v>
      </c>
      <c r="B14" s="23" t="s">
        <v>271</v>
      </c>
      <c r="C14" s="23" t="s">
        <v>254</v>
      </c>
      <c r="D14" s="23" t="s">
        <v>236</v>
      </c>
      <c r="E14" s="24" t="s">
        <v>352</v>
      </c>
      <c r="F14" s="23" t="s">
        <v>345</v>
      </c>
      <c r="G14" s="32" t="s">
        <v>27</v>
      </c>
      <c r="H14" s="32" t="s">
        <v>185</v>
      </c>
      <c r="I14" s="32" t="s">
        <v>186</v>
      </c>
      <c r="J14" s="33"/>
      <c r="K14" s="25" t="str">
        <f>"137,5"</f>
        <v>137,5</v>
      </c>
      <c r="L14" s="25" t="str">
        <f>"154,4950"</f>
        <v>154,4950</v>
      </c>
      <c r="M14" s="23" t="s">
        <v>344</v>
      </c>
    </row>
    <row r="15" spans="1:13">
      <c r="A15" s="39" t="s">
        <v>119</v>
      </c>
      <c r="B15" s="29" t="s">
        <v>272</v>
      </c>
      <c r="C15" s="29" t="s">
        <v>255</v>
      </c>
      <c r="D15" s="29" t="s">
        <v>256</v>
      </c>
      <c r="E15" s="30" t="s">
        <v>352</v>
      </c>
      <c r="F15" s="29" t="s">
        <v>345</v>
      </c>
      <c r="G15" s="38" t="s">
        <v>62</v>
      </c>
      <c r="H15" s="38" t="s">
        <v>182</v>
      </c>
      <c r="I15" s="38" t="s">
        <v>105</v>
      </c>
      <c r="J15" s="39"/>
      <c r="K15" s="31" t="str">
        <f>"110,0"</f>
        <v>110,0</v>
      </c>
      <c r="L15" s="31" t="str">
        <f>"122,9580"</f>
        <v>122,9580</v>
      </c>
      <c r="M15" s="29" t="s">
        <v>344</v>
      </c>
    </row>
    <row r="16" spans="1:13">
      <c r="A16" s="37" t="s">
        <v>42</v>
      </c>
      <c r="B16" s="26" t="s">
        <v>272</v>
      </c>
      <c r="C16" s="26" t="s">
        <v>337</v>
      </c>
      <c r="D16" s="26" t="s">
        <v>256</v>
      </c>
      <c r="E16" s="27" t="s">
        <v>353</v>
      </c>
      <c r="F16" s="26" t="s">
        <v>345</v>
      </c>
      <c r="G16" s="36" t="s">
        <v>62</v>
      </c>
      <c r="H16" s="36" t="s">
        <v>182</v>
      </c>
      <c r="I16" s="36" t="s">
        <v>105</v>
      </c>
      <c r="J16" s="37"/>
      <c r="K16" s="28" t="str">
        <f>"110,0"</f>
        <v>110,0</v>
      </c>
      <c r="L16" s="28" t="str">
        <f>"136,9752"</f>
        <v>136,9752</v>
      </c>
      <c r="M16" s="26" t="s">
        <v>344</v>
      </c>
    </row>
    <row r="18" spans="1:13" ht="16">
      <c r="A18" s="64" t="s">
        <v>10</v>
      </c>
      <c r="B18" s="64"/>
      <c r="C18" s="65"/>
      <c r="D18" s="65"/>
      <c r="E18" s="65"/>
      <c r="F18" s="65"/>
      <c r="G18" s="65"/>
      <c r="H18" s="65"/>
      <c r="I18" s="65"/>
      <c r="J18" s="65"/>
    </row>
    <row r="19" spans="1:13">
      <c r="A19" s="21" t="s">
        <v>42</v>
      </c>
      <c r="B19" s="7" t="s">
        <v>273</v>
      </c>
      <c r="C19" s="7" t="s">
        <v>258</v>
      </c>
      <c r="D19" s="7" t="s">
        <v>259</v>
      </c>
      <c r="E19" s="8" t="s">
        <v>352</v>
      </c>
      <c r="F19" s="7" t="s">
        <v>345</v>
      </c>
      <c r="G19" s="20" t="s">
        <v>27</v>
      </c>
      <c r="H19" s="20" t="s">
        <v>185</v>
      </c>
      <c r="I19" s="22" t="s">
        <v>186</v>
      </c>
      <c r="J19" s="21"/>
      <c r="K19" s="9" t="str">
        <f>"132,5"</f>
        <v>132,5</v>
      </c>
      <c r="L19" s="9" t="str">
        <f>"138,6878"</f>
        <v>138,6878</v>
      </c>
      <c r="M19" s="7" t="s">
        <v>344</v>
      </c>
    </row>
    <row r="21" spans="1:13" ht="16">
      <c r="A21" s="64" t="s">
        <v>10</v>
      </c>
      <c r="B21" s="64"/>
      <c r="C21" s="65"/>
      <c r="D21" s="65"/>
      <c r="E21" s="65"/>
      <c r="F21" s="65"/>
      <c r="G21" s="65"/>
      <c r="H21" s="65"/>
      <c r="I21" s="65"/>
      <c r="J21" s="65"/>
    </row>
    <row r="22" spans="1:13">
      <c r="A22" s="21" t="s">
        <v>42</v>
      </c>
      <c r="B22" s="7" t="s">
        <v>274</v>
      </c>
      <c r="C22" s="7" t="s">
        <v>260</v>
      </c>
      <c r="D22" s="7" t="s">
        <v>261</v>
      </c>
      <c r="E22" s="8" t="s">
        <v>352</v>
      </c>
      <c r="F22" s="7" t="s">
        <v>345</v>
      </c>
      <c r="G22" s="20" t="s">
        <v>77</v>
      </c>
      <c r="H22" s="22" t="s">
        <v>78</v>
      </c>
      <c r="I22" s="22" t="s">
        <v>78</v>
      </c>
      <c r="J22" s="21"/>
      <c r="K22" s="9" t="str">
        <f>"160,0"</f>
        <v>160,0</v>
      </c>
      <c r="L22" s="9" t="str">
        <f>"130,4800"</f>
        <v>130,4800</v>
      </c>
      <c r="M22" s="7" t="s">
        <v>344</v>
      </c>
    </row>
    <row r="24" spans="1:13" ht="16">
      <c r="A24" s="64" t="s">
        <v>22</v>
      </c>
      <c r="B24" s="64"/>
      <c r="C24" s="65"/>
      <c r="D24" s="65"/>
      <c r="E24" s="65"/>
      <c r="F24" s="65"/>
      <c r="G24" s="65"/>
      <c r="H24" s="65"/>
      <c r="I24" s="65"/>
      <c r="J24" s="65"/>
    </row>
    <row r="25" spans="1:13">
      <c r="A25" s="33" t="s">
        <v>42</v>
      </c>
      <c r="B25" s="23" t="s">
        <v>275</v>
      </c>
      <c r="C25" s="23" t="s">
        <v>262</v>
      </c>
      <c r="D25" s="23" t="s">
        <v>263</v>
      </c>
      <c r="E25" s="24" t="s">
        <v>354</v>
      </c>
      <c r="F25" s="23" t="s">
        <v>345</v>
      </c>
      <c r="G25" s="32" t="s">
        <v>77</v>
      </c>
      <c r="H25" s="32" t="s">
        <v>78</v>
      </c>
      <c r="I25" s="34" t="s">
        <v>71</v>
      </c>
      <c r="J25" s="33"/>
      <c r="K25" s="25" t="str">
        <f>"170,0"</f>
        <v>170,0</v>
      </c>
      <c r="L25" s="25" t="str">
        <f>"115,7020"</f>
        <v>115,7020</v>
      </c>
      <c r="M25" s="23" t="s">
        <v>344</v>
      </c>
    </row>
    <row r="26" spans="1:13">
      <c r="A26" s="37" t="s">
        <v>42</v>
      </c>
      <c r="B26" s="26" t="s">
        <v>276</v>
      </c>
      <c r="C26" s="26" t="s">
        <v>264</v>
      </c>
      <c r="D26" s="26" t="s">
        <v>265</v>
      </c>
      <c r="E26" s="27" t="s">
        <v>352</v>
      </c>
      <c r="F26" s="26" t="s">
        <v>345</v>
      </c>
      <c r="G26" s="36" t="s">
        <v>268</v>
      </c>
      <c r="H26" s="36" t="s">
        <v>112</v>
      </c>
      <c r="I26" s="35" t="s">
        <v>91</v>
      </c>
      <c r="J26" s="37"/>
      <c r="K26" s="28" t="str">
        <f>"227,5"</f>
        <v>227,5</v>
      </c>
      <c r="L26" s="28" t="str">
        <f>"152,9710"</f>
        <v>152,9710</v>
      </c>
      <c r="M26" s="26" t="s">
        <v>344</v>
      </c>
    </row>
    <row r="28" spans="1:13" ht="16">
      <c r="A28" s="64" t="s">
        <v>66</v>
      </c>
      <c r="B28" s="64"/>
      <c r="C28" s="65"/>
      <c r="D28" s="65"/>
      <c r="E28" s="65"/>
      <c r="F28" s="65"/>
      <c r="G28" s="65"/>
      <c r="H28" s="65"/>
      <c r="I28" s="65"/>
      <c r="J28" s="65"/>
    </row>
    <row r="29" spans="1:13">
      <c r="A29" s="21" t="s">
        <v>42</v>
      </c>
      <c r="B29" s="7" t="s">
        <v>122</v>
      </c>
      <c r="C29" s="7" t="s">
        <v>67</v>
      </c>
      <c r="D29" s="7" t="s">
        <v>68</v>
      </c>
      <c r="E29" s="8" t="s">
        <v>352</v>
      </c>
      <c r="F29" s="7" t="s">
        <v>345</v>
      </c>
      <c r="G29" s="20" t="s">
        <v>72</v>
      </c>
      <c r="H29" s="20" t="s">
        <v>73</v>
      </c>
      <c r="I29" s="20" t="s">
        <v>74</v>
      </c>
      <c r="J29" s="21"/>
      <c r="K29" s="9" t="str">
        <f>"220,0"</f>
        <v>220,0</v>
      </c>
      <c r="L29" s="9" t="str">
        <f>"140,8440"</f>
        <v>140,8440</v>
      </c>
      <c r="M29" s="7" t="s">
        <v>344</v>
      </c>
    </row>
    <row r="31" spans="1:13" ht="16">
      <c r="A31" s="64" t="s">
        <v>82</v>
      </c>
      <c r="B31" s="64"/>
      <c r="C31" s="65"/>
      <c r="D31" s="65"/>
      <c r="E31" s="65"/>
      <c r="F31" s="65"/>
      <c r="G31" s="65"/>
      <c r="H31" s="65"/>
      <c r="I31" s="65"/>
      <c r="J31" s="65"/>
    </row>
    <row r="32" spans="1:13">
      <c r="A32" s="33" t="s">
        <v>42</v>
      </c>
      <c r="B32" s="23" t="s">
        <v>124</v>
      </c>
      <c r="C32" s="23" t="s">
        <v>84</v>
      </c>
      <c r="D32" s="23" t="s">
        <v>85</v>
      </c>
      <c r="E32" s="24" t="s">
        <v>352</v>
      </c>
      <c r="F32" s="23" t="s">
        <v>345</v>
      </c>
      <c r="G32" s="32" t="s">
        <v>74</v>
      </c>
      <c r="H32" s="32" t="s">
        <v>90</v>
      </c>
      <c r="I32" s="34" t="s">
        <v>91</v>
      </c>
      <c r="J32" s="33"/>
      <c r="K32" s="25" t="str">
        <f>"230,0"</f>
        <v>230,0</v>
      </c>
      <c r="L32" s="25" t="str">
        <f>"140,0240"</f>
        <v>140,0240</v>
      </c>
      <c r="M32" s="23"/>
    </row>
    <row r="33" spans="1:13">
      <c r="A33" s="37" t="s">
        <v>119</v>
      </c>
      <c r="B33" s="26" t="s">
        <v>129</v>
      </c>
      <c r="C33" s="26" t="s">
        <v>101</v>
      </c>
      <c r="D33" s="26" t="s">
        <v>102</v>
      </c>
      <c r="E33" s="27" t="s">
        <v>352</v>
      </c>
      <c r="F33" s="26" t="s">
        <v>345</v>
      </c>
      <c r="G33" s="36" t="s">
        <v>72</v>
      </c>
      <c r="H33" s="36" t="s">
        <v>106</v>
      </c>
      <c r="I33" s="36" t="s">
        <v>107</v>
      </c>
      <c r="J33" s="37"/>
      <c r="K33" s="28" t="str">
        <f>"215,0"</f>
        <v>215,0</v>
      </c>
      <c r="L33" s="28" t="str">
        <f>"130,8490"</f>
        <v>130,8490</v>
      </c>
      <c r="M33" s="26"/>
    </row>
    <row r="35" spans="1:13" ht="16">
      <c r="A35" s="64" t="s">
        <v>108</v>
      </c>
      <c r="B35" s="64"/>
      <c r="C35" s="65"/>
      <c r="D35" s="65"/>
      <c r="E35" s="65"/>
      <c r="F35" s="65"/>
      <c r="G35" s="65"/>
      <c r="H35" s="65"/>
      <c r="I35" s="65"/>
      <c r="J35" s="65"/>
    </row>
    <row r="36" spans="1:13">
      <c r="A36" s="21" t="s">
        <v>42</v>
      </c>
      <c r="B36" s="7" t="s">
        <v>231</v>
      </c>
      <c r="C36" s="7" t="s">
        <v>199</v>
      </c>
      <c r="D36" s="7" t="s">
        <v>200</v>
      </c>
      <c r="E36" s="8" t="s">
        <v>352</v>
      </c>
      <c r="F36" s="7" t="s">
        <v>345</v>
      </c>
      <c r="G36" s="20" t="s">
        <v>201</v>
      </c>
      <c r="H36" s="20" t="s">
        <v>202</v>
      </c>
      <c r="I36" s="20" t="s">
        <v>203</v>
      </c>
      <c r="J36" s="21"/>
      <c r="K36" s="9" t="str">
        <f>"300,0"</f>
        <v>300,0</v>
      </c>
      <c r="L36" s="9" t="str">
        <f>"176,6100"</f>
        <v>176,6100</v>
      </c>
      <c r="M36" s="7"/>
    </row>
    <row r="38" spans="1:13">
      <c r="G38" s="5"/>
      <c r="K38" s="18"/>
      <c r="M38" s="6"/>
    </row>
    <row r="39" spans="1:13">
      <c r="K39" s="18"/>
      <c r="M39" s="6"/>
    </row>
    <row r="40" spans="1:13" ht="18">
      <c r="B40" s="12" t="s">
        <v>33</v>
      </c>
      <c r="C40" s="12"/>
      <c r="K40" s="18"/>
      <c r="M40" s="6"/>
    </row>
    <row r="41" spans="1:13" ht="16">
      <c r="B41" s="10" t="s">
        <v>34</v>
      </c>
      <c r="C41" s="10"/>
      <c r="K41" s="18"/>
      <c r="M41" s="6"/>
    </row>
    <row r="42" spans="1:13" ht="14">
      <c r="B42" s="13"/>
      <c r="C42" s="14" t="s">
        <v>35</v>
      </c>
      <c r="K42" s="18"/>
      <c r="M42" s="6"/>
    </row>
    <row r="43" spans="1:13" ht="14">
      <c r="B43" s="15" t="s">
        <v>36</v>
      </c>
      <c r="C43" s="15" t="s">
        <v>37</v>
      </c>
      <c r="D43" s="15" t="s">
        <v>317</v>
      </c>
      <c r="E43" s="16" t="s">
        <v>149</v>
      </c>
      <c r="F43" s="15" t="s">
        <v>39</v>
      </c>
      <c r="K43" s="18"/>
      <c r="M43" s="6"/>
    </row>
    <row r="44" spans="1:13">
      <c r="B44" s="5" t="s">
        <v>253</v>
      </c>
      <c r="C44" s="5" t="s">
        <v>35</v>
      </c>
      <c r="D44" s="18" t="s">
        <v>115</v>
      </c>
      <c r="E44" s="19">
        <v>137.5</v>
      </c>
      <c r="F44" s="17">
        <v>154.495000839233</v>
      </c>
      <c r="K44" s="18"/>
      <c r="M44" s="6"/>
    </row>
    <row r="45" spans="1:13">
      <c r="B45" s="5" t="s">
        <v>247</v>
      </c>
      <c r="C45" s="5" t="s">
        <v>35</v>
      </c>
      <c r="D45" s="18" t="s">
        <v>211</v>
      </c>
      <c r="E45" s="19">
        <v>117.5</v>
      </c>
      <c r="F45" s="17">
        <v>139.82500672340399</v>
      </c>
      <c r="K45" s="18"/>
      <c r="M45" s="6"/>
    </row>
    <row r="46" spans="1:13">
      <c r="B46" s="5" t="s">
        <v>257</v>
      </c>
      <c r="C46" s="5" t="s">
        <v>35</v>
      </c>
      <c r="D46" s="18" t="s">
        <v>40</v>
      </c>
      <c r="E46" s="19">
        <v>132.5</v>
      </c>
      <c r="F46" s="17">
        <v>138.68775010108899</v>
      </c>
      <c r="G46" s="5"/>
      <c r="K46" s="18"/>
      <c r="M46" s="6"/>
    </row>
  </sheetData>
  <mergeCells count="20">
    <mergeCell ref="A31:J31"/>
    <mergeCell ref="A35:J35"/>
    <mergeCell ref="B3:B4"/>
    <mergeCell ref="A8:J8"/>
    <mergeCell ref="A13:J13"/>
    <mergeCell ref="A18:J18"/>
    <mergeCell ref="A21:J21"/>
    <mergeCell ref="A24:J24"/>
    <mergeCell ref="A28:J28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633B0-EBE1-4708-9807-3004F354EF93}">
  <dimension ref="A1:M15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22.1640625" style="5" customWidth="1"/>
    <col min="3" max="3" width="28.5" style="5" bestFit="1" customWidth="1"/>
    <col min="4" max="4" width="21.5" style="5" bestFit="1" customWidth="1"/>
    <col min="5" max="5" width="10.5" style="11" customWidth="1"/>
    <col min="6" max="6" width="35" style="5" customWidth="1"/>
    <col min="7" max="9" width="5.5" style="18" customWidth="1"/>
    <col min="10" max="10" width="4.83203125" style="18" customWidth="1"/>
    <col min="11" max="11" width="10.5" style="6" bestFit="1" customWidth="1"/>
    <col min="12" max="12" width="8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51" t="s">
        <v>325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349</v>
      </c>
      <c r="B3" s="66" t="s">
        <v>0</v>
      </c>
      <c r="C3" s="61" t="s">
        <v>350</v>
      </c>
      <c r="D3" s="61" t="s">
        <v>6</v>
      </c>
      <c r="E3" s="45" t="s">
        <v>351</v>
      </c>
      <c r="F3" s="63" t="s">
        <v>5</v>
      </c>
      <c r="G3" s="63" t="s">
        <v>9</v>
      </c>
      <c r="H3" s="63"/>
      <c r="I3" s="63"/>
      <c r="J3" s="63"/>
      <c r="K3" s="45" t="s">
        <v>150</v>
      </c>
      <c r="L3" s="45" t="s">
        <v>3</v>
      </c>
      <c r="M3" s="47" t="s">
        <v>2</v>
      </c>
    </row>
    <row r="4" spans="1:13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48"/>
    </row>
    <row r="5" spans="1:13" ht="16">
      <c r="A5" s="49" t="s">
        <v>58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21" t="s">
        <v>42</v>
      </c>
      <c r="B6" s="7" t="s">
        <v>243</v>
      </c>
      <c r="C6" s="7" t="s">
        <v>235</v>
      </c>
      <c r="D6" s="7" t="s">
        <v>236</v>
      </c>
      <c r="E6" s="8" t="s">
        <v>352</v>
      </c>
      <c r="F6" s="7" t="s">
        <v>345</v>
      </c>
      <c r="G6" s="20" t="s">
        <v>19</v>
      </c>
      <c r="H6" s="20" t="s">
        <v>61</v>
      </c>
      <c r="I6" s="20" t="s">
        <v>20</v>
      </c>
      <c r="J6" s="21"/>
      <c r="K6" s="9" t="str">
        <f>"92,5"</f>
        <v>92,5</v>
      </c>
      <c r="L6" s="9" t="str">
        <f>"103,9330"</f>
        <v>103,9330</v>
      </c>
      <c r="M6" s="7" t="s">
        <v>344</v>
      </c>
    </row>
    <row r="8" spans="1:13" ht="16">
      <c r="A8" s="64" t="s">
        <v>10</v>
      </c>
      <c r="B8" s="64"/>
      <c r="C8" s="65"/>
      <c r="D8" s="65"/>
      <c r="E8" s="65"/>
      <c r="F8" s="65"/>
      <c r="G8" s="65"/>
      <c r="H8" s="65"/>
      <c r="I8" s="65"/>
      <c r="J8" s="65"/>
    </row>
    <row r="9" spans="1:13">
      <c r="A9" s="21" t="s">
        <v>42</v>
      </c>
      <c r="B9" s="7" t="s">
        <v>244</v>
      </c>
      <c r="C9" s="7" t="s">
        <v>237</v>
      </c>
      <c r="D9" s="7" t="s">
        <v>238</v>
      </c>
      <c r="E9" s="8" t="s">
        <v>352</v>
      </c>
      <c r="F9" s="7" t="s">
        <v>345</v>
      </c>
      <c r="G9" s="20" t="s">
        <v>19</v>
      </c>
      <c r="H9" s="20" t="s">
        <v>49</v>
      </c>
      <c r="I9" s="20" t="s">
        <v>51</v>
      </c>
      <c r="J9" s="21"/>
      <c r="K9" s="9" t="str">
        <f>"95,0"</f>
        <v>95,0</v>
      </c>
      <c r="L9" s="9" t="str">
        <f>"103,5310"</f>
        <v>103,5310</v>
      </c>
      <c r="M9" s="7" t="s">
        <v>344</v>
      </c>
    </row>
    <row r="11" spans="1:13" ht="16">
      <c r="A11" s="64" t="s">
        <v>22</v>
      </c>
      <c r="B11" s="64"/>
      <c r="C11" s="65"/>
      <c r="D11" s="65"/>
      <c r="E11" s="65"/>
      <c r="F11" s="65"/>
      <c r="G11" s="65"/>
      <c r="H11" s="65"/>
      <c r="I11" s="65"/>
      <c r="J11" s="65"/>
    </row>
    <row r="12" spans="1:13">
      <c r="A12" s="33" t="s">
        <v>42</v>
      </c>
      <c r="B12" s="23" t="s">
        <v>245</v>
      </c>
      <c r="C12" s="23" t="s">
        <v>338</v>
      </c>
      <c r="D12" s="23" t="s">
        <v>239</v>
      </c>
      <c r="E12" s="24" t="s">
        <v>357</v>
      </c>
      <c r="F12" s="23" t="s">
        <v>346</v>
      </c>
      <c r="G12" s="32" t="s">
        <v>72</v>
      </c>
      <c r="H12" s="32" t="s">
        <v>107</v>
      </c>
      <c r="I12" s="32" t="s">
        <v>240</v>
      </c>
      <c r="J12" s="33"/>
      <c r="K12" s="25" t="str">
        <f>"225,0"</f>
        <v>225,0</v>
      </c>
      <c r="L12" s="25" t="str">
        <f>"154,9800"</f>
        <v>154,9800</v>
      </c>
      <c r="M12" s="23" t="s">
        <v>344</v>
      </c>
    </row>
    <row r="13" spans="1:13">
      <c r="A13" s="37" t="s">
        <v>42</v>
      </c>
      <c r="B13" s="26" t="s">
        <v>246</v>
      </c>
      <c r="C13" s="26" t="s">
        <v>241</v>
      </c>
      <c r="D13" s="26" t="s">
        <v>242</v>
      </c>
      <c r="E13" s="27" t="s">
        <v>352</v>
      </c>
      <c r="F13" s="26" t="s">
        <v>345</v>
      </c>
      <c r="G13" s="36" t="s">
        <v>95</v>
      </c>
      <c r="H13" s="36" t="s">
        <v>74</v>
      </c>
      <c r="I13" s="35" t="s">
        <v>90</v>
      </c>
      <c r="J13" s="37"/>
      <c r="K13" s="28" t="str">
        <f>"220,0"</f>
        <v>220,0</v>
      </c>
      <c r="L13" s="28" t="str">
        <f>"153,5820"</f>
        <v>153,5820</v>
      </c>
      <c r="M13" s="26" t="s">
        <v>344</v>
      </c>
    </row>
    <row r="15" spans="1:13">
      <c r="E15" s="5"/>
      <c r="F15" s="11"/>
      <c r="G15" s="5"/>
      <c r="K15" s="18"/>
      <c r="M15" s="6"/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7F364-65F2-4CBC-8187-C941493AF50A}">
  <dimension ref="A1:M4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11" bestFit="1" customWidth="1"/>
    <col min="6" max="6" width="37.6640625" style="5" customWidth="1"/>
    <col min="7" max="9" width="4.5" style="18" customWidth="1"/>
    <col min="10" max="10" width="4.83203125" style="18" customWidth="1"/>
    <col min="11" max="11" width="10.5" style="6" bestFit="1" customWidth="1"/>
    <col min="12" max="12" width="7.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51" t="s">
        <v>326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2" customFormat="1" ht="62" customHeight="1" thickBot="1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>
      <c r="A3" s="59" t="s">
        <v>349</v>
      </c>
      <c r="B3" s="66" t="s">
        <v>0</v>
      </c>
      <c r="C3" s="61" t="s">
        <v>350</v>
      </c>
      <c r="D3" s="61" t="s">
        <v>6</v>
      </c>
      <c r="E3" s="45" t="s">
        <v>351</v>
      </c>
      <c r="F3" s="63" t="s">
        <v>5</v>
      </c>
      <c r="G3" s="63" t="s">
        <v>360</v>
      </c>
      <c r="H3" s="63"/>
      <c r="I3" s="63"/>
      <c r="J3" s="63"/>
      <c r="K3" s="45" t="s">
        <v>150</v>
      </c>
      <c r="L3" s="45" t="s">
        <v>3</v>
      </c>
      <c r="M3" s="47" t="s">
        <v>2</v>
      </c>
    </row>
    <row r="4" spans="1:13" s="1" customFormat="1" ht="21" customHeight="1" thickBot="1">
      <c r="A4" s="60"/>
      <c r="B4" s="67"/>
      <c r="C4" s="62"/>
      <c r="D4" s="62"/>
      <c r="E4" s="46"/>
      <c r="F4" s="62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48"/>
    </row>
    <row r="5" spans="1:13" ht="16">
      <c r="A5" s="49" t="s">
        <v>10</v>
      </c>
      <c r="B5" s="49"/>
      <c r="C5" s="50"/>
      <c r="D5" s="50"/>
      <c r="E5" s="50"/>
      <c r="F5" s="50"/>
      <c r="G5" s="50"/>
      <c r="H5" s="50"/>
      <c r="I5" s="50"/>
      <c r="J5" s="50"/>
    </row>
    <row r="6" spans="1:13">
      <c r="A6" s="33" t="s">
        <v>42</v>
      </c>
      <c r="B6" s="23" t="s">
        <v>288</v>
      </c>
      <c r="C6" s="23" t="s">
        <v>339</v>
      </c>
      <c r="D6" s="23" t="s">
        <v>289</v>
      </c>
      <c r="E6" s="24" t="s">
        <v>354</v>
      </c>
      <c r="F6" s="23" t="s">
        <v>290</v>
      </c>
      <c r="G6" s="32" t="s">
        <v>18</v>
      </c>
      <c r="H6" s="32" t="s">
        <v>50</v>
      </c>
      <c r="I6" s="34" t="s">
        <v>164</v>
      </c>
      <c r="J6" s="33"/>
      <c r="K6" s="25" t="str">
        <f>"47,5"</f>
        <v>47,5</v>
      </c>
      <c r="L6" s="25" t="str">
        <f>"36,1950"</f>
        <v>36,1950</v>
      </c>
      <c r="M6" s="23"/>
    </row>
    <row r="7" spans="1:13">
      <c r="A7" s="39" t="s">
        <v>42</v>
      </c>
      <c r="B7" s="29" t="s">
        <v>291</v>
      </c>
      <c r="C7" s="29" t="s">
        <v>340</v>
      </c>
      <c r="D7" s="29" t="s">
        <v>292</v>
      </c>
      <c r="E7" s="30" t="s">
        <v>357</v>
      </c>
      <c r="F7" s="29" t="s">
        <v>345</v>
      </c>
      <c r="G7" s="38" t="s">
        <v>164</v>
      </c>
      <c r="H7" s="38" t="s">
        <v>63</v>
      </c>
      <c r="I7" s="40" t="s">
        <v>293</v>
      </c>
      <c r="J7" s="39"/>
      <c r="K7" s="31" t="str">
        <f>"52,5"</f>
        <v>52,5</v>
      </c>
      <c r="L7" s="31" t="str">
        <f>"39,7976"</f>
        <v>39,7976</v>
      </c>
      <c r="M7" s="29"/>
    </row>
    <row r="8" spans="1:13">
      <c r="A8" s="39" t="s">
        <v>119</v>
      </c>
      <c r="B8" s="29" t="s">
        <v>294</v>
      </c>
      <c r="C8" s="29" t="s">
        <v>341</v>
      </c>
      <c r="D8" s="29" t="s">
        <v>295</v>
      </c>
      <c r="E8" s="30" t="s">
        <v>357</v>
      </c>
      <c r="F8" s="29" t="s">
        <v>346</v>
      </c>
      <c r="G8" s="38" t="s">
        <v>18</v>
      </c>
      <c r="H8" s="40" t="s">
        <v>63</v>
      </c>
      <c r="I8" s="40" t="s">
        <v>63</v>
      </c>
      <c r="J8" s="39"/>
      <c r="K8" s="31" t="str">
        <f>"45,0"</f>
        <v>45,0</v>
      </c>
      <c r="L8" s="31" t="str">
        <f>"34,4034"</f>
        <v>34,4034</v>
      </c>
      <c r="M8" s="29"/>
    </row>
    <row r="9" spans="1:13">
      <c r="A9" s="37" t="s">
        <v>42</v>
      </c>
      <c r="B9" s="26" t="s">
        <v>296</v>
      </c>
      <c r="C9" s="26" t="s">
        <v>297</v>
      </c>
      <c r="D9" s="26" t="s">
        <v>298</v>
      </c>
      <c r="E9" s="27" t="s">
        <v>352</v>
      </c>
      <c r="F9" s="26" t="s">
        <v>345</v>
      </c>
      <c r="G9" s="36" t="s">
        <v>18</v>
      </c>
      <c r="H9" s="36" t="s">
        <v>50</v>
      </c>
      <c r="I9" s="35" t="s">
        <v>164</v>
      </c>
      <c r="J9" s="37"/>
      <c r="K9" s="28" t="str">
        <f>"47,5"</f>
        <v>47,5</v>
      </c>
      <c r="L9" s="28" t="str">
        <f>"35,8910"</f>
        <v>35,8910</v>
      </c>
      <c r="M9" s="26"/>
    </row>
    <row r="11" spans="1:13" ht="16">
      <c r="A11" s="64" t="s">
        <v>170</v>
      </c>
      <c r="B11" s="64"/>
      <c r="C11" s="65"/>
      <c r="D11" s="65"/>
      <c r="E11" s="65"/>
      <c r="F11" s="65"/>
      <c r="G11" s="65"/>
      <c r="H11" s="65"/>
      <c r="I11" s="65"/>
      <c r="J11" s="65"/>
    </row>
    <row r="12" spans="1:13">
      <c r="A12" s="33" t="s">
        <v>42</v>
      </c>
      <c r="B12" s="23" t="s">
        <v>222</v>
      </c>
      <c r="C12" s="23" t="s">
        <v>177</v>
      </c>
      <c r="D12" s="23" t="s">
        <v>178</v>
      </c>
      <c r="E12" s="24" t="s">
        <v>352</v>
      </c>
      <c r="F12" s="23" t="s">
        <v>345</v>
      </c>
      <c r="G12" s="32" t="s">
        <v>164</v>
      </c>
      <c r="H12" s="32" t="s">
        <v>54</v>
      </c>
      <c r="I12" s="32" t="s">
        <v>160</v>
      </c>
      <c r="J12" s="33"/>
      <c r="K12" s="25" t="str">
        <f>"62,5"</f>
        <v>62,5</v>
      </c>
      <c r="L12" s="25" t="str">
        <f>"44,3406"</f>
        <v>44,3406</v>
      </c>
      <c r="M12" s="23"/>
    </row>
    <row r="13" spans="1:13">
      <c r="A13" s="37" t="s">
        <v>119</v>
      </c>
      <c r="B13" s="26" t="s">
        <v>221</v>
      </c>
      <c r="C13" s="26" t="s">
        <v>174</v>
      </c>
      <c r="D13" s="26" t="s">
        <v>175</v>
      </c>
      <c r="E13" s="27" t="s">
        <v>352</v>
      </c>
      <c r="F13" s="26" t="s">
        <v>345</v>
      </c>
      <c r="G13" s="36" t="s">
        <v>54</v>
      </c>
      <c r="H13" s="35" t="s">
        <v>55</v>
      </c>
      <c r="I13" s="35" t="s">
        <v>55</v>
      </c>
      <c r="J13" s="37"/>
      <c r="K13" s="28" t="str">
        <f>"60,0"</f>
        <v>60,0</v>
      </c>
      <c r="L13" s="28" t="str">
        <f>"41,8530"</f>
        <v>41,8530</v>
      </c>
      <c r="M13" s="26"/>
    </row>
    <row r="15" spans="1:13" ht="16">
      <c r="A15" s="64" t="s">
        <v>22</v>
      </c>
      <c r="B15" s="64"/>
      <c r="C15" s="65"/>
      <c r="D15" s="65"/>
      <c r="E15" s="65"/>
      <c r="F15" s="65"/>
      <c r="G15" s="65"/>
      <c r="H15" s="65"/>
      <c r="I15" s="65"/>
      <c r="J15" s="65"/>
    </row>
    <row r="16" spans="1:13">
      <c r="A16" s="21" t="s">
        <v>42</v>
      </c>
      <c r="B16" s="7" t="s">
        <v>275</v>
      </c>
      <c r="C16" s="7" t="s">
        <v>342</v>
      </c>
      <c r="D16" s="7" t="s">
        <v>263</v>
      </c>
      <c r="E16" s="8" t="s">
        <v>354</v>
      </c>
      <c r="F16" s="7" t="s">
        <v>345</v>
      </c>
      <c r="G16" s="22" t="s">
        <v>293</v>
      </c>
      <c r="H16" s="20" t="s">
        <v>293</v>
      </c>
      <c r="I16" s="22" t="s">
        <v>54</v>
      </c>
      <c r="J16" s="21"/>
      <c r="K16" s="9" t="str">
        <f>"55,0"</f>
        <v>55,0</v>
      </c>
      <c r="L16" s="9" t="str">
        <f>"36,0608"</f>
        <v>36,0608</v>
      </c>
      <c r="M16" s="7"/>
    </row>
    <row r="18" spans="1:13" ht="16">
      <c r="A18" s="64" t="s">
        <v>66</v>
      </c>
      <c r="B18" s="64"/>
      <c r="C18" s="65"/>
      <c r="D18" s="65"/>
      <c r="E18" s="65"/>
      <c r="F18" s="65"/>
      <c r="G18" s="65"/>
      <c r="H18" s="65"/>
      <c r="I18" s="65"/>
      <c r="J18" s="65"/>
    </row>
    <row r="19" spans="1:13">
      <c r="A19" s="33" t="s">
        <v>42</v>
      </c>
      <c r="B19" s="23" t="s">
        <v>299</v>
      </c>
      <c r="C19" s="23" t="s">
        <v>300</v>
      </c>
      <c r="D19" s="23" t="s">
        <v>301</v>
      </c>
      <c r="E19" s="24" t="s">
        <v>352</v>
      </c>
      <c r="F19" s="23" t="s">
        <v>345</v>
      </c>
      <c r="G19" s="32" t="s">
        <v>14</v>
      </c>
      <c r="H19" s="32" t="s">
        <v>169</v>
      </c>
      <c r="I19" s="34" t="s">
        <v>15</v>
      </c>
      <c r="J19" s="33"/>
      <c r="K19" s="25" t="str">
        <f>"72,5"</f>
        <v>72,5</v>
      </c>
      <c r="L19" s="25" t="str">
        <f>"45,8816"</f>
        <v>45,8816</v>
      </c>
      <c r="M19" s="23"/>
    </row>
    <row r="20" spans="1:13">
      <c r="A20" s="39" t="s">
        <v>119</v>
      </c>
      <c r="B20" s="29" t="s">
        <v>225</v>
      </c>
      <c r="C20" s="29" t="s">
        <v>183</v>
      </c>
      <c r="D20" s="29" t="s">
        <v>302</v>
      </c>
      <c r="E20" s="30" t="s">
        <v>352</v>
      </c>
      <c r="F20" s="29" t="s">
        <v>345</v>
      </c>
      <c r="G20" s="38" t="s">
        <v>293</v>
      </c>
      <c r="H20" s="38" t="s">
        <v>54</v>
      </c>
      <c r="I20" s="38" t="s">
        <v>13</v>
      </c>
      <c r="J20" s="39"/>
      <c r="K20" s="31" t="str">
        <f>"65,0"</f>
        <v>65,0</v>
      </c>
      <c r="L20" s="31" t="str">
        <f>"40,3731"</f>
        <v>40,3731</v>
      </c>
      <c r="M20" s="29"/>
    </row>
    <row r="21" spans="1:13">
      <c r="A21" s="37" t="s">
        <v>126</v>
      </c>
      <c r="B21" s="26" t="s">
        <v>123</v>
      </c>
      <c r="C21" s="26" t="s">
        <v>75</v>
      </c>
      <c r="D21" s="26" t="s">
        <v>303</v>
      </c>
      <c r="E21" s="27" t="s">
        <v>352</v>
      </c>
      <c r="F21" s="26" t="s">
        <v>345</v>
      </c>
      <c r="G21" s="36" t="s">
        <v>13</v>
      </c>
      <c r="H21" s="35" t="s">
        <v>14</v>
      </c>
      <c r="I21" s="35" t="s">
        <v>169</v>
      </c>
      <c r="J21" s="37"/>
      <c r="K21" s="28" t="str">
        <f>"65,0"</f>
        <v>65,0</v>
      </c>
      <c r="L21" s="28" t="str">
        <f>"40,0319"</f>
        <v>40,0319</v>
      </c>
      <c r="M21" s="26"/>
    </row>
    <row r="23" spans="1:13" ht="16">
      <c r="A23" s="64" t="s">
        <v>82</v>
      </c>
      <c r="B23" s="64"/>
      <c r="C23" s="65"/>
      <c r="D23" s="65"/>
      <c r="E23" s="65"/>
      <c r="F23" s="65"/>
      <c r="G23" s="65"/>
      <c r="H23" s="65"/>
      <c r="I23" s="65"/>
      <c r="J23" s="65"/>
    </row>
    <row r="24" spans="1:13">
      <c r="A24" s="33" t="s">
        <v>42</v>
      </c>
      <c r="B24" s="23" t="s">
        <v>124</v>
      </c>
      <c r="C24" s="23" t="s">
        <v>84</v>
      </c>
      <c r="D24" s="23" t="s">
        <v>85</v>
      </c>
      <c r="E24" s="24" t="s">
        <v>352</v>
      </c>
      <c r="F24" s="23" t="s">
        <v>345</v>
      </c>
      <c r="G24" s="32" t="s">
        <v>55</v>
      </c>
      <c r="H24" s="32" t="s">
        <v>15</v>
      </c>
      <c r="I24" s="34" t="s">
        <v>28</v>
      </c>
      <c r="J24" s="33"/>
      <c r="K24" s="25" t="str">
        <f>"75,0"</f>
        <v>75,0</v>
      </c>
      <c r="L24" s="25" t="str">
        <f>"43,6163"</f>
        <v>43,6163</v>
      </c>
      <c r="M24" s="23"/>
    </row>
    <row r="25" spans="1:13">
      <c r="A25" s="39" t="s">
        <v>119</v>
      </c>
      <c r="B25" s="29" t="s">
        <v>127</v>
      </c>
      <c r="C25" s="29" t="s">
        <v>97</v>
      </c>
      <c r="D25" s="29" t="s">
        <v>98</v>
      </c>
      <c r="E25" s="30" t="s">
        <v>352</v>
      </c>
      <c r="F25" s="29" t="s">
        <v>346</v>
      </c>
      <c r="G25" s="38" t="s">
        <v>293</v>
      </c>
      <c r="H25" s="38" t="s">
        <v>13</v>
      </c>
      <c r="I25" s="40" t="s">
        <v>28</v>
      </c>
      <c r="J25" s="39"/>
      <c r="K25" s="31" t="str">
        <f>"65,0"</f>
        <v>65,0</v>
      </c>
      <c r="L25" s="31" t="str">
        <f>"39,3055"</f>
        <v>39,3055</v>
      </c>
      <c r="M25" s="29"/>
    </row>
    <row r="26" spans="1:13">
      <c r="A26" s="37" t="s">
        <v>42</v>
      </c>
      <c r="B26" s="26" t="s">
        <v>304</v>
      </c>
      <c r="C26" s="26" t="s">
        <v>305</v>
      </c>
      <c r="D26" s="26" t="s">
        <v>306</v>
      </c>
      <c r="E26" s="27" t="s">
        <v>359</v>
      </c>
      <c r="F26" s="26" t="s">
        <v>346</v>
      </c>
      <c r="G26" s="36" t="s">
        <v>13</v>
      </c>
      <c r="H26" s="36" t="s">
        <v>14</v>
      </c>
      <c r="I26" s="35" t="s">
        <v>169</v>
      </c>
      <c r="J26" s="37"/>
      <c r="K26" s="28" t="str">
        <f>"70,0"</f>
        <v>70,0</v>
      </c>
      <c r="L26" s="28" t="str">
        <f>"58,5729"</f>
        <v>58,5729</v>
      </c>
      <c r="M26" s="26"/>
    </row>
    <row r="28" spans="1:13" ht="16">
      <c r="A28" s="64" t="s">
        <v>205</v>
      </c>
      <c r="B28" s="64"/>
      <c r="C28" s="65"/>
      <c r="D28" s="65"/>
      <c r="E28" s="65"/>
      <c r="F28" s="65"/>
      <c r="G28" s="65"/>
      <c r="H28" s="65"/>
      <c r="I28" s="65"/>
      <c r="J28" s="65"/>
    </row>
    <row r="29" spans="1:13">
      <c r="A29" s="21" t="s">
        <v>42</v>
      </c>
      <c r="B29" s="7" t="s">
        <v>233</v>
      </c>
      <c r="C29" s="7" t="s">
        <v>206</v>
      </c>
      <c r="D29" s="7" t="s">
        <v>307</v>
      </c>
      <c r="E29" s="8" t="s">
        <v>352</v>
      </c>
      <c r="F29" s="7" t="s">
        <v>345</v>
      </c>
      <c r="G29" s="20" t="s">
        <v>48</v>
      </c>
      <c r="H29" s="22" t="s">
        <v>49</v>
      </c>
      <c r="I29" s="20" t="s">
        <v>49</v>
      </c>
      <c r="J29" s="21"/>
      <c r="K29" s="9" t="str">
        <f>"90,0"</f>
        <v>90,0</v>
      </c>
      <c r="L29" s="9" t="str">
        <f>"48,1277"</f>
        <v>48,1277</v>
      </c>
      <c r="M29" s="7"/>
    </row>
    <row r="31" spans="1:13">
      <c r="G31" s="5"/>
      <c r="K31" s="18"/>
      <c r="M31" s="6"/>
    </row>
    <row r="32" spans="1:13">
      <c r="K32" s="18"/>
      <c r="M32" s="6"/>
    </row>
    <row r="33" spans="2:13" ht="18">
      <c r="B33" s="12" t="s">
        <v>33</v>
      </c>
      <c r="C33" s="12"/>
      <c r="K33" s="18"/>
      <c r="M33" s="6"/>
    </row>
    <row r="34" spans="2:13" ht="16">
      <c r="B34" s="10" t="s">
        <v>41</v>
      </c>
      <c r="C34" s="10"/>
      <c r="G34" s="3"/>
      <c r="K34" s="18"/>
      <c r="M34" s="6"/>
    </row>
    <row r="35" spans="2:13" ht="14">
      <c r="B35" s="13"/>
      <c r="C35" s="14" t="s">
        <v>35</v>
      </c>
      <c r="G35" s="3"/>
      <c r="K35" s="18"/>
      <c r="M35" s="6"/>
    </row>
    <row r="36" spans="2:13" ht="14">
      <c r="B36" s="15" t="s">
        <v>36</v>
      </c>
      <c r="C36" s="15" t="s">
        <v>37</v>
      </c>
      <c r="D36" s="15" t="s">
        <v>317</v>
      </c>
      <c r="E36" s="16" t="s">
        <v>149</v>
      </c>
      <c r="F36" s="15" t="s">
        <v>308</v>
      </c>
      <c r="G36" s="3"/>
      <c r="K36" s="18"/>
      <c r="M36" s="6"/>
    </row>
    <row r="37" spans="2:13">
      <c r="B37" s="5" t="s">
        <v>309</v>
      </c>
      <c r="C37" s="5" t="s">
        <v>35</v>
      </c>
      <c r="D37" s="18" t="s">
        <v>310</v>
      </c>
      <c r="E37" s="19">
        <v>90</v>
      </c>
      <c r="F37" s="17">
        <v>48.127681016921997</v>
      </c>
      <c r="G37" s="3"/>
      <c r="K37" s="18"/>
      <c r="M37" s="6"/>
    </row>
    <row r="38" spans="2:13">
      <c r="B38" s="5" t="s">
        <v>311</v>
      </c>
      <c r="C38" s="5" t="s">
        <v>35</v>
      </c>
      <c r="D38" s="18" t="s">
        <v>213</v>
      </c>
      <c r="E38" s="19">
        <v>72.5</v>
      </c>
      <c r="F38" s="17">
        <v>45.881624370813398</v>
      </c>
      <c r="G38" s="3"/>
      <c r="K38" s="18"/>
      <c r="M38" s="6"/>
    </row>
    <row r="39" spans="2:13">
      <c r="B39" s="5" t="s">
        <v>312</v>
      </c>
      <c r="C39" s="5" t="s">
        <v>35</v>
      </c>
      <c r="D39" s="18" t="s">
        <v>212</v>
      </c>
      <c r="E39" s="19">
        <v>62.5</v>
      </c>
      <c r="F39" s="17">
        <v>44.340625405311599</v>
      </c>
      <c r="G39" s="5"/>
      <c r="K39" s="18"/>
      <c r="M39" s="6"/>
    </row>
    <row r="40" spans="2:13">
      <c r="E40" s="5"/>
      <c r="F40" s="11"/>
      <c r="G40" s="5"/>
      <c r="K40" s="18"/>
      <c r="M40" s="6"/>
    </row>
  </sheetData>
  <mergeCells count="17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A23:J23"/>
    <mergeCell ref="A28:J28"/>
    <mergeCell ref="L3:L4"/>
    <mergeCell ref="M3:M4"/>
    <mergeCell ref="A5:J5"/>
    <mergeCell ref="A11:J11"/>
    <mergeCell ref="A15:J15"/>
    <mergeCell ref="A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IPL ПЛ без экипировки ДК</vt:lpstr>
      <vt:lpstr>IPL ПЛ без экипировки</vt:lpstr>
      <vt:lpstr>IPL Двоеборье без экип ДК</vt:lpstr>
      <vt:lpstr>IPL Двоеборье без экип</vt:lpstr>
      <vt:lpstr>IPL Жим без экипировки ДК</vt:lpstr>
      <vt:lpstr>IPL Жим без экипировки</vt:lpstr>
      <vt:lpstr>IPL Тяга без экипировки ДК</vt:lpstr>
      <vt:lpstr>IPL Тяга без экипировки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2023-11-14T16:44:29Z</dcterms:modified>
</cp:coreProperties>
</file>