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4/Апрель/"/>
    </mc:Choice>
  </mc:AlternateContent>
  <xr:revisionPtr revIDLastSave="0" documentId="13_ncr:1_{A73DB699-37E1-BD45-BD02-D4D300890FC5}" xr6:coauthVersionLast="45" xr6:coauthVersionMax="45" xr10:uidLastSave="{00000000-0000-0000-0000-000000000000}"/>
  <bookViews>
    <workbookView xWindow="460" yWindow="460" windowWidth="27920" windowHeight="15920" firstSheet="4" activeTab="9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Двоеборье без экип ДК" sheetId="14" r:id="rId4"/>
    <sheet name="WRPF Жим лежа без экип ДК" sheetId="10" r:id="rId5"/>
    <sheet name="WRPF Жим лежа без экип" sheetId="9" r:id="rId6"/>
    <sheet name="WRPF Тяга без экипировки ДК" sheetId="12" r:id="rId7"/>
    <sheet name="WRPF Тяга без экипировки" sheetId="11" r:id="rId8"/>
    <sheet name="WRPF Подъем на бицепс ДК" sheetId="16" r:id="rId9"/>
    <sheet name="WRPF Подъем на бицепс" sheetId="15" r:id="rId10"/>
  </sheets>
  <calcPr calcId="125725" refMode="R1C1" calcCompleted="0"/>
</workbook>
</file>

<file path=xl/calcChain.xml><?xml version="1.0" encoding="utf-8"?>
<calcChain xmlns="http://schemas.openxmlformats.org/spreadsheetml/2006/main">
  <c r="L31" i="16" l="1"/>
  <c r="K31" i="16"/>
  <c r="L30" i="16"/>
  <c r="K30" i="16"/>
  <c r="L29" i="16"/>
  <c r="K29" i="16"/>
  <c r="L26" i="16"/>
  <c r="K26" i="16"/>
  <c r="L25" i="16"/>
  <c r="K25" i="16"/>
  <c r="L24" i="16"/>
  <c r="K24" i="16"/>
  <c r="L23" i="16"/>
  <c r="K23" i="16"/>
  <c r="L20" i="16"/>
  <c r="K20" i="16"/>
  <c r="L19" i="16"/>
  <c r="K19" i="16"/>
  <c r="L16" i="16"/>
  <c r="K16" i="16"/>
  <c r="L15" i="16"/>
  <c r="K15" i="16"/>
  <c r="L14" i="16"/>
  <c r="K14" i="16"/>
  <c r="L13" i="16"/>
  <c r="K13" i="16"/>
  <c r="L12" i="16"/>
  <c r="K12" i="16"/>
  <c r="L9" i="16"/>
  <c r="K9" i="16"/>
  <c r="L6" i="16"/>
  <c r="K6" i="16"/>
  <c r="L9" i="15"/>
  <c r="K9" i="15"/>
  <c r="L6" i="15"/>
  <c r="K6" i="15"/>
  <c r="P6" i="14"/>
  <c r="O6" i="14"/>
  <c r="L23" i="12"/>
  <c r="K23" i="12"/>
  <c r="L20" i="12"/>
  <c r="K20" i="12"/>
  <c r="L19" i="12"/>
  <c r="K19" i="12"/>
  <c r="L18" i="12"/>
  <c r="K18" i="12"/>
  <c r="L15" i="12"/>
  <c r="K15" i="12"/>
  <c r="L14" i="12"/>
  <c r="K14" i="12"/>
  <c r="L11" i="12"/>
  <c r="K11" i="12"/>
  <c r="L10" i="12"/>
  <c r="K10" i="12"/>
  <c r="L7" i="12"/>
  <c r="K7" i="12"/>
  <c r="L6" i="12"/>
  <c r="K6" i="12"/>
  <c r="L16" i="11"/>
  <c r="L13" i="11"/>
  <c r="K13" i="11"/>
  <c r="L10" i="11"/>
  <c r="K10" i="11"/>
  <c r="L9" i="11"/>
  <c r="K9" i="11"/>
  <c r="L6" i="11"/>
  <c r="K6" i="11"/>
  <c r="L27" i="10"/>
  <c r="K27" i="10"/>
  <c r="L26" i="10"/>
  <c r="K26" i="10"/>
  <c r="L23" i="10"/>
  <c r="K23" i="10"/>
  <c r="L22" i="10"/>
  <c r="K22" i="10"/>
  <c r="L21" i="10"/>
  <c r="K21" i="10"/>
  <c r="L20" i="10"/>
  <c r="K20" i="10"/>
  <c r="L17" i="10"/>
  <c r="L16" i="10"/>
  <c r="K16" i="10"/>
  <c r="L13" i="10"/>
  <c r="K13" i="10"/>
  <c r="L10" i="10"/>
  <c r="K10" i="10"/>
  <c r="L7" i="10"/>
  <c r="K7" i="10"/>
  <c r="L6" i="10"/>
  <c r="K6" i="10"/>
  <c r="L16" i="9"/>
  <c r="K16" i="9"/>
  <c r="L13" i="9"/>
  <c r="K13" i="9"/>
  <c r="L10" i="9"/>
  <c r="K10" i="9"/>
  <c r="L9" i="9"/>
  <c r="K9" i="9"/>
  <c r="L6" i="9"/>
  <c r="K6" i="9"/>
  <c r="T17" i="8"/>
  <c r="S17" i="8"/>
  <c r="T16" i="8"/>
  <c r="S16" i="8"/>
  <c r="T13" i="8"/>
  <c r="S13" i="8"/>
  <c r="T10" i="8"/>
  <c r="S10" i="8"/>
  <c r="T7" i="8"/>
  <c r="S7" i="8"/>
  <c r="T6" i="8"/>
  <c r="S6" i="8"/>
  <c r="T15" i="7"/>
  <c r="S15" i="7"/>
  <c r="T12" i="7"/>
  <c r="S12" i="7"/>
  <c r="T9" i="7"/>
  <c r="S9" i="7"/>
  <c r="T6" i="7"/>
  <c r="S6" i="7"/>
  <c r="T6" i="6"/>
  <c r="S6" i="6"/>
</calcChain>
</file>

<file path=xl/sharedStrings.xml><?xml version="1.0" encoding="utf-8"?>
<sst xmlns="http://schemas.openxmlformats.org/spreadsheetml/2006/main" count="857" uniqueCount="277">
  <si>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</si>
  <si>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</si>
  <si>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</si>
  <si>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</si>
  <si>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</si>
  <si>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</si>
  <si>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</si>
  <si>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</si>
  <si>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</si>
  <si>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</si>
  <si>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</si>
  <si>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82.5</t>
  </si>
  <si>
    <t>Юниоры (15.01.2001)/23</t>
  </si>
  <si>
    <t>82,00</t>
  </si>
  <si>
    <t>240,0</t>
  </si>
  <si>
    <t>250,0</t>
  </si>
  <si>
    <t>160,0</t>
  </si>
  <si>
    <t>165,0</t>
  </si>
  <si>
    <t>262,5</t>
  </si>
  <si>
    <t xml:space="preserve">Мужчины </t>
  </si>
  <si>
    <t xml:space="preserve">ФИО </t>
  </si>
  <si>
    <t xml:space="preserve">Возрастная группа </t>
  </si>
  <si>
    <t xml:space="preserve">Wilks </t>
  </si>
  <si>
    <t>82.5</t>
  </si>
  <si>
    <t>1</t>
  </si>
  <si>
    <t>Керимов Шахлар</t>
  </si>
  <si>
    <t>ВЕСОВАЯ КАТЕГОРИЯ   67.5</t>
  </si>
  <si>
    <t>Юноши 14-16 (24.12.2007)/16</t>
  </si>
  <si>
    <t>61,30</t>
  </si>
  <si>
    <t>80,0</t>
  </si>
  <si>
    <t>85,0</t>
  </si>
  <si>
    <t>90,0</t>
  </si>
  <si>
    <t>65,0</t>
  </si>
  <si>
    <t>67,5</t>
  </si>
  <si>
    <t>70,0</t>
  </si>
  <si>
    <t>120,0</t>
  </si>
  <si>
    <t>125,0</t>
  </si>
  <si>
    <t>130,0</t>
  </si>
  <si>
    <t>Открытая (10.07.1998)/25</t>
  </si>
  <si>
    <t>77,10</t>
  </si>
  <si>
    <t>140,0</t>
  </si>
  <si>
    <t>150,0</t>
  </si>
  <si>
    <t>105,0</t>
  </si>
  <si>
    <t>112,5</t>
  </si>
  <si>
    <t>115,0</t>
  </si>
  <si>
    <t>155,0</t>
  </si>
  <si>
    <t>ВЕСОВАЯ КАТЕГОРИЯ   100</t>
  </si>
  <si>
    <t>Юниоры (27.06.2002)/21</t>
  </si>
  <si>
    <t>95,90</t>
  </si>
  <si>
    <t>200,0</t>
  </si>
  <si>
    <t>220,0</t>
  </si>
  <si>
    <t>260,0</t>
  </si>
  <si>
    <t>280,0</t>
  </si>
  <si>
    <t>300,0</t>
  </si>
  <si>
    <t>ВЕСОВАЯ КАТЕГОРИЯ   125</t>
  </si>
  <si>
    <t xml:space="preserve">Былков Артём </t>
  </si>
  <si>
    <t>Открытая (05.01.1998)/26</t>
  </si>
  <si>
    <t>114,50</t>
  </si>
  <si>
    <t>235,0</t>
  </si>
  <si>
    <t>245,0</t>
  </si>
  <si>
    <t>170,0</t>
  </si>
  <si>
    <t>180,0</t>
  </si>
  <si>
    <t>185,0</t>
  </si>
  <si>
    <t>230,0</t>
  </si>
  <si>
    <t>100</t>
  </si>
  <si>
    <t xml:space="preserve">Открытая </t>
  </si>
  <si>
    <t>125</t>
  </si>
  <si>
    <t>Прилепо Владислав</t>
  </si>
  <si>
    <t>Бегун Владимир</t>
  </si>
  <si>
    <t>Колпинец Савелий</t>
  </si>
  <si>
    <t>Былков Артём</t>
  </si>
  <si>
    <t>ВЕСОВАЯ КАТЕГОРИЯ   48</t>
  </si>
  <si>
    <t>Открытая (09.03.1993)/31</t>
  </si>
  <si>
    <t>46,90</t>
  </si>
  <si>
    <t>45,0</t>
  </si>
  <si>
    <t>52,5</t>
  </si>
  <si>
    <t>55,0</t>
  </si>
  <si>
    <t>110,0</t>
  </si>
  <si>
    <t>Открытая (09.11.2000)/23</t>
  </si>
  <si>
    <t>47,20</t>
  </si>
  <si>
    <t>77,5</t>
  </si>
  <si>
    <t>40,0</t>
  </si>
  <si>
    <t>100,0</t>
  </si>
  <si>
    <t>ВЕСОВАЯ КАТЕГОРИЯ   60</t>
  </si>
  <si>
    <t>Открытая (06.12.1998)/25</t>
  </si>
  <si>
    <t>59,70</t>
  </si>
  <si>
    <t>60,0</t>
  </si>
  <si>
    <t>62,5</t>
  </si>
  <si>
    <t>127,5</t>
  </si>
  <si>
    <t xml:space="preserve">Бурцев Анатолий </t>
  </si>
  <si>
    <t>Открытая (06.06.1988)/35</t>
  </si>
  <si>
    <t>66,40</t>
  </si>
  <si>
    <t>157,5</t>
  </si>
  <si>
    <t>172,5</t>
  </si>
  <si>
    <t>195,0</t>
  </si>
  <si>
    <t xml:space="preserve">Казанцев Владислав </t>
  </si>
  <si>
    <t>Открытая (04.01.2001)/23</t>
  </si>
  <si>
    <t>81,70</t>
  </si>
  <si>
    <t>190,0</t>
  </si>
  <si>
    <t>205,0</t>
  </si>
  <si>
    <t>Открытая (20.02.2007)/17</t>
  </si>
  <si>
    <t>75,70</t>
  </si>
  <si>
    <t>135,0</t>
  </si>
  <si>
    <t>145,0</t>
  </si>
  <si>
    <t>Юрченко Наталья</t>
  </si>
  <si>
    <t>2</t>
  </si>
  <si>
    <t>Голдина Александра</t>
  </si>
  <si>
    <t>Егорова Ольга</t>
  </si>
  <si>
    <t>Сабуров Виктор</t>
  </si>
  <si>
    <t>Казанцев Владислав</t>
  </si>
  <si>
    <t>Белентьев Михаил</t>
  </si>
  <si>
    <t>ВЕСОВАЯ КАТЕГОРИЯ   75</t>
  </si>
  <si>
    <t>Юноши 17-19 (20.12.2006)/17</t>
  </si>
  <si>
    <t>73,90</t>
  </si>
  <si>
    <t>75,0</t>
  </si>
  <si>
    <t>ВЕСОВАЯ КАТЕГОРИЯ   90</t>
  </si>
  <si>
    <t xml:space="preserve">Отто Максим </t>
  </si>
  <si>
    <t>Открытая (30.11.1987)/36</t>
  </si>
  <si>
    <t>88,90</t>
  </si>
  <si>
    <t>175,0</t>
  </si>
  <si>
    <t>Открытая (22.01.1990)/34</t>
  </si>
  <si>
    <t>87,10</t>
  </si>
  <si>
    <t>ВЕСОВАЯ КАТЕГОРИЯ   110</t>
  </si>
  <si>
    <t xml:space="preserve">Швец Максим </t>
  </si>
  <si>
    <t>Открытая (28.10.1998)/25</t>
  </si>
  <si>
    <t>105,60</t>
  </si>
  <si>
    <t>210,0</t>
  </si>
  <si>
    <t xml:space="preserve">Тарасов Владимир </t>
  </si>
  <si>
    <t xml:space="preserve">Результат </t>
  </si>
  <si>
    <t>110</t>
  </si>
  <si>
    <t>90</t>
  </si>
  <si>
    <t>Результат</t>
  </si>
  <si>
    <t>Коломыцин Виктор</t>
  </si>
  <si>
    <t>Отто Максим</t>
  </si>
  <si>
    <t>Тюнягин Николай</t>
  </si>
  <si>
    <t>Швец Максим</t>
  </si>
  <si>
    <t>Открытая (01.12.1990)/33</t>
  </si>
  <si>
    <t>59,80</t>
  </si>
  <si>
    <t>50,0</t>
  </si>
  <si>
    <t>Открытая (13.08.1998)/25</t>
  </si>
  <si>
    <t>66,30</t>
  </si>
  <si>
    <t>97,5</t>
  </si>
  <si>
    <t>102,5</t>
  </si>
  <si>
    <t>107,5</t>
  </si>
  <si>
    <t>Открытая (05.04.2005)/19</t>
  </si>
  <si>
    <t>72,50</t>
  </si>
  <si>
    <t>117,5</t>
  </si>
  <si>
    <t>Открытая (01.02.2008)/16</t>
  </si>
  <si>
    <t>81,00</t>
  </si>
  <si>
    <t xml:space="preserve">Лесозаводск/Приморский край </t>
  </si>
  <si>
    <t>142,5</t>
  </si>
  <si>
    <t>Открытая (28.06.2000)/23</t>
  </si>
  <si>
    <t xml:space="preserve">Коваль Алексей </t>
  </si>
  <si>
    <t>Открытая (18.04.1989)/35</t>
  </si>
  <si>
    <t>89,70</t>
  </si>
  <si>
    <t>147,5</t>
  </si>
  <si>
    <t>152,5</t>
  </si>
  <si>
    <t>Открытая (03.09.1997)/26</t>
  </si>
  <si>
    <t>88,20</t>
  </si>
  <si>
    <t>Открытая (12.10.1987)/36</t>
  </si>
  <si>
    <t>87,90</t>
  </si>
  <si>
    <t>132,5</t>
  </si>
  <si>
    <t>215,0</t>
  </si>
  <si>
    <t>Открытая (08.04.1984)/40</t>
  </si>
  <si>
    <t>87,70</t>
  </si>
  <si>
    <t xml:space="preserve">Фролов Александр </t>
  </si>
  <si>
    <t>Открытая (27.11.1987)/36</t>
  </si>
  <si>
    <t>91,40</t>
  </si>
  <si>
    <t xml:space="preserve">Кустов Александр </t>
  </si>
  <si>
    <t>Открытая (09.01.1985)/39</t>
  </si>
  <si>
    <t>98,20</t>
  </si>
  <si>
    <t>162,5</t>
  </si>
  <si>
    <t>Корзун Анастасия</t>
  </si>
  <si>
    <t>Дубранов Лев</t>
  </si>
  <si>
    <t>Прошин Алексей</t>
  </si>
  <si>
    <t>Скрынник Иван</t>
  </si>
  <si>
    <t>-</t>
  </si>
  <si>
    <t>Киселев Аркадий</t>
  </si>
  <si>
    <t>Коваль Алексей</t>
  </si>
  <si>
    <t>Гордиенко Андрей</t>
  </si>
  <si>
    <t>3</t>
  </si>
  <si>
    <t>Опелендер Артур</t>
  </si>
  <si>
    <t>4</t>
  </si>
  <si>
    <t>Фалинский Алексей</t>
  </si>
  <si>
    <t>Фролов Александр</t>
  </si>
  <si>
    <t>Кустов Александр</t>
  </si>
  <si>
    <t>Открытая (11.05.2002)/21</t>
  </si>
  <si>
    <t>81,60</t>
  </si>
  <si>
    <t>Юноши 14-16 (25.11.2007)/16</t>
  </si>
  <si>
    <t>83,60</t>
  </si>
  <si>
    <t>95,0</t>
  </si>
  <si>
    <t>Открытая (30.07.1990)/33</t>
  </si>
  <si>
    <t>89,60</t>
  </si>
  <si>
    <t>Открытая (01.12.1988)/35</t>
  </si>
  <si>
    <t>105,10</t>
  </si>
  <si>
    <t>Маторин Александр</t>
  </si>
  <si>
    <t>Дмитриев Тимур</t>
  </si>
  <si>
    <t>Стрижков Алексей</t>
  </si>
  <si>
    <t>Девицкий Сергей</t>
  </si>
  <si>
    <t>Открытая (18.03.2006)/18</t>
  </si>
  <si>
    <t>65,10</t>
  </si>
  <si>
    <t>Открытая (22.02.2009)/15</t>
  </si>
  <si>
    <t>74,00</t>
  </si>
  <si>
    <t>182,5</t>
  </si>
  <si>
    <t>Открытая (17.03.2006)/18</t>
  </si>
  <si>
    <t>70,30</t>
  </si>
  <si>
    <t>Юноши 14-16 (01.02.2008)/16</t>
  </si>
  <si>
    <t>Юноши 17-19 (20.01.2006)/18</t>
  </si>
  <si>
    <t>78,40</t>
  </si>
  <si>
    <t>Открытая (19.09.1987)/36</t>
  </si>
  <si>
    <t>81,20</t>
  </si>
  <si>
    <t>Казыдуб Виктор</t>
  </si>
  <si>
    <t>Усов Артур</t>
  </si>
  <si>
    <t>Умаров Александр</t>
  </si>
  <si>
    <t>Торговский Михаил</t>
  </si>
  <si>
    <t>Котов Алексей</t>
  </si>
  <si>
    <t>Открытая (02.11.1991)/32</t>
  </si>
  <si>
    <t>117,30</t>
  </si>
  <si>
    <t xml:space="preserve">Gloss </t>
  </si>
  <si>
    <t>Любченко Владимир</t>
  </si>
  <si>
    <t>ВЕСОВАЯ КАТЕГОРИЯ   52</t>
  </si>
  <si>
    <t>Открытая (01.12.2007)/16</t>
  </si>
  <si>
    <t>51,50</t>
  </si>
  <si>
    <t>42,5</t>
  </si>
  <si>
    <t>Открытая (21.10.2008)/15</t>
  </si>
  <si>
    <t>58,50</t>
  </si>
  <si>
    <t>47,5</t>
  </si>
  <si>
    <t>Юноши 13 - 19 (21.08.2006)/17</t>
  </si>
  <si>
    <t>65,50</t>
  </si>
  <si>
    <t>Открытая (28.06.1988)/35</t>
  </si>
  <si>
    <t>57,5</t>
  </si>
  <si>
    <t xml:space="preserve">Глущенко Александр </t>
  </si>
  <si>
    <t>Открытая (24.06.2004)/19</t>
  </si>
  <si>
    <t>72,5</t>
  </si>
  <si>
    <t>Открытая (20.01.2006)/18</t>
  </si>
  <si>
    <t>Открытая (11.05.1988)/35</t>
  </si>
  <si>
    <t>78,90</t>
  </si>
  <si>
    <t>Открытая (06.05.1975)/48</t>
  </si>
  <si>
    <t>86,90</t>
  </si>
  <si>
    <t>Геманкау Максим</t>
  </si>
  <si>
    <t>Кукличев Кирилл</t>
  </si>
  <si>
    <t>Подусенко Роман</t>
  </si>
  <si>
    <t>Долгоаршинных Арсений</t>
  </si>
  <si>
    <t>Глущенко Александр</t>
  </si>
  <si>
    <t>Мельников Артём</t>
  </si>
  <si>
    <t>Зацепин Александр</t>
  </si>
  <si>
    <t>Захарчук Александр</t>
  </si>
  <si>
    <t xml:space="preserve">Захарчук Александр </t>
  </si>
  <si>
    <t>Турпак Анастасия</t>
  </si>
  <si>
    <t>Всероссийский мастерский турнир «Черная акула»
WRPF Пауэрлифтинг без экипировки ДК
Арсеньев/Приморский край, 19-21 апреля 2024 года</t>
  </si>
  <si>
    <t>Всероссийский мастерский турнир «Черная акула»
WRPF Пауэрлифтинг без экипировки
Арсеньев/Приморский край, 19-21 апреля 2024 года</t>
  </si>
  <si>
    <t>Всероссийский мастерский турнир «Черная акула»
WRPF Пауэрлифтинг классический в бинтах ДК
Арсеньев/Приморский край, 19-21 апреля 2024 года</t>
  </si>
  <si>
    <t>Всероссийский мастерский турнир «Черная акула»
WRPF Силовое двоеборье без экипировки ДК
Арсеньев/Приморский край, 19-21 апреля 2024 года</t>
  </si>
  <si>
    <t>Всероссийский мастерский турнир «Черная акула»
WRPF Жим лежа без экипировки ДК
Арсеньев/Приморский край, 19-21 апреля 2024 года</t>
  </si>
  <si>
    <t>Всероссийский мастерский турнир «Черная акула»
WRPF Жим лежа без экипировки
Арсеньев/Приморский край, 19-21 апреля 2024 года</t>
  </si>
  <si>
    <t>Всероссийский мастерский турнир «Черная акула»
WRPF Становая тяга без экипировки ДК
Арсеньев/Приморский край, 19-21 апреля 2024 года</t>
  </si>
  <si>
    <t>Всероссийский мастерский турнир «Черная акула»
WRPF Становая тяга без экипировки
Арсеньев/Приморский край, 19-21 апреля 2024 года</t>
  </si>
  <si>
    <t>Весовая категория</t>
  </si>
  <si>
    <t>Всероссийский мастерский турнир «Черная акула»
WRPF Строгий подъем штанги на бицепс ДК
Арсеньев/Приморский край, 19-21 апреля 2024 года</t>
  </si>
  <si>
    <t>Всероссийский мастерский турнир «Черная акула»
WRPF Строгий подъем штанги на бицепс
Арсеньев/Приморский край, 19-21 апреля 2024 года</t>
  </si>
  <si>
    <t>жим</t>
  </si>
  <si>
    <t>Приморский край, Артём</t>
  </si>
  <si>
    <t>Приморский край, Владивосток</t>
  </si>
  <si>
    <t>Приморский край, с. Яковлевка</t>
  </si>
  <si>
    <t>Приморский край, Партизанск</t>
  </si>
  <si>
    <t>Приморский край, Арсеньев</t>
  </si>
  <si>
    <t>Приморский край, Уссурийск</t>
  </si>
  <si>
    <t>Приморский край, Лесозаводск</t>
  </si>
  <si>
    <t>Приморский край, Чугуевка</t>
  </si>
  <si>
    <t>№</t>
  </si>
  <si>
    <t xml:space="preserve">
Дата рождения/Возраст</t>
  </si>
  <si>
    <t>Возрастная группа</t>
  </si>
  <si>
    <t>O</t>
  </si>
  <si>
    <t>T1</t>
  </si>
  <si>
    <t>J</t>
  </si>
  <si>
    <t>T2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</si>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</sst>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0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13.6640625" style="5" bestFit="1" customWidth="1"/>
    <col min="5" max="5" width="10.5" style="6" bestFit="1" customWidth="1"/>
    <col min="6" max="6" width="32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6.5" style="5" bestFit="1" customWidth="1"/>
    <col min="22" max="16384" width="9.1640625" style="3"/>
  </cols>
  <sheetData>
    <row r="1" spans="1:21" s="2" customFormat="1" ht="29" customHeight="1">
      <c r="A1" s="58" t="s">
        <v>249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71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2" t="s">
        <v>24</v>
      </c>
      <c r="B6" s="24" t="s">
        <v>104</v>
      </c>
      <c r="C6" s="24" t="s">
        <v>72</v>
      </c>
      <c r="D6" s="24" t="s">
        <v>73</v>
      </c>
      <c r="E6" s="25" t="s">
        <v>272</v>
      </c>
      <c r="F6" s="24" t="s">
        <v>261</v>
      </c>
      <c r="G6" s="30" t="s">
        <v>34</v>
      </c>
      <c r="H6" s="30" t="s">
        <v>29</v>
      </c>
      <c r="I6" s="31" t="s">
        <v>29</v>
      </c>
      <c r="J6" s="32"/>
      <c r="K6" s="31" t="s">
        <v>74</v>
      </c>
      <c r="L6" s="31" t="s">
        <v>75</v>
      </c>
      <c r="M6" s="31" t="s">
        <v>76</v>
      </c>
      <c r="N6" s="32"/>
      <c r="O6" s="31" t="s">
        <v>31</v>
      </c>
      <c r="P6" s="31" t="s">
        <v>42</v>
      </c>
      <c r="Q6" s="31" t="s">
        <v>77</v>
      </c>
      <c r="R6" s="32"/>
      <c r="S6" s="26" t="str">
        <f>"245,0"</f>
        <v>245,0</v>
      </c>
      <c r="T6" s="26" t="str">
        <f>"330,0150"</f>
        <v>330,0150</v>
      </c>
      <c r="U6" s="24"/>
    </row>
    <row r="7" spans="1:21">
      <c r="A7" s="35" t="s">
        <v>105</v>
      </c>
      <c r="B7" s="27" t="s">
        <v>106</v>
      </c>
      <c r="C7" s="27" t="s">
        <v>78</v>
      </c>
      <c r="D7" s="27" t="s">
        <v>79</v>
      </c>
      <c r="E7" s="28" t="s">
        <v>272</v>
      </c>
      <c r="F7" s="27" t="s">
        <v>262</v>
      </c>
      <c r="G7" s="33" t="s">
        <v>34</v>
      </c>
      <c r="H7" s="34" t="s">
        <v>80</v>
      </c>
      <c r="I7" s="33" t="s">
        <v>80</v>
      </c>
      <c r="J7" s="35"/>
      <c r="K7" s="33" t="s">
        <v>81</v>
      </c>
      <c r="L7" s="34" t="s">
        <v>74</v>
      </c>
      <c r="M7" s="34" t="s">
        <v>74</v>
      </c>
      <c r="N7" s="35"/>
      <c r="O7" s="33" t="s">
        <v>29</v>
      </c>
      <c r="P7" s="33" t="s">
        <v>31</v>
      </c>
      <c r="Q7" s="33" t="s">
        <v>82</v>
      </c>
      <c r="R7" s="35"/>
      <c r="S7" s="29" t="str">
        <f>"217,5"</f>
        <v>217,5</v>
      </c>
      <c r="T7" s="29" t="str">
        <f>"291,6240"</f>
        <v>291,6240</v>
      </c>
      <c r="U7" s="27"/>
    </row>
    <row r="9" spans="1:21" ht="16">
      <c r="A9" s="48" t="s">
        <v>83</v>
      </c>
      <c r="B9" s="48"/>
      <c r="C9" s="48"/>
      <c r="D9" s="48"/>
      <c r="E9" s="49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21">
      <c r="A10" s="23" t="s">
        <v>24</v>
      </c>
      <c r="B10" s="11" t="s">
        <v>107</v>
      </c>
      <c r="C10" s="11" t="s">
        <v>84</v>
      </c>
      <c r="D10" s="11" t="s">
        <v>85</v>
      </c>
      <c r="E10" s="12" t="s">
        <v>272</v>
      </c>
      <c r="F10" s="11" t="s">
        <v>261</v>
      </c>
      <c r="G10" s="22" t="s">
        <v>82</v>
      </c>
      <c r="H10" s="22" t="s">
        <v>77</v>
      </c>
      <c r="I10" s="22" t="s">
        <v>44</v>
      </c>
      <c r="J10" s="23"/>
      <c r="K10" s="22" t="s">
        <v>76</v>
      </c>
      <c r="L10" s="22" t="s">
        <v>86</v>
      </c>
      <c r="M10" s="21" t="s">
        <v>87</v>
      </c>
      <c r="N10" s="23"/>
      <c r="O10" s="22" t="s">
        <v>77</v>
      </c>
      <c r="P10" s="21" t="s">
        <v>88</v>
      </c>
      <c r="Q10" s="21" t="s">
        <v>88</v>
      </c>
      <c r="R10" s="23"/>
      <c r="S10" s="13" t="str">
        <f>"285,0"</f>
        <v>285,0</v>
      </c>
      <c r="T10" s="13" t="str">
        <f>"318,9720"</f>
        <v>318,9720</v>
      </c>
      <c r="U10" s="11" t="s">
        <v>89</v>
      </c>
    </row>
    <row r="12" spans="1:21" ht="16">
      <c r="A12" s="48" t="s">
        <v>26</v>
      </c>
      <c r="B12" s="48"/>
      <c r="C12" s="48"/>
      <c r="D12" s="48"/>
      <c r="E12" s="4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21">
      <c r="A13" s="23" t="s">
        <v>24</v>
      </c>
      <c r="B13" s="11" t="s">
        <v>108</v>
      </c>
      <c r="C13" s="11" t="s">
        <v>90</v>
      </c>
      <c r="D13" s="11" t="s">
        <v>91</v>
      </c>
      <c r="E13" s="12" t="s">
        <v>272</v>
      </c>
      <c r="F13" s="11" t="s">
        <v>263</v>
      </c>
      <c r="G13" s="22" t="s">
        <v>40</v>
      </c>
      <c r="H13" s="22" t="s">
        <v>41</v>
      </c>
      <c r="I13" s="22" t="s">
        <v>92</v>
      </c>
      <c r="J13" s="23"/>
      <c r="K13" s="22" t="s">
        <v>42</v>
      </c>
      <c r="L13" s="22" t="s">
        <v>44</v>
      </c>
      <c r="M13" s="21" t="s">
        <v>35</v>
      </c>
      <c r="N13" s="23"/>
      <c r="O13" s="22" t="s">
        <v>93</v>
      </c>
      <c r="P13" s="22" t="s">
        <v>62</v>
      </c>
      <c r="Q13" s="22" t="s">
        <v>94</v>
      </c>
      <c r="R13" s="23"/>
      <c r="S13" s="13" t="str">
        <f>"467,5"</f>
        <v>467,5</v>
      </c>
      <c r="T13" s="13" t="str">
        <f>"365,2578"</f>
        <v>365,2578</v>
      </c>
      <c r="U13" s="11"/>
    </row>
    <row r="15" spans="1:21" ht="16">
      <c r="A15" s="48" t="s">
        <v>11</v>
      </c>
      <c r="B15" s="48"/>
      <c r="C15" s="48"/>
      <c r="D15" s="48"/>
      <c r="E15" s="49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21">
      <c r="A16" s="32" t="s">
        <v>24</v>
      </c>
      <c r="B16" s="24" t="s">
        <v>109</v>
      </c>
      <c r="C16" s="24" t="s">
        <v>96</v>
      </c>
      <c r="D16" s="24" t="s">
        <v>97</v>
      </c>
      <c r="E16" s="25" t="s">
        <v>272</v>
      </c>
      <c r="F16" s="24" t="s">
        <v>262</v>
      </c>
      <c r="G16" s="31" t="s">
        <v>16</v>
      </c>
      <c r="H16" s="31" t="s">
        <v>17</v>
      </c>
      <c r="I16" s="31" t="s">
        <v>93</v>
      </c>
      <c r="J16" s="32"/>
      <c r="K16" s="31" t="s">
        <v>77</v>
      </c>
      <c r="L16" s="31" t="s">
        <v>35</v>
      </c>
      <c r="M16" s="31" t="s">
        <v>36</v>
      </c>
      <c r="N16" s="32"/>
      <c r="O16" s="31" t="s">
        <v>61</v>
      </c>
      <c r="P16" s="31" t="s">
        <v>98</v>
      </c>
      <c r="Q16" s="31" t="s">
        <v>99</v>
      </c>
      <c r="R16" s="32"/>
      <c r="S16" s="26" t="str">
        <f>"502,5"</f>
        <v>502,5</v>
      </c>
      <c r="T16" s="26" t="str">
        <f>"338,6348"</f>
        <v>338,6348</v>
      </c>
      <c r="U16" s="24"/>
    </row>
    <row r="17" spans="1:21">
      <c r="A17" s="35" t="s">
        <v>105</v>
      </c>
      <c r="B17" s="27" t="s">
        <v>110</v>
      </c>
      <c r="C17" s="27" t="s">
        <v>100</v>
      </c>
      <c r="D17" s="27" t="s">
        <v>101</v>
      </c>
      <c r="E17" s="28" t="s">
        <v>272</v>
      </c>
      <c r="F17" s="27" t="s">
        <v>264</v>
      </c>
      <c r="G17" s="33" t="s">
        <v>36</v>
      </c>
      <c r="H17" s="33" t="s">
        <v>102</v>
      </c>
      <c r="I17" s="33" t="s">
        <v>40</v>
      </c>
      <c r="J17" s="35"/>
      <c r="K17" s="33" t="s">
        <v>30</v>
      </c>
      <c r="L17" s="33" t="s">
        <v>31</v>
      </c>
      <c r="M17" s="34" t="s">
        <v>82</v>
      </c>
      <c r="N17" s="35"/>
      <c r="O17" s="34" t="s">
        <v>102</v>
      </c>
      <c r="P17" s="33" t="s">
        <v>103</v>
      </c>
      <c r="Q17" s="33" t="s">
        <v>41</v>
      </c>
      <c r="R17" s="35"/>
      <c r="S17" s="29" t="str">
        <f>"380,0"</f>
        <v>380,0</v>
      </c>
      <c r="T17" s="29" t="str">
        <f>"269,0400"</f>
        <v>269,0400</v>
      </c>
      <c r="U17" s="27"/>
    </row>
    <row r="19" spans="1:21" ht="16">
      <c r="F19" s="8"/>
      <c r="G19" s="5"/>
    </row>
    <row r="20" spans="1:21" ht="16">
      <c r="F20" s="8"/>
      <c r="G20" s="5"/>
    </row>
    <row r="21" spans="1:21" ht="16">
      <c r="F21" s="8"/>
      <c r="G21" s="5"/>
    </row>
    <row r="22" spans="1:21" ht="16">
      <c r="F22" s="8"/>
      <c r="G22" s="5"/>
    </row>
    <row r="23" spans="1:21" ht="16">
      <c r="F23" s="8"/>
      <c r="G23" s="5"/>
    </row>
    <row r="24" spans="1:21" ht="16">
      <c r="F24" s="8"/>
      <c r="G24" s="5"/>
    </row>
    <row r="25" spans="1:21" ht="16">
      <c r="F25" s="8"/>
      <c r="G25" s="5"/>
    </row>
    <row r="26" spans="1:21">
      <c r="G26" s="5"/>
    </row>
    <row r="27" spans="1:21" ht="18">
      <c r="C27" s="9"/>
      <c r="D27" s="9"/>
      <c r="E27" s="5"/>
      <c r="F27" s="6"/>
      <c r="G27" s="5"/>
    </row>
    <row r="28" spans="1:21" ht="16">
      <c r="C28" s="14"/>
      <c r="D28" s="14"/>
      <c r="E28" s="5"/>
      <c r="F28" s="6"/>
      <c r="G28" s="5"/>
    </row>
    <row r="29" spans="1:21" ht="14">
      <c r="C29" s="15"/>
      <c r="D29" s="16"/>
      <c r="E29" s="5"/>
      <c r="F29" s="6"/>
      <c r="G29" s="5"/>
    </row>
    <row r="30" spans="1:21">
      <c r="E30" s="10"/>
      <c r="F30" s="20"/>
      <c r="G30" s="19"/>
    </row>
    <row r="31" spans="1:21">
      <c r="E31" s="10"/>
      <c r="F31" s="20"/>
      <c r="G31" s="19"/>
    </row>
    <row r="32" spans="1:21">
      <c r="E32" s="10"/>
      <c r="F32" s="20"/>
      <c r="G32" s="19"/>
    </row>
    <row r="33" spans="3:7">
      <c r="E33" s="5"/>
      <c r="F33" s="6"/>
      <c r="G33" s="5"/>
    </row>
    <row r="34" spans="3:7">
      <c r="E34" s="5"/>
      <c r="F34" s="6"/>
      <c r="G34" s="5"/>
    </row>
    <row r="35" spans="3:7" ht="16">
      <c r="C35" s="14"/>
      <c r="D35" s="14"/>
      <c r="E35" s="5"/>
      <c r="F35" s="6"/>
      <c r="G35" s="5"/>
    </row>
    <row r="36" spans="3:7" ht="14">
      <c r="C36" s="15"/>
      <c r="D36" s="16"/>
      <c r="E36" s="5"/>
      <c r="F36" s="6"/>
      <c r="G36" s="5"/>
    </row>
    <row r="37" spans="3:7">
      <c r="E37" s="10"/>
      <c r="F37" s="20"/>
      <c r="G37" s="19"/>
    </row>
    <row r="38" spans="3:7">
      <c r="E38" s="10"/>
      <c r="F38" s="20"/>
      <c r="G38" s="19"/>
    </row>
    <row r="39" spans="3:7">
      <c r="E39" s="10"/>
      <c r="F39" s="20"/>
      <c r="G39" s="19"/>
    </row>
    <row r="40" spans="3:7">
      <c r="E40" s="5"/>
      <c r="F40" s="6"/>
      <c r="G40" s="5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2:R12"/>
    <mergeCell ref="A15:R15"/>
    <mergeCell ref="B3:B4"/>
    <mergeCell ref="S3:S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tabSelected="1"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4.5" style="10" customWidth="1"/>
    <col min="10" max="10" width="4.83203125" style="10" customWidth="1"/>
    <col min="11" max="11" width="7.83203125" style="7" bestFit="1" customWidth="1"/>
    <col min="12" max="12" width="7.5" style="7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58" t="s">
        <v>259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260</v>
      </c>
      <c r="H3" s="70"/>
      <c r="I3" s="70"/>
      <c r="J3" s="70"/>
      <c r="K3" s="52" t="s">
        <v>131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122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3" t="s">
        <v>24</v>
      </c>
      <c r="B6" s="11" t="s">
        <v>198</v>
      </c>
      <c r="C6" s="11" t="s">
        <v>193</v>
      </c>
      <c r="D6" s="11" t="s">
        <v>194</v>
      </c>
      <c r="E6" s="12" t="s">
        <v>272</v>
      </c>
      <c r="F6" s="11" t="s">
        <v>265</v>
      </c>
      <c r="G6" s="22" t="s">
        <v>34</v>
      </c>
      <c r="H6" s="22" t="s">
        <v>114</v>
      </c>
      <c r="I6" s="22" t="s">
        <v>29</v>
      </c>
      <c r="J6" s="23"/>
      <c r="K6" s="13" t="str">
        <f>"80,0"</f>
        <v>80,0</v>
      </c>
      <c r="L6" s="13" t="str">
        <f>"45,6400"</f>
        <v>45,6400</v>
      </c>
      <c r="M6" s="42" t="s">
        <v>246</v>
      </c>
    </row>
    <row r="8" spans="1:13" ht="16">
      <c r="A8" s="48" t="s">
        <v>54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3" t="s">
        <v>24</v>
      </c>
      <c r="B9" s="11" t="s">
        <v>219</v>
      </c>
      <c r="C9" s="11" t="s">
        <v>216</v>
      </c>
      <c r="D9" s="11" t="s">
        <v>217</v>
      </c>
      <c r="E9" s="12" t="s">
        <v>272</v>
      </c>
      <c r="F9" s="11" t="s">
        <v>265</v>
      </c>
      <c r="G9" s="22" t="s">
        <v>76</v>
      </c>
      <c r="H9" s="22" t="s">
        <v>32</v>
      </c>
      <c r="I9" s="21" t="s">
        <v>114</v>
      </c>
      <c r="J9" s="23"/>
      <c r="K9" s="13" t="str">
        <f>"65,0"</f>
        <v>65,0</v>
      </c>
      <c r="L9" s="13" t="str">
        <f>"35,9937"</f>
        <v>35,9937</v>
      </c>
      <c r="M9" s="11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>
      <c r="G18" s="5"/>
      <c r="K18" s="10"/>
      <c r="M18" s="7"/>
    </row>
    <row r="19" spans="3:13" ht="18">
      <c r="C19" s="9"/>
      <c r="D19" s="9"/>
      <c r="E19" s="5"/>
      <c r="F19" s="6"/>
      <c r="G19" s="5"/>
      <c r="K19" s="10"/>
      <c r="M19" s="7"/>
    </row>
    <row r="20" spans="3:13" ht="16">
      <c r="C20" s="14"/>
      <c r="D20" s="14"/>
      <c r="E20" s="5"/>
      <c r="F20" s="6"/>
      <c r="G20" s="5"/>
      <c r="K20" s="10"/>
      <c r="M20" s="7"/>
    </row>
    <row r="21" spans="3:13" ht="14">
      <c r="C21" s="15"/>
      <c r="D21" s="16"/>
      <c r="E21" s="5"/>
      <c r="F21" s="6"/>
      <c r="G21" s="5"/>
      <c r="K21" s="10"/>
      <c r="M21" s="7"/>
    </row>
    <row r="22" spans="3:13">
      <c r="E22" s="10"/>
      <c r="F22" s="20"/>
      <c r="G22" s="19"/>
      <c r="K22" s="10"/>
      <c r="M22" s="7"/>
    </row>
    <row r="23" spans="3:13">
      <c r="E23" s="10"/>
      <c r="F23" s="20"/>
      <c r="G23" s="19"/>
      <c r="K23" s="10"/>
      <c r="M23" s="7"/>
    </row>
    <row r="24" spans="3:13">
      <c r="E24" s="5"/>
      <c r="F24" s="6"/>
      <c r="G24" s="5"/>
      <c r="K24" s="10"/>
      <c r="M24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3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13.6640625" style="5" bestFit="1" customWidth="1"/>
    <col min="5" max="5" width="10.5" style="6" bestFit="1" customWidth="1"/>
    <col min="6" max="6" width="32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58" t="s">
        <v>250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26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23" t="s">
        <v>24</v>
      </c>
      <c r="B6" s="11" t="s">
        <v>67</v>
      </c>
      <c r="C6" s="11" t="s">
        <v>27</v>
      </c>
      <c r="D6" s="11" t="s">
        <v>28</v>
      </c>
      <c r="E6" s="12" t="s">
        <v>273</v>
      </c>
      <c r="F6" s="11" t="s">
        <v>265</v>
      </c>
      <c r="G6" s="22" t="s">
        <v>29</v>
      </c>
      <c r="H6" s="22" t="s">
        <v>30</v>
      </c>
      <c r="I6" s="22" t="s">
        <v>31</v>
      </c>
      <c r="J6" s="23"/>
      <c r="K6" s="22" t="s">
        <v>32</v>
      </c>
      <c r="L6" s="22" t="s">
        <v>33</v>
      </c>
      <c r="M6" s="22" t="s">
        <v>34</v>
      </c>
      <c r="N6" s="23"/>
      <c r="O6" s="22" t="s">
        <v>35</v>
      </c>
      <c r="P6" s="22" t="s">
        <v>36</v>
      </c>
      <c r="Q6" s="22" t="s">
        <v>37</v>
      </c>
      <c r="R6" s="23"/>
      <c r="S6" s="13" t="str">
        <f>"290,0"</f>
        <v>290,0</v>
      </c>
      <c r="T6" s="13" t="str">
        <f>"242,5850"</f>
        <v>242,5850</v>
      </c>
      <c r="U6" s="42" t="s">
        <v>248</v>
      </c>
    </row>
    <row r="8" spans="1:21" ht="16">
      <c r="A8" s="48" t="s">
        <v>11</v>
      </c>
      <c r="B8" s="48"/>
      <c r="C8" s="48"/>
      <c r="D8" s="48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1">
      <c r="A9" s="23" t="s">
        <v>24</v>
      </c>
      <c r="B9" s="11" t="s">
        <v>68</v>
      </c>
      <c r="C9" s="11" t="s">
        <v>38</v>
      </c>
      <c r="D9" s="11" t="s">
        <v>39</v>
      </c>
      <c r="E9" s="12" t="s">
        <v>272</v>
      </c>
      <c r="F9" s="11" t="s">
        <v>265</v>
      </c>
      <c r="G9" s="22" t="s">
        <v>40</v>
      </c>
      <c r="H9" s="22" t="s">
        <v>41</v>
      </c>
      <c r="I9" s="21" t="s">
        <v>16</v>
      </c>
      <c r="J9" s="23"/>
      <c r="K9" s="22" t="s">
        <v>42</v>
      </c>
      <c r="L9" s="22" t="s">
        <v>43</v>
      </c>
      <c r="M9" s="22" t="s">
        <v>44</v>
      </c>
      <c r="N9" s="23"/>
      <c r="O9" s="22" t="s">
        <v>40</v>
      </c>
      <c r="P9" s="22" t="s">
        <v>45</v>
      </c>
      <c r="Q9" s="22" t="s">
        <v>16</v>
      </c>
      <c r="R9" s="23"/>
      <c r="S9" s="13" t="str">
        <f>"425,0"</f>
        <v>425,0</v>
      </c>
      <c r="T9" s="13" t="str">
        <f>"297,2025"</f>
        <v>297,2025</v>
      </c>
      <c r="U9" s="11"/>
    </row>
    <row r="11" spans="1:21" ht="16">
      <c r="A11" s="48" t="s">
        <v>46</v>
      </c>
      <c r="B11" s="48"/>
      <c r="C11" s="48"/>
      <c r="D11" s="48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21">
      <c r="A12" s="23" t="s">
        <v>24</v>
      </c>
      <c r="B12" s="11" t="s">
        <v>69</v>
      </c>
      <c r="C12" s="11" t="s">
        <v>47</v>
      </c>
      <c r="D12" s="11" t="s">
        <v>48</v>
      </c>
      <c r="E12" s="12" t="s">
        <v>274</v>
      </c>
      <c r="F12" s="11" t="s">
        <v>262</v>
      </c>
      <c r="G12" s="21" t="s">
        <v>49</v>
      </c>
      <c r="H12" s="21" t="s">
        <v>49</v>
      </c>
      <c r="I12" s="22" t="s">
        <v>50</v>
      </c>
      <c r="J12" s="23"/>
      <c r="K12" s="22" t="s">
        <v>35</v>
      </c>
      <c r="L12" s="22" t="s">
        <v>37</v>
      </c>
      <c r="M12" s="22" t="s">
        <v>40</v>
      </c>
      <c r="N12" s="23"/>
      <c r="O12" s="22" t="s">
        <v>51</v>
      </c>
      <c r="P12" s="22" t="s">
        <v>52</v>
      </c>
      <c r="Q12" s="21" t="s">
        <v>53</v>
      </c>
      <c r="R12" s="23"/>
      <c r="S12" s="13" t="str">
        <f>"640,0"</f>
        <v>640,0</v>
      </c>
      <c r="T12" s="13" t="str">
        <f>"396,4160"</f>
        <v>396,4160</v>
      </c>
      <c r="U12" s="11"/>
    </row>
    <row r="14" spans="1:21" ht="16">
      <c r="A14" s="48" t="s">
        <v>54</v>
      </c>
      <c r="B14" s="48"/>
      <c r="C14" s="48"/>
      <c r="D14" s="48"/>
      <c r="E14" s="4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1">
      <c r="A15" s="23" t="s">
        <v>24</v>
      </c>
      <c r="B15" s="11" t="s">
        <v>70</v>
      </c>
      <c r="C15" s="11" t="s">
        <v>56</v>
      </c>
      <c r="D15" s="11" t="s">
        <v>57</v>
      </c>
      <c r="E15" s="12" t="s">
        <v>272</v>
      </c>
      <c r="F15" s="11" t="s">
        <v>265</v>
      </c>
      <c r="G15" s="22" t="s">
        <v>50</v>
      </c>
      <c r="H15" s="22" t="s">
        <v>58</v>
      </c>
      <c r="I15" s="22" t="s">
        <v>59</v>
      </c>
      <c r="J15" s="23"/>
      <c r="K15" s="22" t="s">
        <v>60</v>
      </c>
      <c r="L15" s="22" t="s">
        <v>61</v>
      </c>
      <c r="M15" s="22" t="s">
        <v>62</v>
      </c>
      <c r="N15" s="23"/>
      <c r="O15" s="22" t="s">
        <v>63</v>
      </c>
      <c r="P15" s="22" t="s">
        <v>15</v>
      </c>
      <c r="Q15" s="23"/>
      <c r="R15" s="23"/>
      <c r="S15" s="13" t="str">
        <f>"680,0"</f>
        <v>680,0</v>
      </c>
      <c r="T15" s="13" t="str">
        <f>"395,5560"</f>
        <v>395,5560</v>
      </c>
      <c r="U15" s="11"/>
    </row>
    <row r="17" spans="3:7" ht="16">
      <c r="F17" s="8"/>
      <c r="G17" s="5"/>
    </row>
    <row r="18" spans="3:7" ht="16">
      <c r="F18" s="8"/>
      <c r="G18" s="5"/>
    </row>
    <row r="19" spans="3:7" ht="16">
      <c r="F19" s="8"/>
      <c r="G19" s="5"/>
    </row>
    <row r="20" spans="3:7" ht="16">
      <c r="F20" s="8"/>
      <c r="G20" s="5"/>
    </row>
    <row r="21" spans="3:7" ht="16">
      <c r="F21" s="8"/>
      <c r="G21" s="5"/>
    </row>
    <row r="22" spans="3:7" ht="16">
      <c r="F22" s="8"/>
      <c r="G22" s="5"/>
    </row>
    <row r="23" spans="3:7" ht="16">
      <c r="F23" s="8"/>
      <c r="G23" s="5"/>
    </row>
    <row r="24" spans="3:7">
      <c r="G24" s="5"/>
    </row>
    <row r="25" spans="3:7" ht="18">
      <c r="C25" s="9"/>
      <c r="D25" s="9"/>
      <c r="E25" s="5"/>
      <c r="F25" s="6"/>
      <c r="G25" s="5"/>
    </row>
    <row r="26" spans="3:7" ht="16">
      <c r="C26" s="14"/>
      <c r="D26" s="14"/>
      <c r="E26" s="5"/>
      <c r="F26" s="6"/>
      <c r="G26" s="5"/>
    </row>
    <row r="27" spans="3:7" ht="14">
      <c r="C27" s="15"/>
      <c r="D27" s="16"/>
      <c r="E27" s="5"/>
      <c r="F27" s="6"/>
      <c r="G27" s="5"/>
    </row>
    <row r="28" spans="3:7">
      <c r="E28" s="10"/>
      <c r="F28" s="20"/>
      <c r="G28" s="19"/>
    </row>
    <row r="29" spans="3:7">
      <c r="E29" s="5"/>
      <c r="F29" s="6"/>
      <c r="G29" s="5"/>
    </row>
    <row r="30" spans="3:7" ht="14">
      <c r="C30" s="15"/>
      <c r="D30" s="16"/>
      <c r="E30" s="5"/>
      <c r="F30" s="6"/>
      <c r="G30" s="5"/>
    </row>
    <row r="31" spans="3:7">
      <c r="E31" s="10"/>
      <c r="F31" s="20"/>
      <c r="G31" s="19"/>
    </row>
    <row r="32" spans="3:7">
      <c r="E32" s="5"/>
      <c r="F32" s="6"/>
      <c r="G32" s="5"/>
    </row>
    <row r="33" spans="3:7" ht="14">
      <c r="C33" s="15"/>
      <c r="D33" s="16"/>
      <c r="E33" s="5"/>
      <c r="F33" s="6"/>
      <c r="G33" s="5"/>
    </row>
    <row r="34" spans="3:7">
      <c r="E34" s="10"/>
      <c r="F34" s="20"/>
      <c r="G34" s="19"/>
    </row>
    <row r="35" spans="3:7">
      <c r="E35" s="10"/>
      <c r="F35" s="20"/>
      <c r="G35" s="19"/>
    </row>
    <row r="36" spans="3:7">
      <c r="E36" s="5"/>
      <c r="F36" s="6"/>
      <c r="G36" s="5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0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7.33203125" style="5" customWidth="1"/>
    <col min="22" max="16384" width="9.1640625" style="3"/>
  </cols>
  <sheetData>
    <row r="1" spans="1:21" s="2" customFormat="1" ht="29" customHeight="1">
      <c r="A1" s="58" t="s">
        <v>251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23" t="s">
        <v>24</v>
      </c>
      <c r="B6" s="11" t="s">
        <v>25</v>
      </c>
      <c r="C6" s="11" t="s">
        <v>12</v>
      </c>
      <c r="D6" s="11" t="s">
        <v>13</v>
      </c>
      <c r="E6" s="12" t="s">
        <v>274</v>
      </c>
      <c r="F6" s="11" t="s">
        <v>262</v>
      </c>
      <c r="G6" s="21" t="s">
        <v>14</v>
      </c>
      <c r="H6" s="22" t="s">
        <v>14</v>
      </c>
      <c r="I6" s="21" t="s">
        <v>15</v>
      </c>
      <c r="J6" s="23"/>
      <c r="K6" s="22" t="s">
        <v>16</v>
      </c>
      <c r="L6" s="21" t="s">
        <v>17</v>
      </c>
      <c r="M6" s="23"/>
      <c r="N6" s="23"/>
      <c r="O6" s="22" t="s">
        <v>14</v>
      </c>
      <c r="P6" s="21" t="s">
        <v>18</v>
      </c>
      <c r="Q6" s="21" t="s">
        <v>18</v>
      </c>
      <c r="R6" s="23"/>
      <c r="S6" s="13" t="str">
        <f>"640,0"</f>
        <v>640,0</v>
      </c>
      <c r="T6" s="13" t="str">
        <f>"430,3360"</f>
        <v>430,3360</v>
      </c>
      <c r="U6" s="42" t="s">
        <v>123</v>
      </c>
    </row>
    <row r="8" spans="1:21" ht="16">
      <c r="F8" s="8"/>
      <c r="G8" s="5"/>
    </row>
    <row r="9" spans="1:21" ht="16">
      <c r="F9" s="8"/>
      <c r="G9" s="5"/>
    </row>
    <row r="10" spans="1:21" ht="16">
      <c r="F10" s="8"/>
      <c r="G10" s="5"/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>
      <c r="G15" s="5"/>
    </row>
    <row r="16" spans="1:21" ht="18">
      <c r="C16" s="9"/>
      <c r="D16" s="9"/>
      <c r="E16" s="5"/>
      <c r="F16" s="6"/>
      <c r="G16" s="5"/>
    </row>
    <row r="17" spans="3:7" ht="16">
      <c r="C17" s="14"/>
      <c r="D17" s="14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>
      <c r="E19" s="10"/>
      <c r="F19" s="20"/>
      <c r="G19" s="19"/>
    </row>
    <row r="20" spans="3:7">
      <c r="E20" s="5"/>
      <c r="F20" s="6"/>
      <c r="G20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0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58" t="s">
        <v>252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115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23" t="s">
        <v>24</v>
      </c>
      <c r="B6" s="11" t="s">
        <v>181</v>
      </c>
      <c r="C6" s="11" t="s">
        <v>159</v>
      </c>
      <c r="D6" s="11" t="s">
        <v>160</v>
      </c>
      <c r="E6" s="12" t="s">
        <v>272</v>
      </c>
      <c r="F6" s="11" t="s">
        <v>265</v>
      </c>
      <c r="G6" s="22" t="s">
        <v>36</v>
      </c>
      <c r="H6" s="21" t="s">
        <v>161</v>
      </c>
      <c r="I6" s="22" t="s">
        <v>161</v>
      </c>
      <c r="J6" s="23"/>
      <c r="K6" s="21" t="s">
        <v>99</v>
      </c>
      <c r="L6" s="22" t="s">
        <v>99</v>
      </c>
      <c r="M6" s="22" t="s">
        <v>162</v>
      </c>
      <c r="N6" s="23"/>
      <c r="O6" s="13" t="str">
        <f>"347,5"</f>
        <v>347,5</v>
      </c>
      <c r="P6" s="13" t="str">
        <f>"224,5893"</f>
        <v>224,5893</v>
      </c>
      <c r="Q6" s="11"/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14"/>
      <c r="D17" s="14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>
      <c r="E19" s="10"/>
      <c r="F19" s="20"/>
      <c r="G19" s="19"/>
    </row>
    <row r="20" spans="3:7">
      <c r="E20" s="5"/>
      <c r="F20" s="6"/>
      <c r="G20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7"/>
  <sheetViews>
    <sheetView workbookViewId="0">
      <selection activeCell="K33" sqref="K33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3.6640625" style="5" customWidth="1"/>
    <col min="7" max="9" width="5.5" style="10" customWidth="1"/>
    <col min="10" max="10" width="4.83203125" style="10" customWidth="1"/>
    <col min="11" max="11" width="10.5" style="20" bestFit="1" customWidth="1"/>
    <col min="12" max="12" width="8.5" style="7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58" t="s">
        <v>253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9</v>
      </c>
      <c r="H3" s="70"/>
      <c r="I3" s="70"/>
      <c r="J3" s="70"/>
      <c r="K3" s="71" t="s">
        <v>131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72"/>
      <c r="L4" s="53"/>
      <c r="M4" s="55"/>
    </row>
    <row r="5" spans="1:13" ht="16">
      <c r="A5" s="56" t="s">
        <v>83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24</v>
      </c>
      <c r="B6" s="24" t="s">
        <v>107</v>
      </c>
      <c r="C6" s="24" t="s">
        <v>84</v>
      </c>
      <c r="D6" s="24" t="s">
        <v>85</v>
      </c>
      <c r="E6" s="25" t="s">
        <v>272</v>
      </c>
      <c r="F6" s="24" t="s">
        <v>261</v>
      </c>
      <c r="G6" s="31" t="s">
        <v>76</v>
      </c>
      <c r="H6" s="31" t="s">
        <v>86</v>
      </c>
      <c r="I6" s="30" t="s">
        <v>87</v>
      </c>
      <c r="J6" s="32"/>
      <c r="K6" s="45" t="str">
        <f>"60,0"</f>
        <v>60,0</v>
      </c>
      <c r="L6" s="26" t="str">
        <f>"67,1520"</f>
        <v>67,1520</v>
      </c>
      <c r="M6" s="24" t="s">
        <v>89</v>
      </c>
    </row>
    <row r="7" spans="1:13">
      <c r="A7" s="35" t="s">
        <v>105</v>
      </c>
      <c r="B7" s="27" t="s">
        <v>172</v>
      </c>
      <c r="C7" s="27" t="s">
        <v>136</v>
      </c>
      <c r="D7" s="27" t="s">
        <v>137</v>
      </c>
      <c r="E7" s="28" t="s">
        <v>272</v>
      </c>
      <c r="F7" s="27" t="s">
        <v>261</v>
      </c>
      <c r="G7" s="33" t="s">
        <v>138</v>
      </c>
      <c r="H7" s="34" t="s">
        <v>76</v>
      </c>
      <c r="I7" s="33" t="s">
        <v>76</v>
      </c>
      <c r="J7" s="35"/>
      <c r="K7" s="46" t="str">
        <f>"55,0"</f>
        <v>55,0</v>
      </c>
      <c r="L7" s="29" t="str">
        <f>"61,4790"</f>
        <v>61,4790</v>
      </c>
      <c r="M7" s="27"/>
    </row>
    <row r="9" spans="1:13" ht="16">
      <c r="A9" s="48" t="s">
        <v>26</v>
      </c>
      <c r="B9" s="48"/>
      <c r="C9" s="48"/>
      <c r="D9" s="48"/>
      <c r="E9" s="49"/>
      <c r="F9" s="48"/>
      <c r="G9" s="48"/>
      <c r="H9" s="48"/>
      <c r="I9" s="48"/>
      <c r="J9" s="48"/>
    </row>
    <row r="10" spans="1:13">
      <c r="A10" s="23" t="s">
        <v>24</v>
      </c>
      <c r="B10" s="11" t="s">
        <v>173</v>
      </c>
      <c r="C10" s="11" t="s">
        <v>139</v>
      </c>
      <c r="D10" s="11" t="s">
        <v>140</v>
      </c>
      <c r="E10" s="12" t="s">
        <v>272</v>
      </c>
      <c r="F10" s="11" t="s">
        <v>262</v>
      </c>
      <c r="G10" s="22" t="s">
        <v>141</v>
      </c>
      <c r="H10" s="22" t="s">
        <v>142</v>
      </c>
      <c r="I10" s="21" t="s">
        <v>143</v>
      </c>
      <c r="J10" s="23"/>
      <c r="K10" s="44" t="str">
        <f>"102,5"</f>
        <v>102,5</v>
      </c>
      <c r="L10" s="13" t="str">
        <f>"80,1857"</f>
        <v>80,1857</v>
      </c>
      <c r="M10" s="11"/>
    </row>
    <row r="12" spans="1:13" ht="16">
      <c r="A12" s="48" t="s">
        <v>111</v>
      </c>
      <c r="B12" s="48"/>
      <c r="C12" s="48"/>
      <c r="D12" s="48"/>
      <c r="E12" s="49"/>
      <c r="F12" s="48"/>
      <c r="G12" s="48"/>
      <c r="H12" s="48"/>
      <c r="I12" s="48"/>
      <c r="J12" s="48"/>
    </row>
    <row r="13" spans="1:13">
      <c r="A13" s="23" t="s">
        <v>24</v>
      </c>
      <c r="B13" s="11" t="s">
        <v>174</v>
      </c>
      <c r="C13" s="11" t="s">
        <v>144</v>
      </c>
      <c r="D13" s="11" t="s">
        <v>145</v>
      </c>
      <c r="E13" s="12" t="s">
        <v>272</v>
      </c>
      <c r="F13" s="11" t="s">
        <v>266</v>
      </c>
      <c r="G13" s="22" t="s">
        <v>146</v>
      </c>
      <c r="H13" s="21" t="s">
        <v>35</v>
      </c>
      <c r="I13" s="22" t="s">
        <v>35</v>
      </c>
      <c r="J13" s="23"/>
      <c r="K13" s="44" t="str">
        <f>"120,0"</f>
        <v>120,0</v>
      </c>
      <c r="L13" s="13" t="str">
        <f>"87,6000"</f>
        <v>87,6000</v>
      </c>
      <c r="M13" s="11"/>
    </row>
    <row r="15" spans="1:13" ht="16">
      <c r="A15" s="48" t="s">
        <v>11</v>
      </c>
      <c r="B15" s="48"/>
      <c r="C15" s="48"/>
      <c r="D15" s="48"/>
      <c r="E15" s="49"/>
      <c r="F15" s="48"/>
      <c r="G15" s="48"/>
      <c r="H15" s="48"/>
      <c r="I15" s="48"/>
      <c r="J15" s="48"/>
    </row>
    <row r="16" spans="1:13">
      <c r="A16" s="32" t="s">
        <v>24</v>
      </c>
      <c r="B16" s="24" t="s">
        <v>175</v>
      </c>
      <c r="C16" s="24" t="s">
        <v>147</v>
      </c>
      <c r="D16" s="24" t="s">
        <v>148</v>
      </c>
      <c r="E16" s="25" t="s">
        <v>272</v>
      </c>
      <c r="F16" s="24" t="s">
        <v>149</v>
      </c>
      <c r="G16" s="30" t="s">
        <v>40</v>
      </c>
      <c r="H16" s="31" t="s">
        <v>40</v>
      </c>
      <c r="I16" s="30" t="s">
        <v>150</v>
      </c>
      <c r="J16" s="32"/>
      <c r="K16" s="45" t="str">
        <f>"140,0"</f>
        <v>140,0</v>
      </c>
      <c r="L16" s="26" t="str">
        <f>"94,8360"</f>
        <v>94,8360</v>
      </c>
      <c r="M16" s="24"/>
    </row>
    <row r="17" spans="1:13">
      <c r="A17" s="35" t="s">
        <v>176</v>
      </c>
      <c r="B17" s="27" t="s">
        <v>177</v>
      </c>
      <c r="C17" s="27" t="s">
        <v>151</v>
      </c>
      <c r="D17" s="27" t="s">
        <v>97</v>
      </c>
      <c r="E17" s="28" t="s">
        <v>272</v>
      </c>
      <c r="F17" s="27" t="s">
        <v>262</v>
      </c>
      <c r="G17" s="34" t="s">
        <v>16</v>
      </c>
      <c r="H17" s="34" t="s">
        <v>16</v>
      </c>
      <c r="I17" s="34" t="s">
        <v>16</v>
      </c>
      <c r="J17" s="35"/>
      <c r="K17" s="46">
        <v>0</v>
      </c>
      <c r="L17" s="29" t="str">
        <f>"0,0000"</f>
        <v>0,0000</v>
      </c>
      <c r="M17" s="27"/>
    </row>
    <row r="19" spans="1:13" ht="16">
      <c r="A19" s="48" t="s">
        <v>115</v>
      </c>
      <c r="B19" s="48"/>
      <c r="C19" s="48"/>
      <c r="D19" s="48"/>
      <c r="E19" s="49"/>
      <c r="F19" s="48"/>
      <c r="G19" s="48"/>
      <c r="H19" s="48"/>
      <c r="I19" s="48"/>
      <c r="J19" s="48"/>
    </row>
    <row r="20" spans="1:13">
      <c r="A20" s="32" t="s">
        <v>24</v>
      </c>
      <c r="B20" s="24" t="s">
        <v>178</v>
      </c>
      <c r="C20" s="24" t="s">
        <v>153</v>
      </c>
      <c r="D20" s="24" t="s">
        <v>154</v>
      </c>
      <c r="E20" s="25" t="s">
        <v>272</v>
      </c>
      <c r="F20" s="24" t="s">
        <v>261</v>
      </c>
      <c r="G20" s="31" t="s">
        <v>150</v>
      </c>
      <c r="H20" s="31" t="s">
        <v>155</v>
      </c>
      <c r="I20" s="31" t="s">
        <v>156</v>
      </c>
      <c r="J20" s="32"/>
      <c r="K20" s="45" t="str">
        <f>"152,5"</f>
        <v>152,5</v>
      </c>
      <c r="L20" s="26" t="str">
        <f>"97,5238"</f>
        <v>97,5238</v>
      </c>
      <c r="M20" s="24" t="s">
        <v>89</v>
      </c>
    </row>
    <row r="21" spans="1:13">
      <c r="A21" s="39" t="s">
        <v>105</v>
      </c>
      <c r="B21" s="36" t="s">
        <v>179</v>
      </c>
      <c r="C21" s="36" t="s">
        <v>157</v>
      </c>
      <c r="D21" s="36" t="s">
        <v>158</v>
      </c>
      <c r="E21" s="37" t="s">
        <v>272</v>
      </c>
      <c r="F21" s="36" t="s">
        <v>262</v>
      </c>
      <c r="G21" s="40" t="s">
        <v>103</v>
      </c>
      <c r="H21" s="41" t="s">
        <v>103</v>
      </c>
      <c r="I21" s="40" t="s">
        <v>156</v>
      </c>
      <c r="J21" s="39"/>
      <c r="K21" s="47" t="str">
        <f>"145,0"</f>
        <v>145,0</v>
      </c>
      <c r="L21" s="38" t="str">
        <f>"93,5395"</f>
        <v>93,5395</v>
      </c>
      <c r="M21" s="36"/>
    </row>
    <row r="22" spans="1:13">
      <c r="A22" s="39" t="s">
        <v>180</v>
      </c>
      <c r="B22" s="36" t="s">
        <v>181</v>
      </c>
      <c r="C22" s="36" t="s">
        <v>159</v>
      </c>
      <c r="D22" s="36" t="s">
        <v>160</v>
      </c>
      <c r="E22" s="37" t="s">
        <v>272</v>
      </c>
      <c r="F22" s="36" t="s">
        <v>265</v>
      </c>
      <c r="G22" s="41" t="s">
        <v>36</v>
      </c>
      <c r="H22" s="40" t="s">
        <v>161</v>
      </c>
      <c r="I22" s="41" t="s">
        <v>161</v>
      </c>
      <c r="J22" s="39"/>
      <c r="K22" s="47" t="str">
        <f>"132,5"</f>
        <v>132,5</v>
      </c>
      <c r="L22" s="38" t="str">
        <f>"85,6348"</f>
        <v>85,6348</v>
      </c>
      <c r="M22" s="36"/>
    </row>
    <row r="23" spans="1:13">
      <c r="A23" s="35" t="s">
        <v>182</v>
      </c>
      <c r="B23" s="27" t="s">
        <v>183</v>
      </c>
      <c r="C23" s="27" t="s">
        <v>163</v>
      </c>
      <c r="D23" s="27" t="s">
        <v>164</v>
      </c>
      <c r="E23" s="28" t="s">
        <v>272</v>
      </c>
      <c r="F23" s="27" t="s">
        <v>262</v>
      </c>
      <c r="G23" s="33" t="s">
        <v>35</v>
      </c>
      <c r="H23" s="33" t="s">
        <v>36</v>
      </c>
      <c r="I23" s="34" t="s">
        <v>37</v>
      </c>
      <c r="J23" s="35"/>
      <c r="K23" s="46" t="str">
        <f>"125,0"</f>
        <v>125,0</v>
      </c>
      <c r="L23" s="29" t="str">
        <f>"80,8875"</f>
        <v>80,8875</v>
      </c>
      <c r="M23" s="27"/>
    </row>
    <row r="25" spans="1:13" ht="16">
      <c r="A25" s="48" t="s">
        <v>46</v>
      </c>
      <c r="B25" s="48"/>
      <c r="C25" s="48"/>
      <c r="D25" s="48"/>
      <c r="E25" s="49"/>
      <c r="F25" s="48"/>
      <c r="G25" s="48"/>
      <c r="H25" s="48"/>
      <c r="I25" s="48"/>
      <c r="J25" s="48"/>
    </row>
    <row r="26" spans="1:13">
      <c r="A26" s="32" t="s">
        <v>24</v>
      </c>
      <c r="B26" s="24" t="s">
        <v>184</v>
      </c>
      <c r="C26" s="24" t="s">
        <v>166</v>
      </c>
      <c r="D26" s="24" t="s">
        <v>167</v>
      </c>
      <c r="E26" s="25" t="s">
        <v>272</v>
      </c>
      <c r="F26" s="24" t="s">
        <v>264</v>
      </c>
      <c r="G26" s="31" t="s">
        <v>60</v>
      </c>
      <c r="H26" s="30" t="s">
        <v>61</v>
      </c>
      <c r="I26" s="30" t="s">
        <v>61</v>
      </c>
      <c r="J26" s="32"/>
      <c r="K26" s="45" t="str">
        <f>"170,0"</f>
        <v>170,0</v>
      </c>
      <c r="L26" s="26" t="str">
        <f>"107,6950"</f>
        <v>107,6950</v>
      </c>
      <c r="M26" s="24"/>
    </row>
    <row r="27" spans="1:13">
      <c r="A27" s="35" t="s">
        <v>105</v>
      </c>
      <c r="B27" s="27" t="s">
        <v>185</v>
      </c>
      <c r="C27" s="27" t="s">
        <v>169</v>
      </c>
      <c r="D27" s="27" t="s">
        <v>170</v>
      </c>
      <c r="E27" s="28" t="s">
        <v>272</v>
      </c>
      <c r="F27" s="27" t="s">
        <v>261</v>
      </c>
      <c r="G27" s="34" t="s">
        <v>171</v>
      </c>
      <c r="H27" s="33" t="s">
        <v>171</v>
      </c>
      <c r="I27" s="33" t="s">
        <v>17</v>
      </c>
      <c r="J27" s="35"/>
      <c r="K27" s="46" t="str">
        <f>"165,0"</f>
        <v>165,0</v>
      </c>
      <c r="L27" s="29" t="str">
        <f>"101,1615"</f>
        <v>101,1615</v>
      </c>
      <c r="M27" s="27"/>
    </row>
    <row r="29" spans="1:13">
      <c r="G29" s="5"/>
      <c r="M29" s="7"/>
    </row>
    <row r="30" spans="1:13">
      <c r="M30" s="7"/>
    </row>
    <row r="31" spans="1:13" ht="18">
      <c r="B31" s="9" t="s">
        <v>7</v>
      </c>
      <c r="C31" s="9"/>
      <c r="G31" s="3"/>
      <c r="M31" s="7"/>
    </row>
    <row r="32" spans="1:13" ht="16">
      <c r="B32" s="14" t="s">
        <v>19</v>
      </c>
      <c r="C32" s="14"/>
      <c r="G32" s="3"/>
      <c r="M32" s="7"/>
    </row>
    <row r="33" spans="2:13" ht="14">
      <c r="B33" s="15"/>
      <c r="C33" s="16" t="s">
        <v>65</v>
      </c>
      <c r="G33" s="3"/>
      <c r="M33" s="7"/>
    </row>
    <row r="34" spans="2:13" ht="14">
      <c r="B34" s="17" t="s">
        <v>20</v>
      </c>
      <c r="C34" s="17" t="s">
        <v>21</v>
      </c>
      <c r="D34" s="17" t="s">
        <v>257</v>
      </c>
      <c r="E34" s="18" t="s">
        <v>128</v>
      </c>
      <c r="F34" s="17" t="s">
        <v>22</v>
      </c>
      <c r="G34" s="3"/>
      <c r="M34" s="7"/>
    </row>
    <row r="35" spans="2:13">
      <c r="B35" s="5" t="s">
        <v>165</v>
      </c>
      <c r="C35" s="5" t="s">
        <v>65</v>
      </c>
      <c r="D35" s="10" t="s">
        <v>64</v>
      </c>
      <c r="E35" s="20">
        <v>170</v>
      </c>
      <c r="F35" s="19">
        <v>107.694996595383</v>
      </c>
      <c r="G35" s="3"/>
      <c r="M35" s="7"/>
    </row>
    <row r="36" spans="2:13">
      <c r="B36" s="5" t="s">
        <v>168</v>
      </c>
      <c r="C36" s="5" t="s">
        <v>65</v>
      </c>
      <c r="D36" s="10" t="s">
        <v>64</v>
      </c>
      <c r="E36" s="20">
        <v>165</v>
      </c>
      <c r="F36" s="19">
        <v>101.16149872541401</v>
      </c>
      <c r="G36" s="3"/>
      <c r="M36" s="7"/>
    </row>
    <row r="37" spans="2:13">
      <c r="B37" s="5" t="s">
        <v>152</v>
      </c>
      <c r="C37" s="5" t="s">
        <v>65</v>
      </c>
      <c r="D37" s="10" t="s">
        <v>130</v>
      </c>
      <c r="E37" s="20">
        <v>152.5</v>
      </c>
      <c r="F37" s="19">
        <v>97.523753345012693</v>
      </c>
      <c r="G37" s="5"/>
      <c r="M37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5:J25"/>
    <mergeCell ref="A5:J5"/>
    <mergeCell ref="A9:J9"/>
    <mergeCell ref="A12:J12"/>
    <mergeCell ref="A15:J15"/>
    <mergeCell ref="A19:J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workbookViewId="0">
      <selection activeCell="K21" sqref="K21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2.66406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1640625" style="5" bestFit="1" customWidth="1"/>
    <col min="14" max="16384" width="9.1640625" style="3"/>
  </cols>
  <sheetData>
    <row r="1" spans="1:13" s="2" customFormat="1" ht="29" customHeight="1">
      <c r="A1" s="58" t="s">
        <v>254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9</v>
      </c>
      <c r="H3" s="70"/>
      <c r="I3" s="70"/>
      <c r="J3" s="70"/>
      <c r="K3" s="52" t="s">
        <v>131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111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3" t="s">
        <v>24</v>
      </c>
      <c r="B6" s="11" t="s">
        <v>132</v>
      </c>
      <c r="C6" s="11" t="s">
        <v>112</v>
      </c>
      <c r="D6" s="11" t="s">
        <v>113</v>
      </c>
      <c r="E6" s="12" t="s">
        <v>275</v>
      </c>
      <c r="F6" s="11" t="s">
        <v>265</v>
      </c>
      <c r="G6" s="22" t="s">
        <v>34</v>
      </c>
      <c r="H6" s="22" t="s">
        <v>114</v>
      </c>
      <c r="I6" s="21" t="s">
        <v>29</v>
      </c>
      <c r="J6" s="23"/>
      <c r="K6" s="13" t="str">
        <f>"75,0"</f>
        <v>75,0</v>
      </c>
      <c r="L6" s="13" t="str">
        <f>"54,0000"</f>
        <v>54,0000</v>
      </c>
      <c r="M6" s="11"/>
    </row>
    <row r="8" spans="1:13" ht="16">
      <c r="A8" s="48" t="s">
        <v>115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32" t="s">
        <v>24</v>
      </c>
      <c r="B9" s="24" t="s">
        <v>133</v>
      </c>
      <c r="C9" s="24" t="s">
        <v>117</v>
      </c>
      <c r="D9" s="24" t="s">
        <v>118</v>
      </c>
      <c r="E9" s="25" t="s">
        <v>272</v>
      </c>
      <c r="F9" s="24" t="s">
        <v>262</v>
      </c>
      <c r="G9" s="30" t="s">
        <v>119</v>
      </c>
      <c r="H9" s="31" t="s">
        <v>61</v>
      </c>
      <c r="I9" s="30" t="s">
        <v>98</v>
      </c>
      <c r="J9" s="32"/>
      <c r="K9" s="26" t="str">
        <f>"180,0"</f>
        <v>180,0</v>
      </c>
      <c r="L9" s="26" t="str">
        <f>"115,6320"</f>
        <v>115,6320</v>
      </c>
      <c r="M9" s="24"/>
    </row>
    <row r="10" spans="1:13">
      <c r="A10" s="35" t="s">
        <v>105</v>
      </c>
      <c r="B10" s="27" t="s">
        <v>134</v>
      </c>
      <c r="C10" s="27" t="s">
        <v>120</v>
      </c>
      <c r="D10" s="27" t="s">
        <v>121</v>
      </c>
      <c r="E10" s="28" t="s">
        <v>272</v>
      </c>
      <c r="F10" s="27" t="s">
        <v>261</v>
      </c>
      <c r="G10" s="33" t="s">
        <v>41</v>
      </c>
      <c r="H10" s="33" t="s">
        <v>16</v>
      </c>
      <c r="I10" s="33" t="s">
        <v>17</v>
      </c>
      <c r="J10" s="35"/>
      <c r="K10" s="29" t="str">
        <f>"165,0"</f>
        <v>165,0</v>
      </c>
      <c r="L10" s="29" t="str">
        <f>"107,1675"</f>
        <v>107,1675</v>
      </c>
      <c r="M10" s="43" t="s">
        <v>195</v>
      </c>
    </row>
    <row r="12" spans="1:13" ht="16">
      <c r="A12" s="48" t="s">
        <v>122</v>
      </c>
      <c r="B12" s="48"/>
      <c r="C12" s="48"/>
      <c r="D12" s="48"/>
      <c r="E12" s="49"/>
      <c r="F12" s="48"/>
      <c r="G12" s="48"/>
      <c r="H12" s="48"/>
      <c r="I12" s="48"/>
      <c r="J12" s="48"/>
    </row>
    <row r="13" spans="1:13">
      <c r="A13" s="23" t="s">
        <v>24</v>
      </c>
      <c r="B13" s="11" t="s">
        <v>135</v>
      </c>
      <c r="C13" s="11" t="s">
        <v>124</v>
      </c>
      <c r="D13" s="11" t="s">
        <v>125</v>
      </c>
      <c r="E13" s="12" t="s">
        <v>272</v>
      </c>
      <c r="F13" s="11" t="s">
        <v>262</v>
      </c>
      <c r="G13" s="22" t="s">
        <v>49</v>
      </c>
      <c r="H13" s="21" t="s">
        <v>126</v>
      </c>
      <c r="I13" s="23"/>
      <c r="J13" s="23"/>
      <c r="K13" s="13" t="str">
        <f>"200,0"</f>
        <v>200,0</v>
      </c>
      <c r="L13" s="13" t="str">
        <f>"119,2800"</f>
        <v>119,2800</v>
      </c>
      <c r="M13" s="11" t="s">
        <v>127</v>
      </c>
    </row>
    <row r="15" spans="1:13" ht="16">
      <c r="A15" s="48" t="s">
        <v>54</v>
      </c>
      <c r="B15" s="48"/>
      <c r="C15" s="48"/>
      <c r="D15" s="48"/>
      <c r="E15" s="49"/>
      <c r="F15" s="48"/>
      <c r="G15" s="48"/>
      <c r="H15" s="48"/>
      <c r="I15" s="48"/>
      <c r="J15" s="48"/>
    </row>
    <row r="16" spans="1:13">
      <c r="A16" s="23" t="s">
        <v>24</v>
      </c>
      <c r="B16" s="11" t="s">
        <v>70</v>
      </c>
      <c r="C16" s="11" t="s">
        <v>56</v>
      </c>
      <c r="D16" s="11" t="s">
        <v>57</v>
      </c>
      <c r="E16" s="12" t="s">
        <v>272</v>
      </c>
      <c r="F16" s="11" t="s">
        <v>265</v>
      </c>
      <c r="G16" s="22" t="s">
        <v>60</v>
      </c>
      <c r="H16" s="22" t="s">
        <v>61</v>
      </c>
      <c r="I16" s="22" t="s">
        <v>62</v>
      </c>
      <c r="J16" s="23"/>
      <c r="K16" s="13" t="str">
        <f>"185,0"</f>
        <v>185,0</v>
      </c>
      <c r="L16" s="13" t="str">
        <f>"107,6145"</f>
        <v>107,6145</v>
      </c>
      <c r="M16" s="11"/>
    </row>
    <row r="18" spans="2:13">
      <c r="K18" s="10"/>
      <c r="M18" s="7"/>
    </row>
    <row r="19" spans="2:13">
      <c r="K19" s="10"/>
      <c r="M19" s="7"/>
    </row>
    <row r="20" spans="2:13" ht="18">
      <c r="B20" s="9" t="s">
        <v>7</v>
      </c>
      <c r="C20" s="9"/>
      <c r="K20" s="10"/>
      <c r="M20" s="7"/>
    </row>
    <row r="21" spans="2:13" ht="16">
      <c r="B21" s="14" t="s">
        <v>19</v>
      </c>
      <c r="C21" s="14"/>
      <c r="K21" s="10"/>
      <c r="M21" s="7"/>
    </row>
    <row r="22" spans="2:13" ht="14">
      <c r="B22" s="15"/>
      <c r="C22" s="16" t="s">
        <v>65</v>
      </c>
      <c r="K22" s="10"/>
      <c r="M22" s="7"/>
    </row>
    <row r="23" spans="2:13" ht="14">
      <c r="B23" s="17" t="s">
        <v>20</v>
      </c>
      <c r="C23" s="17" t="s">
        <v>21</v>
      </c>
      <c r="D23" s="17" t="s">
        <v>257</v>
      </c>
      <c r="E23" s="18" t="s">
        <v>128</v>
      </c>
      <c r="F23" s="17" t="s">
        <v>22</v>
      </c>
      <c r="K23" s="10"/>
      <c r="M23" s="7"/>
    </row>
    <row r="24" spans="2:13">
      <c r="B24" s="5" t="s">
        <v>123</v>
      </c>
      <c r="C24" s="5" t="s">
        <v>65</v>
      </c>
      <c r="D24" s="10" t="s">
        <v>129</v>
      </c>
      <c r="E24" s="20">
        <v>200</v>
      </c>
      <c r="F24" s="19">
        <v>119.280004501343</v>
      </c>
      <c r="K24" s="10"/>
      <c r="M24" s="7"/>
    </row>
    <row r="25" spans="2:13">
      <c r="B25" s="5" t="s">
        <v>116</v>
      </c>
      <c r="C25" s="5" t="s">
        <v>65</v>
      </c>
      <c r="D25" s="10" t="s">
        <v>130</v>
      </c>
      <c r="E25" s="20">
        <v>180</v>
      </c>
      <c r="F25" s="19">
        <v>115.632004737854</v>
      </c>
      <c r="G25" s="5"/>
      <c r="K25" s="10"/>
      <c r="M25" s="7"/>
    </row>
    <row r="26" spans="2:13">
      <c r="B26" s="5" t="s">
        <v>55</v>
      </c>
      <c r="C26" s="5" t="s">
        <v>65</v>
      </c>
      <c r="D26" s="10" t="s">
        <v>66</v>
      </c>
      <c r="E26" s="20">
        <v>185</v>
      </c>
      <c r="F26" s="19">
        <v>107.614504992962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4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58" t="s">
        <v>255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10</v>
      </c>
      <c r="H3" s="70"/>
      <c r="I3" s="70"/>
      <c r="J3" s="70"/>
      <c r="K3" s="52" t="s">
        <v>131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83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2" t="s">
        <v>24</v>
      </c>
      <c r="B6" s="24" t="s">
        <v>172</v>
      </c>
      <c r="C6" s="24" t="s">
        <v>136</v>
      </c>
      <c r="D6" s="24" t="s">
        <v>137</v>
      </c>
      <c r="E6" s="25" t="s">
        <v>272</v>
      </c>
      <c r="F6" s="24" t="s">
        <v>261</v>
      </c>
      <c r="G6" s="31" t="s">
        <v>82</v>
      </c>
      <c r="H6" s="31" t="s">
        <v>77</v>
      </c>
      <c r="I6" s="31" t="s">
        <v>44</v>
      </c>
      <c r="J6" s="32"/>
      <c r="K6" s="26" t="str">
        <f>"115,0"</f>
        <v>115,0</v>
      </c>
      <c r="L6" s="26" t="str">
        <f>"128,5470"</f>
        <v>128,5470</v>
      </c>
      <c r="M6" s="24"/>
    </row>
    <row r="7" spans="1:13">
      <c r="A7" s="35" t="s">
        <v>105</v>
      </c>
      <c r="B7" s="27" t="s">
        <v>107</v>
      </c>
      <c r="C7" s="27" t="s">
        <v>84</v>
      </c>
      <c r="D7" s="27" t="s">
        <v>85</v>
      </c>
      <c r="E7" s="28" t="s">
        <v>272</v>
      </c>
      <c r="F7" s="27" t="s">
        <v>261</v>
      </c>
      <c r="G7" s="33" t="s">
        <v>77</v>
      </c>
      <c r="H7" s="34" t="s">
        <v>88</v>
      </c>
      <c r="I7" s="34" t="s">
        <v>88</v>
      </c>
      <c r="J7" s="35"/>
      <c r="K7" s="29" t="str">
        <f>"110,0"</f>
        <v>110,0</v>
      </c>
      <c r="L7" s="29" t="str">
        <f>"123,1120"</f>
        <v>123,1120</v>
      </c>
      <c r="M7" s="27" t="s">
        <v>89</v>
      </c>
    </row>
    <row r="9" spans="1:13" ht="16">
      <c r="A9" s="48" t="s">
        <v>26</v>
      </c>
      <c r="B9" s="48"/>
      <c r="C9" s="48"/>
      <c r="D9" s="48"/>
      <c r="E9" s="49"/>
      <c r="F9" s="48"/>
      <c r="G9" s="48"/>
      <c r="H9" s="48"/>
      <c r="I9" s="48"/>
      <c r="J9" s="48"/>
    </row>
    <row r="10" spans="1:13">
      <c r="A10" s="32" t="s">
        <v>24</v>
      </c>
      <c r="B10" s="24" t="s">
        <v>108</v>
      </c>
      <c r="C10" s="24" t="s">
        <v>90</v>
      </c>
      <c r="D10" s="24" t="s">
        <v>91</v>
      </c>
      <c r="E10" s="25" t="s">
        <v>272</v>
      </c>
      <c r="F10" s="24" t="s">
        <v>263</v>
      </c>
      <c r="G10" s="31" t="s">
        <v>93</v>
      </c>
      <c r="H10" s="31" t="s">
        <v>62</v>
      </c>
      <c r="I10" s="31" t="s">
        <v>94</v>
      </c>
      <c r="J10" s="32"/>
      <c r="K10" s="26" t="str">
        <f>"195,0"</f>
        <v>195,0</v>
      </c>
      <c r="L10" s="26" t="str">
        <f>"152,3535"</f>
        <v>152,3535</v>
      </c>
      <c r="M10" s="24"/>
    </row>
    <row r="11" spans="1:13">
      <c r="A11" s="35" t="s">
        <v>105</v>
      </c>
      <c r="B11" s="27" t="s">
        <v>211</v>
      </c>
      <c r="C11" s="27" t="s">
        <v>199</v>
      </c>
      <c r="D11" s="27" t="s">
        <v>200</v>
      </c>
      <c r="E11" s="28" t="s">
        <v>272</v>
      </c>
      <c r="F11" s="27" t="s">
        <v>265</v>
      </c>
      <c r="G11" s="33" t="s">
        <v>40</v>
      </c>
      <c r="H11" s="33" t="s">
        <v>16</v>
      </c>
      <c r="I11" s="33" t="s">
        <v>119</v>
      </c>
      <c r="J11" s="35"/>
      <c r="K11" s="29" t="str">
        <f>"175,0"</f>
        <v>175,0</v>
      </c>
      <c r="L11" s="29" t="str">
        <f>"138,9850"</f>
        <v>138,9850</v>
      </c>
      <c r="M11" s="27"/>
    </row>
    <row r="13" spans="1:13" ht="16">
      <c r="A13" s="48" t="s">
        <v>111</v>
      </c>
      <c r="B13" s="48"/>
      <c r="C13" s="48"/>
      <c r="D13" s="48"/>
      <c r="E13" s="49"/>
      <c r="F13" s="48"/>
      <c r="G13" s="48"/>
      <c r="H13" s="48"/>
      <c r="I13" s="48"/>
      <c r="J13" s="48"/>
    </row>
    <row r="14" spans="1:13">
      <c r="A14" s="32" t="s">
        <v>24</v>
      </c>
      <c r="B14" s="24" t="s">
        <v>212</v>
      </c>
      <c r="C14" s="24" t="s">
        <v>201</v>
      </c>
      <c r="D14" s="24" t="s">
        <v>202</v>
      </c>
      <c r="E14" s="25" t="s">
        <v>272</v>
      </c>
      <c r="F14" s="24" t="s">
        <v>261</v>
      </c>
      <c r="G14" s="31" t="s">
        <v>41</v>
      </c>
      <c r="H14" s="31" t="s">
        <v>60</v>
      </c>
      <c r="I14" s="30" t="s">
        <v>203</v>
      </c>
      <c r="J14" s="32"/>
      <c r="K14" s="26" t="str">
        <f>"170,0"</f>
        <v>170,0</v>
      </c>
      <c r="L14" s="26" t="str">
        <f>"122,2810"</f>
        <v>122,2810</v>
      </c>
      <c r="M14" s="24"/>
    </row>
    <row r="15" spans="1:13">
      <c r="A15" s="35" t="s">
        <v>105</v>
      </c>
      <c r="B15" s="27" t="s">
        <v>213</v>
      </c>
      <c r="C15" s="27" t="s">
        <v>204</v>
      </c>
      <c r="D15" s="27" t="s">
        <v>205</v>
      </c>
      <c r="E15" s="28" t="s">
        <v>272</v>
      </c>
      <c r="F15" s="27" t="s">
        <v>262</v>
      </c>
      <c r="G15" s="34" t="s">
        <v>16</v>
      </c>
      <c r="H15" s="34" t="s">
        <v>16</v>
      </c>
      <c r="I15" s="33" t="s">
        <v>16</v>
      </c>
      <c r="J15" s="35"/>
      <c r="K15" s="29" t="str">
        <f>"160,0"</f>
        <v>160,0</v>
      </c>
      <c r="L15" s="29" t="str">
        <f>"119,5040"</f>
        <v>119,5040</v>
      </c>
      <c r="M15" s="27"/>
    </row>
    <row r="17" spans="1:13" ht="16">
      <c r="A17" s="48" t="s">
        <v>11</v>
      </c>
      <c r="B17" s="48"/>
      <c r="C17" s="48"/>
      <c r="D17" s="48"/>
      <c r="E17" s="49"/>
      <c r="F17" s="48"/>
      <c r="G17" s="48"/>
      <c r="H17" s="48"/>
      <c r="I17" s="48"/>
      <c r="J17" s="48"/>
    </row>
    <row r="18" spans="1:13">
      <c r="A18" s="32" t="s">
        <v>24</v>
      </c>
      <c r="B18" s="24" t="s">
        <v>175</v>
      </c>
      <c r="C18" s="24" t="s">
        <v>206</v>
      </c>
      <c r="D18" s="24" t="s">
        <v>148</v>
      </c>
      <c r="E18" s="25" t="s">
        <v>273</v>
      </c>
      <c r="F18" s="24" t="s">
        <v>267</v>
      </c>
      <c r="G18" s="31" t="s">
        <v>98</v>
      </c>
      <c r="H18" s="31" t="s">
        <v>99</v>
      </c>
      <c r="I18" s="30" t="s">
        <v>50</v>
      </c>
      <c r="J18" s="32"/>
      <c r="K18" s="26" t="str">
        <f>"205,0"</f>
        <v>205,0</v>
      </c>
      <c r="L18" s="26" t="str">
        <f>"138,8670"</f>
        <v>138,8670</v>
      </c>
      <c r="M18" s="24"/>
    </row>
    <row r="19" spans="1:13">
      <c r="A19" s="39" t="s">
        <v>24</v>
      </c>
      <c r="B19" s="36" t="s">
        <v>214</v>
      </c>
      <c r="C19" s="36" t="s">
        <v>207</v>
      </c>
      <c r="D19" s="36" t="s">
        <v>208</v>
      </c>
      <c r="E19" s="37" t="s">
        <v>275</v>
      </c>
      <c r="F19" s="36" t="s">
        <v>265</v>
      </c>
      <c r="G19" s="41" t="s">
        <v>41</v>
      </c>
      <c r="H19" s="41" t="s">
        <v>45</v>
      </c>
      <c r="I19" s="41" t="s">
        <v>16</v>
      </c>
      <c r="J19" s="39"/>
      <c r="K19" s="38" t="str">
        <f>"160,0"</f>
        <v>160,0</v>
      </c>
      <c r="L19" s="38" t="str">
        <f>"110,6560"</f>
        <v>110,6560</v>
      </c>
      <c r="M19" s="36"/>
    </row>
    <row r="20" spans="1:13">
      <c r="A20" s="35" t="s">
        <v>24</v>
      </c>
      <c r="B20" s="27" t="s">
        <v>215</v>
      </c>
      <c r="C20" s="27" t="s">
        <v>209</v>
      </c>
      <c r="D20" s="27" t="s">
        <v>210</v>
      </c>
      <c r="E20" s="28" t="s">
        <v>272</v>
      </c>
      <c r="F20" s="27" t="s">
        <v>262</v>
      </c>
      <c r="G20" s="33" t="s">
        <v>63</v>
      </c>
      <c r="H20" s="33" t="s">
        <v>14</v>
      </c>
      <c r="I20" s="34" t="s">
        <v>59</v>
      </c>
      <c r="J20" s="35"/>
      <c r="K20" s="29" t="str">
        <f>"240,0"</f>
        <v>240,0</v>
      </c>
      <c r="L20" s="29" t="str">
        <f>"162,3360"</f>
        <v>162,3360</v>
      </c>
      <c r="M20" s="27"/>
    </row>
    <row r="22" spans="1:13" ht="16">
      <c r="A22" s="48" t="s">
        <v>115</v>
      </c>
      <c r="B22" s="48"/>
      <c r="C22" s="48"/>
      <c r="D22" s="48"/>
      <c r="E22" s="49"/>
      <c r="F22" s="48"/>
      <c r="G22" s="48"/>
      <c r="H22" s="48"/>
      <c r="I22" s="48"/>
      <c r="J22" s="48"/>
    </row>
    <row r="23" spans="1:13">
      <c r="A23" s="23" t="s">
        <v>24</v>
      </c>
      <c r="B23" s="11" t="s">
        <v>181</v>
      </c>
      <c r="C23" s="11" t="s">
        <v>159</v>
      </c>
      <c r="D23" s="11" t="s">
        <v>160</v>
      </c>
      <c r="E23" s="12" t="s">
        <v>272</v>
      </c>
      <c r="F23" s="11" t="s">
        <v>265</v>
      </c>
      <c r="G23" s="21" t="s">
        <v>99</v>
      </c>
      <c r="H23" s="22" t="s">
        <v>99</v>
      </c>
      <c r="I23" s="22" t="s">
        <v>162</v>
      </c>
      <c r="J23" s="23"/>
      <c r="K23" s="13" t="str">
        <f>"215,0"</f>
        <v>215,0</v>
      </c>
      <c r="L23" s="13" t="str">
        <f>"138,9545"</f>
        <v>138,9545</v>
      </c>
      <c r="M23" s="11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 ht="16">
      <c r="F27" s="8"/>
      <c r="G27" s="5"/>
      <c r="K27" s="10"/>
      <c r="M27" s="7"/>
    </row>
    <row r="28" spans="1:13" ht="16">
      <c r="F28" s="8"/>
      <c r="G28" s="5"/>
      <c r="K28" s="10"/>
      <c r="M28" s="7"/>
    </row>
    <row r="29" spans="1:13" ht="16">
      <c r="F29" s="8"/>
      <c r="G29" s="5"/>
      <c r="K29" s="10"/>
      <c r="M29" s="7"/>
    </row>
    <row r="30" spans="1:13" ht="16">
      <c r="F30" s="8"/>
      <c r="G30" s="5"/>
      <c r="K30" s="10"/>
      <c r="M30" s="7"/>
    </row>
    <row r="31" spans="1:13" ht="16">
      <c r="F31" s="8"/>
      <c r="G31" s="5"/>
      <c r="K31" s="10"/>
      <c r="M31" s="7"/>
    </row>
    <row r="32" spans="1:13">
      <c r="G32" s="5"/>
      <c r="K32" s="10"/>
      <c r="M32" s="7"/>
    </row>
    <row r="33" spans="3:13" ht="18">
      <c r="C33" s="9"/>
      <c r="D33" s="9"/>
      <c r="E33" s="5"/>
      <c r="F33" s="6"/>
      <c r="G33" s="5"/>
      <c r="K33" s="10"/>
      <c r="M33" s="7"/>
    </row>
    <row r="34" spans="3:13" ht="16">
      <c r="C34" s="14"/>
      <c r="D34" s="14"/>
      <c r="E34" s="5"/>
      <c r="F34" s="6"/>
      <c r="G34" s="5"/>
      <c r="K34" s="10"/>
      <c r="M34" s="7"/>
    </row>
    <row r="35" spans="3:13" ht="14">
      <c r="C35" s="15"/>
      <c r="D35" s="16"/>
      <c r="E35" s="5"/>
      <c r="F35" s="6"/>
      <c r="G35" s="5"/>
      <c r="K35" s="10"/>
      <c r="M35" s="7"/>
    </row>
    <row r="36" spans="3:13">
      <c r="E36" s="10"/>
      <c r="F36" s="20"/>
      <c r="G36" s="19"/>
      <c r="K36" s="10"/>
      <c r="M36" s="7"/>
    </row>
    <row r="37" spans="3:13">
      <c r="E37" s="10"/>
      <c r="F37" s="20"/>
      <c r="G37" s="19"/>
      <c r="K37" s="10"/>
      <c r="M37" s="7"/>
    </row>
    <row r="38" spans="3:13">
      <c r="E38" s="5"/>
      <c r="F38" s="6"/>
      <c r="G38" s="5"/>
      <c r="K38" s="10"/>
      <c r="M38" s="7"/>
    </row>
    <row r="39" spans="3:13">
      <c r="E39" s="5"/>
      <c r="F39" s="6"/>
      <c r="G39" s="5"/>
      <c r="K39" s="10"/>
      <c r="M39" s="7"/>
    </row>
    <row r="40" spans="3:13" ht="16">
      <c r="C40" s="14"/>
      <c r="D40" s="14"/>
      <c r="E40" s="5"/>
      <c r="F40" s="6"/>
      <c r="G40" s="5"/>
      <c r="K40" s="10"/>
      <c r="M40" s="7"/>
    </row>
    <row r="41" spans="3:13" ht="14">
      <c r="C41" s="15"/>
      <c r="D41" s="16"/>
      <c r="E41" s="5"/>
      <c r="F41" s="6"/>
      <c r="G41" s="5"/>
      <c r="K41" s="10"/>
      <c r="M41" s="7"/>
    </row>
    <row r="42" spans="3:13">
      <c r="E42" s="10"/>
      <c r="F42" s="20"/>
      <c r="G42" s="19"/>
      <c r="K42" s="10"/>
      <c r="M42" s="7"/>
    </row>
    <row r="43" spans="3:13">
      <c r="E43" s="10"/>
      <c r="F43" s="20"/>
      <c r="G43" s="19"/>
      <c r="K43" s="10"/>
      <c r="M43" s="7"/>
    </row>
    <row r="44" spans="3:13">
      <c r="E44" s="5"/>
      <c r="F44" s="6"/>
      <c r="G44" s="5"/>
      <c r="K44" s="10"/>
      <c r="M44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7:J17"/>
    <mergeCell ref="A22:J22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32.6640625" style="5" bestFit="1" customWidth="1"/>
    <col min="7" max="9" width="5.5" style="10" customWidth="1"/>
    <col min="10" max="10" width="4.83203125" style="10" customWidth="1"/>
    <col min="11" max="11" width="10.5" style="20" bestFit="1" customWidth="1"/>
    <col min="12" max="12" width="8.5" style="7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58" t="s">
        <v>256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10</v>
      </c>
      <c r="H3" s="70"/>
      <c r="I3" s="70"/>
      <c r="J3" s="70"/>
      <c r="K3" s="71" t="s">
        <v>131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72"/>
      <c r="L4" s="53"/>
      <c r="M4" s="55"/>
    </row>
    <row r="5" spans="1:13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3" t="s">
        <v>24</v>
      </c>
      <c r="B6" s="11" t="s">
        <v>195</v>
      </c>
      <c r="C6" s="11" t="s">
        <v>186</v>
      </c>
      <c r="D6" s="11" t="s">
        <v>187</v>
      </c>
      <c r="E6" s="12" t="s">
        <v>272</v>
      </c>
      <c r="F6" s="11" t="s">
        <v>261</v>
      </c>
      <c r="G6" s="22" t="s">
        <v>63</v>
      </c>
      <c r="H6" s="22" t="s">
        <v>15</v>
      </c>
      <c r="I6" s="22" t="s">
        <v>51</v>
      </c>
      <c r="J6" s="23"/>
      <c r="K6" s="44" t="str">
        <f>"260,0"</f>
        <v>260,0</v>
      </c>
      <c r="L6" s="13" t="str">
        <f>"175,3440"</f>
        <v>175,3440</v>
      </c>
      <c r="M6" s="11"/>
    </row>
    <row r="8" spans="1:13" ht="16">
      <c r="A8" s="48" t="s">
        <v>115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32" t="s">
        <v>24</v>
      </c>
      <c r="B9" s="24" t="s">
        <v>196</v>
      </c>
      <c r="C9" s="24" t="s">
        <v>188</v>
      </c>
      <c r="D9" s="24" t="s">
        <v>189</v>
      </c>
      <c r="E9" s="25" t="s">
        <v>273</v>
      </c>
      <c r="F9" s="24" t="s">
        <v>265</v>
      </c>
      <c r="G9" s="31" t="s">
        <v>190</v>
      </c>
      <c r="H9" s="31" t="s">
        <v>82</v>
      </c>
      <c r="I9" s="31" t="s">
        <v>42</v>
      </c>
      <c r="J9" s="32"/>
      <c r="K9" s="45" t="str">
        <f>"105,0"</f>
        <v>105,0</v>
      </c>
      <c r="L9" s="26" t="str">
        <f>"69,7935"</f>
        <v>69,7935</v>
      </c>
      <c r="M9" s="24"/>
    </row>
    <row r="10" spans="1:13">
      <c r="A10" s="35" t="s">
        <v>24</v>
      </c>
      <c r="B10" s="27" t="s">
        <v>197</v>
      </c>
      <c r="C10" s="27" t="s">
        <v>191</v>
      </c>
      <c r="D10" s="27" t="s">
        <v>192</v>
      </c>
      <c r="E10" s="28" t="s">
        <v>272</v>
      </c>
      <c r="F10" s="27" t="s">
        <v>261</v>
      </c>
      <c r="G10" s="33" t="s">
        <v>60</v>
      </c>
      <c r="H10" s="33" t="s">
        <v>61</v>
      </c>
      <c r="I10" s="33" t="s">
        <v>98</v>
      </c>
      <c r="J10" s="35"/>
      <c r="K10" s="46" t="str">
        <f>"190,0"</f>
        <v>190,0</v>
      </c>
      <c r="L10" s="29" t="str">
        <f>"121,5620"</f>
        <v>121,5620</v>
      </c>
      <c r="M10" s="27"/>
    </row>
    <row r="12" spans="1:13" ht="16">
      <c r="A12" s="48" t="s">
        <v>46</v>
      </c>
      <c r="B12" s="48"/>
      <c r="C12" s="48"/>
      <c r="D12" s="48"/>
      <c r="E12" s="49"/>
      <c r="F12" s="48"/>
      <c r="G12" s="48"/>
      <c r="H12" s="48"/>
      <c r="I12" s="48"/>
      <c r="J12" s="48"/>
    </row>
    <row r="13" spans="1:13">
      <c r="A13" s="23" t="s">
        <v>24</v>
      </c>
      <c r="B13" s="11" t="s">
        <v>69</v>
      </c>
      <c r="C13" s="11" t="s">
        <v>47</v>
      </c>
      <c r="D13" s="11" t="s">
        <v>48</v>
      </c>
      <c r="E13" s="12" t="s">
        <v>274</v>
      </c>
      <c r="F13" s="11" t="s">
        <v>262</v>
      </c>
      <c r="G13" s="22" t="s">
        <v>51</v>
      </c>
      <c r="H13" s="22" t="s">
        <v>52</v>
      </c>
      <c r="I13" s="21" t="s">
        <v>53</v>
      </c>
      <c r="J13" s="23"/>
      <c r="K13" s="44" t="str">
        <f>"280,0"</f>
        <v>280,0</v>
      </c>
      <c r="L13" s="13" t="str">
        <f>"173,4320"</f>
        <v>173,4320</v>
      </c>
      <c r="M13" s="11"/>
    </row>
    <row r="15" spans="1:13" ht="16">
      <c r="A15" s="48" t="s">
        <v>122</v>
      </c>
      <c r="B15" s="48"/>
      <c r="C15" s="48"/>
      <c r="D15" s="48"/>
      <c r="E15" s="49"/>
      <c r="F15" s="48"/>
      <c r="G15" s="48"/>
      <c r="H15" s="48"/>
      <c r="I15" s="48"/>
      <c r="J15" s="48"/>
    </row>
    <row r="16" spans="1:13">
      <c r="A16" s="23" t="s">
        <v>176</v>
      </c>
      <c r="B16" s="11" t="s">
        <v>198</v>
      </c>
      <c r="C16" s="11" t="s">
        <v>193</v>
      </c>
      <c r="D16" s="11" t="s">
        <v>194</v>
      </c>
      <c r="E16" s="12" t="s">
        <v>272</v>
      </c>
      <c r="F16" s="11" t="s">
        <v>265</v>
      </c>
      <c r="G16" s="21" t="s">
        <v>52</v>
      </c>
      <c r="H16" s="21" t="s">
        <v>52</v>
      </c>
      <c r="I16" s="21" t="s">
        <v>52</v>
      </c>
      <c r="J16" s="23"/>
      <c r="K16" s="44">
        <v>0</v>
      </c>
      <c r="L16" s="13" t="str">
        <f>"0,0000"</f>
        <v>0,0000</v>
      </c>
      <c r="M16" s="42" t="s">
        <v>247</v>
      </c>
    </row>
    <row r="18" spans="3:13" ht="16">
      <c r="F18" s="8"/>
      <c r="G18" s="5"/>
      <c r="M18" s="7"/>
    </row>
    <row r="19" spans="3:13" ht="16">
      <c r="F19" s="8"/>
      <c r="G19" s="5"/>
      <c r="M19" s="7"/>
    </row>
    <row r="20" spans="3:13" ht="16">
      <c r="F20" s="8"/>
      <c r="G20" s="5"/>
      <c r="M20" s="7"/>
    </row>
    <row r="21" spans="3:13" ht="16">
      <c r="F21" s="8"/>
      <c r="G21" s="5"/>
      <c r="M21" s="7"/>
    </row>
    <row r="22" spans="3:13" ht="16">
      <c r="F22" s="8"/>
      <c r="G22" s="5"/>
      <c r="M22" s="7"/>
    </row>
    <row r="23" spans="3:13" ht="16">
      <c r="F23" s="8"/>
      <c r="G23" s="5"/>
      <c r="M23" s="7"/>
    </row>
    <row r="24" spans="3:13" ht="16">
      <c r="F24" s="8"/>
      <c r="G24" s="5"/>
      <c r="M24" s="7"/>
    </row>
    <row r="25" spans="3:13">
      <c r="G25" s="5"/>
      <c r="M25" s="7"/>
    </row>
    <row r="26" spans="3:13" ht="18">
      <c r="C26" s="9"/>
      <c r="D26" s="9"/>
      <c r="E26" s="5"/>
      <c r="F26" s="6"/>
      <c r="G26" s="5"/>
      <c r="M26" s="7"/>
    </row>
    <row r="27" spans="3:13" ht="16">
      <c r="C27" s="14"/>
      <c r="D27" s="14"/>
      <c r="E27" s="5"/>
      <c r="F27" s="6"/>
      <c r="G27" s="5"/>
      <c r="M27" s="7"/>
    </row>
    <row r="28" spans="3:13" ht="14">
      <c r="C28" s="15"/>
      <c r="D28" s="16"/>
      <c r="E28" s="5"/>
      <c r="F28" s="6"/>
      <c r="G28" s="5"/>
      <c r="M28" s="7"/>
    </row>
    <row r="29" spans="3:13">
      <c r="E29" s="10"/>
      <c r="F29" s="20"/>
      <c r="G29" s="19"/>
      <c r="M29" s="7"/>
    </row>
    <row r="30" spans="3:13">
      <c r="E30" s="5"/>
      <c r="F30" s="6"/>
      <c r="G30" s="5"/>
      <c r="M30" s="7"/>
    </row>
    <row r="31" spans="3:13" ht="14">
      <c r="C31" s="15"/>
      <c r="D31" s="16"/>
      <c r="E31" s="5"/>
      <c r="F31" s="6"/>
      <c r="G31" s="5"/>
      <c r="M31" s="7"/>
    </row>
    <row r="32" spans="3:13">
      <c r="E32" s="5"/>
      <c r="F32" s="6"/>
      <c r="G32" s="5"/>
      <c r="M32" s="7"/>
    </row>
    <row r="33" spans="3:13" ht="14">
      <c r="C33" s="15"/>
      <c r="D33" s="16"/>
      <c r="E33" s="5"/>
      <c r="F33" s="6"/>
      <c r="G33" s="5"/>
      <c r="M33" s="7"/>
    </row>
    <row r="34" spans="3:13">
      <c r="E34" s="10"/>
      <c r="F34" s="20"/>
      <c r="G34" s="19"/>
      <c r="M34" s="7"/>
    </row>
    <row r="35" spans="3:13">
      <c r="E35" s="10"/>
      <c r="F35" s="20"/>
      <c r="G35" s="19"/>
      <c r="M35" s="7"/>
    </row>
    <row r="36" spans="3:13">
      <c r="E36" s="5"/>
      <c r="F36" s="6"/>
      <c r="G36" s="5"/>
      <c r="M36" s="7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1"/>
  <sheetViews>
    <sheetView workbookViewId="0">
      <selection activeCell="E32" sqref="E32"/>
    </sheetView>
  </sheetViews>
  <sheetFormatPr baseColWidth="10" defaultColWidth="9.1640625" defaultRowHeight="13"/>
  <cols>
    <col min="1" max="1" width="7.5" style="5" bestFit="1" customWidth="1"/>
    <col min="2" max="2" width="23.1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5.33203125" style="5" customWidth="1"/>
    <col min="7" max="9" width="4.5" style="10" customWidth="1"/>
    <col min="10" max="10" width="4.83203125" style="10" customWidth="1"/>
    <col min="11" max="11" width="10.5" style="7" bestFit="1" customWidth="1"/>
    <col min="12" max="12" width="7.6640625" style="7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58" t="s">
        <v>258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269</v>
      </c>
      <c r="B3" s="50" t="s">
        <v>0</v>
      </c>
      <c r="C3" s="68" t="s">
        <v>270</v>
      </c>
      <c r="D3" s="68" t="s">
        <v>6</v>
      </c>
      <c r="E3" s="52" t="s">
        <v>271</v>
      </c>
      <c r="F3" s="70" t="s">
        <v>5</v>
      </c>
      <c r="G3" s="70" t="s">
        <v>260</v>
      </c>
      <c r="H3" s="70"/>
      <c r="I3" s="70"/>
      <c r="J3" s="70"/>
      <c r="K3" s="52" t="s">
        <v>131</v>
      </c>
      <c r="L3" s="52" t="s">
        <v>3</v>
      </c>
      <c r="M3" s="54" t="s">
        <v>2</v>
      </c>
    </row>
    <row r="4" spans="1:13" s="1" customFormat="1" ht="21" customHeight="1" thickBot="1">
      <c r="A4" s="67"/>
      <c r="B4" s="51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220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23" t="s">
        <v>24</v>
      </c>
      <c r="B6" s="11" t="s">
        <v>239</v>
      </c>
      <c r="C6" s="11" t="s">
        <v>221</v>
      </c>
      <c r="D6" s="11" t="s">
        <v>222</v>
      </c>
      <c r="E6" s="12" t="s">
        <v>272</v>
      </c>
      <c r="F6" s="11" t="s">
        <v>266</v>
      </c>
      <c r="G6" s="22" t="s">
        <v>81</v>
      </c>
      <c r="H6" s="22" t="s">
        <v>223</v>
      </c>
      <c r="I6" s="21" t="s">
        <v>74</v>
      </c>
      <c r="J6" s="23"/>
      <c r="K6" s="13" t="str">
        <f>"42,5"</f>
        <v>42,5</v>
      </c>
      <c r="L6" s="13" t="str">
        <f>"41,5140"</f>
        <v>41,5140</v>
      </c>
      <c r="M6" s="11"/>
    </row>
    <row r="8" spans="1:13" ht="16">
      <c r="A8" s="48" t="s">
        <v>83</v>
      </c>
      <c r="B8" s="48"/>
      <c r="C8" s="48"/>
      <c r="D8" s="48"/>
      <c r="E8" s="49"/>
      <c r="F8" s="48"/>
      <c r="G8" s="48"/>
      <c r="H8" s="48"/>
      <c r="I8" s="48"/>
      <c r="J8" s="48"/>
    </row>
    <row r="9" spans="1:13">
      <c r="A9" s="23" t="s">
        <v>24</v>
      </c>
      <c r="B9" s="11" t="s">
        <v>240</v>
      </c>
      <c r="C9" s="11" t="s">
        <v>224</v>
      </c>
      <c r="D9" s="11" t="s">
        <v>225</v>
      </c>
      <c r="E9" s="12" t="s">
        <v>272</v>
      </c>
      <c r="F9" s="11" t="s">
        <v>268</v>
      </c>
      <c r="G9" s="22" t="s">
        <v>226</v>
      </c>
      <c r="H9" s="22" t="s">
        <v>138</v>
      </c>
      <c r="I9" s="22" t="s">
        <v>75</v>
      </c>
      <c r="J9" s="23"/>
      <c r="K9" s="13" t="str">
        <f>"52,5"</f>
        <v>52,5</v>
      </c>
      <c r="L9" s="13" t="str">
        <f>"44,8245"</f>
        <v>44,8245</v>
      </c>
      <c r="M9" s="11"/>
    </row>
    <row r="11" spans="1:13" ht="16">
      <c r="A11" s="48" t="s">
        <v>26</v>
      </c>
      <c r="B11" s="48"/>
      <c r="C11" s="48"/>
      <c r="D11" s="48"/>
      <c r="E11" s="49"/>
      <c r="F11" s="48"/>
      <c r="G11" s="48"/>
      <c r="H11" s="48"/>
      <c r="I11" s="48"/>
      <c r="J11" s="48"/>
    </row>
    <row r="12" spans="1:13">
      <c r="A12" s="32" t="s">
        <v>24</v>
      </c>
      <c r="B12" s="24" t="s">
        <v>241</v>
      </c>
      <c r="C12" s="24" t="s">
        <v>227</v>
      </c>
      <c r="D12" s="24" t="s">
        <v>228</v>
      </c>
      <c r="E12" s="25" t="s">
        <v>276</v>
      </c>
      <c r="F12" s="24" t="s">
        <v>265</v>
      </c>
      <c r="G12" s="31" t="s">
        <v>74</v>
      </c>
      <c r="H12" s="31" t="s">
        <v>138</v>
      </c>
      <c r="I12" s="31" t="s">
        <v>75</v>
      </c>
      <c r="J12" s="32"/>
      <c r="K12" s="26" t="str">
        <f>"52,5"</f>
        <v>52,5</v>
      </c>
      <c r="L12" s="26" t="str">
        <f>"40,3226"</f>
        <v>40,3226</v>
      </c>
      <c r="M12" s="24"/>
    </row>
    <row r="13" spans="1:13">
      <c r="A13" s="39" t="s">
        <v>24</v>
      </c>
      <c r="B13" s="36" t="s">
        <v>173</v>
      </c>
      <c r="C13" s="36" t="s">
        <v>139</v>
      </c>
      <c r="D13" s="36" t="s">
        <v>140</v>
      </c>
      <c r="E13" s="37" t="s">
        <v>272</v>
      </c>
      <c r="F13" s="36" t="s">
        <v>262</v>
      </c>
      <c r="G13" s="41" t="s">
        <v>226</v>
      </c>
      <c r="H13" s="41" t="s">
        <v>75</v>
      </c>
      <c r="I13" s="41" t="s">
        <v>76</v>
      </c>
      <c r="J13" s="39"/>
      <c r="K13" s="38" t="str">
        <f>"55,0"</f>
        <v>55,0</v>
      </c>
      <c r="L13" s="38" t="str">
        <f>"41,8000"</f>
        <v>41,8000</v>
      </c>
      <c r="M13" s="36"/>
    </row>
    <row r="14" spans="1:13">
      <c r="A14" s="39" t="s">
        <v>105</v>
      </c>
      <c r="B14" s="36" t="s">
        <v>108</v>
      </c>
      <c r="C14" s="36" t="s">
        <v>90</v>
      </c>
      <c r="D14" s="36" t="s">
        <v>91</v>
      </c>
      <c r="E14" s="37" t="s">
        <v>272</v>
      </c>
      <c r="F14" s="36" t="s">
        <v>263</v>
      </c>
      <c r="G14" s="41" t="s">
        <v>138</v>
      </c>
      <c r="H14" s="41" t="s">
        <v>75</v>
      </c>
      <c r="I14" s="41" t="s">
        <v>76</v>
      </c>
      <c r="J14" s="39"/>
      <c r="K14" s="38" t="str">
        <f>"55,0"</f>
        <v>55,0</v>
      </c>
      <c r="L14" s="38" t="str">
        <f>"41,7450"</f>
        <v>41,7450</v>
      </c>
      <c r="M14" s="36"/>
    </row>
    <row r="15" spans="1:13">
      <c r="A15" s="39" t="s">
        <v>180</v>
      </c>
      <c r="B15" s="36" t="s">
        <v>211</v>
      </c>
      <c r="C15" s="36" t="s">
        <v>199</v>
      </c>
      <c r="D15" s="36" t="s">
        <v>200</v>
      </c>
      <c r="E15" s="37" t="s">
        <v>272</v>
      </c>
      <c r="F15" s="36" t="s">
        <v>265</v>
      </c>
      <c r="G15" s="41" t="s">
        <v>226</v>
      </c>
      <c r="H15" s="41" t="s">
        <v>75</v>
      </c>
      <c r="I15" s="40" t="s">
        <v>76</v>
      </c>
      <c r="J15" s="39"/>
      <c r="K15" s="38" t="str">
        <f>"52,5"</f>
        <v>52,5</v>
      </c>
      <c r="L15" s="38" t="str">
        <f>"40,5431"</f>
        <v>40,5431</v>
      </c>
      <c r="M15" s="36"/>
    </row>
    <row r="16" spans="1:13">
      <c r="A16" s="35" t="s">
        <v>182</v>
      </c>
      <c r="B16" s="27" t="s">
        <v>242</v>
      </c>
      <c r="C16" s="27" t="s">
        <v>229</v>
      </c>
      <c r="D16" s="27" t="s">
        <v>140</v>
      </c>
      <c r="E16" s="28" t="s">
        <v>272</v>
      </c>
      <c r="F16" s="27" t="s">
        <v>262</v>
      </c>
      <c r="G16" s="33" t="s">
        <v>74</v>
      </c>
      <c r="H16" s="33" t="s">
        <v>226</v>
      </c>
      <c r="I16" s="34" t="s">
        <v>138</v>
      </c>
      <c r="J16" s="35"/>
      <c r="K16" s="29" t="str">
        <f>"47,5"</f>
        <v>47,5</v>
      </c>
      <c r="L16" s="29" t="str">
        <f>"36,1000"</f>
        <v>36,1000</v>
      </c>
      <c r="M16" s="27"/>
    </row>
    <row r="18" spans="1:13" ht="16">
      <c r="A18" s="48" t="s">
        <v>111</v>
      </c>
      <c r="B18" s="48"/>
      <c r="C18" s="48"/>
      <c r="D18" s="48"/>
      <c r="E18" s="49"/>
      <c r="F18" s="48"/>
      <c r="G18" s="48"/>
      <c r="H18" s="48"/>
      <c r="I18" s="48"/>
      <c r="J18" s="48"/>
    </row>
    <row r="19" spans="1:13">
      <c r="A19" s="32" t="s">
        <v>24</v>
      </c>
      <c r="B19" s="24" t="s">
        <v>174</v>
      </c>
      <c r="C19" s="24" t="s">
        <v>144</v>
      </c>
      <c r="D19" s="24" t="s">
        <v>145</v>
      </c>
      <c r="E19" s="25" t="s">
        <v>272</v>
      </c>
      <c r="F19" s="24" t="s">
        <v>266</v>
      </c>
      <c r="G19" s="31" t="s">
        <v>230</v>
      </c>
      <c r="H19" s="31" t="s">
        <v>86</v>
      </c>
      <c r="I19" s="31" t="s">
        <v>87</v>
      </c>
      <c r="J19" s="32"/>
      <c r="K19" s="26" t="str">
        <f>"62,5"</f>
        <v>62,5</v>
      </c>
      <c r="L19" s="26" t="str">
        <f>"44,1500"</f>
        <v>44,1500</v>
      </c>
      <c r="M19" s="24"/>
    </row>
    <row r="20" spans="1:13">
      <c r="A20" s="35" t="s">
        <v>105</v>
      </c>
      <c r="B20" s="27" t="s">
        <v>212</v>
      </c>
      <c r="C20" s="27" t="s">
        <v>201</v>
      </c>
      <c r="D20" s="27" t="s">
        <v>202</v>
      </c>
      <c r="E20" s="28" t="s">
        <v>272</v>
      </c>
      <c r="F20" s="27" t="s">
        <v>261</v>
      </c>
      <c r="G20" s="33" t="s">
        <v>138</v>
      </c>
      <c r="H20" s="33" t="s">
        <v>230</v>
      </c>
      <c r="I20" s="34" t="s">
        <v>86</v>
      </c>
      <c r="J20" s="35"/>
      <c r="K20" s="29" t="str">
        <f>"57,5"</f>
        <v>57,5</v>
      </c>
      <c r="L20" s="29" t="str">
        <f>"39,9884"</f>
        <v>39,9884</v>
      </c>
      <c r="M20" s="27"/>
    </row>
    <row r="22" spans="1:13" ht="16">
      <c r="A22" s="48" t="s">
        <v>11</v>
      </c>
      <c r="B22" s="48"/>
      <c r="C22" s="48"/>
      <c r="D22" s="48"/>
      <c r="E22" s="49"/>
      <c r="F22" s="48"/>
      <c r="G22" s="48"/>
      <c r="H22" s="48"/>
      <c r="I22" s="48"/>
      <c r="J22" s="48"/>
    </row>
    <row r="23" spans="1:13">
      <c r="A23" s="32" t="s">
        <v>24</v>
      </c>
      <c r="B23" s="24" t="s">
        <v>243</v>
      </c>
      <c r="C23" s="24" t="s">
        <v>232</v>
      </c>
      <c r="D23" s="24" t="s">
        <v>187</v>
      </c>
      <c r="E23" s="25" t="s">
        <v>272</v>
      </c>
      <c r="F23" s="24" t="s">
        <v>265</v>
      </c>
      <c r="G23" s="31" t="s">
        <v>86</v>
      </c>
      <c r="H23" s="31" t="s">
        <v>32</v>
      </c>
      <c r="I23" s="31" t="s">
        <v>233</v>
      </c>
      <c r="J23" s="32"/>
      <c r="K23" s="26" t="str">
        <f>"72,5"</f>
        <v>72,5</v>
      </c>
      <c r="L23" s="26" t="str">
        <f>"47,0706"</f>
        <v>47,0706</v>
      </c>
      <c r="M23" s="24"/>
    </row>
    <row r="24" spans="1:13">
      <c r="A24" s="39" t="s">
        <v>105</v>
      </c>
      <c r="B24" s="36" t="s">
        <v>109</v>
      </c>
      <c r="C24" s="36" t="s">
        <v>96</v>
      </c>
      <c r="D24" s="36" t="s">
        <v>97</v>
      </c>
      <c r="E24" s="37" t="s">
        <v>272</v>
      </c>
      <c r="F24" s="36" t="s">
        <v>262</v>
      </c>
      <c r="G24" s="41" t="s">
        <v>32</v>
      </c>
      <c r="H24" s="40" t="s">
        <v>34</v>
      </c>
      <c r="I24" s="41" t="s">
        <v>34</v>
      </c>
      <c r="J24" s="39"/>
      <c r="K24" s="38" t="str">
        <f>"70,0"</f>
        <v>70,0</v>
      </c>
      <c r="L24" s="38" t="str">
        <f>"45,4090"</f>
        <v>45,4090</v>
      </c>
      <c r="M24" s="36"/>
    </row>
    <row r="25" spans="1:13">
      <c r="A25" s="39" t="s">
        <v>180</v>
      </c>
      <c r="B25" s="36" t="s">
        <v>214</v>
      </c>
      <c r="C25" s="36" t="s">
        <v>234</v>
      </c>
      <c r="D25" s="36" t="s">
        <v>208</v>
      </c>
      <c r="E25" s="37" t="s">
        <v>272</v>
      </c>
      <c r="F25" s="36" t="s">
        <v>265</v>
      </c>
      <c r="G25" s="41" t="s">
        <v>75</v>
      </c>
      <c r="H25" s="41" t="s">
        <v>230</v>
      </c>
      <c r="I25" s="40" t="s">
        <v>87</v>
      </c>
      <c r="J25" s="39"/>
      <c r="K25" s="38" t="str">
        <f>"57,5"</f>
        <v>57,5</v>
      </c>
      <c r="L25" s="38" t="str">
        <f>"38,3525"</f>
        <v>38,3525</v>
      </c>
      <c r="M25" s="36"/>
    </row>
    <row r="26" spans="1:13">
      <c r="A26" s="35" t="s">
        <v>182</v>
      </c>
      <c r="B26" s="27" t="s">
        <v>244</v>
      </c>
      <c r="C26" s="27" t="s">
        <v>235</v>
      </c>
      <c r="D26" s="27" t="s">
        <v>236</v>
      </c>
      <c r="E26" s="28" t="s">
        <v>272</v>
      </c>
      <c r="F26" s="27" t="s">
        <v>262</v>
      </c>
      <c r="G26" s="33" t="s">
        <v>138</v>
      </c>
      <c r="H26" s="33" t="s">
        <v>75</v>
      </c>
      <c r="I26" s="33" t="s">
        <v>76</v>
      </c>
      <c r="J26" s="35"/>
      <c r="K26" s="29" t="str">
        <f>"55,0"</f>
        <v>55,0</v>
      </c>
      <c r="L26" s="29" t="str">
        <f>"36,5255"</f>
        <v>36,5255</v>
      </c>
      <c r="M26" s="27"/>
    </row>
    <row r="28" spans="1:13" ht="16">
      <c r="A28" s="48" t="s">
        <v>115</v>
      </c>
      <c r="B28" s="48"/>
      <c r="C28" s="48"/>
      <c r="D28" s="48"/>
      <c r="E28" s="49"/>
      <c r="F28" s="48"/>
      <c r="G28" s="48"/>
      <c r="H28" s="48"/>
      <c r="I28" s="48"/>
      <c r="J28" s="48"/>
    </row>
    <row r="29" spans="1:13">
      <c r="A29" s="32" t="s">
        <v>24</v>
      </c>
      <c r="B29" s="24" t="s">
        <v>178</v>
      </c>
      <c r="C29" s="24" t="s">
        <v>153</v>
      </c>
      <c r="D29" s="24" t="s">
        <v>154</v>
      </c>
      <c r="E29" s="25" t="s">
        <v>272</v>
      </c>
      <c r="F29" s="24" t="s">
        <v>261</v>
      </c>
      <c r="G29" s="31" t="s">
        <v>34</v>
      </c>
      <c r="H29" s="31" t="s">
        <v>114</v>
      </c>
      <c r="I29" s="30" t="s">
        <v>80</v>
      </c>
      <c r="J29" s="32"/>
      <c r="K29" s="26" t="str">
        <f>"75,0"</f>
        <v>75,0</v>
      </c>
      <c r="L29" s="26" t="str">
        <f>"45,9750"</f>
        <v>45,9750</v>
      </c>
      <c r="M29" s="24" t="s">
        <v>89</v>
      </c>
    </row>
    <row r="30" spans="1:13">
      <c r="A30" s="39" t="s">
        <v>105</v>
      </c>
      <c r="B30" s="36" t="s">
        <v>245</v>
      </c>
      <c r="C30" s="36" t="s">
        <v>237</v>
      </c>
      <c r="D30" s="36" t="s">
        <v>238</v>
      </c>
      <c r="E30" s="37" t="s">
        <v>272</v>
      </c>
      <c r="F30" s="36" t="s">
        <v>262</v>
      </c>
      <c r="G30" s="41" t="s">
        <v>86</v>
      </c>
      <c r="H30" s="41" t="s">
        <v>32</v>
      </c>
      <c r="I30" s="40" t="s">
        <v>33</v>
      </c>
      <c r="J30" s="39"/>
      <c r="K30" s="38" t="str">
        <f>"65,0"</f>
        <v>65,0</v>
      </c>
      <c r="L30" s="38" t="str">
        <f>"40,5762"</f>
        <v>40,5762</v>
      </c>
      <c r="M30" s="36"/>
    </row>
    <row r="31" spans="1:13">
      <c r="A31" s="35" t="s">
        <v>180</v>
      </c>
      <c r="B31" s="27" t="s">
        <v>181</v>
      </c>
      <c r="C31" s="27" t="s">
        <v>159</v>
      </c>
      <c r="D31" s="27" t="s">
        <v>160</v>
      </c>
      <c r="E31" s="28" t="s">
        <v>272</v>
      </c>
      <c r="F31" s="27" t="s">
        <v>265</v>
      </c>
      <c r="G31" s="33" t="s">
        <v>74</v>
      </c>
      <c r="H31" s="33" t="s">
        <v>75</v>
      </c>
      <c r="I31" s="33" t="s">
        <v>86</v>
      </c>
      <c r="J31" s="35"/>
      <c r="K31" s="29" t="str">
        <f>"60,0"</f>
        <v>60,0</v>
      </c>
      <c r="L31" s="29" t="str">
        <f>"37,2060"</f>
        <v>37,2060</v>
      </c>
      <c r="M31" s="27"/>
    </row>
    <row r="33" spans="2:13">
      <c r="G33" s="5"/>
      <c r="K33" s="10"/>
      <c r="M33" s="7"/>
    </row>
    <row r="34" spans="2:13">
      <c r="K34" s="10"/>
      <c r="M34" s="7"/>
    </row>
    <row r="35" spans="2:13" ht="18">
      <c r="B35" s="9" t="s">
        <v>7</v>
      </c>
      <c r="C35" s="9"/>
      <c r="K35" s="10"/>
      <c r="M35" s="7"/>
    </row>
    <row r="36" spans="2:13" ht="16">
      <c r="B36" s="14" t="s">
        <v>19</v>
      </c>
      <c r="C36" s="14"/>
      <c r="G36" s="3"/>
      <c r="K36" s="10"/>
      <c r="M36" s="7"/>
    </row>
    <row r="37" spans="2:13" ht="14">
      <c r="B37" s="15"/>
      <c r="C37" s="16" t="s">
        <v>65</v>
      </c>
      <c r="G37" s="3"/>
      <c r="K37" s="10"/>
      <c r="M37" s="7"/>
    </row>
    <row r="38" spans="2:13" ht="14">
      <c r="B38" s="17" t="s">
        <v>20</v>
      </c>
      <c r="C38" s="17" t="s">
        <v>21</v>
      </c>
      <c r="D38" s="17" t="s">
        <v>257</v>
      </c>
      <c r="E38" s="18" t="s">
        <v>128</v>
      </c>
      <c r="F38" s="17" t="s">
        <v>218</v>
      </c>
      <c r="G38" s="3"/>
      <c r="K38" s="10"/>
      <c r="M38" s="7"/>
    </row>
    <row r="39" spans="2:13">
      <c r="B39" s="5" t="s">
        <v>231</v>
      </c>
      <c r="C39" s="5" t="s">
        <v>65</v>
      </c>
      <c r="D39" s="10" t="s">
        <v>23</v>
      </c>
      <c r="E39" s="20">
        <v>72.5</v>
      </c>
      <c r="F39" s="19">
        <v>47.070622891187703</v>
      </c>
      <c r="G39" s="3"/>
      <c r="K39" s="10"/>
      <c r="M39" s="7"/>
    </row>
    <row r="40" spans="2:13">
      <c r="B40" s="5" t="s">
        <v>152</v>
      </c>
      <c r="C40" s="5" t="s">
        <v>65</v>
      </c>
      <c r="D40" s="10" t="s">
        <v>130</v>
      </c>
      <c r="E40" s="20">
        <v>75</v>
      </c>
      <c r="F40" s="19">
        <v>45.974998176097898</v>
      </c>
      <c r="G40" s="3"/>
      <c r="K40" s="10"/>
      <c r="M40" s="7"/>
    </row>
    <row r="41" spans="2:13">
      <c r="B41" s="5" t="s">
        <v>95</v>
      </c>
      <c r="C41" s="5" t="s">
        <v>65</v>
      </c>
      <c r="D41" s="10" t="s">
        <v>23</v>
      </c>
      <c r="E41" s="20">
        <v>70</v>
      </c>
      <c r="F41" s="19">
        <v>45.4089999198914</v>
      </c>
      <c r="G41" s="5"/>
      <c r="K41" s="10"/>
      <c r="M41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8:J28"/>
    <mergeCell ref="A5:J5"/>
    <mergeCell ref="A8:J8"/>
    <mergeCell ref="A11:J11"/>
    <mergeCell ref="A18:J18"/>
    <mergeCell ref="A22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ПЛ в бинтах ДК</vt:lpstr>
      <vt:lpstr>WRPF Двоеборье без экип ДК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2024-04-23T13:56:32Z</dcterms:modified>
</cp:coreProperties>
</file>