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B9D65206-DDD1-8146-A3F1-406989F4D5AB}" xr6:coauthVersionLast="45" xr6:coauthVersionMax="45" xr10:uidLastSave="{00000000-0000-0000-0000-000000000000}"/>
  <bookViews>
    <workbookView xWindow="1160" yWindow="460" windowWidth="26360" windowHeight="15920" activeTab="3" xr2:uid="{00000000-000D-0000-FFFF-FFFF00000000}"/>
  </bookViews>
  <sheets>
    <sheet name="PL" sheetId="5" r:id="rId1"/>
    <sheet name="PP" sheetId="6" r:id="rId2"/>
    <sheet name="BP Raw" sheetId="7" r:id="rId3"/>
    <sheet name="BP Soft Eq" sheetId="9" r:id="rId4"/>
    <sheet name="DL RAW" sheetId="8" r:id="rId5"/>
  </sheets>
  <definedNames>
    <definedName name="_xlnm._FilterDatabase" localSheetId="2" hidden="1">'BP Raw'!$A$1:$K$3</definedName>
    <definedName name="_xlnm._FilterDatabase" localSheetId="3" hidden="1">'BP Soft Eq'!$A$1:$K$3</definedName>
    <definedName name="_xlnm._FilterDatabase" localSheetId="4" hidden="1">'DL RAW'!$A$1:$K$3</definedName>
    <definedName name="_xlnm._FilterDatabase" localSheetId="0" hidden="1">PL!$A$1:$S$3</definedName>
    <definedName name="_xlnm._FilterDatabase" localSheetId="1" hidden="1">PP!$A$1:$O$3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9" l="1"/>
  <c r="K8" i="9"/>
  <c r="L6" i="9"/>
  <c r="K6" i="9"/>
  <c r="L27" i="8"/>
  <c r="K27" i="8"/>
  <c r="L25" i="8"/>
  <c r="K25" i="8"/>
  <c r="L23" i="8"/>
  <c r="K23" i="8"/>
  <c r="L22" i="8"/>
  <c r="K22" i="8"/>
  <c r="L21" i="8"/>
  <c r="K21" i="8"/>
  <c r="L20" i="8"/>
  <c r="K20" i="8"/>
  <c r="L19" i="8"/>
  <c r="K19" i="8"/>
  <c r="L18" i="8"/>
  <c r="K18" i="8"/>
  <c r="L16" i="8"/>
  <c r="K16" i="8"/>
  <c r="L15" i="8"/>
  <c r="K15" i="8"/>
  <c r="L14" i="8"/>
  <c r="K14" i="8"/>
  <c r="L12" i="8"/>
  <c r="K12" i="8"/>
  <c r="L11" i="8"/>
  <c r="K11" i="8"/>
  <c r="L9" i="8"/>
  <c r="K9" i="8"/>
  <c r="L8" i="8"/>
  <c r="K8" i="8"/>
  <c r="L6" i="8"/>
  <c r="K6" i="8"/>
  <c r="L60" i="7"/>
  <c r="K60" i="7"/>
  <c r="L59" i="7"/>
  <c r="K59" i="7"/>
  <c r="L57" i="7"/>
  <c r="K57" i="7"/>
  <c r="L56" i="7"/>
  <c r="K56" i="7"/>
  <c r="L55" i="7"/>
  <c r="K55" i="7"/>
  <c r="L53" i="7"/>
  <c r="K53" i="7"/>
  <c r="L52" i="7"/>
  <c r="K52" i="7"/>
  <c r="L51" i="7"/>
  <c r="K51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0" i="7"/>
  <c r="K40" i="7"/>
  <c r="L39" i="7"/>
  <c r="K39" i="7"/>
  <c r="L37" i="7"/>
  <c r="K37" i="7"/>
  <c r="L36" i="7"/>
  <c r="K36" i="7"/>
  <c r="L35" i="7"/>
  <c r="K35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4" i="7"/>
  <c r="K24" i="7"/>
  <c r="L23" i="7"/>
  <c r="K23" i="7"/>
  <c r="L22" i="7"/>
  <c r="K22" i="7"/>
  <c r="L20" i="7"/>
  <c r="K20" i="7"/>
  <c r="L19" i="7"/>
  <c r="K19" i="7"/>
  <c r="L18" i="7"/>
  <c r="K18" i="7"/>
  <c r="L14" i="7"/>
  <c r="K14" i="7"/>
  <c r="L13" i="7"/>
  <c r="K13" i="7"/>
  <c r="L12" i="7"/>
  <c r="K12" i="7"/>
  <c r="L11" i="7"/>
  <c r="K11" i="7"/>
  <c r="L9" i="7"/>
  <c r="K9" i="7"/>
  <c r="L8" i="7"/>
  <c r="K8" i="7"/>
  <c r="L6" i="7"/>
  <c r="K6" i="7"/>
  <c r="P26" i="6"/>
  <c r="O26" i="6"/>
  <c r="P24" i="6"/>
  <c r="O24" i="6"/>
  <c r="P22" i="6"/>
  <c r="O22" i="6"/>
  <c r="P20" i="6"/>
  <c r="O20" i="6"/>
  <c r="P19" i="6"/>
  <c r="O19" i="6"/>
  <c r="P18" i="6"/>
  <c r="O18" i="6"/>
  <c r="P17" i="6"/>
  <c r="O17" i="6"/>
  <c r="P16" i="6"/>
  <c r="O16" i="6"/>
  <c r="P15" i="6"/>
  <c r="O15" i="6"/>
  <c r="P13" i="6"/>
  <c r="O13" i="6"/>
  <c r="P11" i="6"/>
  <c r="O11" i="6"/>
  <c r="P10" i="6"/>
  <c r="O10" i="6"/>
  <c r="P9" i="6"/>
  <c r="O9" i="6"/>
  <c r="P7" i="6"/>
  <c r="O7" i="6"/>
  <c r="P6" i="6"/>
  <c r="O6" i="6"/>
  <c r="T41" i="5"/>
  <c r="S41" i="5"/>
  <c r="T39" i="5"/>
  <c r="S39" i="5"/>
  <c r="T38" i="5"/>
  <c r="S38" i="5"/>
  <c r="T37" i="5"/>
  <c r="S37" i="5"/>
  <c r="T36" i="5"/>
  <c r="S36" i="5"/>
  <c r="T34" i="5"/>
  <c r="S34" i="5"/>
  <c r="T33" i="5"/>
  <c r="S33" i="5"/>
  <c r="T32" i="5"/>
  <c r="S32" i="5"/>
  <c r="T31" i="5"/>
  <c r="S31" i="5"/>
  <c r="T29" i="5"/>
  <c r="S29" i="5"/>
  <c r="T28" i="5"/>
  <c r="S28" i="5"/>
  <c r="T27" i="5"/>
  <c r="S27" i="5"/>
  <c r="T26" i="5"/>
  <c r="S26" i="5"/>
  <c r="T25" i="5"/>
  <c r="S25" i="5"/>
  <c r="T21" i="5"/>
  <c r="S21" i="5"/>
  <c r="T20" i="5"/>
  <c r="S20" i="5"/>
  <c r="T19" i="5"/>
  <c r="S19" i="5"/>
  <c r="T23" i="5"/>
  <c r="S23" i="5"/>
  <c r="T22" i="5"/>
  <c r="S22" i="5"/>
  <c r="T11" i="5"/>
  <c r="S11" i="5"/>
  <c r="T7" i="5"/>
  <c r="S7" i="5"/>
  <c r="T8" i="5"/>
  <c r="S8" i="5"/>
  <c r="T6" i="5"/>
  <c r="S6" i="5"/>
</calcChain>
</file>

<file path=xl/sharedStrings.xml><?xml version="1.0" encoding="utf-8"?>
<sst xmlns="http://schemas.openxmlformats.org/spreadsheetml/2006/main" count="1397" uniqueCount="469">
  <si>
    <t>ФИО</t>
  </si>
  <si>
    <t>Присед</t>
  </si>
  <si>
    <t>Жим</t>
  </si>
  <si>
    <t>Тяга</t>
  </si>
  <si>
    <t>Сумма</t>
  </si>
  <si>
    <t>Тренер</t>
  </si>
  <si>
    <t>Очки</t>
  </si>
  <si>
    <t>Рек</t>
  </si>
  <si>
    <t>Город/область</t>
  </si>
  <si>
    <t>Открытая (16.07.1989)/28</t>
  </si>
  <si>
    <t>50,20</t>
  </si>
  <si>
    <t xml:space="preserve">Минск/Минская </t>
  </si>
  <si>
    <t>70,0</t>
  </si>
  <si>
    <t>80,0</t>
  </si>
  <si>
    <t>30,0</t>
  </si>
  <si>
    <t>35,0</t>
  </si>
  <si>
    <t>37,5</t>
  </si>
  <si>
    <t>120,0</t>
  </si>
  <si>
    <t>125,0</t>
  </si>
  <si>
    <t>130,0</t>
  </si>
  <si>
    <t>Загурская Полина</t>
  </si>
  <si>
    <t>Открытая (19.09.1986)/31</t>
  </si>
  <si>
    <t>55,50</t>
  </si>
  <si>
    <t>100,0</t>
  </si>
  <si>
    <t>42,5</t>
  </si>
  <si>
    <t>105,0</t>
  </si>
  <si>
    <t xml:space="preserve"> </t>
  </si>
  <si>
    <t>Открытая (16.04.1990)/27</t>
  </si>
  <si>
    <t>67,20</t>
  </si>
  <si>
    <t xml:space="preserve">Пинск/Брестская </t>
  </si>
  <si>
    <t>115,0</t>
  </si>
  <si>
    <t>50,0</t>
  </si>
  <si>
    <t>55,0</t>
  </si>
  <si>
    <t>110,0</t>
  </si>
  <si>
    <t>Юноши 14-16 (19.12.2001)/16</t>
  </si>
  <si>
    <t xml:space="preserve">Орша/Витебская </t>
  </si>
  <si>
    <t>90,0</t>
  </si>
  <si>
    <t>92,5</t>
  </si>
  <si>
    <t>145,0</t>
  </si>
  <si>
    <t>152,5</t>
  </si>
  <si>
    <t>Открытая (20.10.1985)/32</t>
  </si>
  <si>
    <t>73,60</t>
  </si>
  <si>
    <t>155,0</t>
  </si>
  <si>
    <t>170,0</t>
  </si>
  <si>
    <t>180,0</t>
  </si>
  <si>
    <t>175,0</t>
  </si>
  <si>
    <t>190,0</t>
  </si>
  <si>
    <t>205,0</t>
  </si>
  <si>
    <t>Открытая (01.07.1989)/28</t>
  </si>
  <si>
    <t>73,30</t>
  </si>
  <si>
    <t xml:space="preserve">Жодино/Минская </t>
  </si>
  <si>
    <t>112,5</t>
  </si>
  <si>
    <t>160,0</t>
  </si>
  <si>
    <t>172,5</t>
  </si>
  <si>
    <t>ВЕСОВАЯ КАТЕГОРИЯ   82.5</t>
  </si>
  <si>
    <t>Мизуло Алексей</t>
  </si>
  <si>
    <t>Юноши 17-19 (26.06.2000)/17</t>
  </si>
  <si>
    <t>80,60</t>
  </si>
  <si>
    <t>85,0</t>
  </si>
  <si>
    <t>95,0</t>
  </si>
  <si>
    <t>Юниоры (04.04.1998)/20</t>
  </si>
  <si>
    <t>81,50</t>
  </si>
  <si>
    <t>215,0</t>
  </si>
  <si>
    <t>107,5</t>
  </si>
  <si>
    <t>117,5</t>
  </si>
  <si>
    <t>122,5</t>
  </si>
  <si>
    <t>220,0</t>
  </si>
  <si>
    <t>240,0</t>
  </si>
  <si>
    <t>255,0</t>
  </si>
  <si>
    <t>Юниоры (16.05.1996)/21</t>
  </si>
  <si>
    <t>81,00</t>
  </si>
  <si>
    <t xml:space="preserve">Полоцк/Витебская </t>
  </si>
  <si>
    <t>135,0</t>
  </si>
  <si>
    <t>212,5</t>
  </si>
  <si>
    <t>Открытая (12.08.1981)/36</t>
  </si>
  <si>
    <t>82,00</t>
  </si>
  <si>
    <t>230,0</t>
  </si>
  <si>
    <t>150,0</t>
  </si>
  <si>
    <t>157,5</t>
  </si>
  <si>
    <t>162,5</t>
  </si>
  <si>
    <t>245,0</t>
  </si>
  <si>
    <t>260,0</t>
  </si>
  <si>
    <t>270,0</t>
  </si>
  <si>
    <t>Открытая (11.06.1991)/26</t>
  </si>
  <si>
    <t>78,30</t>
  </si>
  <si>
    <t>200,0</t>
  </si>
  <si>
    <t>210,0</t>
  </si>
  <si>
    <t>140,0</t>
  </si>
  <si>
    <t>265,0</t>
  </si>
  <si>
    <t>Открытая (01.11.1992)/25</t>
  </si>
  <si>
    <t>80,70</t>
  </si>
  <si>
    <t>137,5</t>
  </si>
  <si>
    <t>197,5</t>
  </si>
  <si>
    <t>ВЕСОВАЯ КАТЕГОРИЯ   90</t>
  </si>
  <si>
    <t>Открытая (28.05.1980)/37</t>
  </si>
  <si>
    <t>89,00</t>
  </si>
  <si>
    <t>320,0</t>
  </si>
  <si>
    <t>342,5</t>
  </si>
  <si>
    <t>290,0</t>
  </si>
  <si>
    <t>305,0</t>
  </si>
  <si>
    <t>Открытая (30.05.1981)/36</t>
  </si>
  <si>
    <t>88,30</t>
  </si>
  <si>
    <t xml:space="preserve">Лида/Гродненская </t>
  </si>
  <si>
    <t>275,0</t>
  </si>
  <si>
    <t>280,0</t>
  </si>
  <si>
    <t>Открытая (30.03.1991)/27</t>
  </si>
  <si>
    <t>90,00</t>
  </si>
  <si>
    <t>250,0</t>
  </si>
  <si>
    <t>Открытая (18.03.1981)/37</t>
  </si>
  <si>
    <t>89,10</t>
  </si>
  <si>
    <t>237,5</t>
  </si>
  <si>
    <t>Открытая (02.02.1994)/24</t>
  </si>
  <si>
    <t>89,70</t>
  </si>
  <si>
    <t xml:space="preserve">Брест/Брестская </t>
  </si>
  <si>
    <t>235,0</t>
  </si>
  <si>
    <t>ВЕСОВАЯ КАТЕГОРИЯ   100</t>
  </si>
  <si>
    <t>Юноши 17-19 (07.09.1999)/18</t>
  </si>
  <si>
    <t>96,60</t>
  </si>
  <si>
    <t xml:space="preserve">Гродно/Гродненская </t>
  </si>
  <si>
    <t>185,0</t>
  </si>
  <si>
    <t>315,0</t>
  </si>
  <si>
    <t>322,5</t>
  </si>
  <si>
    <t>Открытая (19.08.1991)/26</t>
  </si>
  <si>
    <t>99,70</t>
  </si>
  <si>
    <t>285,0</t>
  </si>
  <si>
    <t>292,5</t>
  </si>
  <si>
    <t>306,0</t>
  </si>
  <si>
    <t>165,0</t>
  </si>
  <si>
    <t>262,5</t>
  </si>
  <si>
    <t>Открытая (16.10.1985)/32</t>
  </si>
  <si>
    <t>98,10</t>
  </si>
  <si>
    <t xml:space="preserve">Барановичи/Бресткая </t>
  </si>
  <si>
    <t>257,5</t>
  </si>
  <si>
    <t>267,5</t>
  </si>
  <si>
    <t>Открытая (21.03.1992)/26</t>
  </si>
  <si>
    <t>99,60</t>
  </si>
  <si>
    <t>Открытая (05.11.1989)/28</t>
  </si>
  <si>
    <t>98,60</t>
  </si>
  <si>
    <t>ВЕСОВАЯ КАТЕГОРИЯ   110</t>
  </si>
  <si>
    <t>Юниоры (11.05.1997)/20</t>
  </si>
  <si>
    <t>108,60</t>
  </si>
  <si>
    <t>310,0</t>
  </si>
  <si>
    <t>330,0</t>
  </si>
  <si>
    <t>350,0</t>
  </si>
  <si>
    <t>195,0</t>
  </si>
  <si>
    <t>202,5</t>
  </si>
  <si>
    <t>340,0</t>
  </si>
  <si>
    <t>Юниоры (22.07.1996)/21</t>
  </si>
  <si>
    <t>110,00</t>
  </si>
  <si>
    <t>Открытая (16.08.1988)/29</t>
  </si>
  <si>
    <t>103,60</t>
  </si>
  <si>
    <t>187,5</t>
  </si>
  <si>
    <t>335,0</t>
  </si>
  <si>
    <t>345,0</t>
  </si>
  <si>
    <t>356,0</t>
  </si>
  <si>
    <t>361,0</t>
  </si>
  <si>
    <t>Открытая (14.10.1988)/29</t>
  </si>
  <si>
    <t>102,60</t>
  </si>
  <si>
    <t>Открытая (24.06.1994)/23</t>
  </si>
  <si>
    <t>109,50</t>
  </si>
  <si>
    <t>295,0</t>
  </si>
  <si>
    <t>300,0</t>
  </si>
  <si>
    <t>Открытая (21.08.1978)/39</t>
  </si>
  <si>
    <t>101,90</t>
  </si>
  <si>
    <t>Архипов Владимир</t>
  </si>
  <si>
    <t>Мастера 70-79 (26.09.1942)/75</t>
  </si>
  <si>
    <t>101,50</t>
  </si>
  <si>
    <t>60,0</t>
  </si>
  <si>
    <t>65,0</t>
  </si>
  <si>
    <t>775,0</t>
  </si>
  <si>
    <t>478,4850</t>
  </si>
  <si>
    <t>234,4275</t>
  </si>
  <si>
    <t>875,0</t>
  </si>
  <si>
    <t>517,0375</t>
  </si>
  <si>
    <t>577,5</t>
  </si>
  <si>
    <t>389,7547</t>
  </si>
  <si>
    <t>517,5</t>
  </si>
  <si>
    <t>350,5545</t>
  </si>
  <si>
    <t>1</t>
  </si>
  <si>
    <t>-</t>
  </si>
  <si>
    <t>2</t>
  </si>
  <si>
    <t>3</t>
  </si>
  <si>
    <t>4</t>
  </si>
  <si>
    <t>5</t>
  </si>
  <si>
    <t>500,0</t>
  </si>
  <si>
    <t>294,2500</t>
  </si>
  <si>
    <t>Жим лёжа</t>
  </si>
  <si>
    <t>Cтановая тяга</t>
  </si>
  <si>
    <t>Открытая (15.08.1989)/28</t>
  </si>
  <si>
    <t>46,70</t>
  </si>
  <si>
    <t>40,0</t>
  </si>
  <si>
    <t>Юноши 17-19 (27.01.1999)/19</t>
  </si>
  <si>
    <t>68,30</t>
  </si>
  <si>
    <t xml:space="preserve">Иваново/Ивановская область </t>
  </si>
  <si>
    <t>Юноши 17-19 (23.02.2001)/17</t>
  </si>
  <si>
    <t>98,30</t>
  </si>
  <si>
    <t xml:space="preserve">Гомель/Гомельская </t>
  </si>
  <si>
    <t>Юниоры (24.06.1994)/23</t>
  </si>
  <si>
    <t>74,20</t>
  </si>
  <si>
    <t>Открытая (28.05.1972)/45</t>
  </si>
  <si>
    <t>123,00</t>
  </si>
  <si>
    <t>Открытая (12.12.1991)/26</t>
  </si>
  <si>
    <t>98,00</t>
  </si>
  <si>
    <t xml:space="preserve">Витебск/Витебская </t>
  </si>
  <si>
    <t>Открытая (13.11.1985)/32</t>
  </si>
  <si>
    <t>91,20</t>
  </si>
  <si>
    <t xml:space="preserve">Дрогичин/Брестская </t>
  </si>
  <si>
    <t>6</t>
  </si>
  <si>
    <t>Открытая (19.01.1991)/27</t>
  </si>
  <si>
    <t>74,40</t>
  </si>
  <si>
    <t>Кравчук Руслан</t>
  </si>
  <si>
    <t>Мастера 40-49 (28.05.1972)/45</t>
  </si>
  <si>
    <t>Мастера 50-59 (03.06.1965)/52</t>
  </si>
  <si>
    <t>117,40</t>
  </si>
  <si>
    <t>Мастера 60-69 (01.12.1951)/66</t>
  </si>
  <si>
    <t>86,70</t>
  </si>
  <si>
    <t>Результат</t>
  </si>
  <si>
    <t>Девушки 17-19 (31.10.2000)/17</t>
  </si>
  <si>
    <t>51,60</t>
  </si>
  <si>
    <t xml:space="preserve">Мозырь/Гомельская </t>
  </si>
  <si>
    <t>62,5</t>
  </si>
  <si>
    <t>Юниорки (01.06.1995)/22</t>
  </si>
  <si>
    <t>74,30</t>
  </si>
  <si>
    <t>102,5</t>
  </si>
  <si>
    <t>Юниорки (31.12.1997)/20</t>
  </si>
  <si>
    <t>53,90</t>
  </si>
  <si>
    <t xml:space="preserve">Добруш/Минская </t>
  </si>
  <si>
    <t>67,5</t>
  </si>
  <si>
    <t>Открытая (01.06.1995)/22</t>
  </si>
  <si>
    <t>Открытая (24.12.1986)/31</t>
  </si>
  <si>
    <t>59,70</t>
  </si>
  <si>
    <t>Открытая (29.08.1982)/35</t>
  </si>
  <si>
    <t>46,40</t>
  </si>
  <si>
    <t>47,5</t>
  </si>
  <si>
    <t>Дубовская Виктория</t>
  </si>
  <si>
    <t>Открытая (23.02.1990)/28</t>
  </si>
  <si>
    <t>50,40</t>
  </si>
  <si>
    <t>45,0</t>
  </si>
  <si>
    <t>Дударенко Владислав</t>
  </si>
  <si>
    <t>Юноши 17-19</t>
  </si>
  <si>
    <t>87,4</t>
  </si>
  <si>
    <t>142,5</t>
  </si>
  <si>
    <t>145</t>
  </si>
  <si>
    <t>92,383</t>
  </si>
  <si>
    <t>Юниоры (10.03.1995)/23</t>
  </si>
  <si>
    <t>176,0</t>
  </si>
  <si>
    <t>Юниоры (15.11.1994)/23</t>
  </si>
  <si>
    <t>107,40</t>
  </si>
  <si>
    <t xml:space="preserve">Бобруйск/Могилёвская </t>
  </si>
  <si>
    <t>Юниоры (29.05.1995)/22</t>
  </si>
  <si>
    <t>89,40</t>
  </si>
  <si>
    <t xml:space="preserve">Солигорск/Минская </t>
  </si>
  <si>
    <t>Жакенов Алексей</t>
  </si>
  <si>
    <t xml:space="preserve">Юниоры </t>
  </si>
  <si>
    <t>84,90</t>
  </si>
  <si>
    <t>95,526</t>
  </si>
  <si>
    <t>Юниоры (05.05.1995)/22</t>
  </si>
  <si>
    <t>86,90</t>
  </si>
  <si>
    <t>Юниоры (02.05.1995)/22</t>
  </si>
  <si>
    <t>72,80</t>
  </si>
  <si>
    <t>7</t>
  </si>
  <si>
    <t>Юниоры (08.04.1995)/23</t>
  </si>
  <si>
    <t>73,10</t>
  </si>
  <si>
    <t>Крупица Игорь</t>
  </si>
  <si>
    <t>Открытая (03.06.1968)/49</t>
  </si>
  <si>
    <t>Открытая (29.10.1985)/32</t>
  </si>
  <si>
    <t>73,80</t>
  </si>
  <si>
    <t xml:space="preserve">Мядель/Минская </t>
  </si>
  <si>
    <t>Открытая (06.02.1988)/30</t>
  </si>
  <si>
    <t>72,20</t>
  </si>
  <si>
    <t xml:space="preserve">Мосты/Гродненская </t>
  </si>
  <si>
    <t>Открытая (15.12.1988)/29</t>
  </si>
  <si>
    <t>74,00</t>
  </si>
  <si>
    <t>127,5</t>
  </si>
  <si>
    <t>Открытая (30.08.1991)/26</t>
  </si>
  <si>
    <t>72,40</t>
  </si>
  <si>
    <t>Голубченко Руслан</t>
  </si>
  <si>
    <t>Открытая (15.07.1991)/26</t>
  </si>
  <si>
    <t>66,20</t>
  </si>
  <si>
    <t xml:space="preserve">Кричев/Могилёвская </t>
  </si>
  <si>
    <t>Тимошенко Александр</t>
  </si>
  <si>
    <t>Открытая (07.03.1991)/27</t>
  </si>
  <si>
    <t>73,00</t>
  </si>
  <si>
    <t xml:space="preserve">Борисов/Брестская </t>
  </si>
  <si>
    <t>Открытая (30.08.1983)/34</t>
  </si>
  <si>
    <t>86,30</t>
  </si>
  <si>
    <t>182,5</t>
  </si>
  <si>
    <t>Открытая (18.05.1982)/35</t>
  </si>
  <si>
    <t>89,60</t>
  </si>
  <si>
    <t xml:space="preserve">Дубровно/Витебская </t>
  </si>
  <si>
    <t>Дроздов Максим</t>
  </si>
  <si>
    <t>Открытая (10.03.1995)/23</t>
  </si>
  <si>
    <t>Мустафаев Эрнест (МС)</t>
  </si>
  <si>
    <t xml:space="preserve">Открытая </t>
  </si>
  <si>
    <t>180</t>
  </si>
  <si>
    <t>114,912</t>
  </si>
  <si>
    <t>Открытая (28.07.1985)/32</t>
  </si>
  <si>
    <t>87,20</t>
  </si>
  <si>
    <t>Стефанович Николай</t>
  </si>
  <si>
    <t>Открытая (11.03.1984)/34</t>
  </si>
  <si>
    <t>78,80</t>
  </si>
  <si>
    <t>Открытая (17.01.1986)/32</t>
  </si>
  <si>
    <t>105,70</t>
  </si>
  <si>
    <t>Открытая (23.08.1979)/38</t>
  </si>
  <si>
    <t>114,30</t>
  </si>
  <si>
    <t>Открытая (09.07.1983)/34</t>
  </si>
  <si>
    <t>97,60</t>
  </si>
  <si>
    <t>Открытая (14.10.1990)/27</t>
  </si>
  <si>
    <t>97,10</t>
  </si>
  <si>
    <t>107,10</t>
  </si>
  <si>
    <t>Открытая (01.07.1984)/33</t>
  </si>
  <si>
    <t>106,90</t>
  </si>
  <si>
    <t>8</t>
  </si>
  <si>
    <t>Открытая (14.10.1993)/24</t>
  </si>
  <si>
    <t>97,30</t>
  </si>
  <si>
    <t>Мастера 40-49 (29.03.1978)/40</t>
  </si>
  <si>
    <t>109,10</t>
  </si>
  <si>
    <t xml:space="preserve">Дружный/Минская </t>
  </si>
  <si>
    <t>Мастера 40-49 (03.06.1968)/49</t>
  </si>
  <si>
    <t>Яновский Алексей</t>
  </si>
  <si>
    <t>Мастера 40-49 (15.02.1977)/41</t>
  </si>
  <si>
    <t>79,30</t>
  </si>
  <si>
    <t>124,00</t>
  </si>
  <si>
    <t>Мастера 50-59 (02.08.1962)/55</t>
  </si>
  <si>
    <t>65,10</t>
  </si>
  <si>
    <t>Крупин Александр</t>
  </si>
  <si>
    <t>Мастера 50-59 (16.03.1961)/57</t>
  </si>
  <si>
    <t>65,20</t>
  </si>
  <si>
    <t>Мастера 60-69 (23.06.1954)/63</t>
  </si>
  <si>
    <t>132,5</t>
  </si>
  <si>
    <t>143,0</t>
  </si>
  <si>
    <t>Полетаев Сергей</t>
  </si>
  <si>
    <t>87,10</t>
  </si>
  <si>
    <t>Соболевский Евгений</t>
  </si>
  <si>
    <t>Открытая (18.07.1990)/27</t>
  </si>
  <si>
    <t>124,10</t>
  </si>
  <si>
    <t>Макей Александр</t>
  </si>
  <si>
    <t>Мастера 50-59 (15.02.1964)/54</t>
  </si>
  <si>
    <t>109,80</t>
  </si>
  <si>
    <t/>
  </si>
  <si>
    <t>Девушки 17-19 (20.02.2001)/17</t>
  </si>
  <si>
    <t>66,30</t>
  </si>
  <si>
    <t xml:space="preserve">Минойты/Гродненская </t>
  </si>
  <si>
    <t>Открытая (12.02.1983)/35</t>
  </si>
  <si>
    <t>47,60</t>
  </si>
  <si>
    <t>Открытая (06.07.1993)/24</t>
  </si>
  <si>
    <t>55,40</t>
  </si>
  <si>
    <t>147,5</t>
  </si>
  <si>
    <t>Юниоры (25.10.1994)/23</t>
  </si>
  <si>
    <t>82,90</t>
  </si>
  <si>
    <t>222,5</t>
  </si>
  <si>
    <t>Юниоры (12.02.1997)/21</t>
  </si>
  <si>
    <t>93,40</t>
  </si>
  <si>
    <t>232,5</t>
  </si>
  <si>
    <t>Открытая (03.02.1989)/29</t>
  </si>
  <si>
    <t>79,40</t>
  </si>
  <si>
    <t>Якуненко Юлия</t>
  </si>
  <si>
    <t>Гейдаров Артём</t>
  </si>
  <si>
    <t>Трусевич Евгений</t>
  </si>
  <si>
    <t>Юха Александр</t>
  </si>
  <si>
    <t>Бушмакин Антон</t>
  </si>
  <si>
    <t>Козлов Александр</t>
  </si>
  <si>
    <t>Лукша Эдгар</t>
  </si>
  <si>
    <t>Голиков Денис</t>
  </si>
  <si>
    <t>Мацур Виктор</t>
  </si>
  <si>
    <t>Петровец Иван</t>
  </si>
  <si>
    <t>Лысанович Павел</t>
  </si>
  <si>
    <t>Лисовский Дмитрий</t>
  </si>
  <si>
    <t>Силуянов Александр</t>
  </si>
  <si>
    <t>Мусатова Надежда</t>
  </si>
  <si>
    <t>Лысенко Дмитрий</t>
  </si>
  <si>
    <t>Грицишин Олег</t>
  </si>
  <si>
    <t>Полукошко Дмитрий</t>
  </si>
  <si>
    <t>Андреева Юлия</t>
  </si>
  <si>
    <t>Достовалова Анна</t>
  </si>
  <si>
    <t>Павловский Сергей</t>
  </si>
  <si>
    <t>Попков Алексей</t>
  </si>
  <si>
    <t>Нартыч Роман</t>
  </si>
  <si>
    <t>Щербаков Алексей</t>
  </si>
  <si>
    <t>Соболев Дмитрий</t>
  </si>
  <si>
    <t>Трошкин Георгий</t>
  </si>
  <si>
    <t>Тарасов Сергей</t>
  </si>
  <si>
    <t>Дмишук Игнат</t>
  </si>
  <si>
    <t>Брич Дмитрий</t>
  </si>
  <si>
    <t>Куприянова Ольга</t>
  </si>
  <si>
    <t>Бельская Мария</t>
  </si>
  <si>
    <t>Букас Камилл</t>
  </si>
  <si>
    <t>Черняк Вадим</t>
  </si>
  <si>
    <t>Кривицкий Глеб</t>
  </si>
  <si>
    <t>Добренко Виталий</t>
  </si>
  <si>
    <t>Черепко Андрей</t>
  </si>
  <si>
    <t>Липницкий Артем</t>
  </si>
  <si>
    <t>Куприянов Кирилл</t>
  </si>
  <si>
    <t>Кодис Александр</t>
  </si>
  <si>
    <t>Филатов Максим</t>
  </si>
  <si>
    <t>Римша Юрий</t>
  </si>
  <si>
    <t>Михальченко Павел</t>
  </si>
  <si>
    <t>Жук Дмитрий</t>
  </si>
  <si>
    <t>Шевченко Александр</t>
  </si>
  <si>
    <t>Левченко Максим</t>
  </si>
  <si>
    <t>Ольшевский Александр</t>
  </si>
  <si>
    <t>Елисеенко Анна</t>
  </si>
  <si>
    <t>Филипенко Валентин</t>
  </si>
  <si>
    <t>Кравцевич Александр</t>
  </si>
  <si>
    <t>Дорошенко Андрей</t>
  </si>
  <si>
    <t>Пипкин Александр</t>
  </si>
  <si>
    <t>Халамов Олег</t>
  </si>
  <si>
    <t>Драч Евгений</t>
  </si>
  <si>
    <t>Ионов Александр</t>
  </si>
  <si>
    <t>Селезнёв Артём</t>
  </si>
  <si>
    <t>Михальчук Павел</t>
  </si>
  <si>
    <t>Орловский Евгений</t>
  </si>
  <si>
    <t>Кудянов Дмитрий</t>
  </si>
  <si>
    <t>Меленец Анастасия</t>
  </si>
  <si>
    <t>Карпухина Александра</t>
  </si>
  <si>
    <t>Логачёва Инна</t>
  </si>
  <si>
    <t>Калинин Александр</t>
  </si>
  <si>
    <t>Козлов Алексей</t>
  </si>
  <si>
    <t>Рачковский Евгений</t>
  </si>
  <si>
    <t>Лютаев Сергей</t>
  </si>
  <si>
    <t>Горбачева Марина</t>
  </si>
  <si>
    <t>Жигалов Николай</t>
  </si>
  <si>
    <t>Климович Александр</t>
  </si>
  <si>
    <t xml:space="preserve">Трошкин Г. </t>
  </si>
  <si>
    <t>Кодис А.</t>
  </si>
  <si>
    <t>Балясный А.</t>
  </si>
  <si>
    <t xml:space="preserve">Бурмейстер А. </t>
  </si>
  <si>
    <t>Яневич Д.</t>
  </si>
  <si>
    <t>Побдобед С.</t>
  </si>
  <si>
    <t>Варава И.</t>
  </si>
  <si>
    <t>Поримон В.</t>
  </si>
  <si>
    <t>Нижник Н.</t>
  </si>
  <si>
    <t>Трошкин Г.</t>
  </si>
  <si>
    <t>Морозов Н.</t>
  </si>
  <si>
    <t>Беляй С.</t>
  </si>
  <si>
    <t>Максимович Д.</t>
  </si>
  <si>
    <t>Кунц Д.</t>
  </si>
  <si>
    <t>Хилимончик Р.</t>
  </si>
  <si>
    <t>Кундас В.</t>
  </si>
  <si>
    <t>Соболевский Е.</t>
  </si>
  <si>
    <t>Ковалёв А.</t>
  </si>
  <si>
    <t>Крупица С.</t>
  </si>
  <si>
    <t>Архипов В.</t>
  </si>
  <si>
    <t>Дроздов М.</t>
  </si>
  <si>
    <t xml:space="preserve">Радуховский А. </t>
  </si>
  <si>
    <t>Радуховский А.</t>
  </si>
  <si>
    <t>Горбачёвский В.</t>
  </si>
  <si>
    <t>Козлов А.</t>
  </si>
  <si>
    <t>Клёмин А.</t>
  </si>
  <si>
    <t>3-ий чемпионат Республики Беларусь
WRPF любители Пауэрлифтинг
Пинск/Брестская область, 14-16 апреля 2018 года</t>
  </si>
  <si>
    <t>3-ий чемпионат Республики Беларусь
WRPF любители Силовое двоеборье
Пинск/Брестская область, 14-16 апреля 2018 года</t>
  </si>
  <si>
    <t>3-ий чемпионат Республики Беларусь
WRPF любители Жим лежа
Пинск/Брестская область, 14-16 апреля 2018 года</t>
  </si>
  <si>
    <t>3-ий чемпионат Республики Беларусь
WRPF любители Становая тяга
Пинск/Брестская область, 14-16 апреля 2018 года</t>
  </si>
  <si>
    <t>№</t>
  </si>
  <si>
    <t>Собственный
Вес</t>
  </si>
  <si>
    <t>Собственный
вес</t>
  </si>
  <si>
    <t xml:space="preserve">
Дата рождения/Возраст</t>
  </si>
  <si>
    <t>Возрастная группа</t>
  </si>
  <si>
    <t>O</t>
  </si>
  <si>
    <t>весовая категория 0</t>
  </si>
  <si>
    <t>T</t>
  </si>
  <si>
    <t>J</t>
  </si>
  <si>
    <t>M1</t>
  </si>
  <si>
    <t>M2</t>
  </si>
  <si>
    <t>M3</t>
  </si>
  <si>
    <t>ВЕСОВАЯ КАТЕГОРИЯ 82.5</t>
  </si>
  <si>
    <t>ВЕСОВАЯ КАТЕГОРИЯ 90</t>
  </si>
  <si>
    <t>ВЕСОВАЯ КАТЕГОРИЯ 90+</t>
  </si>
  <si>
    <t>Возрастная группа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</si>
</sst>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79"/>
  <sheetViews>
    <sheetView topLeftCell="A2" zoomScaleNormal="100" workbookViewId="0">
      <selection activeCell="O42" sqref="O42"/>
    </sheetView>
  </sheetViews>
  <sheetFormatPr baseColWidth="10" defaultColWidth="9.1640625" defaultRowHeight="13"/>
  <cols>
    <col min="1" max="1" width="7.5" style="4" bestFit="1" customWidth="1"/>
    <col min="2" max="2" width="28.33203125" style="4" bestFit="1" customWidth="1"/>
    <col min="3" max="3" width="27.5" style="4" bestFit="1" customWidth="1"/>
    <col min="4" max="4" width="9.5" style="4" customWidth="1"/>
    <col min="5" max="5" width="10.5" style="4" bestFit="1" customWidth="1"/>
    <col min="6" max="6" width="20.5" style="4" bestFit="1" customWidth="1"/>
    <col min="7" max="18" width="5.5" style="5" bestFit="1" customWidth="1"/>
    <col min="19" max="19" width="7.83203125" style="10" bestFit="1" customWidth="1"/>
    <col min="20" max="20" width="8.5" style="5" bestFit="1" customWidth="1"/>
    <col min="21" max="21" width="13.83203125" style="4" bestFit="1" customWidth="1"/>
    <col min="22" max="16384" width="9.1640625" style="3"/>
  </cols>
  <sheetData>
    <row r="1" spans="1:21" s="2" customFormat="1" ht="29" customHeight="1">
      <c r="A1" s="53" t="s">
        <v>449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453</v>
      </c>
      <c r="B3" s="48" t="s">
        <v>0</v>
      </c>
      <c r="C3" s="62" t="s">
        <v>456</v>
      </c>
      <c r="D3" s="62" t="s">
        <v>454</v>
      </c>
      <c r="E3" s="44" t="s">
        <v>457</v>
      </c>
      <c r="F3" s="44" t="s">
        <v>8</v>
      </c>
      <c r="G3" s="44" t="s">
        <v>1</v>
      </c>
      <c r="H3" s="44"/>
      <c r="I3" s="44"/>
      <c r="J3" s="44"/>
      <c r="K3" s="44" t="s">
        <v>2</v>
      </c>
      <c r="L3" s="44"/>
      <c r="M3" s="44"/>
      <c r="N3" s="44"/>
      <c r="O3" s="44" t="s">
        <v>3</v>
      </c>
      <c r="P3" s="44"/>
      <c r="Q3" s="44"/>
      <c r="R3" s="44"/>
      <c r="S3" s="44" t="s">
        <v>4</v>
      </c>
      <c r="T3" s="46" t="s">
        <v>6</v>
      </c>
      <c r="U3" s="63" t="s">
        <v>5</v>
      </c>
    </row>
    <row r="4" spans="1:21" s="1" customFormat="1" ht="21" customHeight="1">
      <c r="A4" s="61"/>
      <c r="B4" s="49"/>
      <c r="C4" s="45"/>
      <c r="D4" s="45"/>
      <c r="E4" s="45"/>
      <c r="F4" s="45"/>
      <c r="G4" s="14">
        <v>1</v>
      </c>
      <c r="H4" s="14">
        <v>2</v>
      </c>
      <c r="I4" s="14">
        <v>3</v>
      </c>
      <c r="J4" s="14" t="s">
        <v>7</v>
      </c>
      <c r="K4" s="14">
        <v>1</v>
      </c>
      <c r="L4" s="14">
        <v>2</v>
      </c>
      <c r="M4" s="14">
        <v>3</v>
      </c>
      <c r="N4" s="14" t="s">
        <v>7</v>
      </c>
      <c r="O4" s="14">
        <v>1</v>
      </c>
      <c r="P4" s="14">
        <v>2</v>
      </c>
      <c r="Q4" s="14">
        <v>3</v>
      </c>
      <c r="R4" s="15" t="s">
        <v>7</v>
      </c>
      <c r="S4" s="45"/>
      <c r="T4" s="47"/>
      <c r="U4" s="64"/>
    </row>
    <row r="5" spans="1:21" ht="16">
      <c r="A5" s="50" t="s">
        <v>459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1:21">
      <c r="A6" s="6" t="s">
        <v>178</v>
      </c>
      <c r="B6" s="6" t="s">
        <v>356</v>
      </c>
      <c r="C6" s="6" t="s">
        <v>9</v>
      </c>
      <c r="D6" s="6" t="s">
        <v>10</v>
      </c>
      <c r="E6" s="6" t="s">
        <v>458</v>
      </c>
      <c r="F6" s="6" t="s">
        <v>11</v>
      </c>
      <c r="G6" s="7" t="s">
        <v>12</v>
      </c>
      <c r="H6" s="8" t="s">
        <v>13</v>
      </c>
      <c r="I6" s="9"/>
      <c r="J6" s="9"/>
      <c r="K6" s="8" t="s">
        <v>14</v>
      </c>
      <c r="L6" s="8" t="s">
        <v>15</v>
      </c>
      <c r="M6" s="7" t="s">
        <v>16</v>
      </c>
      <c r="N6" s="9"/>
      <c r="O6" s="8" t="s">
        <v>17</v>
      </c>
      <c r="P6" s="8" t="s">
        <v>18</v>
      </c>
      <c r="Q6" s="7" t="s">
        <v>19</v>
      </c>
      <c r="R6" s="9"/>
      <c r="S6" s="9" t="str">
        <f>"240,0"</f>
        <v>240,0</v>
      </c>
      <c r="T6" s="9" t="str">
        <f>"307,3920"</f>
        <v>307,3920</v>
      </c>
      <c r="U6" s="6"/>
    </row>
    <row r="7" spans="1:21">
      <c r="A7" s="6" t="s">
        <v>180</v>
      </c>
      <c r="B7" s="6" t="s">
        <v>373</v>
      </c>
      <c r="C7" s="6" t="s">
        <v>27</v>
      </c>
      <c r="D7" s="6" t="s">
        <v>28</v>
      </c>
      <c r="E7" s="6" t="s">
        <v>458</v>
      </c>
      <c r="F7" s="6" t="s">
        <v>29</v>
      </c>
      <c r="G7" s="8" t="s">
        <v>25</v>
      </c>
      <c r="H7" s="7" t="s">
        <v>30</v>
      </c>
      <c r="I7" s="7" t="s">
        <v>30</v>
      </c>
      <c r="J7" s="9"/>
      <c r="K7" s="8" t="s">
        <v>31</v>
      </c>
      <c r="L7" s="7" t="s">
        <v>32</v>
      </c>
      <c r="M7" s="7" t="s">
        <v>32</v>
      </c>
      <c r="N7" s="9"/>
      <c r="O7" s="8" t="s">
        <v>33</v>
      </c>
      <c r="P7" s="7" t="s">
        <v>17</v>
      </c>
      <c r="Q7" s="8" t="s">
        <v>17</v>
      </c>
      <c r="R7" s="9"/>
      <c r="S7" s="9" t="str">
        <f>"275,0"</f>
        <v>275,0</v>
      </c>
      <c r="T7" s="9" t="str">
        <f>"281,5725"</f>
        <v>281,5725</v>
      </c>
      <c r="U7" s="6" t="s">
        <v>423</v>
      </c>
    </row>
    <row r="8" spans="1:21">
      <c r="A8" s="6" t="s">
        <v>179</v>
      </c>
      <c r="B8" s="6" t="s">
        <v>20</v>
      </c>
      <c r="C8" s="6" t="s">
        <v>21</v>
      </c>
      <c r="D8" s="6" t="s">
        <v>22</v>
      </c>
      <c r="E8" s="6" t="s">
        <v>458</v>
      </c>
      <c r="F8" s="6" t="s">
        <v>11</v>
      </c>
      <c r="G8" s="7" t="s">
        <v>23</v>
      </c>
      <c r="H8" s="7" t="s">
        <v>23</v>
      </c>
      <c r="I8" s="7" t="s">
        <v>23</v>
      </c>
      <c r="J8" s="9"/>
      <c r="K8" s="7" t="s">
        <v>24</v>
      </c>
      <c r="L8" s="9"/>
      <c r="M8" s="9"/>
      <c r="N8" s="9"/>
      <c r="O8" s="7" t="s">
        <v>25</v>
      </c>
      <c r="P8" s="9"/>
      <c r="Q8" s="9"/>
      <c r="R8" s="9"/>
      <c r="S8" s="9" t="str">
        <f>"0.00"</f>
        <v>0.00</v>
      </c>
      <c r="T8" s="9" t="str">
        <f>"0,0000"</f>
        <v>0,0000</v>
      </c>
      <c r="U8" s="6" t="s">
        <v>26</v>
      </c>
    </row>
    <row r="9" spans="1:21" ht="16">
      <c r="A9" s="42" t="s">
        <v>459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>
      <c r="A10" s="6" t="s">
        <v>178</v>
      </c>
      <c r="B10" s="6" t="s">
        <v>403</v>
      </c>
      <c r="C10" s="6" t="s">
        <v>116</v>
      </c>
      <c r="D10" s="6" t="s">
        <v>117</v>
      </c>
      <c r="E10" s="6" t="s">
        <v>460</v>
      </c>
      <c r="F10" s="6" t="s">
        <v>118</v>
      </c>
      <c r="G10" s="8" t="s">
        <v>81</v>
      </c>
      <c r="H10" s="8" t="s">
        <v>82</v>
      </c>
      <c r="I10" s="8" t="s">
        <v>103</v>
      </c>
      <c r="J10" s="9"/>
      <c r="K10" s="8" t="s">
        <v>43</v>
      </c>
      <c r="L10" s="8" t="s">
        <v>44</v>
      </c>
      <c r="M10" s="8" t="s">
        <v>119</v>
      </c>
      <c r="N10" s="7" t="s">
        <v>46</v>
      </c>
      <c r="O10" s="8" t="s">
        <v>98</v>
      </c>
      <c r="P10" s="8" t="s">
        <v>99</v>
      </c>
      <c r="Q10" s="8" t="s">
        <v>120</v>
      </c>
      <c r="R10" s="8" t="s">
        <v>121</v>
      </c>
      <c r="S10" s="9" t="s">
        <v>169</v>
      </c>
      <c r="T10" s="9" t="s">
        <v>170</v>
      </c>
      <c r="U10" s="6" t="s">
        <v>424</v>
      </c>
    </row>
    <row r="11" spans="1:21">
      <c r="A11" s="6" t="s">
        <v>180</v>
      </c>
      <c r="B11" s="6" t="s">
        <v>377</v>
      </c>
      <c r="C11" s="6" t="s">
        <v>34</v>
      </c>
      <c r="D11" s="6" t="s">
        <v>28</v>
      </c>
      <c r="E11" s="6" t="s">
        <v>460</v>
      </c>
      <c r="F11" s="6" t="s">
        <v>35</v>
      </c>
      <c r="G11" s="8" t="s">
        <v>23</v>
      </c>
      <c r="H11" s="8" t="s">
        <v>33</v>
      </c>
      <c r="I11" s="7" t="s">
        <v>17</v>
      </c>
      <c r="J11" s="9"/>
      <c r="K11" s="8" t="s">
        <v>13</v>
      </c>
      <c r="L11" s="8" t="s">
        <v>36</v>
      </c>
      <c r="M11" s="7" t="s">
        <v>37</v>
      </c>
      <c r="N11" s="9"/>
      <c r="O11" s="8" t="s">
        <v>38</v>
      </c>
      <c r="P11" s="7" t="s">
        <v>39</v>
      </c>
      <c r="Q11" s="9"/>
      <c r="R11" s="9"/>
      <c r="S11" s="9" t="str">
        <f>"345,0"</f>
        <v>345,0</v>
      </c>
      <c r="T11" s="9" t="str">
        <f>"266,9610"</f>
        <v>266,9610</v>
      </c>
      <c r="U11" s="6" t="s">
        <v>26</v>
      </c>
    </row>
    <row r="12" spans="1:21">
      <c r="A12" s="6" t="s">
        <v>181</v>
      </c>
      <c r="B12" s="6" t="s">
        <v>55</v>
      </c>
      <c r="C12" s="6" t="s">
        <v>56</v>
      </c>
      <c r="D12" s="6" t="s">
        <v>57</v>
      </c>
      <c r="E12" s="6" t="s">
        <v>460</v>
      </c>
      <c r="F12" s="6" t="s">
        <v>11</v>
      </c>
      <c r="G12" s="8" t="s">
        <v>23</v>
      </c>
      <c r="H12" s="8" t="s">
        <v>33</v>
      </c>
      <c r="I12" s="8" t="s">
        <v>18</v>
      </c>
      <c r="J12" s="9"/>
      <c r="K12" s="8" t="s">
        <v>58</v>
      </c>
      <c r="L12" s="8" t="s">
        <v>36</v>
      </c>
      <c r="M12" s="7" t="s">
        <v>59</v>
      </c>
      <c r="N12" s="9"/>
      <c r="O12" s="8" t="s">
        <v>33</v>
      </c>
      <c r="P12" s="8" t="s">
        <v>17</v>
      </c>
      <c r="Q12" s="8" t="s">
        <v>19</v>
      </c>
      <c r="R12" s="9"/>
      <c r="S12" s="9" t="s">
        <v>153</v>
      </c>
      <c r="T12" s="9" t="s">
        <v>171</v>
      </c>
      <c r="U12" s="6" t="s">
        <v>26</v>
      </c>
    </row>
    <row r="13" spans="1:21" ht="16">
      <c r="A13" s="42" t="s">
        <v>459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>
      <c r="A14" s="6" t="s">
        <v>178</v>
      </c>
      <c r="B14" s="6" t="s">
        <v>421</v>
      </c>
      <c r="C14" s="6" t="s">
        <v>139</v>
      </c>
      <c r="D14" s="6" t="s">
        <v>140</v>
      </c>
      <c r="E14" s="6" t="s">
        <v>461</v>
      </c>
      <c r="F14" s="6" t="s">
        <v>11</v>
      </c>
      <c r="G14" s="7" t="s">
        <v>141</v>
      </c>
      <c r="H14" s="8" t="s">
        <v>142</v>
      </c>
      <c r="I14" s="8" t="s">
        <v>143</v>
      </c>
      <c r="J14" s="9"/>
      <c r="K14" s="7" t="s">
        <v>46</v>
      </c>
      <c r="L14" s="8" t="s">
        <v>144</v>
      </c>
      <c r="M14" s="7" t="s">
        <v>145</v>
      </c>
      <c r="N14" s="9"/>
      <c r="O14" s="8" t="s">
        <v>96</v>
      </c>
      <c r="P14" s="8" t="s">
        <v>142</v>
      </c>
      <c r="Q14" s="7" t="s">
        <v>146</v>
      </c>
      <c r="R14" s="9"/>
      <c r="S14" s="9" t="s">
        <v>172</v>
      </c>
      <c r="T14" s="9" t="s">
        <v>173</v>
      </c>
      <c r="U14" s="6" t="s">
        <v>425</v>
      </c>
    </row>
    <row r="15" spans="1:21">
      <c r="A15" s="6" t="s">
        <v>180</v>
      </c>
      <c r="B15" s="6" t="s">
        <v>379</v>
      </c>
      <c r="C15" s="6" t="s">
        <v>60</v>
      </c>
      <c r="D15" s="6" t="s">
        <v>61</v>
      </c>
      <c r="E15" s="6" t="s">
        <v>461</v>
      </c>
      <c r="F15" s="6" t="s">
        <v>11</v>
      </c>
      <c r="G15" s="7" t="s">
        <v>47</v>
      </c>
      <c r="H15" s="8" t="s">
        <v>47</v>
      </c>
      <c r="I15" s="8" t="s">
        <v>62</v>
      </c>
      <c r="J15" s="9"/>
      <c r="K15" s="8" t="s">
        <v>63</v>
      </c>
      <c r="L15" s="8" t="s">
        <v>64</v>
      </c>
      <c r="M15" s="8" t="s">
        <v>65</v>
      </c>
      <c r="N15" s="9"/>
      <c r="O15" s="8" t="s">
        <v>66</v>
      </c>
      <c r="P15" s="8" t="s">
        <v>67</v>
      </c>
      <c r="Q15" s="7" t="s">
        <v>68</v>
      </c>
      <c r="R15" s="9"/>
      <c r="S15" s="9" t="s">
        <v>174</v>
      </c>
      <c r="T15" s="9" t="s">
        <v>175</v>
      </c>
      <c r="U15" s="6" t="s">
        <v>426</v>
      </c>
    </row>
    <row r="16" spans="1:21">
      <c r="A16" s="6" t="s">
        <v>181</v>
      </c>
      <c r="B16" s="6" t="s">
        <v>357</v>
      </c>
      <c r="C16" s="6" t="s">
        <v>69</v>
      </c>
      <c r="D16" s="6" t="s">
        <v>70</v>
      </c>
      <c r="E16" s="6" t="s">
        <v>461</v>
      </c>
      <c r="F16" s="6" t="s">
        <v>71</v>
      </c>
      <c r="G16" s="8" t="s">
        <v>44</v>
      </c>
      <c r="H16" s="7" t="s">
        <v>46</v>
      </c>
      <c r="I16" s="7" t="s">
        <v>46</v>
      </c>
      <c r="J16" s="9"/>
      <c r="K16" s="8" t="s">
        <v>18</v>
      </c>
      <c r="L16" s="7" t="s">
        <v>72</v>
      </c>
      <c r="M16" s="7" t="s">
        <v>72</v>
      </c>
      <c r="N16" s="9"/>
      <c r="O16" s="7" t="s">
        <v>47</v>
      </c>
      <c r="P16" s="8" t="s">
        <v>47</v>
      </c>
      <c r="Q16" s="8" t="s">
        <v>73</v>
      </c>
      <c r="R16" s="9"/>
      <c r="S16" s="9" t="s">
        <v>176</v>
      </c>
      <c r="T16" s="9" t="s">
        <v>177</v>
      </c>
      <c r="U16" s="6" t="s">
        <v>427</v>
      </c>
    </row>
    <row r="17" spans="1:21">
      <c r="A17" s="6" t="s">
        <v>182</v>
      </c>
      <c r="B17" s="6" t="s">
        <v>378</v>
      </c>
      <c r="C17" s="6" t="s">
        <v>147</v>
      </c>
      <c r="D17" s="6" t="s">
        <v>148</v>
      </c>
      <c r="E17" s="6" t="s">
        <v>461</v>
      </c>
      <c r="F17" s="6" t="s">
        <v>71</v>
      </c>
      <c r="G17" s="7" t="s">
        <v>52</v>
      </c>
      <c r="H17" s="8" t="s">
        <v>52</v>
      </c>
      <c r="I17" s="7" t="s">
        <v>43</v>
      </c>
      <c r="J17" s="9"/>
      <c r="K17" s="8" t="s">
        <v>17</v>
      </c>
      <c r="L17" s="8" t="s">
        <v>19</v>
      </c>
      <c r="M17" s="7" t="s">
        <v>72</v>
      </c>
      <c r="N17" s="9"/>
      <c r="O17" s="8" t="s">
        <v>46</v>
      </c>
      <c r="P17" s="7" t="s">
        <v>85</v>
      </c>
      <c r="Q17" s="8" t="s">
        <v>86</v>
      </c>
      <c r="R17" s="9"/>
      <c r="S17" s="9" t="s">
        <v>184</v>
      </c>
      <c r="T17" s="9" t="s">
        <v>185</v>
      </c>
      <c r="U17" s="6" t="s">
        <v>427</v>
      </c>
    </row>
    <row r="18" spans="1:21" ht="16">
      <c r="A18" s="42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>
      <c r="A19" s="6" t="s">
        <v>178</v>
      </c>
      <c r="B19" s="6" t="s">
        <v>404</v>
      </c>
      <c r="C19" s="6" t="s">
        <v>74</v>
      </c>
      <c r="D19" s="6" t="s">
        <v>75</v>
      </c>
      <c r="E19" s="6" t="s">
        <v>458</v>
      </c>
      <c r="F19" s="6" t="s">
        <v>11</v>
      </c>
      <c r="G19" s="8" t="s">
        <v>66</v>
      </c>
      <c r="H19" s="8" t="s">
        <v>76</v>
      </c>
      <c r="I19" s="7" t="s">
        <v>67</v>
      </c>
      <c r="J19" s="9"/>
      <c r="K19" s="8" t="s">
        <v>77</v>
      </c>
      <c r="L19" s="8" t="s">
        <v>78</v>
      </c>
      <c r="M19" s="7" t="s">
        <v>79</v>
      </c>
      <c r="N19" s="9"/>
      <c r="O19" s="8" t="s">
        <v>80</v>
      </c>
      <c r="P19" s="8" t="s">
        <v>81</v>
      </c>
      <c r="Q19" s="7" t="s">
        <v>82</v>
      </c>
      <c r="R19" s="9"/>
      <c r="S19" s="9" t="str">
        <f>"647,5"</f>
        <v>647,5</v>
      </c>
      <c r="T19" s="9" t="str">
        <f>"435,3790"</f>
        <v>435,3790</v>
      </c>
      <c r="U19" s="6" t="s">
        <v>26</v>
      </c>
    </row>
    <row r="20" spans="1:21">
      <c r="A20" s="6" t="s">
        <v>180</v>
      </c>
      <c r="B20" s="6" t="s">
        <v>405</v>
      </c>
      <c r="C20" s="6" t="s">
        <v>83</v>
      </c>
      <c r="D20" s="6" t="s">
        <v>84</v>
      </c>
      <c r="E20" s="6" t="s">
        <v>458</v>
      </c>
      <c r="F20" s="6" t="s">
        <v>71</v>
      </c>
      <c r="G20" s="8" t="s">
        <v>85</v>
      </c>
      <c r="H20" s="8" t="s">
        <v>86</v>
      </c>
      <c r="I20" s="8" t="s">
        <v>66</v>
      </c>
      <c r="J20" s="9"/>
      <c r="K20" s="8" t="s">
        <v>72</v>
      </c>
      <c r="L20" s="8" t="s">
        <v>87</v>
      </c>
      <c r="M20" s="7" t="s">
        <v>77</v>
      </c>
      <c r="N20" s="9"/>
      <c r="O20" s="8" t="s">
        <v>67</v>
      </c>
      <c r="P20" s="8" t="s">
        <v>68</v>
      </c>
      <c r="Q20" s="7" t="s">
        <v>88</v>
      </c>
      <c r="R20" s="9"/>
      <c r="S20" s="9" t="str">
        <f>"615,0"</f>
        <v>615,0</v>
      </c>
      <c r="T20" s="9" t="str">
        <f>"425,7030"</f>
        <v>425,7030</v>
      </c>
      <c r="U20" s="6" t="s">
        <v>427</v>
      </c>
    </row>
    <row r="21" spans="1:21">
      <c r="A21" s="6" t="s">
        <v>181</v>
      </c>
      <c r="B21" s="6" t="s">
        <v>358</v>
      </c>
      <c r="C21" s="6" t="s">
        <v>89</v>
      </c>
      <c r="D21" s="6" t="s">
        <v>90</v>
      </c>
      <c r="E21" s="6" t="s">
        <v>458</v>
      </c>
      <c r="F21" s="6" t="s">
        <v>11</v>
      </c>
      <c r="G21" s="8" t="s">
        <v>85</v>
      </c>
      <c r="H21" s="8" t="s">
        <v>86</v>
      </c>
      <c r="I21" s="7" t="s">
        <v>62</v>
      </c>
      <c r="J21" s="9"/>
      <c r="K21" s="8" t="s">
        <v>19</v>
      </c>
      <c r="L21" s="8" t="s">
        <v>72</v>
      </c>
      <c r="M21" s="8" t="s">
        <v>91</v>
      </c>
      <c r="N21" s="9"/>
      <c r="O21" s="7" t="s">
        <v>92</v>
      </c>
      <c r="P21" s="8" t="s">
        <v>92</v>
      </c>
      <c r="Q21" s="7" t="s">
        <v>86</v>
      </c>
      <c r="R21" s="9"/>
      <c r="S21" s="9" t="str">
        <f>"545,0"</f>
        <v>545,0</v>
      </c>
      <c r="T21" s="9" t="str">
        <f>"370,0550"</f>
        <v>370,0550</v>
      </c>
      <c r="U21" s="6" t="s">
        <v>26</v>
      </c>
    </row>
    <row r="22" spans="1:21">
      <c r="A22" s="6" t="s">
        <v>182</v>
      </c>
      <c r="B22" s="6" t="s">
        <v>359</v>
      </c>
      <c r="C22" s="6" t="s">
        <v>40</v>
      </c>
      <c r="D22" s="6" t="s">
        <v>41</v>
      </c>
      <c r="E22" s="6" t="s">
        <v>458</v>
      </c>
      <c r="F22" s="6" t="s">
        <v>29</v>
      </c>
      <c r="G22" s="8" t="s">
        <v>42</v>
      </c>
      <c r="H22" s="8" t="s">
        <v>43</v>
      </c>
      <c r="I22" s="7" t="s">
        <v>44</v>
      </c>
      <c r="J22" s="9"/>
      <c r="K22" s="8" t="s">
        <v>23</v>
      </c>
      <c r="L22" s="7" t="s">
        <v>33</v>
      </c>
      <c r="M22" s="7" t="s">
        <v>33</v>
      </c>
      <c r="N22" s="9"/>
      <c r="O22" s="8" t="s">
        <v>45</v>
      </c>
      <c r="P22" s="8" t="s">
        <v>46</v>
      </c>
      <c r="Q22" s="8" t="s">
        <v>47</v>
      </c>
      <c r="R22" s="9"/>
      <c r="S22" s="9" t="str">
        <f>"475,0"</f>
        <v>475,0</v>
      </c>
      <c r="T22" s="9" t="str">
        <f>"342,9975"</f>
        <v>342,9975</v>
      </c>
      <c r="U22" s="6" t="s">
        <v>428</v>
      </c>
    </row>
    <row r="23" spans="1:21">
      <c r="A23" s="6" t="s">
        <v>183</v>
      </c>
      <c r="B23" s="6" t="s">
        <v>360</v>
      </c>
      <c r="C23" s="6" t="s">
        <v>48</v>
      </c>
      <c r="D23" s="6" t="s">
        <v>49</v>
      </c>
      <c r="E23" s="6" t="s">
        <v>458</v>
      </c>
      <c r="F23" s="6" t="s">
        <v>50</v>
      </c>
      <c r="G23" s="8" t="s">
        <v>43</v>
      </c>
      <c r="H23" s="8" t="s">
        <v>44</v>
      </c>
      <c r="I23" s="7" t="s">
        <v>46</v>
      </c>
      <c r="J23" s="9"/>
      <c r="K23" s="8" t="s">
        <v>51</v>
      </c>
      <c r="L23" s="7" t="s">
        <v>30</v>
      </c>
      <c r="M23" s="7" t="s">
        <v>30</v>
      </c>
      <c r="N23" s="9"/>
      <c r="O23" s="8" t="s">
        <v>52</v>
      </c>
      <c r="P23" s="8" t="s">
        <v>53</v>
      </c>
      <c r="Q23" s="7" t="s">
        <v>44</v>
      </c>
      <c r="R23" s="9"/>
      <c r="S23" s="9" t="str">
        <f>"465,0"</f>
        <v>465,0</v>
      </c>
      <c r="T23" s="9" t="str">
        <f>"336,7530"</f>
        <v>336,7530</v>
      </c>
      <c r="U23" s="6" t="s">
        <v>26</v>
      </c>
    </row>
    <row r="24" spans="1:21" ht="16">
      <c r="A24" s="42" t="s">
        <v>93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>
      <c r="A25" s="6" t="s">
        <v>178</v>
      </c>
      <c r="B25" s="6" t="s">
        <v>422</v>
      </c>
      <c r="C25" s="6" t="s">
        <v>94</v>
      </c>
      <c r="D25" s="6" t="s">
        <v>95</v>
      </c>
      <c r="E25" s="6" t="s">
        <v>458</v>
      </c>
      <c r="F25" s="6" t="s">
        <v>11</v>
      </c>
      <c r="G25" s="8" t="s">
        <v>96</v>
      </c>
      <c r="H25" s="7" t="s">
        <v>97</v>
      </c>
      <c r="I25" s="9"/>
      <c r="J25" s="9"/>
      <c r="K25" s="8" t="s">
        <v>43</v>
      </c>
      <c r="L25" s="8" t="s">
        <v>44</v>
      </c>
      <c r="M25" s="9"/>
      <c r="N25" s="9"/>
      <c r="O25" s="8" t="s">
        <v>98</v>
      </c>
      <c r="P25" s="8" t="s">
        <v>99</v>
      </c>
      <c r="Q25" s="7" t="s">
        <v>96</v>
      </c>
      <c r="R25" s="9"/>
      <c r="S25" s="9" t="str">
        <f>"805,0"</f>
        <v>805,0</v>
      </c>
      <c r="T25" s="9" t="str">
        <f>"516,8905"</f>
        <v>516,8905</v>
      </c>
      <c r="U25" s="6" t="s">
        <v>26</v>
      </c>
    </row>
    <row r="26" spans="1:21">
      <c r="A26" s="6" t="s">
        <v>180</v>
      </c>
      <c r="B26" s="6" t="s">
        <v>406</v>
      </c>
      <c r="C26" s="6" t="s">
        <v>100</v>
      </c>
      <c r="D26" s="6" t="s">
        <v>101</v>
      </c>
      <c r="E26" s="6" t="s">
        <v>458</v>
      </c>
      <c r="F26" s="6" t="s">
        <v>102</v>
      </c>
      <c r="G26" s="8" t="s">
        <v>81</v>
      </c>
      <c r="H26" s="8" t="s">
        <v>82</v>
      </c>
      <c r="I26" s="8" t="s">
        <v>103</v>
      </c>
      <c r="J26" s="9"/>
      <c r="K26" s="8" t="s">
        <v>77</v>
      </c>
      <c r="L26" s="8" t="s">
        <v>78</v>
      </c>
      <c r="M26" s="7" t="s">
        <v>52</v>
      </c>
      <c r="N26" s="9"/>
      <c r="O26" s="8" t="s">
        <v>81</v>
      </c>
      <c r="P26" s="8" t="s">
        <v>82</v>
      </c>
      <c r="Q26" s="7" t="s">
        <v>104</v>
      </c>
      <c r="R26" s="9"/>
      <c r="S26" s="9" t="str">
        <f>"702,5"</f>
        <v>702,5</v>
      </c>
      <c r="T26" s="9" t="str">
        <f>"452,9017"</f>
        <v>452,9017</v>
      </c>
      <c r="U26" s="6" t="s">
        <v>429</v>
      </c>
    </row>
    <row r="27" spans="1:21">
      <c r="A27" s="6" t="s">
        <v>181</v>
      </c>
      <c r="B27" s="6" t="s">
        <v>407</v>
      </c>
      <c r="C27" s="6" t="s">
        <v>105</v>
      </c>
      <c r="D27" s="6" t="s">
        <v>106</v>
      </c>
      <c r="E27" s="6" t="s">
        <v>458</v>
      </c>
      <c r="F27" s="6" t="s">
        <v>11</v>
      </c>
      <c r="G27" s="8" t="s">
        <v>81</v>
      </c>
      <c r="H27" s="7" t="s">
        <v>104</v>
      </c>
      <c r="I27" s="8" t="s">
        <v>104</v>
      </c>
      <c r="J27" s="9"/>
      <c r="K27" s="8" t="s">
        <v>77</v>
      </c>
      <c r="L27" s="7" t="s">
        <v>42</v>
      </c>
      <c r="M27" s="7" t="s">
        <v>42</v>
      </c>
      <c r="N27" s="9"/>
      <c r="O27" s="8" t="s">
        <v>107</v>
      </c>
      <c r="P27" s="8" t="s">
        <v>81</v>
      </c>
      <c r="Q27" s="8" t="s">
        <v>82</v>
      </c>
      <c r="R27" s="9"/>
      <c r="S27" s="9" t="str">
        <f>"700,0"</f>
        <v>700,0</v>
      </c>
      <c r="T27" s="9" t="str">
        <f>"446,8800"</f>
        <v>446,8800</v>
      </c>
      <c r="U27" s="6" t="s">
        <v>430</v>
      </c>
    </row>
    <row r="28" spans="1:21">
      <c r="A28" s="6" t="s">
        <v>182</v>
      </c>
      <c r="B28" s="6" t="s">
        <v>408</v>
      </c>
      <c r="C28" s="6" t="s">
        <v>108</v>
      </c>
      <c r="D28" s="6" t="s">
        <v>109</v>
      </c>
      <c r="E28" s="6" t="s">
        <v>458</v>
      </c>
      <c r="F28" s="6" t="s">
        <v>11</v>
      </c>
      <c r="G28" s="8" t="s">
        <v>67</v>
      </c>
      <c r="H28" s="8" t="s">
        <v>107</v>
      </c>
      <c r="I28" s="8" t="s">
        <v>81</v>
      </c>
      <c r="J28" s="9"/>
      <c r="K28" s="8" t="s">
        <v>38</v>
      </c>
      <c r="L28" s="8" t="s">
        <v>39</v>
      </c>
      <c r="M28" s="7" t="s">
        <v>52</v>
      </c>
      <c r="N28" s="9"/>
      <c r="O28" s="8" t="s">
        <v>110</v>
      </c>
      <c r="P28" s="8" t="s">
        <v>68</v>
      </c>
      <c r="Q28" s="9"/>
      <c r="R28" s="9"/>
      <c r="S28" s="9" t="str">
        <f>"667,5"</f>
        <v>667,5</v>
      </c>
      <c r="T28" s="9" t="str">
        <f>"428,3348"</f>
        <v>428,3348</v>
      </c>
      <c r="U28" s="6" t="s">
        <v>431</v>
      </c>
    </row>
    <row r="29" spans="1:21">
      <c r="A29" s="6" t="s">
        <v>183</v>
      </c>
      <c r="B29" s="6" t="s">
        <v>361</v>
      </c>
      <c r="C29" s="6" t="s">
        <v>111</v>
      </c>
      <c r="D29" s="6" t="s">
        <v>112</v>
      </c>
      <c r="E29" s="6" t="s">
        <v>458</v>
      </c>
      <c r="F29" s="6" t="s">
        <v>113</v>
      </c>
      <c r="G29" s="8" t="s">
        <v>85</v>
      </c>
      <c r="H29" s="8" t="s">
        <v>86</v>
      </c>
      <c r="I29" s="7" t="s">
        <v>66</v>
      </c>
      <c r="J29" s="9"/>
      <c r="K29" s="8" t="s">
        <v>19</v>
      </c>
      <c r="L29" s="8" t="s">
        <v>72</v>
      </c>
      <c r="M29" s="8" t="s">
        <v>87</v>
      </c>
      <c r="N29" s="9"/>
      <c r="O29" s="8" t="s">
        <v>66</v>
      </c>
      <c r="P29" s="8" t="s">
        <v>76</v>
      </c>
      <c r="Q29" s="7" t="s">
        <v>114</v>
      </c>
      <c r="R29" s="9"/>
      <c r="S29" s="9" t="str">
        <f>"580,0"</f>
        <v>580,0</v>
      </c>
      <c r="T29" s="9" t="str">
        <f>"370,9100"</f>
        <v>370,9100</v>
      </c>
      <c r="U29" s="6" t="s">
        <v>429</v>
      </c>
    </row>
    <row r="30" spans="1:21" ht="16">
      <c r="A30" s="42" t="s">
        <v>115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>
      <c r="A31" s="6" t="s">
        <v>178</v>
      </c>
      <c r="B31" s="6" t="s">
        <v>409</v>
      </c>
      <c r="C31" s="6" t="s">
        <v>122</v>
      </c>
      <c r="D31" s="6" t="s">
        <v>123</v>
      </c>
      <c r="E31" s="6" t="s">
        <v>458</v>
      </c>
      <c r="F31" s="6" t="s">
        <v>11</v>
      </c>
      <c r="G31" s="8" t="s">
        <v>88</v>
      </c>
      <c r="H31" s="8" t="s">
        <v>124</v>
      </c>
      <c r="I31" s="8" t="s">
        <v>125</v>
      </c>
      <c r="J31" s="8" t="s">
        <v>126</v>
      </c>
      <c r="K31" s="8" t="s">
        <v>42</v>
      </c>
      <c r="L31" s="7" t="s">
        <v>127</v>
      </c>
      <c r="M31" s="8" t="s">
        <v>127</v>
      </c>
      <c r="N31" s="9"/>
      <c r="O31" s="7" t="s">
        <v>68</v>
      </c>
      <c r="P31" s="8" t="s">
        <v>68</v>
      </c>
      <c r="Q31" s="8" t="s">
        <v>128</v>
      </c>
      <c r="R31" s="9"/>
      <c r="S31" s="9" t="str">
        <f>"720,0"</f>
        <v>720,0</v>
      </c>
      <c r="T31" s="9" t="str">
        <f>"438,6960"</f>
        <v>438,6960</v>
      </c>
      <c r="U31" s="6" t="s">
        <v>426</v>
      </c>
    </row>
    <row r="32" spans="1:21">
      <c r="A32" s="6" t="s">
        <v>180</v>
      </c>
      <c r="B32" s="6" t="s">
        <v>410</v>
      </c>
      <c r="C32" s="6" t="s">
        <v>129</v>
      </c>
      <c r="D32" s="6" t="s">
        <v>130</v>
      </c>
      <c r="E32" s="6" t="s">
        <v>458</v>
      </c>
      <c r="F32" s="6" t="s">
        <v>131</v>
      </c>
      <c r="G32" s="8" t="s">
        <v>132</v>
      </c>
      <c r="H32" s="8" t="s">
        <v>133</v>
      </c>
      <c r="I32" s="7" t="s">
        <v>103</v>
      </c>
      <c r="J32" s="9"/>
      <c r="K32" s="8" t="s">
        <v>77</v>
      </c>
      <c r="L32" s="8" t="s">
        <v>42</v>
      </c>
      <c r="M32" s="8" t="s">
        <v>52</v>
      </c>
      <c r="N32" s="9"/>
      <c r="O32" s="8" t="s">
        <v>81</v>
      </c>
      <c r="P32" s="8" t="s">
        <v>103</v>
      </c>
      <c r="Q32" s="7" t="s">
        <v>125</v>
      </c>
      <c r="R32" s="9"/>
      <c r="S32" s="9" t="str">
        <f>"702,5"</f>
        <v>702,5</v>
      </c>
      <c r="T32" s="9" t="str">
        <f>"430,9135"</f>
        <v>430,9135</v>
      </c>
      <c r="U32" s="6" t="s">
        <v>26</v>
      </c>
    </row>
    <row r="33" spans="1:21">
      <c r="A33" s="6" t="s">
        <v>181</v>
      </c>
      <c r="B33" s="6" t="s">
        <v>411</v>
      </c>
      <c r="C33" s="6" t="s">
        <v>134</v>
      </c>
      <c r="D33" s="6" t="s">
        <v>135</v>
      </c>
      <c r="E33" s="6" t="s">
        <v>458</v>
      </c>
      <c r="F33" s="6" t="s">
        <v>102</v>
      </c>
      <c r="G33" s="8" t="s">
        <v>80</v>
      </c>
      <c r="H33" s="8" t="s">
        <v>68</v>
      </c>
      <c r="I33" s="8" t="s">
        <v>128</v>
      </c>
      <c r="J33" s="9"/>
      <c r="K33" s="8" t="s">
        <v>38</v>
      </c>
      <c r="L33" s="8" t="s">
        <v>77</v>
      </c>
      <c r="M33" s="8" t="s">
        <v>39</v>
      </c>
      <c r="N33" s="9"/>
      <c r="O33" s="8" t="s">
        <v>107</v>
      </c>
      <c r="P33" s="8" t="s">
        <v>81</v>
      </c>
      <c r="Q33" s="8" t="s">
        <v>133</v>
      </c>
      <c r="R33" s="9"/>
      <c r="S33" s="9" t="str">
        <f>"682,5"</f>
        <v>682,5</v>
      </c>
      <c r="T33" s="9" t="str">
        <f>"416,0520"</f>
        <v>416,0520</v>
      </c>
      <c r="U33" s="6" t="s">
        <v>429</v>
      </c>
    </row>
    <row r="34" spans="1:21">
      <c r="A34" s="6" t="s">
        <v>182</v>
      </c>
      <c r="B34" s="6" t="s">
        <v>362</v>
      </c>
      <c r="C34" s="6" t="s">
        <v>136</v>
      </c>
      <c r="D34" s="6" t="s">
        <v>137</v>
      </c>
      <c r="E34" s="6" t="s">
        <v>458</v>
      </c>
      <c r="F34" s="6" t="s">
        <v>29</v>
      </c>
      <c r="G34" s="7" t="s">
        <v>86</v>
      </c>
      <c r="H34" s="7" t="s">
        <v>86</v>
      </c>
      <c r="I34" s="8" t="s">
        <v>86</v>
      </c>
      <c r="J34" s="9"/>
      <c r="K34" s="8" t="s">
        <v>77</v>
      </c>
      <c r="L34" s="7" t="s">
        <v>52</v>
      </c>
      <c r="M34" s="7" t="s">
        <v>52</v>
      </c>
      <c r="N34" s="9"/>
      <c r="O34" s="8" t="s">
        <v>86</v>
      </c>
      <c r="P34" s="8" t="s">
        <v>66</v>
      </c>
      <c r="Q34" s="8" t="s">
        <v>76</v>
      </c>
      <c r="R34" s="9"/>
      <c r="S34" s="9" t="str">
        <f>"590,0"</f>
        <v>590,0</v>
      </c>
      <c r="T34" s="9" t="str">
        <f>"361,1390"</f>
        <v>361,1390</v>
      </c>
      <c r="U34" s="6" t="s">
        <v>432</v>
      </c>
    </row>
    <row r="35" spans="1:21" ht="16">
      <c r="A35" s="42" t="s">
        <v>138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>
      <c r="A36" s="6" t="s">
        <v>178</v>
      </c>
      <c r="B36" s="6" t="s">
        <v>393</v>
      </c>
      <c r="C36" s="6" t="s">
        <v>149</v>
      </c>
      <c r="D36" s="6" t="s">
        <v>150</v>
      </c>
      <c r="E36" s="6" t="s">
        <v>458</v>
      </c>
      <c r="F36" s="6" t="s">
        <v>118</v>
      </c>
      <c r="G36" s="8" t="s">
        <v>103</v>
      </c>
      <c r="H36" s="7" t="s">
        <v>124</v>
      </c>
      <c r="I36" s="8" t="s">
        <v>98</v>
      </c>
      <c r="J36" s="9"/>
      <c r="K36" s="8" t="s">
        <v>45</v>
      </c>
      <c r="L36" s="8" t="s">
        <v>119</v>
      </c>
      <c r="M36" s="8" t="s">
        <v>151</v>
      </c>
      <c r="N36" s="9"/>
      <c r="O36" s="8" t="s">
        <v>152</v>
      </c>
      <c r="P36" s="8" t="s">
        <v>153</v>
      </c>
      <c r="Q36" s="8" t="s">
        <v>154</v>
      </c>
      <c r="R36" s="7" t="s">
        <v>155</v>
      </c>
      <c r="S36" s="9" t="str">
        <f>"832,5"</f>
        <v>832,5</v>
      </c>
      <c r="T36" s="9" t="str">
        <f>"499,8330"</f>
        <v>499,8330</v>
      </c>
      <c r="U36" s="6" t="s">
        <v>26</v>
      </c>
    </row>
    <row r="37" spans="1:21">
      <c r="A37" s="6" t="s">
        <v>180</v>
      </c>
      <c r="B37" s="6" t="s">
        <v>380</v>
      </c>
      <c r="C37" s="6" t="s">
        <v>156</v>
      </c>
      <c r="D37" s="6" t="s">
        <v>157</v>
      </c>
      <c r="E37" s="6" t="s">
        <v>458</v>
      </c>
      <c r="F37" s="6" t="s">
        <v>29</v>
      </c>
      <c r="G37" s="7" t="s">
        <v>82</v>
      </c>
      <c r="H37" s="8" t="s">
        <v>82</v>
      </c>
      <c r="I37" s="9"/>
      <c r="J37" s="9"/>
      <c r="K37" s="8" t="s">
        <v>77</v>
      </c>
      <c r="L37" s="8" t="s">
        <v>52</v>
      </c>
      <c r="M37" s="7" t="s">
        <v>127</v>
      </c>
      <c r="N37" s="9"/>
      <c r="O37" s="8" t="s">
        <v>81</v>
      </c>
      <c r="P37" s="8" t="s">
        <v>104</v>
      </c>
      <c r="Q37" s="7" t="s">
        <v>98</v>
      </c>
      <c r="R37" s="9"/>
      <c r="S37" s="9" t="str">
        <f>"710,0"</f>
        <v>710,0</v>
      </c>
      <c r="T37" s="9" t="str">
        <f>"427,8460"</f>
        <v>427,8460</v>
      </c>
      <c r="U37" s="6" t="s">
        <v>26</v>
      </c>
    </row>
    <row r="38" spans="1:21">
      <c r="A38" s="6" t="s">
        <v>181</v>
      </c>
      <c r="B38" s="6" t="s">
        <v>381</v>
      </c>
      <c r="C38" s="6" t="s">
        <v>158</v>
      </c>
      <c r="D38" s="6" t="s">
        <v>159</v>
      </c>
      <c r="E38" s="6" t="s">
        <v>458</v>
      </c>
      <c r="F38" s="6" t="s">
        <v>11</v>
      </c>
      <c r="G38" s="8" t="s">
        <v>104</v>
      </c>
      <c r="H38" s="7" t="s">
        <v>160</v>
      </c>
      <c r="I38" s="7" t="s">
        <v>161</v>
      </c>
      <c r="J38" s="9"/>
      <c r="K38" s="8" t="s">
        <v>87</v>
      </c>
      <c r="L38" s="7" t="s">
        <v>77</v>
      </c>
      <c r="M38" s="7" t="s">
        <v>77</v>
      </c>
      <c r="N38" s="9"/>
      <c r="O38" s="8" t="s">
        <v>98</v>
      </c>
      <c r="P38" s="7" t="s">
        <v>141</v>
      </c>
      <c r="Q38" s="7" t="s">
        <v>141</v>
      </c>
      <c r="R38" s="9"/>
      <c r="S38" s="9" t="str">
        <f>"710,0"</f>
        <v>710,0</v>
      </c>
      <c r="T38" s="9" t="str">
        <f>"418,4030"</f>
        <v>418,4030</v>
      </c>
      <c r="U38" s="6" t="s">
        <v>433</v>
      </c>
    </row>
    <row r="39" spans="1:21">
      <c r="A39" s="6" t="s">
        <v>182</v>
      </c>
      <c r="B39" s="6" t="s">
        <v>363</v>
      </c>
      <c r="C39" s="6" t="s">
        <v>162</v>
      </c>
      <c r="D39" s="6" t="s">
        <v>163</v>
      </c>
      <c r="E39" s="6" t="s">
        <v>458</v>
      </c>
      <c r="F39" s="6" t="s">
        <v>11</v>
      </c>
      <c r="G39" s="7" t="s">
        <v>76</v>
      </c>
      <c r="H39" s="8" t="s">
        <v>76</v>
      </c>
      <c r="I39" s="7" t="s">
        <v>67</v>
      </c>
      <c r="J39" s="9"/>
      <c r="K39" s="8" t="s">
        <v>77</v>
      </c>
      <c r="L39" s="7" t="s">
        <v>42</v>
      </c>
      <c r="M39" s="7" t="s">
        <v>52</v>
      </c>
      <c r="N39" s="9"/>
      <c r="O39" s="8" t="s">
        <v>107</v>
      </c>
      <c r="P39" s="7" t="s">
        <v>81</v>
      </c>
      <c r="Q39" s="9"/>
      <c r="R39" s="9"/>
      <c r="S39" s="9" t="str">
        <f>"630,0"</f>
        <v>630,0</v>
      </c>
      <c r="T39" s="9" t="str">
        <f>"380,5830"</f>
        <v>380,5830</v>
      </c>
      <c r="U39" s="6" t="s">
        <v>430</v>
      </c>
    </row>
    <row r="40" spans="1:21" ht="16">
      <c r="A40" s="42" t="s">
        <v>459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>
      <c r="A41" s="6" t="s">
        <v>178</v>
      </c>
      <c r="B41" s="6" t="s">
        <v>164</v>
      </c>
      <c r="C41" s="6" t="s">
        <v>165</v>
      </c>
      <c r="D41" s="6" t="s">
        <v>166</v>
      </c>
      <c r="E41" s="6" t="s">
        <v>464</v>
      </c>
      <c r="F41" s="6" t="s">
        <v>118</v>
      </c>
      <c r="G41" s="8" t="s">
        <v>33</v>
      </c>
      <c r="H41" s="7" t="s">
        <v>30</v>
      </c>
      <c r="I41" s="9"/>
      <c r="J41" s="9"/>
      <c r="K41" s="8" t="s">
        <v>167</v>
      </c>
      <c r="L41" s="8" t="s">
        <v>168</v>
      </c>
      <c r="M41" s="9"/>
      <c r="N41" s="9"/>
      <c r="O41" s="8" t="s">
        <v>17</v>
      </c>
      <c r="P41" s="8" t="s">
        <v>18</v>
      </c>
      <c r="Q41" s="7" t="s">
        <v>19</v>
      </c>
      <c r="R41" s="9"/>
      <c r="S41" s="9" t="str">
        <f>"300,0"</f>
        <v>300,0</v>
      </c>
      <c r="T41" s="9" t="str">
        <f>"344,8500"</f>
        <v>344,8500</v>
      </c>
      <c r="U41" s="6" t="s">
        <v>26</v>
      </c>
    </row>
    <row r="50" spans="3:6" ht="18">
      <c r="C50" s="11"/>
      <c r="D50" s="11"/>
    </row>
    <row r="51" spans="3:6" ht="16">
      <c r="C51" s="12"/>
      <c r="D51" s="12"/>
    </row>
    <row r="52" spans="3:6" ht="14">
      <c r="C52" s="13"/>
      <c r="D52" s="13"/>
    </row>
    <row r="53" spans="3:6" ht="14">
      <c r="C53" s="1"/>
      <c r="D53" s="1"/>
      <c r="E53" s="1"/>
      <c r="F53" s="1"/>
    </row>
    <row r="54" spans="3:6">
      <c r="E54" s="5"/>
      <c r="F54" s="5"/>
    </row>
    <row r="55" spans="3:6">
      <c r="E55" s="5"/>
      <c r="F55" s="5"/>
    </row>
    <row r="58" spans="3:6" ht="16">
      <c r="C58" s="12"/>
      <c r="D58" s="12"/>
    </row>
    <row r="59" spans="3:6" ht="14">
      <c r="C59" s="13"/>
      <c r="D59" s="13"/>
    </row>
    <row r="60" spans="3:6" ht="14">
      <c r="C60" s="1"/>
      <c r="D60" s="1"/>
      <c r="E60" s="1"/>
      <c r="F60" s="1"/>
    </row>
    <row r="61" spans="3:6">
      <c r="E61" s="5"/>
      <c r="F61" s="5"/>
    </row>
    <row r="62" spans="3:6">
      <c r="E62" s="5"/>
      <c r="F62" s="5"/>
    </row>
    <row r="63" spans="3:6">
      <c r="E63" s="5"/>
      <c r="F63" s="5"/>
    </row>
    <row r="65" spans="3:6" ht="14">
      <c r="C65" s="13"/>
      <c r="D65" s="13"/>
    </row>
    <row r="66" spans="3:6" ht="14">
      <c r="C66" s="1"/>
      <c r="D66" s="1"/>
      <c r="E66" s="1"/>
      <c r="F66" s="1"/>
    </row>
    <row r="67" spans="3:6">
      <c r="E67" s="5"/>
      <c r="F67" s="5"/>
    </row>
    <row r="68" spans="3:6">
      <c r="E68" s="5"/>
      <c r="F68" s="5"/>
    </row>
    <row r="69" spans="3:6">
      <c r="E69" s="5"/>
      <c r="F69" s="5"/>
    </row>
    <row r="71" spans="3:6" ht="14">
      <c r="C71" s="13"/>
      <c r="D71" s="13"/>
    </row>
    <row r="72" spans="3:6" ht="14">
      <c r="C72" s="1"/>
      <c r="D72" s="1"/>
      <c r="E72" s="1"/>
      <c r="F72" s="1"/>
    </row>
    <row r="73" spans="3:6">
      <c r="E73" s="5"/>
      <c r="F73" s="5"/>
    </row>
    <row r="74" spans="3:6">
      <c r="E74" s="5"/>
      <c r="F74" s="5"/>
    </row>
    <row r="75" spans="3:6">
      <c r="E75" s="5"/>
      <c r="F75" s="5"/>
    </row>
    <row r="77" spans="3:6" ht="14">
      <c r="C77" s="13"/>
      <c r="D77" s="13"/>
    </row>
    <row r="78" spans="3:6" ht="14">
      <c r="C78" s="1"/>
      <c r="D78" s="1"/>
      <c r="E78" s="1"/>
      <c r="F78" s="1"/>
    </row>
    <row r="79" spans="3:6">
      <c r="E79" s="5"/>
      <c r="F79" s="5"/>
    </row>
  </sheetData>
  <mergeCells count="21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13:U13"/>
    <mergeCell ref="A9:U9"/>
    <mergeCell ref="E3:E4"/>
    <mergeCell ref="S3:S4"/>
    <mergeCell ref="T3:T4"/>
    <mergeCell ref="B3:B4"/>
    <mergeCell ref="A5:U5"/>
    <mergeCell ref="A24:U24"/>
    <mergeCell ref="A18:U18"/>
    <mergeCell ref="A35:U35"/>
    <mergeCell ref="A30:U30"/>
    <mergeCell ref="A40:U40"/>
  </mergeCells>
  <phoneticPr fontId="0" type="noConversion"/>
  <pageMargins left="0.19685039370078741" right="0.47244094488188981" top="0.43307086614173229" bottom="0.47244094488188981" header="0.51181102362204722" footer="0.51181102362204722"/>
  <pageSetup scale="62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zoomScaleNormal="100" workbookViewId="0">
      <selection sqref="A1:Q2"/>
    </sheetView>
  </sheetViews>
  <sheetFormatPr baseColWidth="10" defaultColWidth="9.1640625" defaultRowHeight="13"/>
  <cols>
    <col min="1" max="1" width="7.5" style="26" bestFit="1" customWidth="1"/>
    <col min="2" max="2" width="31.1640625" style="41" bestFit="1" customWidth="1"/>
    <col min="3" max="3" width="28.33203125" style="27" bestFit="1" customWidth="1"/>
    <col min="4" max="4" width="15.1640625" style="27" customWidth="1"/>
    <col min="5" max="5" width="10.5" style="27" bestFit="1" customWidth="1"/>
    <col min="6" max="6" width="27.5" style="27" bestFit="1" customWidth="1"/>
    <col min="7" max="14" width="5.5" style="26" bestFit="1" customWidth="1"/>
    <col min="15" max="15" width="7.83203125" style="26" bestFit="1" customWidth="1"/>
    <col min="16" max="16" width="8.5" style="26" bestFit="1" customWidth="1"/>
    <col min="17" max="17" width="14.33203125" style="27" bestFit="1" customWidth="1"/>
    <col min="18" max="16384" width="9.1640625" style="16"/>
  </cols>
  <sheetData>
    <row r="1" spans="1:17" ht="29" customHeight="1">
      <c r="A1" s="70" t="s">
        <v>450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62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s="17" customFormat="1" ht="12.75" customHeight="1">
      <c r="A3" s="77" t="s">
        <v>453</v>
      </c>
      <c r="B3" s="79" t="s">
        <v>0</v>
      </c>
      <c r="C3" s="81" t="s">
        <v>456</v>
      </c>
      <c r="D3" s="81" t="s">
        <v>455</v>
      </c>
      <c r="E3" s="66" t="s">
        <v>457</v>
      </c>
      <c r="F3" s="66" t="s">
        <v>8</v>
      </c>
      <c r="G3" s="66" t="s">
        <v>186</v>
      </c>
      <c r="H3" s="66"/>
      <c r="I3" s="66"/>
      <c r="J3" s="66"/>
      <c r="K3" s="66" t="s">
        <v>187</v>
      </c>
      <c r="L3" s="66"/>
      <c r="M3" s="66"/>
      <c r="N3" s="66"/>
      <c r="O3" s="66" t="s">
        <v>4</v>
      </c>
      <c r="P3" s="66" t="s">
        <v>6</v>
      </c>
      <c r="Q3" s="68" t="s">
        <v>5</v>
      </c>
    </row>
    <row r="4" spans="1:17" s="17" customFormat="1" ht="21" customHeight="1" thickBot="1">
      <c r="A4" s="78"/>
      <c r="B4" s="80"/>
      <c r="C4" s="67"/>
      <c r="D4" s="67"/>
      <c r="E4" s="67"/>
      <c r="F4" s="67"/>
      <c r="G4" s="18">
        <v>1</v>
      </c>
      <c r="H4" s="18">
        <v>2</v>
      </c>
      <c r="I4" s="18">
        <v>3</v>
      </c>
      <c r="J4" s="18" t="s">
        <v>7</v>
      </c>
      <c r="K4" s="18">
        <v>1</v>
      </c>
      <c r="L4" s="18">
        <v>2</v>
      </c>
      <c r="M4" s="18">
        <v>3</v>
      </c>
      <c r="N4" s="18" t="s">
        <v>7</v>
      </c>
      <c r="O4" s="67"/>
      <c r="P4" s="67"/>
      <c r="Q4" s="69"/>
    </row>
    <row r="5" spans="1:17" ht="16">
      <c r="A5" s="65" t="s">
        <v>459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>
      <c r="A6" s="19" t="s">
        <v>178</v>
      </c>
      <c r="B6" s="39" t="s">
        <v>373</v>
      </c>
      <c r="C6" s="20" t="s">
        <v>27</v>
      </c>
      <c r="D6" s="20" t="s">
        <v>28</v>
      </c>
      <c r="E6" s="20" t="s">
        <v>458</v>
      </c>
      <c r="F6" s="20" t="s">
        <v>29</v>
      </c>
      <c r="G6" s="8" t="s">
        <v>31</v>
      </c>
      <c r="H6" s="21" t="s">
        <v>32</v>
      </c>
      <c r="I6" s="21" t="s">
        <v>32</v>
      </c>
      <c r="J6" s="19"/>
      <c r="K6" s="8" t="s">
        <v>33</v>
      </c>
      <c r="L6" s="21" t="s">
        <v>17</v>
      </c>
      <c r="M6" s="8" t="s">
        <v>17</v>
      </c>
      <c r="N6" s="19"/>
      <c r="O6" s="19" t="str">
        <f>"170,0"</f>
        <v>170,0</v>
      </c>
      <c r="P6" s="19" t="str">
        <f>"174,0630"</f>
        <v>174,0630</v>
      </c>
      <c r="Q6" s="20" t="s">
        <v>432</v>
      </c>
    </row>
    <row r="7" spans="1:17" ht="14" thickBot="1">
      <c r="A7" s="19" t="s">
        <v>180</v>
      </c>
      <c r="B7" s="39" t="s">
        <v>374</v>
      </c>
      <c r="C7" s="20" t="s">
        <v>188</v>
      </c>
      <c r="D7" s="20" t="s">
        <v>189</v>
      </c>
      <c r="E7" s="20" t="s">
        <v>458</v>
      </c>
      <c r="F7" s="20" t="s">
        <v>11</v>
      </c>
      <c r="G7" s="8" t="s">
        <v>190</v>
      </c>
      <c r="H7" s="21" t="s">
        <v>24</v>
      </c>
      <c r="I7" s="21" t="s">
        <v>24</v>
      </c>
      <c r="J7" s="19"/>
      <c r="K7" s="8" t="s">
        <v>13</v>
      </c>
      <c r="L7" s="8" t="s">
        <v>58</v>
      </c>
      <c r="M7" s="21" t="s">
        <v>59</v>
      </c>
      <c r="N7" s="19"/>
      <c r="O7" s="19" t="str">
        <f>"125,0"</f>
        <v>125,0</v>
      </c>
      <c r="P7" s="19" t="str">
        <f>"168,8875"</f>
        <v>168,8875</v>
      </c>
      <c r="Q7" s="20" t="s">
        <v>26</v>
      </c>
    </row>
    <row r="8" spans="1:17" ht="16">
      <c r="A8" s="65" t="s">
        <v>459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>
      <c r="A9" s="19" t="s">
        <v>178</v>
      </c>
      <c r="B9" s="39" t="s">
        <v>403</v>
      </c>
      <c r="C9" s="20" t="s">
        <v>116</v>
      </c>
      <c r="D9" s="20" t="s">
        <v>117</v>
      </c>
      <c r="E9" s="20" t="s">
        <v>460</v>
      </c>
      <c r="F9" s="20" t="s">
        <v>118</v>
      </c>
      <c r="G9" s="8" t="s">
        <v>43</v>
      </c>
      <c r="H9" s="8" t="s">
        <v>44</v>
      </c>
      <c r="I9" s="8" t="s">
        <v>119</v>
      </c>
      <c r="J9" s="21" t="s">
        <v>46</v>
      </c>
      <c r="K9" s="8" t="s">
        <v>98</v>
      </c>
      <c r="L9" s="8" t="s">
        <v>99</v>
      </c>
      <c r="M9" s="8" t="s">
        <v>120</v>
      </c>
      <c r="N9" s="8" t="s">
        <v>121</v>
      </c>
      <c r="O9" s="19" t="str">
        <f>"500,0"</f>
        <v>500,0</v>
      </c>
      <c r="P9" s="19" t="str">
        <f>"308,7000"</f>
        <v>308,7000</v>
      </c>
      <c r="Q9" s="20" t="s">
        <v>424</v>
      </c>
    </row>
    <row r="10" spans="1:17">
      <c r="A10" s="19" t="s">
        <v>180</v>
      </c>
      <c r="B10" s="39" t="s">
        <v>382</v>
      </c>
      <c r="C10" s="20" t="s">
        <v>191</v>
      </c>
      <c r="D10" s="20" t="s">
        <v>192</v>
      </c>
      <c r="E10" s="20" t="s">
        <v>460</v>
      </c>
      <c r="F10" s="20" t="s">
        <v>193</v>
      </c>
      <c r="G10" s="21" t="s">
        <v>30</v>
      </c>
      <c r="H10" s="21" t="s">
        <v>30</v>
      </c>
      <c r="I10" s="8" t="s">
        <v>30</v>
      </c>
      <c r="J10" s="19"/>
      <c r="K10" s="21" t="s">
        <v>44</v>
      </c>
      <c r="L10" s="8" t="s">
        <v>44</v>
      </c>
      <c r="M10" s="21" t="s">
        <v>85</v>
      </c>
      <c r="N10" s="19"/>
      <c r="O10" s="19" t="str">
        <f>"295,0"</f>
        <v>295,0</v>
      </c>
      <c r="P10" s="19" t="str">
        <f>"225,3210"</f>
        <v>225,3210</v>
      </c>
      <c r="Q10" s="20" t="s">
        <v>432</v>
      </c>
    </row>
    <row r="11" spans="1:17" ht="14" thickBot="1">
      <c r="A11" s="19" t="s">
        <v>181</v>
      </c>
      <c r="B11" s="39" t="s">
        <v>370</v>
      </c>
      <c r="C11" s="20" t="s">
        <v>194</v>
      </c>
      <c r="D11" s="20" t="s">
        <v>195</v>
      </c>
      <c r="E11" s="20" t="s">
        <v>460</v>
      </c>
      <c r="F11" s="20" t="s">
        <v>196</v>
      </c>
      <c r="G11" s="21" t="s">
        <v>18</v>
      </c>
      <c r="H11" s="21" t="s">
        <v>18</v>
      </c>
      <c r="I11" s="8" t="s">
        <v>18</v>
      </c>
      <c r="J11" s="19"/>
      <c r="K11" s="8" t="s">
        <v>66</v>
      </c>
      <c r="L11" s="8" t="s">
        <v>114</v>
      </c>
      <c r="M11" s="21" t="s">
        <v>80</v>
      </c>
      <c r="N11" s="19"/>
      <c r="O11" s="19" t="str">
        <f>"360,0"</f>
        <v>360,0</v>
      </c>
      <c r="P11" s="19" t="str">
        <f>"220,6440"</f>
        <v>220,6440</v>
      </c>
      <c r="Q11" s="20" t="s">
        <v>434</v>
      </c>
    </row>
    <row r="12" spans="1:17" ht="16">
      <c r="A12" s="65" t="s">
        <v>459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4" thickBot="1">
      <c r="A13" s="19" t="s">
        <v>178</v>
      </c>
      <c r="B13" s="39" t="s">
        <v>372</v>
      </c>
      <c r="C13" s="20" t="s">
        <v>197</v>
      </c>
      <c r="D13" s="20" t="s">
        <v>198</v>
      </c>
      <c r="E13" s="20" t="s">
        <v>461</v>
      </c>
      <c r="F13" s="20" t="s">
        <v>11</v>
      </c>
      <c r="G13" s="8" t="s">
        <v>17</v>
      </c>
      <c r="H13" s="8" t="s">
        <v>18</v>
      </c>
      <c r="I13" s="8" t="s">
        <v>19</v>
      </c>
      <c r="J13" s="19"/>
      <c r="K13" s="8" t="s">
        <v>46</v>
      </c>
      <c r="L13" s="21" t="s">
        <v>85</v>
      </c>
      <c r="M13" s="8" t="s">
        <v>85</v>
      </c>
      <c r="N13" s="19"/>
      <c r="O13" s="19" t="str">
        <f>"330,0"</f>
        <v>330,0</v>
      </c>
      <c r="P13" s="19" t="str">
        <f>"236,9070"</f>
        <v>236,9070</v>
      </c>
      <c r="Q13" s="20" t="s">
        <v>435</v>
      </c>
    </row>
    <row r="14" spans="1:17" ht="16">
      <c r="A14" s="65" t="s">
        <v>459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>
      <c r="A15" s="19" t="s">
        <v>178</v>
      </c>
      <c r="B15" s="39" t="s">
        <v>393</v>
      </c>
      <c r="C15" s="20" t="s">
        <v>149</v>
      </c>
      <c r="D15" s="20" t="s">
        <v>150</v>
      </c>
      <c r="E15" s="20" t="s">
        <v>458</v>
      </c>
      <c r="F15" s="20" t="s">
        <v>118</v>
      </c>
      <c r="G15" s="8" t="s">
        <v>45</v>
      </c>
      <c r="H15" s="8" t="s">
        <v>119</v>
      </c>
      <c r="I15" s="8" t="s">
        <v>151</v>
      </c>
      <c r="J15" s="19"/>
      <c r="K15" s="8" t="s">
        <v>152</v>
      </c>
      <c r="L15" s="8" t="s">
        <v>153</v>
      </c>
      <c r="M15" s="8" t="s">
        <v>154</v>
      </c>
      <c r="N15" s="21" t="s">
        <v>155</v>
      </c>
      <c r="O15" s="19" t="str">
        <f>"542,5"</f>
        <v>542,5</v>
      </c>
      <c r="P15" s="19" t="str">
        <f>"325,7170"</f>
        <v>325,7170</v>
      </c>
      <c r="Q15" s="20" t="s">
        <v>26</v>
      </c>
    </row>
    <row r="16" spans="1:17">
      <c r="A16" s="19" t="s">
        <v>180</v>
      </c>
      <c r="B16" s="39" t="s">
        <v>404</v>
      </c>
      <c r="C16" s="20" t="s">
        <v>74</v>
      </c>
      <c r="D16" s="20" t="s">
        <v>75</v>
      </c>
      <c r="E16" s="20" t="s">
        <v>458</v>
      </c>
      <c r="F16" s="20" t="s">
        <v>11</v>
      </c>
      <c r="G16" s="8" t="s">
        <v>77</v>
      </c>
      <c r="H16" s="8" t="s">
        <v>78</v>
      </c>
      <c r="I16" s="21" t="s">
        <v>79</v>
      </c>
      <c r="J16" s="19"/>
      <c r="K16" s="8" t="s">
        <v>80</v>
      </c>
      <c r="L16" s="8" t="s">
        <v>81</v>
      </c>
      <c r="M16" s="21" t="s">
        <v>82</v>
      </c>
      <c r="N16" s="19"/>
      <c r="O16" s="19" t="str">
        <f>"417,5"</f>
        <v>417,5</v>
      </c>
      <c r="P16" s="19" t="str">
        <f>"280,7270"</f>
        <v>280,7270</v>
      </c>
      <c r="Q16" s="20" t="s">
        <v>26</v>
      </c>
    </row>
    <row r="17" spans="1:17">
      <c r="A17" s="22" t="s">
        <v>181</v>
      </c>
      <c r="B17" s="40" t="s">
        <v>210</v>
      </c>
      <c r="C17" s="23" t="s">
        <v>199</v>
      </c>
      <c r="D17" s="23" t="s">
        <v>200</v>
      </c>
      <c r="E17" s="20" t="s">
        <v>458</v>
      </c>
      <c r="F17" s="23" t="s">
        <v>29</v>
      </c>
      <c r="G17" s="24" t="s">
        <v>43</v>
      </c>
      <c r="H17" s="24" t="s">
        <v>44</v>
      </c>
      <c r="I17" s="25" t="s">
        <v>119</v>
      </c>
      <c r="J17" s="22"/>
      <c r="K17" s="24" t="s">
        <v>81</v>
      </c>
      <c r="L17" s="24" t="s">
        <v>104</v>
      </c>
      <c r="M17" s="25" t="s">
        <v>161</v>
      </c>
      <c r="N17" s="22"/>
      <c r="O17" s="22" t="str">
        <f>"460,0"</f>
        <v>460,0</v>
      </c>
      <c r="P17" s="22" t="str">
        <f>"263,0280"</f>
        <v>263,0280</v>
      </c>
      <c r="Q17" s="23" t="s">
        <v>423</v>
      </c>
    </row>
    <row r="18" spans="1:17">
      <c r="A18" s="19" t="s">
        <v>182</v>
      </c>
      <c r="B18" s="39" t="s">
        <v>412</v>
      </c>
      <c r="C18" s="20" t="s">
        <v>201</v>
      </c>
      <c r="D18" s="20" t="s">
        <v>202</v>
      </c>
      <c r="E18" s="20" t="s">
        <v>458</v>
      </c>
      <c r="F18" s="20" t="s">
        <v>203</v>
      </c>
      <c r="G18" s="8" t="s">
        <v>17</v>
      </c>
      <c r="H18" s="8" t="s">
        <v>19</v>
      </c>
      <c r="I18" s="8" t="s">
        <v>87</v>
      </c>
      <c r="J18" s="19"/>
      <c r="K18" s="21" t="s">
        <v>88</v>
      </c>
      <c r="L18" s="21" t="s">
        <v>103</v>
      </c>
      <c r="M18" s="8" t="s">
        <v>103</v>
      </c>
      <c r="N18" s="19"/>
      <c r="O18" s="19" t="str">
        <f>"415,0"</f>
        <v>415,0</v>
      </c>
      <c r="P18" s="19" t="str">
        <f>"254,6440"</f>
        <v>254,6440</v>
      </c>
      <c r="Q18" s="20" t="s">
        <v>26</v>
      </c>
    </row>
    <row r="19" spans="1:17">
      <c r="A19" s="19" t="s">
        <v>183</v>
      </c>
      <c r="B19" s="39" t="s">
        <v>383</v>
      </c>
      <c r="C19" s="20" t="s">
        <v>204</v>
      </c>
      <c r="D19" s="20" t="s">
        <v>205</v>
      </c>
      <c r="E19" s="20" t="s">
        <v>458</v>
      </c>
      <c r="F19" s="20" t="s">
        <v>206</v>
      </c>
      <c r="G19" s="8" t="s">
        <v>72</v>
      </c>
      <c r="H19" s="21" t="s">
        <v>38</v>
      </c>
      <c r="I19" s="21" t="s">
        <v>38</v>
      </c>
      <c r="J19" s="19"/>
      <c r="K19" s="8" t="s">
        <v>66</v>
      </c>
      <c r="L19" s="8" t="s">
        <v>76</v>
      </c>
      <c r="M19" s="21" t="s">
        <v>110</v>
      </c>
      <c r="N19" s="19"/>
      <c r="O19" s="19" t="str">
        <f>"365,0"</f>
        <v>365,0</v>
      </c>
      <c r="P19" s="19" t="str">
        <f>"231,4830"</f>
        <v>231,4830</v>
      </c>
      <c r="Q19" s="20" t="s">
        <v>436</v>
      </c>
    </row>
    <row r="20" spans="1:17" ht="14" thickBot="1">
      <c r="A20" s="19" t="s">
        <v>207</v>
      </c>
      <c r="B20" s="39" t="s">
        <v>367</v>
      </c>
      <c r="C20" s="20" t="s">
        <v>208</v>
      </c>
      <c r="D20" s="20" t="s">
        <v>209</v>
      </c>
      <c r="E20" s="20" t="s">
        <v>458</v>
      </c>
      <c r="F20" s="20" t="s">
        <v>11</v>
      </c>
      <c r="G20" s="8" t="s">
        <v>33</v>
      </c>
      <c r="H20" s="21" t="s">
        <v>30</v>
      </c>
      <c r="I20" s="21" t="s">
        <v>30</v>
      </c>
      <c r="J20" s="19"/>
      <c r="K20" s="8" t="s">
        <v>44</v>
      </c>
      <c r="L20" s="8" t="s">
        <v>85</v>
      </c>
      <c r="M20" s="19"/>
      <c r="N20" s="19"/>
      <c r="O20" s="19" t="str">
        <f>"310,0"</f>
        <v>310,0</v>
      </c>
      <c r="P20" s="19" t="str">
        <f>"222,1460"</f>
        <v>222,1460</v>
      </c>
      <c r="Q20" s="20" t="s">
        <v>26</v>
      </c>
    </row>
    <row r="21" spans="1:17" ht="16">
      <c r="A21" s="65" t="s">
        <v>459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4" thickBot="1">
      <c r="A22" s="19" t="s">
        <v>178</v>
      </c>
      <c r="B22" s="39" t="s">
        <v>210</v>
      </c>
      <c r="C22" s="20" t="s">
        <v>211</v>
      </c>
      <c r="D22" s="20" t="s">
        <v>200</v>
      </c>
      <c r="E22" s="20" t="s">
        <v>462</v>
      </c>
      <c r="F22" s="20" t="s">
        <v>29</v>
      </c>
      <c r="G22" s="8" t="s">
        <v>43</v>
      </c>
      <c r="H22" s="8" t="s">
        <v>44</v>
      </c>
      <c r="I22" s="21" t="s">
        <v>119</v>
      </c>
      <c r="J22" s="19"/>
      <c r="K22" s="8" t="s">
        <v>81</v>
      </c>
      <c r="L22" s="8" t="s">
        <v>104</v>
      </c>
      <c r="M22" s="21" t="s">
        <v>161</v>
      </c>
      <c r="N22" s="19"/>
      <c r="O22" s="19" t="str">
        <f>"460,0"</f>
        <v>460,0</v>
      </c>
      <c r="P22" s="19" t="str">
        <f>"278,8097"</f>
        <v>278,8097</v>
      </c>
      <c r="Q22" s="20" t="s">
        <v>423</v>
      </c>
    </row>
    <row r="23" spans="1:17" ht="16">
      <c r="A23" s="65" t="s">
        <v>459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4" thickBot="1">
      <c r="A24" s="19" t="s">
        <v>178</v>
      </c>
      <c r="B24" s="39" t="s">
        <v>364</v>
      </c>
      <c r="C24" s="20" t="s">
        <v>212</v>
      </c>
      <c r="D24" s="20" t="s">
        <v>213</v>
      </c>
      <c r="E24" s="20" t="s">
        <v>463</v>
      </c>
      <c r="F24" s="20" t="s">
        <v>29</v>
      </c>
      <c r="G24" s="8" t="s">
        <v>52</v>
      </c>
      <c r="H24" s="8" t="s">
        <v>43</v>
      </c>
      <c r="I24" s="21" t="s">
        <v>45</v>
      </c>
      <c r="J24" s="19"/>
      <c r="K24" s="8" t="s">
        <v>44</v>
      </c>
      <c r="L24" s="8" t="s">
        <v>46</v>
      </c>
      <c r="M24" s="8" t="s">
        <v>85</v>
      </c>
      <c r="N24" s="19"/>
      <c r="O24" s="19" t="str">
        <f>"370,0"</f>
        <v>370,0</v>
      </c>
      <c r="P24" s="19" t="str">
        <f>"253,8518"</f>
        <v>253,8518</v>
      </c>
      <c r="Q24" s="20" t="s">
        <v>26</v>
      </c>
    </row>
    <row r="25" spans="1:17" ht="16">
      <c r="A25" s="65" t="s">
        <v>459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>
      <c r="A26" s="19" t="s">
        <v>178</v>
      </c>
      <c r="B26" s="39" t="s">
        <v>331</v>
      </c>
      <c r="C26" s="20" t="s">
        <v>214</v>
      </c>
      <c r="D26" s="20" t="s">
        <v>215</v>
      </c>
      <c r="E26" s="20" t="s">
        <v>464</v>
      </c>
      <c r="F26" s="20" t="s">
        <v>118</v>
      </c>
      <c r="G26" s="21" t="s">
        <v>23</v>
      </c>
      <c r="H26" s="8" t="s">
        <v>23</v>
      </c>
      <c r="I26" s="21" t="s">
        <v>25</v>
      </c>
      <c r="J26" s="19"/>
      <c r="K26" s="8" t="s">
        <v>127</v>
      </c>
      <c r="L26" s="8" t="s">
        <v>44</v>
      </c>
      <c r="M26" s="21" t="s">
        <v>144</v>
      </c>
      <c r="N26" s="19"/>
      <c r="O26" s="19" t="str">
        <f>"280,0"</f>
        <v>280,0</v>
      </c>
      <c r="P26" s="19" t="str">
        <f>"285,3120"</f>
        <v>285,3120</v>
      </c>
      <c r="Q26" s="20" t="s">
        <v>437</v>
      </c>
    </row>
    <row r="35" spans="3:6" ht="18">
      <c r="C35" s="28"/>
      <c r="D35" s="29"/>
    </row>
    <row r="36" spans="3:6" ht="16">
      <c r="C36" s="30"/>
      <c r="D36" s="31"/>
    </row>
    <row r="37" spans="3:6" ht="14">
      <c r="C37" s="32"/>
      <c r="D37" s="33"/>
    </row>
    <row r="38" spans="3:6" ht="14">
      <c r="C38" s="17"/>
      <c r="D38" s="17"/>
      <c r="E38" s="17"/>
      <c r="F38" s="17"/>
    </row>
    <row r="39" spans="3:6">
      <c r="C39" s="26"/>
      <c r="E39" s="26"/>
      <c r="F39" s="26"/>
    </row>
    <row r="40" spans="3:6">
      <c r="C40" s="26"/>
      <c r="E40" s="26"/>
      <c r="F40" s="26"/>
    </row>
    <row r="41" spans="3:6">
      <c r="C41" s="26"/>
    </row>
    <row r="42" spans="3:6">
      <c r="C42" s="26"/>
    </row>
    <row r="43" spans="3:6" ht="16">
      <c r="C43" s="30"/>
      <c r="D43" s="31"/>
    </row>
    <row r="44" spans="3:6" ht="14">
      <c r="C44" s="32"/>
      <c r="D44" s="33"/>
    </row>
    <row r="45" spans="3:6" ht="14">
      <c r="C45" s="17"/>
      <c r="D45" s="17"/>
      <c r="E45" s="17"/>
      <c r="F45" s="17"/>
    </row>
    <row r="46" spans="3:6">
      <c r="C46" s="26"/>
      <c r="E46" s="26"/>
      <c r="F46" s="26"/>
    </row>
    <row r="47" spans="3:6">
      <c r="C47" s="26"/>
      <c r="E47" s="26"/>
      <c r="F47" s="26"/>
    </row>
    <row r="48" spans="3:6">
      <c r="C48" s="26"/>
      <c r="E48" s="26"/>
      <c r="F48" s="26"/>
    </row>
    <row r="49" spans="3:6">
      <c r="C49" s="26"/>
    </row>
    <row r="50" spans="3:6" ht="14">
      <c r="C50" s="32"/>
      <c r="D50" s="33"/>
    </row>
    <row r="51" spans="3:6" ht="14">
      <c r="C51" s="17"/>
      <c r="D51" s="17"/>
      <c r="E51" s="17"/>
      <c r="F51" s="17"/>
    </row>
    <row r="52" spans="3:6">
      <c r="C52" s="26"/>
      <c r="E52" s="26"/>
      <c r="F52" s="26"/>
    </row>
    <row r="53" spans="3:6">
      <c r="C53" s="26"/>
    </row>
    <row r="54" spans="3:6" ht="14">
      <c r="C54" s="32"/>
      <c r="D54" s="33"/>
    </row>
    <row r="55" spans="3:6" ht="14">
      <c r="C55" s="17"/>
      <c r="D55" s="17"/>
      <c r="E55" s="17"/>
      <c r="F55" s="17"/>
    </row>
    <row r="56" spans="3:6">
      <c r="C56" s="26"/>
      <c r="E56" s="26"/>
      <c r="F56" s="26"/>
    </row>
    <row r="57" spans="3:6">
      <c r="C57" s="26"/>
      <c r="E57" s="26"/>
      <c r="F57" s="26"/>
    </row>
    <row r="58" spans="3:6">
      <c r="C58" s="26"/>
      <c r="E58" s="26"/>
      <c r="F58" s="26"/>
    </row>
    <row r="59" spans="3:6">
      <c r="C59" s="26"/>
    </row>
    <row r="60" spans="3:6" ht="14">
      <c r="C60" s="32"/>
      <c r="D60" s="33"/>
    </row>
    <row r="61" spans="3:6" ht="14">
      <c r="C61" s="17"/>
      <c r="D61" s="17"/>
      <c r="E61" s="17"/>
      <c r="F61" s="17"/>
    </row>
    <row r="62" spans="3:6">
      <c r="C62" s="26"/>
      <c r="E62" s="26"/>
      <c r="F62" s="26"/>
    </row>
    <row r="63" spans="3:6">
      <c r="C63" s="26"/>
      <c r="E63" s="26"/>
      <c r="F63" s="26"/>
    </row>
    <row r="64" spans="3:6">
      <c r="C64" s="26"/>
      <c r="E64" s="26"/>
      <c r="F64" s="26"/>
    </row>
    <row r="65" spans="3:3">
      <c r="C65" s="26"/>
    </row>
  </sheetData>
  <mergeCells count="19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4:Q14"/>
    <mergeCell ref="A21:Q21"/>
    <mergeCell ref="A23:Q23"/>
    <mergeCell ref="A25:Q25"/>
    <mergeCell ref="O3:O4"/>
    <mergeCell ref="P3:P4"/>
    <mergeCell ref="Q3:Q4"/>
    <mergeCell ref="A5:Q5"/>
    <mergeCell ref="A8:Q8"/>
    <mergeCell ref="A12:Q12"/>
  </mergeCells>
  <pageMargins left="7.874015748031496E-2" right="7.874015748031496E-2" top="7.874015748031496E-2" bottom="7.874015748031496E-2" header="0" footer="0"/>
  <pageSetup paperSize="9" scale="68" orientation="landscape" horizontalDpi="300" verticalDpi="300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5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27" bestFit="1" customWidth="1"/>
    <col min="2" max="2" width="29.1640625" style="27" bestFit="1" customWidth="1"/>
    <col min="3" max="3" width="33" style="27" customWidth="1"/>
    <col min="4" max="4" width="21.5" style="27" bestFit="1" customWidth="1"/>
    <col min="5" max="5" width="10.5" style="27" bestFit="1" customWidth="1"/>
    <col min="6" max="6" width="21.83203125" style="27" bestFit="1" customWidth="1"/>
    <col min="7" max="10" width="5.5" style="26" bestFit="1" customWidth="1"/>
    <col min="11" max="11" width="11.33203125" style="26" bestFit="1" customWidth="1"/>
    <col min="12" max="12" width="8.5" style="26" bestFit="1" customWidth="1"/>
    <col min="13" max="13" width="17.5" style="27" bestFit="1" customWidth="1"/>
    <col min="14" max="16384" width="9.1640625" style="16"/>
  </cols>
  <sheetData>
    <row r="1" spans="1:13" s="34" customFormat="1" ht="29" customHeight="1">
      <c r="A1" s="70" t="s">
        <v>451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34" customFormat="1" ht="62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7" customFormat="1" ht="12.75" customHeight="1">
      <c r="A3" s="77" t="s">
        <v>453</v>
      </c>
      <c r="B3" s="79" t="s">
        <v>0</v>
      </c>
      <c r="C3" s="81" t="s">
        <v>456</v>
      </c>
      <c r="D3" s="81" t="s">
        <v>454</v>
      </c>
      <c r="E3" s="66" t="s">
        <v>457</v>
      </c>
      <c r="F3" s="66" t="s">
        <v>8</v>
      </c>
      <c r="G3" s="66" t="s">
        <v>2</v>
      </c>
      <c r="H3" s="66"/>
      <c r="I3" s="66"/>
      <c r="J3" s="66"/>
      <c r="K3" s="66" t="s">
        <v>216</v>
      </c>
      <c r="L3" s="66" t="s">
        <v>6</v>
      </c>
      <c r="M3" s="68" t="s">
        <v>5</v>
      </c>
    </row>
    <row r="4" spans="1:13" s="17" customFormat="1" ht="21" customHeight="1" thickBot="1">
      <c r="A4" s="78"/>
      <c r="B4" s="85"/>
      <c r="C4" s="67"/>
      <c r="D4" s="67"/>
      <c r="E4" s="67"/>
      <c r="F4" s="67"/>
      <c r="G4" s="18">
        <v>1</v>
      </c>
      <c r="H4" s="18">
        <v>2</v>
      </c>
      <c r="I4" s="18">
        <v>3</v>
      </c>
      <c r="J4" s="18" t="s">
        <v>7</v>
      </c>
      <c r="K4" s="67"/>
      <c r="L4" s="67"/>
      <c r="M4" s="69"/>
    </row>
    <row r="5" spans="1:13" ht="16">
      <c r="A5" s="84" t="s">
        <v>459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4" thickBot="1">
      <c r="A6" s="23" t="s">
        <v>178</v>
      </c>
      <c r="B6" s="23" t="s">
        <v>413</v>
      </c>
      <c r="C6" s="23" t="s">
        <v>217</v>
      </c>
      <c r="D6" s="23" t="s">
        <v>218</v>
      </c>
      <c r="E6" s="23" t="s">
        <v>460</v>
      </c>
      <c r="F6" s="23" t="s">
        <v>219</v>
      </c>
      <c r="G6" s="24" t="s">
        <v>167</v>
      </c>
      <c r="H6" s="25" t="s">
        <v>220</v>
      </c>
      <c r="I6" s="22"/>
      <c r="J6" s="22"/>
      <c r="K6" s="22" t="str">
        <f>"60,0"</f>
        <v>60,0</v>
      </c>
      <c r="L6" s="22" t="str">
        <f>"75,2460"</f>
        <v>75,2460</v>
      </c>
      <c r="M6" s="23" t="s">
        <v>438</v>
      </c>
    </row>
    <row r="7" spans="1:13" ht="16">
      <c r="A7" s="84" t="s">
        <v>459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23" t="s">
        <v>178</v>
      </c>
      <c r="B8" s="23" t="s">
        <v>414</v>
      </c>
      <c r="C8" s="23" t="s">
        <v>221</v>
      </c>
      <c r="D8" s="23" t="s">
        <v>222</v>
      </c>
      <c r="E8" s="23" t="s">
        <v>461</v>
      </c>
      <c r="F8" s="23" t="s">
        <v>11</v>
      </c>
      <c r="G8" s="24" t="s">
        <v>59</v>
      </c>
      <c r="H8" s="25" t="s">
        <v>23</v>
      </c>
      <c r="I8" s="25" t="s">
        <v>223</v>
      </c>
      <c r="J8" s="22"/>
      <c r="K8" s="22" t="str">
        <f>"95,0"</f>
        <v>95,0</v>
      </c>
      <c r="L8" s="22" t="str">
        <f>"90,8485"</f>
        <v>90,8485</v>
      </c>
      <c r="M8" s="23" t="s">
        <v>26</v>
      </c>
    </row>
    <row r="9" spans="1:13" ht="14" thickBot="1">
      <c r="A9" s="20" t="s">
        <v>180</v>
      </c>
      <c r="B9" s="20" t="s">
        <v>415</v>
      </c>
      <c r="C9" s="20" t="s">
        <v>224</v>
      </c>
      <c r="D9" s="20" t="s">
        <v>225</v>
      </c>
      <c r="E9" s="20" t="s">
        <v>461</v>
      </c>
      <c r="F9" s="20" t="s">
        <v>226</v>
      </c>
      <c r="G9" s="8" t="s">
        <v>167</v>
      </c>
      <c r="H9" s="8" t="s">
        <v>168</v>
      </c>
      <c r="I9" s="21" t="s">
        <v>227</v>
      </c>
      <c r="J9" s="19"/>
      <c r="K9" s="19" t="str">
        <f>"65,0"</f>
        <v>65,0</v>
      </c>
      <c r="L9" s="19" t="str">
        <f>"78,7995"</f>
        <v>78,7995</v>
      </c>
      <c r="M9" s="20" t="s">
        <v>26</v>
      </c>
    </row>
    <row r="10" spans="1:13" ht="16">
      <c r="A10" s="84" t="s">
        <v>459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>
      <c r="A11" s="20" t="s">
        <v>178</v>
      </c>
      <c r="B11" s="20" t="s">
        <v>414</v>
      </c>
      <c r="C11" s="20" t="s">
        <v>228</v>
      </c>
      <c r="D11" s="20" t="s">
        <v>222</v>
      </c>
      <c r="E11" s="20" t="s">
        <v>458</v>
      </c>
      <c r="F11" s="20" t="s">
        <v>11</v>
      </c>
      <c r="G11" s="8" t="s">
        <v>59</v>
      </c>
      <c r="H11" s="21" t="s">
        <v>23</v>
      </c>
      <c r="I11" s="21" t="s">
        <v>223</v>
      </c>
      <c r="J11" s="19"/>
      <c r="K11" s="19" t="str">
        <f>"95,0"</f>
        <v>95,0</v>
      </c>
      <c r="L11" s="19" t="str">
        <f>"90,8485"</f>
        <v>90,8485</v>
      </c>
      <c r="M11" s="20" t="s">
        <v>26</v>
      </c>
    </row>
    <row r="12" spans="1:13">
      <c r="A12" s="20" t="s">
        <v>180</v>
      </c>
      <c r="B12" s="20" t="s">
        <v>384</v>
      </c>
      <c r="C12" s="20" t="s">
        <v>229</v>
      </c>
      <c r="D12" s="20" t="s">
        <v>230</v>
      </c>
      <c r="E12" s="20" t="s">
        <v>458</v>
      </c>
      <c r="F12" s="20" t="s">
        <v>29</v>
      </c>
      <c r="G12" s="8" t="s">
        <v>167</v>
      </c>
      <c r="H12" s="8" t="s">
        <v>220</v>
      </c>
      <c r="I12" s="21" t="s">
        <v>168</v>
      </c>
      <c r="J12" s="19"/>
      <c r="K12" s="19" t="str">
        <f>"62,5"</f>
        <v>62,5</v>
      </c>
      <c r="L12" s="19" t="str">
        <f>"69,9500"</f>
        <v>69,9500</v>
      </c>
      <c r="M12" s="20" t="s">
        <v>26</v>
      </c>
    </row>
    <row r="13" spans="1:13">
      <c r="A13" s="20" t="s">
        <v>181</v>
      </c>
      <c r="B13" s="20" t="s">
        <v>385</v>
      </c>
      <c r="C13" s="20" t="s">
        <v>231</v>
      </c>
      <c r="D13" s="20" t="s">
        <v>232</v>
      </c>
      <c r="E13" s="20" t="s">
        <v>458</v>
      </c>
      <c r="F13" s="20" t="s">
        <v>11</v>
      </c>
      <c r="G13" s="8" t="s">
        <v>24</v>
      </c>
      <c r="H13" s="21" t="s">
        <v>233</v>
      </c>
      <c r="I13" s="8" t="s">
        <v>233</v>
      </c>
      <c r="J13" s="19"/>
      <c r="K13" s="19" t="str">
        <f>"47,5"</f>
        <v>47,5</v>
      </c>
      <c r="L13" s="19" t="str">
        <f>"64,4718"</f>
        <v>64,4718</v>
      </c>
      <c r="M13" s="20" t="s">
        <v>439</v>
      </c>
    </row>
    <row r="14" spans="1:13">
      <c r="A14" s="23" t="s">
        <v>179</v>
      </c>
      <c r="B14" s="23" t="s">
        <v>234</v>
      </c>
      <c r="C14" s="23" t="s">
        <v>235</v>
      </c>
      <c r="D14" s="23" t="s">
        <v>236</v>
      </c>
      <c r="E14" s="20" t="s">
        <v>458</v>
      </c>
      <c r="F14" s="23" t="s">
        <v>11</v>
      </c>
      <c r="G14" s="25" t="s">
        <v>237</v>
      </c>
      <c r="H14" s="25" t="s">
        <v>237</v>
      </c>
      <c r="I14" s="25" t="s">
        <v>237</v>
      </c>
      <c r="J14" s="22"/>
      <c r="K14" s="22" t="str">
        <f>"0.00"</f>
        <v>0.00</v>
      </c>
      <c r="L14" s="22" t="str">
        <f>"0,0000"</f>
        <v>0,0000</v>
      </c>
      <c r="M14" s="23" t="s">
        <v>26</v>
      </c>
    </row>
    <row r="15" spans="1:13" ht="16">
      <c r="A15" s="83" t="s">
        <v>459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>
      <c r="A16" s="20" t="s">
        <v>178</v>
      </c>
      <c r="B16" s="20" t="s">
        <v>238</v>
      </c>
      <c r="C16" s="20" t="s">
        <v>239</v>
      </c>
      <c r="D16" s="20" t="s">
        <v>240</v>
      </c>
      <c r="E16" s="20" t="s">
        <v>460</v>
      </c>
      <c r="F16" s="20" t="s">
        <v>11</v>
      </c>
      <c r="G16" s="8" t="s">
        <v>91</v>
      </c>
      <c r="H16" s="8" t="s">
        <v>241</v>
      </c>
      <c r="I16" s="21" t="s">
        <v>242</v>
      </c>
      <c r="J16" s="19"/>
      <c r="K16" s="19" t="s">
        <v>241</v>
      </c>
      <c r="L16" s="19" t="s">
        <v>243</v>
      </c>
      <c r="M16" s="20" t="s">
        <v>26</v>
      </c>
    </row>
    <row r="17" spans="1:13" ht="16">
      <c r="A17" s="83" t="s">
        <v>459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>
      <c r="A18" s="23" t="s">
        <v>178</v>
      </c>
      <c r="B18" s="23" t="s">
        <v>290</v>
      </c>
      <c r="C18" s="23" t="s">
        <v>244</v>
      </c>
      <c r="D18" s="23" t="s">
        <v>90</v>
      </c>
      <c r="E18" s="23" t="s">
        <v>461</v>
      </c>
      <c r="F18" s="23" t="s">
        <v>11</v>
      </c>
      <c r="G18" s="24" t="s">
        <v>43</v>
      </c>
      <c r="H18" s="25" t="s">
        <v>245</v>
      </c>
      <c r="I18" s="25" t="s">
        <v>245</v>
      </c>
      <c r="J18" s="22"/>
      <c r="K18" s="22" t="str">
        <f>"170,0"</f>
        <v>170,0</v>
      </c>
      <c r="L18" s="22" t="str">
        <f>"115,4300"</f>
        <v>115,4300</v>
      </c>
      <c r="M18" s="23"/>
    </row>
    <row r="19" spans="1:13">
      <c r="A19" s="20" t="s">
        <v>180</v>
      </c>
      <c r="B19" s="20" t="s">
        <v>386</v>
      </c>
      <c r="C19" s="20" t="s">
        <v>246</v>
      </c>
      <c r="D19" s="20" t="s">
        <v>247</v>
      </c>
      <c r="E19" s="23" t="s">
        <v>461</v>
      </c>
      <c r="F19" s="20" t="s">
        <v>248</v>
      </c>
      <c r="G19" s="8" t="s">
        <v>44</v>
      </c>
      <c r="H19" s="21" t="s">
        <v>92</v>
      </c>
      <c r="I19" s="21" t="s">
        <v>92</v>
      </c>
      <c r="J19" s="19"/>
      <c r="K19" s="19" t="str">
        <f>"180,0"</f>
        <v>180,0</v>
      </c>
      <c r="L19" s="19" t="str">
        <f>"106,7400"</f>
        <v>106,7400</v>
      </c>
      <c r="M19" s="20" t="s">
        <v>440</v>
      </c>
    </row>
    <row r="20" spans="1:13">
      <c r="A20" s="20" t="s">
        <v>181</v>
      </c>
      <c r="B20" s="20" t="s">
        <v>387</v>
      </c>
      <c r="C20" s="20" t="s">
        <v>249</v>
      </c>
      <c r="D20" s="20" t="s">
        <v>250</v>
      </c>
      <c r="E20" s="23" t="s">
        <v>461</v>
      </c>
      <c r="F20" s="20" t="s">
        <v>251</v>
      </c>
      <c r="G20" s="21" t="s">
        <v>77</v>
      </c>
      <c r="H20" s="8" t="s">
        <v>77</v>
      </c>
      <c r="I20" s="21" t="s">
        <v>42</v>
      </c>
      <c r="J20" s="19"/>
      <c r="K20" s="19" t="str">
        <f>"150,0"</f>
        <v>150,0</v>
      </c>
      <c r="L20" s="19" t="str">
        <f>"96,0900"</f>
        <v>96,0900</v>
      </c>
      <c r="M20" s="20" t="s">
        <v>26</v>
      </c>
    </row>
    <row r="21" spans="1:13">
      <c r="A21" s="20" t="s">
        <v>182</v>
      </c>
      <c r="B21" s="20" t="s">
        <v>252</v>
      </c>
      <c r="C21" s="20" t="s">
        <v>253</v>
      </c>
      <c r="D21" s="20" t="s">
        <v>254</v>
      </c>
      <c r="E21" s="23" t="s">
        <v>461</v>
      </c>
      <c r="F21" s="20"/>
      <c r="G21" s="21" t="s">
        <v>242</v>
      </c>
      <c r="H21" s="8" t="s">
        <v>242</v>
      </c>
      <c r="I21" s="21" t="s">
        <v>42</v>
      </c>
      <c r="J21" s="19"/>
      <c r="K21" s="19" t="s">
        <v>38</v>
      </c>
      <c r="L21" s="19" t="s">
        <v>255</v>
      </c>
      <c r="M21" s="20" t="s">
        <v>26</v>
      </c>
    </row>
    <row r="22" spans="1:13">
      <c r="A22" s="20" t="s">
        <v>183</v>
      </c>
      <c r="B22" s="20" t="s">
        <v>365</v>
      </c>
      <c r="C22" s="20" t="s">
        <v>256</v>
      </c>
      <c r="D22" s="20" t="s">
        <v>257</v>
      </c>
      <c r="E22" s="23" t="s">
        <v>461</v>
      </c>
      <c r="F22" s="20" t="s">
        <v>219</v>
      </c>
      <c r="G22" s="8" t="s">
        <v>72</v>
      </c>
      <c r="H22" s="21" t="s">
        <v>241</v>
      </c>
      <c r="I22" s="21" t="s">
        <v>241</v>
      </c>
      <c r="J22" s="19"/>
      <c r="K22" s="19" t="str">
        <f>"135,0"</f>
        <v>135,0</v>
      </c>
      <c r="L22" s="19" t="str">
        <f>"87,7905"</f>
        <v>87,7905</v>
      </c>
      <c r="M22" s="20" t="s">
        <v>26</v>
      </c>
    </row>
    <row r="23" spans="1:13">
      <c r="A23" s="20" t="s">
        <v>207</v>
      </c>
      <c r="B23" s="20" t="s">
        <v>388</v>
      </c>
      <c r="C23" s="20" t="s">
        <v>258</v>
      </c>
      <c r="D23" s="20" t="s">
        <v>259</v>
      </c>
      <c r="E23" s="23" t="s">
        <v>461</v>
      </c>
      <c r="F23" s="20" t="s">
        <v>248</v>
      </c>
      <c r="G23" s="8" t="s">
        <v>17</v>
      </c>
      <c r="H23" s="21" t="s">
        <v>19</v>
      </c>
      <c r="I23" s="21" t="s">
        <v>19</v>
      </c>
      <c r="J23" s="19"/>
      <c r="K23" s="19" t="str">
        <f>"120,0"</f>
        <v>120,0</v>
      </c>
      <c r="L23" s="19" t="str">
        <f>"87,3360"</f>
        <v>87,3360</v>
      </c>
      <c r="M23" s="20" t="s">
        <v>26</v>
      </c>
    </row>
    <row r="24" spans="1:13">
      <c r="A24" s="20" t="s">
        <v>260</v>
      </c>
      <c r="B24" s="20" t="s">
        <v>366</v>
      </c>
      <c r="C24" s="20" t="s">
        <v>261</v>
      </c>
      <c r="D24" s="20" t="s">
        <v>262</v>
      </c>
      <c r="E24" s="23" t="s">
        <v>461</v>
      </c>
      <c r="F24" s="20" t="s">
        <v>11</v>
      </c>
      <c r="G24" s="8" t="s">
        <v>23</v>
      </c>
      <c r="H24" s="8" t="s">
        <v>63</v>
      </c>
      <c r="I24" s="21" t="s">
        <v>17</v>
      </c>
      <c r="J24" s="19"/>
      <c r="K24" s="19" t="str">
        <f>"107,5"</f>
        <v>107,5</v>
      </c>
      <c r="L24" s="19" t="str">
        <f>"78,0020"</f>
        <v>78,0020</v>
      </c>
      <c r="M24" s="20" t="s">
        <v>26</v>
      </c>
    </row>
    <row r="25" spans="1:13" ht="16">
      <c r="A25" s="83" t="s">
        <v>465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>
      <c r="A26" s="20" t="s">
        <v>178</v>
      </c>
      <c r="B26" s="20" t="s">
        <v>263</v>
      </c>
      <c r="C26" s="20" t="s">
        <v>264</v>
      </c>
      <c r="D26" s="20" t="s">
        <v>222</v>
      </c>
      <c r="E26" s="20" t="s">
        <v>458</v>
      </c>
      <c r="F26" s="20" t="s">
        <v>118</v>
      </c>
      <c r="G26" s="8" t="s">
        <v>42</v>
      </c>
      <c r="H26" s="8" t="s">
        <v>52</v>
      </c>
      <c r="I26" s="8" t="s">
        <v>127</v>
      </c>
      <c r="J26" s="8" t="s">
        <v>43</v>
      </c>
      <c r="K26" s="19" t="str">
        <f>"165,0"</f>
        <v>165,0</v>
      </c>
      <c r="L26" s="19" t="str">
        <f>"118,3545"</f>
        <v>118,3545</v>
      </c>
      <c r="M26" s="20" t="s">
        <v>441</v>
      </c>
    </row>
    <row r="27" spans="1:13">
      <c r="A27" s="20" t="s">
        <v>180</v>
      </c>
      <c r="B27" s="20" t="s">
        <v>389</v>
      </c>
      <c r="C27" s="20" t="s">
        <v>265</v>
      </c>
      <c r="D27" s="20" t="s">
        <v>266</v>
      </c>
      <c r="E27" s="20" t="s">
        <v>458</v>
      </c>
      <c r="F27" s="20" t="s">
        <v>267</v>
      </c>
      <c r="G27" s="8" t="s">
        <v>87</v>
      </c>
      <c r="H27" s="8" t="s">
        <v>77</v>
      </c>
      <c r="I27" s="21" t="s">
        <v>39</v>
      </c>
      <c r="J27" s="19"/>
      <c r="K27" s="19" t="str">
        <f>"150,0"</f>
        <v>150,0</v>
      </c>
      <c r="L27" s="19" t="str">
        <f>"108,1050"</f>
        <v>108,1050</v>
      </c>
      <c r="M27" s="20" t="s">
        <v>26</v>
      </c>
    </row>
    <row r="28" spans="1:13">
      <c r="A28" s="20" t="s">
        <v>181</v>
      </c>
      <c r="B28" s="20" t="s">
        <v>390</v>
      </c>
      <c r="C28" s="20" t="s">
        <v>268</v>
      </c>
      <c r="D28" s="20" t="s">
        <v>269</v>
      </c>
      <c r="E28" s="20" t="s">
        <v>458</v>
      </c>
      <c r="F28" s="20" t="s">
        <v>270</v>
      </c>
      <c r="G28" s="8" t="s">
        <v>38</v>
      </c>
      <c r="H28" s="21" t="s">
        <v>39</v>
      </c>
      <c r="I28" s="21" t="s">
        <v>39</v>
      </c>
      <c r="J28" s="19"/>
      <c r="K28" s="19" t="str">
        <f>"145,0"</f>
        <v>145,0</v>
      </c>
      <c r="L28" s="19" t="str">
        <f>"106,1690"</f>
        <v>106,1690</v>
      </c>
      <c r="M28" s="20" t="s">
        <v>26</v>
      </c>
    </row>
    <row r="29" spans="1:13">
      <c r="A29" s="20" t="s">
        <v>182</v>
      </c>
      <c r="B29" s="20" t="s">
        <v>391</v>
      </c>
      <c r="C29" s="20" t="s">
        <v>271</v>
      </c>
      <c r="D29" s="20" t="s">
        <v>272</v>
      </c>
      <c r="E29" s="20" t="s">
        <v>458</v>
      </c>
      <c r="F29" s="20" t="s">
        <v>11</v>
      </c>
      <c r="G29" s="8" t="s">
        <v>64</v>
      </c>
      <c r="H29" s="8" t="s">
        <v>65</v>
      </c>
      <c r="I29" s="21" t="s">
        <v>273</v>
      </c>
      <c r="J29" s="19"/>
      <c r="K29" s="19" t="str">
        <f>"122,5"</f>
        <v>122,5</v>
      </c>
      <c r="L29" s="19" t="str">
        <f>"88,1142"</f>
        <v>88,1142</v>
      </c>
      <c r="M29" s="20" t="s">
        <v>26</v>
      </c>
    </row>
    <row r="30" spans="1:13">
      <c r="A30" s="20" t="s">
        <v>183</v>
      </c>
      <c r="B30" s="20" t="s">
        <v>367</v>
      </c>
      <c r="C30" s="20" t="s">
        <v>208</v>
      </c>
      <c r="D30" s="20" t="s">
        <v>209</v>
      </c>
      <c r="E30" s="20" t="s">
        <v>458</v>
      </c>
      <c r="F30" s="20" t="s">
        <v>11</v>
      </c>
      <c r="G30" s="8" t="s">
        <v>33</v>
      </c>
      <c r="H30" s="21" t="s">
        <v>30</v>
      </c>
      <c r="I30" s="21" t="s">
        <v>30</v>
      </c>
      <c r="J30" s="19"/>
      <c r="K30" s="19" t="str">
        <f>"110,0"</f>
        <v>110,0</v>
      </c>
      <c r="L30" s="19" t="str">
        <f>"78,8260"</f>
        <v>78,8260</v>
      </c>
      <c r="M30" s="20" t="s">
        <v>26</v>
      </c>
    </row>
    <row r="31" spans="1:13">
      <c r="A31" s="20" t="s">
        <v>207</v>
      </c>
      <c r="B31" s="20" t="s">
        <v>375</v>
      </c>
      <c r="C31" s="20" t="s">
        <v>274</v>
      </c>
      <c r="D31" s="20" t="s">
        <v>275</v>
      </c>
      <c r="E31" s="20" t="s">
        <v>458</v>
      </c>
      <c r="F31" s="20" t="s">
        <v>11</v>
      </c>
      <c r="G31" s="8" t="s">
        <v>25</v>
      </c>
      <c r="H31" s="21" t="s">
        <v>30</v>
      </c>
      <c r="I31" s="21" t="s">
        <v>30</v>
      </c>
      <c r="J31" s="19"/>
      <c r="K31" s="19" t="str">
        <f>"105,0"</f>
        <v>105,0</v>
      </c>
      <c r="L31" s="19" t="str">
        <f>"76,7235"</f>
        <v>76,7235</v>
      </c>
      <c r="M31" s="20" t="s">
        <v>442</v>
      </c>
    </row>
    <row r="32" spans="1:13">
      <c r="A32" s="20" t="s">
        <v>179</v>
      </c>
      <c r="B32" s="20" t="s">
        <v>276</v>
      </c>
      <c r="C32" s="20" t="s">
        <v>277</v>
      </c>
      <c r="D32" s="20" t="s">
        <v>278</v>
      </c>
      <c r="E32" s="20" t="s">
        <v>458</v>
      </c>
      <c r="F32" s="20" t="s">
        <v>279</v>
      </c>
      <c r="G32" s="21" t="s">
        <v>42</v>
      </c>
      <c r="H32" s="21" t="s">
        <v>42</v>
      </c>
      <c r="I32" s="21" t="s">
        <v>42</v>
      </c>
      <c r="J32" s="19"/>
      <c r="K32" s="19" t="str">
        <f>"0.00"</f>
        <v>0.00</v>
      </c>
      <c r="L32" s="19" t="str">
        <f>"0,0000"</f>
        <v>0,0000</v>
      </c>
      <c r="M32" s="20" t="s">
        <v>26</v>
      </c>
    </row>
    <row r="33" spans="1:13">
      <c r="A33" s="20" t="s">
        <v>179</v>
      </c>
      <c r="B33" s="20" t="s">
        <v>280</v>
      </c>
      <c r="C33" s="20" t="s">
        <v>281</v>
      </c>
      <c r="D33" s="20" t="s">
        <v>282</v>
      </c>
      <c r="E33" s="20" t="s">
        <v>458</v>
      </c>
      <c r="F33" s="20" t="s">
        <v>283</v>
      </c>
      <c r="G33" s="21" t="s">
        <v>30</v>
      </c>
      <c r="H33" s="21" t="s">
        <v>30</v>
      </c>
      <c r="I33" s="21" t="s">
        <v>30</v>
      </c>
      <c r="J33" s="19"/>
      <c r="K33" s="19" t="str">
        <f>"0.00"</f>
        <v>0.00</v>
      </c>
      <c r="L33" s="19" t="str">
        <f>"0,0000"</f>
        <v>0,0000</v>
      </c>
      <c r="M33" s="20" t="s">
        <v>26</v>
      </c>
    </row>
    <row r="34" spans="1:13" ht="16">
      <c r="A34" s="83" t="s">
        <v>466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>
      <c r="A35" s="20" t="s">
        <v>178</v>
      </c>
      <c r="B35" s="20" t="s">
        <v>416</v>
      </c>
      <c r="C35" s="20" t="s">
        <v>284</v>
      </c>
      <c r="D35" s="20" t="s">
        <v>285</v>
      </c>
      <c r="E35" s="20" t="s">
        <v>458</v>
      </c>
      <c r="F35" s="20" t="s">
        <v>118</v>
      </c>
      <c r="G35" s="8" t="s">
        <v>45</v>
      </c>
      <c r="H35" s="21" t="s">
        <v>286</v>
      </c>
      <c r="I35" s="8" t="s">
        <v>286</v>
      </c>
      <c r="J35" s="19"/>
      <c r="K35" s="19" t="str">
        <f>"182,5"</f>
        <v>182,5</v>
      </c>
      <c r="L35" s="19" t="str">
        <f>"119,1360"</f>
        <v>119,1360</v>
      </c>
      <c r="M35" s="20" t="s">
        <v>26</v>
      </c>
    </row>
    <row r="36" spans="1:13">
      <c r="A36" s="20" t="s">
        <v>180</v>
      </c>
      <c r="B36" s="20" t="s">
        <v>417</v>
      </c>
      <c r="C36" s="20" t="s">
        <v>287</v>
      </c>
      <c r="D36" s="20" t="s">
        <v>288</v>
      </c>
      <c r="E36" s="20" t="s">
        <v>458</v>
      </c>
      <c r="F36" s="20" t="s">
        <v>289</v>
      </c>
      <c r="G36" s="8" t="s">
        <v>44</v>
      </c>
      <c r="H36" s="8" t="s">
        <v>119</v>
      </c>
      <c r="I36" s="21" t="s">
        <v>151</v>
      </c>
      <c r="J36" s="19"/>
      <c r="K36" s="19" t="str">
        <f>"185,0"</f>
        <v>185,0</v>
      </c>
      <c r="L36" s="19" t="str">
        <f>"118,3630"</f>
        <v>118,3630</v>
      </c>
      <c r="M36" s="20" t="s">
        <v>26</v>
      </c>
    </row>
    <row r="37" spans="1:13">
      <c r="A37" s="20" t="s">
        <v>181</v>
      </c>
      <c r="B37" s="20" t="s">
        <v>290</v>
      </c>
      <c r="C37" s="20" t="s">
        <v>291</v>
      </c>
      <c r="D37" s="20" t="s">
        <v>90</v>
      </c>
      <c r="E37" s="20" t="s">
        <v>458</v>
      </c>
      <c r="F37" s="20" t="s">
        <v>11</v>
      </c>
      <c r="G37" s="8" t="s">
        <v>43</v>
      </c>
      <c r="H37" s="21" t="s">
        <v>245</v>
      </c>
      <c r="I37" s="21" t="s">
        <v>245</v>
      </c>
      <c r="J37" s="19"/>
      <c r="K37" s="19" t="str">
        <f>"170,0"</f>
        <v>170,0</v>
      </c>
      <c r="L37" s="19" t="str">
        <f>"115,4300"</f>
        <v>115,4300</v>
      </c>
      <c r="M37" s="20"/>
    </row>
    <row r="38" spans="1:13">
      <c r="A38" s="20" t="s">
        <v>182</v>
      </c>
      <c r="B38" s="20" t="s">
        <v>292</v>
      </c>
      <c r="C38" s="20" t="s">
        <v>293</v>
      </c>
      <c r="D38" s="20" t="s">
        <v>106</v>
      </c>
      <c r="E38" s="20" t="s">
        <v>458</v>
      </c>
      <c r="F38" s="20" t="s">
        <v>248</v>
      </c>
      <c r="G38" s="8" t="s">
        <v>43</v>
      </c>
      <c r="H38" s="21" t="s">
        <v>294</v>
      </c>
      <c r="I38" s="8" t="s">
        <v>294</v>
      </c>
      <c r="J38" s="19"/>
      <c r="K38" s="19" t="s">
        <v>44</v>
      </c>
      <c r="L38" s="19" t="s">
        <v>295</v>
      </c>
      <c r="M38" s="20" t="s">
        <v>26</v>
      </c>
    </row>
    <row r="39" spans="1:13">
      <c r="A39" s="20" t="s">
        <v>183</v>
      </c>
      <c r="B39" s="20" t="s">
        <v>392</v>
      </c>
      <c r="C39" s="20" t="s">
        <v>296</v>
      </c>
      <c r="D39" s="20" t="s">
        <v>297</v>
      </c>
      <c r="E39" s="20" t="s">
        <v>458</v>
      </c>
      <c r="F39" s="20" t="s">
        <v>29</v>
      </c>
      <c r="G39" s="21" t="s">
        <v>77</v>
      </c>
      <c r="H39" s="21" t="s">
        <v>77</v>
      </c>
      <c r="I39" s="8" t="s">
        <v>77</v>
      </c>
      <c r="J39" s="19"/>
      <c r="K39" s="19" t="str">
        <f>"150,0"</f>
        <v>150,0</v>
      </c>
      <c r="L39" s="19" t="str">
        <f>"97,3650"</f>
        <v>97,3650</v>
      </c>
      <c r="M39" s="20" t="s">
        <v>26</v>
      </c>
    </row>
    <row r="40" spans="1:13">
      <c r="A40" s="20" t="s">
        <v>179</v>
      </c>
      <c r="B40" s="20" t="s">
        <v>298</v>
      </c>
      <c r="C40" s="20" t="s">
        <v>299</v>
      </c>
      <c r="D40" s="20" t="s">
        <v>300</v>
      </c>
      <c r="E40" s="20" t="s">
        <v>458</v>
      </c>
      <c r="F40" s="20" t="s">
        <v>29</v>
      </c>
      <c r="G40" s="21" t="s">
        <v>65</v>
      </c>
      <c r="H40" s="21" t="s">
        <v>65</v>
      </c>
      <c r="I40" s="21" t="s">
        <v>65</v>
      </c>
      <c r="J40" s="19"/>
      <c r="K40" s="19" t="str">
        <f>"0.00"</f>
        <v>0.00</v>
      </c>
      <c r="L40" s="19" t="str">
        <f>"0,0000"</f>
        <v>0,0000</v>
      </c>
      <c r="M40" s="20"/>
    </row>
    <row r="41" spans="1:13" ht="16">
      <c r="A41" s="83" t="s">
        <v>467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>
      <c r="A42" s="20" t="s">
        <v>178</v>
      </c>
      <c r="B42" s="20" t="s">
        <v>418</v>
      </c>
      <c r="C42" s="20" t="s">
        <v>301</v>
      </c>
      <c r="D42" s="20" t="s">
        <v>302</v>
      </c>
      <c r="E42" s="20" t="s">
        <v>458</v>
      </c>
      <c r="F42" s="20" t="s">
        <v>118</v>
      </c>
      <c r="G42" s="8" t="s">
        <v>44</v>
      </c>
      <c r="H42" s="8" t="s">
        <v>46</v>
      </c>
      <c r="I42" s="8" t="s">
        <v>92</v>
      </c>
      <c r="J42" s="19"/>
      <c r="K42" s="19" t="str">
        <f>"197,5"</f>
        <v>197,5</v>
      </c>
      <c r="L42" s="19" t="str">
        <f>"117,7495"</f>
        <v>117,7495</v>
      </c>
      <c r="M42" s="20" t="s">
        <v>26</v>
      </c>
    </row>
    <row r="43" spans="1:13">
      <c r="A43" s="20" t="s">
        <v>180</v>
      </c>
      <c r="B43" s="20" t="s">
        <v>393</v>
      </c>
      <c r="C43" s="20" t="s">
        <v>149</v>
      </c>
      <c r="D43" s="20" t="s">
        <v>150</v>
      </c>
      <c r="E43" s="20" t="s">
        <v>458</v>
      </c>
      <c r="F43" s="20" t="s">
        <v>118</v>
      </c>
      <c r="G43" s="8" t="s">
        <v>45</v>
      </c>
      <c r="H43" s="8" t="s">
        <v>119</v>
      </c>
      <c r="I43" s="8" t="s">
        <v>151</v>
      </c>
      <c r="J43" s="19"/>
      <c r="K43" s="19" t="str">
        <f>"187,5"</f>
        <v>187,5</v>
      </c>
      <c r="L43" s="19" t="str">
        <f>"112,5750"</f>
        <v>112,5750</v>
      </c>
      <c r="M43" s="20" t="s">
        <v>26</v>
      </c>
    </row>
    <row r="44" spans="1:13">
      <c r="A44" s="20" t="s">
        <v>181</v>
      </c>
      <c r="B44" s="20" t="s">
        <v>394</v>
      </c>
      <c r="C44" s="20" t="s">
        <v>303</v>
      </c>
      <c r="D44" s="20" t="s">
        <v>304</v>
      </c>
      <c r="E44" s="20" t="s">
        <v>458</v>
      </c>
      <c r="F44" s="20" t="s">
        <v>102</v>
      </c>
      <c r="G44" s="8" t="s">
        <v>44</v>
      </c>
      <c r="H44" s="8" t="s">
        <v>119</v>
      </c>
      <c r="I44" s="8" t="s">
        <v>46</v>
      </c>
      <c r="J44" s="19"/>
      <c r="K44" s="19" t="str">
        <f>"190,0"</f>
        <v>190,0</v>
      </c>
      <c r="L44" s="19" t="str">
        <f>"110,5800"</f>
        <v>110,5800</v>
      </c>
      <c r="M44" s="20" t="s">
        <v>429</v>
      </c>
    </row>
    <row r="45" spans="1:13">
      <c r="A45" s="20" t="s">
        <v>182</v>
      </c>
      <c r="B45" s="20" t="s">
        <v>395</v>
      </c>
      <c r="C45" s="20" t="s">
        <v>305</v>
      </c>
      <c r="D45" s="20" t="s">
        <v>306</v>
      </c>
      <c r="E45" s="20" t="s">
        <v>458</v>
      </c>
      <c r="F45" s="20" t="s">
        <v>11</v>
      </c>
      <c r="G45" s="8" t="s">
        <v>127</v>
      </c>
      <c r="H45" s="8" t="s">
        <v>43</v>
      </c>
      <c r="I45" s="8" t="s">
        <v>45</v>
      </c>
      <c r="J45" s="19"/>
      <c r="K45" s="19" t="str">
        <f>"175,0"</f>
        <v>175,0</v>
      </c>
      <c r="L45" s="19" t="str">
        <f>"107,5725"</f>
        <v>107,5725</v>
      </c>
      <c r="M45" s="20" t="s">
        <v>443</v>
      </c>
    </row>
    <row r="46" spans="1:13">
      <c r="A46" s="20" t="s">
        <v>183</v>
      </c>
      <c r="B46" s="20" t="s">
        <v>396</v>
      </c>
      <c r="C46" s="20" t="s">
        <v>307</v>
      </c>
      <c r="D46" s="20" t="s">
        <v>308</v>
      </c>
      <c r="E46" s="20" t="s">
        <v>458</v>
      </c>
      <c r="F46" s="20" t="s">
        <v>248</v>
      </c>
      <c r="G46" s="8" t="s">
        <v>77</v>
      </c>
      <c r="H46" s="8" t="s">
        <v>52</v>
      </c>
      <c r="I46" s="8" t="s">
        <v>43</v>
      </c>
      <c r="J46" s="19"/>
      <c r="K46" s="19" t="str">
        <f>"170,0"</f>
        <v>170,0</v>
      </c>
      <c r="L46" s="19" t="str">
        <f>"104,7370"</f>
        <v>104,7370</v>
      </c>
      <c r="M46" s="20" t="s">
        <v>26</v>
      </c>
    </row>
    <row r="47" spans="1:13">
      <c r="A47" s="20" t="s">
        <v>207</v>
      </c>
      <c r="B47" s="20" t="s">
        <v>397</v>
      </c>
      <c r="C47" s="20" t="s">
        <v>296</v>
      </c>
      <c r="D47" s="20" t="s">
        <v>309</v>
      </c>
      <c r="E47" s="20" t="s">
        <v>458</v>
      </c>
      <c r="F47" s="20" t="s">
        <v>11</v>
      </c>
      <c r="G47" s="8" t="s">
        <v>45</v>
      </c>
      <c r="H47" s="21" t="s">
        <v>286</v>
      </c>
      <c r="I47" s="21" t="s">
        <v>286</v>
      </c>
      <c r="J47" s="19"/>
      <c r="K47" s="19" t="str">
        <f>"175,0"</f>
        <v>175,0</v>
      </c>
      <c r="L47" s="19" t="str">
        <f>"103,8625"</f>
        <v>103,8625</v>
      </c>
      <c r="M47" s="20" t="s">
        <v>429</v>
      </c>
    </row>
    <row r="48" spans="1:13">
      <c r="A48" s="20" t="s">
        <v>260</v>
      </c>
      <c r="B48" s="20" t="s">
        <v>398</v>
      </c>
      <c r="C48" s="20" t="s">
        <v>310</v>
      </c>
      <c r="D48" s="20" t="s">
        <v>311</v>
      </c>
      <c r="E48" s="20" t="s">
        <v>458</v>
      </c>
      <c r="F48" s="20" t="s">
        <v>11</v>
      </c>
      <c r="G48" s="8" t="s">
        <v>43</v>
      </c>
      <c r="H48" s="21" t="s">
        <v>44</v>
      </c>
      <c r="I48" s="21" t="s">
        <v>286</v>
      </c>
      <c r="J48" s="19"/>
      <c r="K48" s="19" t="str">
        <f>"170,0"</f>
        <v>170,0</v>
      </c>
      <c r="L48" s="19" t="str">
        <f>"100,9630"</f>
        <v>100,9630</v>
      </c>
      <c r="M48" s="20" t="s">
        <v>433</v>
      </c>
    </row>
    <row r="49" spans="1:13" ht="14" thickBot="1">
      <c r="A49" s="20" t="s">
        <v>312</v>
      </c>
      <c r="B49" s="20" t="s">
        <v>399</v>
      </c>
      <c r="C49" s="20" t="s">
        <v>313</v>
      </c>
      <c r="D49" s="20" t="s">
        <v>314</v>
      </c>
      <c r="E49" s="20" t="s">
        <v>458</v>
      </c>
      <c r="F49" s="20" t="s">
        <v>248</v>
      </c>
      <c r="G49" s="8" t="s">
        <v>77</v>
      </c>
      <c r="H49" s="8" t="s">
        <v>79</v>
      </c>
      <c r="I49" s="21" t="s">
        <v>43</v>
      </c>
      <c r="J49" s="19"/>
      <c r="K49" s="19" t="str">
        <f>"162,5"</f>
        <v>162,5</v>
      </c>
      <c r="L49" s="19" t="str">
        <f>"100,0187"</f>
        <v>100,0187</v>
      </c>
      <c r="M49" s="20" t="s">
        <v>440</v>
      </c>
    </row>
    <row r="50" spans="1:13" ht="16">
      <c r="A50" s="84" t="s">
        <v>459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>
      <c r="A51" s="20" t="s">
        <v>178</v>
      </c>
      <c r="B51" s="20" t="s">
        <v>419</v>
      </c>
      <c r="C51" s="20" t="s">
        <v>315</v>
      </c>
      <c r="D51" s="20" t="s">
        <v>316</v>
      </c>
      <c r="E51" s="20" t="s">
        <v>462</v>
      </c>
      <c r="F51" s="20" t="s">
        <v>317</v>
      </c>
      <c r="G51" s="8" t="s">
        <v>119</v>
      </c>
      <c r="H51" s="8" t="s">
        <v>92</v>
      </c>
      <c r="I51" s="8" t="s">
        <v>47</v>
      </c>
      <c r="J51" s="8" t="s">
        <v>86</v>
      </c>
      <c r="K51" s="19" t="str">
        <f>"205,0"</f>
        <v>205,0</v>
      </c>
      <c r="L51" s="19" t="str">
        <f>"120,9500"</f>
        <v>120,9500</v>
      </c>
      <c r="M51" s="20"/>
    </row>
    <row r="52" spans="1:13">
      <c r="A52" s="20" t="s">
        <v>180</v>
      </c>
      <c r="B52" s="20" t="s">
        <v>263</v>
      </c>
      <c r="C52" s="20" t="s">
        <v>318</v>
      </c>
      <c r="D52" s="20" t="s">
        <v>222</v>
      </c>
      <c r="E52" s="20" t="s">
        <v>462</v>
      </c>
      <c r="F52" s="20" t="s">
        <v>118</v>
      </c>
      <c r="G52" s="8" t="s">
        <v>42</v>
      </c>
      <c r="H52" s="8" t="s">
        <v>52</v>
      </c>
      <c r="I52" s="8" t="s">
        <v>127</v>
      </c>
      <c r="J52" s="8" t="s">
        <v>43</v>
      </c>
      <c r="K52" s="19" t="str">
        <f>"165,0"</f>
        <v>165,0</v>
      </c>
      <c r="L52" s="19" t="str">
        <f>"133,9773"</f>
        <v>133,9773</v>
      </c>
      <c r="M52" s="20" t="s">
        <v>441</v>
      </c>
    </row>
    <row r="53" spans="1:13" ht="14" thickBot="1">
      <c r="A53" s="20" t="s">
        <v>181</v>
      </c>
      <c r="B53" s="20" t="s">
        <v>319</v>
      </c>
      <c r="C53" s="20" t="s">
        <v>320</v>
      </c>
      <c r="D53" s="20" t="s">
        <v>321</v>
      </c>
      <c r="E53" s="20" t="s">
        <v>462</v>
      </c>
      <c r="F53" s="20" t="s">
        <v>11</v>
      </c>
      <c r="G53" s="8" t="s">
        <v>38</v>
      </c>
      <c r="H53" s="21" t="s">
        <v>77</v>
      </c>
      <c r="I53" s="21" t="s">
        <v>77</v>
      </c>
      <c r="J53" s="19"/>
      <c r="K53" s="19" t="str">
        <f>"145,0"</f>
        <v>145,0</v>
      </c>
      <c r="L53" s="19" t="str">
        <f>"100,0402"</f>
        <v>100,0402</v>
      </c>
      <c r="M53" s="20" t="s">
        <v>443</v>
      </c>
    </row>
    <row r="54" spans="1:13" ht="16">
      <c r="A54" s="84" t="s">
        <v>459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>
      <c r="A55" s="20" t="s">
        <v>178</v>
      </c>
      <c r="B55" s="20" t="s">
        <v>364</v>
      </c>
      <c r="C55" s="20" t="s">
        <v>212</v>
      </c>
      <c r="D55" s="20" t="s">
        <v>322</v>
      </c>
      <c r="E55" s="20" t="s">
        <v>463</v>
      </c>
      <c r="F55" s="20" t="s">
        <v>29</v>
      </c>
      <c r="G55" s="8" t="s">
        <v>52</v>
      </c>
      <c r="H55" s="8" t="s">
        <v>43</v>
      </c>
      <c r="I55" s="21" t="s">
        <v>45</v>
      </c>
      <c r="J55" s="19"/>
      <c r="K55" s="19" t="str">
        <f>"170,0"</f>
        <v>170,0</v>
      </c>
      <c r="L55" s="19" t="str">
        <f>"115,1817"</f>
        <v>115,1817</v>
      </c>
      <c r="M55" s="20" t="s">
        <v>26</v>
      </c>
    </row>
    <row r="56" spans="1:13">
      <c r="A56" s="20" t="s">
        <v>180</v>
      </c>
      <c r="B56" s="20" t="s">
        <v>400</v>
      </c>
      <c r="C56" s="20" t="s">
        <v>323</v>
      </c>
      <c r="D56" s="20" t="s">
        <v>324</v>
      </c>
      <c r="E56" s="20" t="s">
        <v>463</v>
      </c>
      <c r="F56" s="20" t="s">
        <v>50</v>
      </c>
      <c r="G56" s="8" t="s">
        <v>33</v>
      </c>
      <c r="H56" s="8" t="s">
        <v>30</v>
      </c>
      <c r="I56" s="21" t="s">
        <v>64</v>
      </c>
      <c r="J56" s="19"/>
      <c r="K56" s="19" t="str">
        <f>"115,0"</f>
        <v>115,0</v>
      </c>
      <c r="L56" s="19" t="str">
        <f>"114,1663"</f>
        <v>114,1663</v>
      </c>
      <c r="M56" s="20" t="s">
        <v>444</v>
      </c>
    </row>
    <row r="57" spans="1:13">
      <c r="A57" s="20" t="s">
        <v>179</v>
      </c>
      <c r="B57" s="20" t="s">
        <v>325</v>
      </c>
      <c r="C57" s="20" t="s">
        <v>326</v>
      </c>
      <c r="D57" s="20" t="s">
        <v>327</v>
      </c>
      <c r="E57" s="20" t="s">
        <v>463</v>
      </c>
      <c r="F57" s="20" t="s">
        <v>71</v>
      </c>
      <c r="G57" s="19" t="s">
        <v>59</v>
      </c>
      <c r="H57" s="19"/>
      <c r="I57" s="19"/>
      <c r="J57" s="19"/>
      <c r="K57" s="19" t="str">
        <f>"0.00"</f>
        <v>0.00</v>
      </c>
      <c r="L57" s="19" t="str">
        <f>"0,0000"</f>
        <v>0,0000</v>
      </c>
      <c r="M57" s="20" t="s">
        <v>427</v>
      </c>
    </row>
    <row r="58" spans="1:13" ht="16">
      <c r="A58" s="82" t="s">
        <v>459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>
      <c r="A59" s="20" t="s">
        <v>178</v>
      </c>
      <c r="B59" s="20" t="s">
        <v>368</v>
      </c>
      <c r="C59" s="20" t="s">
        <v>328</v>
      </c>
      <c r="D59" s="20" t="s">
        <v>109</v>
      </c>
      <c r="E59" s="20" t="s">
        <v>464</v>
      </c>
      <c r="F59" s="20" t="s">
        <v>50</v>
      </c>
      <c r="G59" s="8" t="s">
        <v>329</v>
      </c>
      <c r="H59" s="8" t="s">
        <v>91</v>
      </c>
      <c r="I59" s="21" t="s">
        <v>330</v>
      </c>
      <c r="J59" s="19"/>
      <c r="K59" s="19" t="str">
        <f>"137,5"</f>
        <v>137,5</v>
      </c>
      <c r="L59" s="19" t="str">
        <f>"129,7036"</f>
        <v>129,7036</v>
      </c>
      <c r="M59" s="20" t="s">
        <v>445</v>
      </c>
    </row>
    <row r="60" spans="1:13">
      <c r="A60" s="35" t="s">
        <v>180</v>
      </c>
      <c r="B60" s="35" t="s">
        <v>331</v>
      </c>
      <c r="C60" s="35" t="s">
        <v>214</v>
      </c>
      <c r="D60" s="35" t="s">
        <v>332</v>
      </c>
      <c r="E60" s="35" t="s">
        <v>464</v>
      </c>
      <c r="F60" s="35" t="s">
        <v>118</v>
      </c>
      <c r="G60" s="36" t="s">
        <v>23</v>
      </c>
      <c r="H60" s="37" t="s">
        <v>25</v>
      </c>
      <c r="I60" s="38"/>
      <c r="J60" s="38"/>
      <c r="K60" s="38" t="str">
        <f>"100,0"</f>
        <v>100,0</v>
      </c>
      <c r="L60" s="38" t="str">
        <f>"101,6468"</f>
        <v>101,6468</v>
      </c>
      <c r="M60" s="35" t="s">
        <v>437</v>
      </c>
    </row>
    <row r="61" spans="1:13" s="26" customFormat="1">
      <c r="A61" s="27"/>
      <c r="B61" s="27" t="s">
        <v>339</v>
      </c>
      <c r="C61" s="27"/>
      <c r="D61" s="27"/>
      <c r="E61" s="27"/>
      <c r="F61" s="27"/>
      <c r="M61" s="27"/>
    </row>
    <row r="62" spans="1:13" s="26" customFormat="1">
      <c r="A62" s="27"/>
      <c r="B62" s="27"/>
      <c r="C62" s="27"/>
      <c r="D62" s="27"/>
      <c r="E62" s="27"/>
      <c r="F62" s="27"/>
      <c r="M62" s="27"/>
    </row>
    <row r="63" spans="1:13" s="26" customFormat="1">
      <c r="A63" s="27"/>
      <c r="B63" s="27"/>
      <c r="C63" s="27"/>
      <c r="D63" s="27"/>
      <c r="E63" s="27"/>
      <c r="F63" s="27"/>
      <c r="M63" s="27"/>
    </row>
    <row r="64" spans="1:13" s="26" customFormat="1">
      <c r="A64" s="27"/>
      <c r="B64" s="27"/>
      <c r="C64" s="27"/>
      <c r="D64" s="27"/>
      <c r="E64" s="27"/>
      <c r="F64" s="27"/>
      <c r="M64" s="27"/>
    </row>
    <row r="65" spans="1:13" s="26" customFormat="1">
      <c r="A65" s="27"/>
      <c r="B65" s="27"/>
      <c r="C65" s="27"/>
      <c r="D65" s="27"/>
      <c r="E65" s="27"/>
      <c r="F65" s="27"/>
      <c r="M65" s="27"/>
    </row>
    <row r="66" spans="1:13" s="26" customFormat="1">
      <c r="A66" s="27"/>
      <c r="B66" s="27"/>
      <c r="C66" s="27"/>
      <c r="D66" s="27"/>
      <c r="E66" s="27"/>
      <c r="F66" s="27"/>
      <c r="M66" s="27"/>
    </row>
    <row r="67" spans="1:13" s="26" customFormat="1">
      <c r="A67" s="27"/>
      <c r="B67" s="27"/>
      <c r="C67" s="27"/>
      <c r="D67" s="27"/>
      <c r="E67" s="27"/>
      <c r="F67" s="27"/>
      <c r="M67" s="27"/>
    </row>
    <row r="68" spans="1:13" s="26" customFormat="1">
      <c r="A68" s="27"/>
      <c r="B68" s="27"/>
      <c r="C68" s="27"/>
      <c r="D68" s="27"/>
      <c r="E68" s="27"/>
      <c r="F68" s="27"/>
      <c r="M68" s="27"/>
    </row>
    <row r="70" spans="1:13" s="26" customFormat="1" ht="18">
      <c r="A70" s="27"/>
      <c r="B70" s="27"/>
      <c r="C70" s="29"/>
      <c r="D70" s="29"/>
      <c r="E70" s="27"/>
      <c r="F70" s="27"/>
      <c r="M70" s="27"/>
    </row>
    <row r="71" spans="1:13" s="26" customFormat="1" ht="16">
      <c r="A71" s="27"/>
      <c r="B71" s="27"/>
      <c r="C71" s="31"/>
      <c r="D71" s="31"/>
      <c r="E71" s="27"/>
      <c r="F71" s="27"/>
      <c r="M71" s="27"/>
    </row>
    <row r="72" spans="1:13" s="26" customFormat="1" ht="14">
      <c r="A72" s="27"/>
      <c r="B72" s="27"/>
      <c r="C72" s="33"/>
      <c r="D72" s="33"/>
      <c r="E72" s="27"/>
      <c r="F72" s="27"/>
      <c r="M72" s="27"/>
    </row>
    <row r="73" spans="1:13" s="26" customFormat="1" ht="14">
      <c r="A73" s="27"/>
      <c r="B73" s="27"/>
      <c r="C73" s="17"/>
      <c r="D73" s="17"/>
      <c r="E73" s="17"/>
      <c r="F73" s="17"/>
      <c r="M73" s="27"/>
    </row>
    <row r="74" spans="1:13" s="26" customFormat="1">
      <c r="A74" s="27"/>
      <c r="B74" s="27"/>
      <c r="C74" s="27"/>
      <c r="D74" s="27"/>
      <c r="M74" s="27"/>
    </row>
    <row r="76" spans="1:13" s="26" customFormat="1" ht="14">
      <c r="A76" s="27"/>
      <c r="B76" s="27"/>
      <c r="C76" s="33"/>
      <c r="D76" s="33"/>
      <c r="E76" s="27"/>
      <c r="F76" s="27"/>
      <c r="M76" s="27"/>
    </row>
    <row r="77" spans="1:13" s="26" customFormat="1" ht="14">
      <c r="A77" s="27"/>
      <c r="B77" s="27"/>
      <c r="C77" s="17"/>
      <c r="D77" s="17"/>
      <c r="E77" s="17"/>
      <c r="F77" s="17"/>
      <c r="M77" s="27"/>
    </row>
    <row r="78" spans="1:13" s="26" customFormat="1">
      <c r="A78" s="27"/>
      <c r="B78" s="27"/>
      <c r="C78" s="27"/>
      <c r="D78" s="27"/>
      <c r="M78" s="27"/>
    </row>
    <row r="79" spans="1:13" s="26" customFormat="1">
      <c r="A79" s="27"/>
      <c r="B79" s="27"/>
      <c r="C79" s="27"/>
      <c r="D79" s="27"/>
      <c r="M79" s="27"/>
    </row>
    <row r="81" spans="1:13" s="26" customFormat="1" ht="14">
      <c r="A81" s="27"/>
      <c r="B81" s="27"/>
      <c r="C81" s="33"/>
      <c r="D81" s="33"/>
      <c r="E81" s="27"/>
      <c r="F81" s="27"/>
      <c r="M81" s="27"/>
    </row>
    <row r="82" spans="1:13" s="26" customFormat="1" ht="14">
      <c r="A82" s="27"/>
      <c r="B82" s="27"/>
      <c r="C82" s="17"/>
      <c r="D82" s="17"/>
      <c r="E82" s="17"/>
      <c r="F82" s="17"/>
      <c r="M82" s="27"/>
    </row>
    <row r="83" spans="1:13" s="26" customFormat="1">
      <c r="A83" s="27"/>
      <c r="B83" s="27"/>
      <c r="C83" s="27"/>
      <c r="D83" s="27"/>
      <c r="M83" s="27"/>
    </row>
    <row r="84" spans="1:13" s="26" customFormat="1">
      <c r="A84" s="27"/>
      <c r="B84" s="27"/>
      <c r="C84" s="27"/>
      <c r="D84" s="27"/>
      <c r="M84" s="27"/>
    </row>
    <row r="85" spans="1:13" s="26" customFormat="1">
      <c r="A85" s="27"/>
      <c r="B85" s="27"/>
      <c r="C85" s="27"/>
      <c r="D85" s="27"/>
      <c r="M85" s="27"/>
    </row>
    <row r="88" spans="1:13" s="26" customFormat="1" ht="16">
      <c r="A88" s="27"/>
      <c r="B88" s="27"/>
      <c r="C88" s="31"/>
      <c r="D88" s="31"/>
      <c r="E88" s="27"/>
      <c r="F88" s="27"/>
      <c r="M88" s="27"/>
    </row>
    <row r="89" spans="1:13" s="26" customFormat="1" ht="14">
      <c r="A89" s="27"/>
      <c r="B89" s="27"/>
      <c r="C89" s="33"/>
      <c r="D89" s="33"/>
      <c r="E89" s="27"/>
      <c r="F89" s="27"/>
      <c r="M89" s="27"/>
    </row>
    <row r="90" spans="1:13" s="26" customFormat="1" ht="14">
      <c r="A90" s="27"/>
      <c r="B90" s="27"/>
      <c r="C90" s="17"/>
      <c r="D90" s="17"/>
      <c r="E90" s="17"/>
      <c r="F90" s="17"/>
      <c r="M90" s="27"/>
    </row>
    <row r="91" spans="1:13" s="26" customFormat="1">
      <c r="A91" s="27"/>
      <c r="B91" s="27"/>
      <c r="C91" s="27"/>
      <c r="D91" s="27"/>
      <c r="M91" s="27"/>
    </row>
    <row r="92" spans="1:13" s="26" customFormat="1">
      <c r="A92" s="27"/>
      <c r="B92" s="27"/>
      <c r="C92" s="27"/>
      <c r="D92" s="27"/>
      <c r="M92" s="27"/>
    </row>
    <row r="93" spans="1:13" s="26" customFormat="1">
      <c r="A93" s="27"/>
      <c r="B93" s="27"/>
      <c r="C93" s="27"/>
      <c r="D93" s="27"/>
      <c r="M93" s="27"/>
    </row>
    <row r="95" spans="1:13" s="26" customFormat="1" ht="14">
      <c r="A95" s="27"/>
      <c r="B95" s="27"/>
      <c r="C95" s="33"/>
      <c r="D95" s="33"/>
      <c r="E95" s="27"/>
      <c r="F95" s="27"/>
      <c r="M95" s="27"/>
    </row>
    <row r="96" spans="1:13" s="26" customFormat="1" ht="14">
      <c r="A96" s="27"/>
      <c r="B96" s="27"/>
      <c r="C96" s="17"/>
      <c r="D96" s="17"/>
      <c r="E96" s="17"/>
      <c r="F96" s="17"/>
      <c r="M96" s="27"/>
    </row>
    <row r="97" spans="1:13" s="26" customFormat="1">
      <c r="A97" s="27"/>
      <c r="B97" s="27"/>
      <c r="C97" s="27"/>
      <c r="D97" s="27"/>
      <c r="M97" s="27"/>
    </row>
    <row r="98" spans="1:13" s="26" customFormat="1">
      <c r="A98" s="27"/>
      <c r="B98" s="27"/>
      <c r="C98" s="27"/>
      <c r="D98" s="27"/>
      <c r="M98" s="27"/>
    </row>
    <row r="99" spans="1:13" s="26" customFormat="1">
      <c r="A99" s="27"/>
      <c r="B99" s="27"/>
      <c r="C99" s="27"/>
      <c r="D99" s="27"/>
      <c r="M99" s="27"/>
    </row>
    <row r="101" spans="1:13" s="26" customFormat="1" ht="14">
      <c r="A101" s="27"/>
      <c r="B101" s="27"/>
      <c r="C101" s="33"/>
      <c r="D101" s="33"/>
      <c r="E101" s="27"/>
      <c r="F101" s="27"/>
      <c r="M101" s="27"/>
    </row>
    <row r="102" spans="1:13" s="26" customFormat="1" ht="14">
      <c r="A102" s="27"/>
      <c r="B102" s="27"/>
      <c r="C102" s="17"/>
      <c r="D102" s="17"/>
      <c r="E102" s="17"/>
      <c r="F102" s="17"/>
      <c r="M102" s="27"/>
    </row>
    <row r="103" spans="1:13" s="26" customFormat="1">
      <c r="A103" s="27"/>
      <c r="B103" s="27"/>
      <c r="C103" s="27"/>
      <c r="D103" s="27"/>
      <c r="M103" s="27"/>
    </row>
    <row r="104" spans="1:13" s="26" customFormat="1">
      <c r="A104" s="27"/>
      <c r="B104" s="27"/>
      <c r="C104" s="27"/>
      <c r="D104" s="27"/>
      <c r="M104" s="27"/>
    </row>
    <row r="105" spans="1:13" s="26" customFormat="1">
      <c r="A105" s="27"/>
      <c r="B105" s="27"/>
      <c r="C105" s="27"/>
      <c r="D105" s="27"/>
      <c r="M105" s="27"/>
    </row>
  </sheetData>
  <mergeCells count="22">
    <mergeCell ref="A15:M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M5"/>
    <mergeCell ref="A7:M7"/>
    <mergeCell ref="A10:M10"/>
    <mergeCell ref="A58:M58"/>
    <mergeCell ref="A17:M17"/>
    <mergeCell ref="A25:M25"/>
    <mergeCell ref="A34:M34"/>
    <mergeCell ref="A41:M41"/>
    <mergeCell ref="A50:M50"/>
    <mergeCell ref="A54:M54"/>
  </mergeCells>
  <pageMargins left="0.19685039370078741" right="0.47244094488188981" top="0.43307086614173229" bottom="0.47244094488188981" header="0.51181102362204722" footer="0.51181102362204722"/>
  <pageSetup scale="67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3"/>
  <sheetViews>
    <sheetView tabSelected="1" zoomScaleNormal="100" workbookViewId="0">
      <selection sqref="A1:M2"/>
    </sheetView>
  </sheetViews>
  <sheetFormatPr baseColWidth="10" defaultColWidth="9.1640625" defaultRowHeight="13"/>
  <cols>
    <col min="1" max="1" width="7.5" style="27" bestFit="1" customWidth="1"/>
    <col min="2" max="2" width="29.1640625" style="27" bestFit="1" customWidth="1"/>
    <col min="3" max="3" width="33" style="27" customWidth="1"/>
    <col min="4" max="4" width="21.5" style="27" bestFit="1" customWidth="1"/>
    <col min="5" max="5" width="10.5" style="27" bestFit="1" customWidth="1"/>
    <col min="6" max="6" width="21.83203125" style="27" bestFit="1" customWidth="1"/>
    <col min="7" max="10" width="5.5" style="26" bestFit="1" customWidth="1"/>
    <col min="11" max="11" width="11.33203125" style="26" bestFit="1" customWidth="1"/>
    <col min="12" max="12" width="8.5" style="26" bestFit="1" customWidth="1"/>
    <col min="13" max="13" width="17.5" style="27" bestFit="1" customWidth="1"/>
    <col min="14" max="16384" width="9.1640625" style="16"/>
  </cols>
  <sheetData>
    <row r="1" spans="1:13" s="34" customFormat="1" ht="29" customHeight="1">
      <c r="A1" s="70" t="s">
        <v>451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34" customFormat="1" ht="62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7" customFormat="1" ht="12.75" customHeight="1">
      <c r="A3" s="77" t="s">
        <v>453</v>
      </c>
      <c r="B3" s="79" t="s">
        <v>0</v>
      </c>
      <c r="C3" s="81" t="s">
        <v>456</v>
      </c>
      <c r="D3" s="81" t="s">
        <v>454</v>
      </c>
      <c r="E3" s="66" t="s">
        <v>457</v>
      </c>
      <c r="F3" s="66" t="s">
        <v>8</v>
      </c>
      <c r="G3" s="66" t="s">
        <v>2</v>
      </c>
      <c r="H3" s="66"/>
      <c r="I3" s="66"/>
      <c r="J3" s="66"/>
      <c r="K3" s="66" t="s">
        <v>216</v>
      </c>
      <c r="L3" s="66" t="s">
        <v>6</v>
      </c>
      <c r="M3" s="68" t="s">
        <v>5</v>
      </c>
    </row>
    <row r="4" spans="1:13" s="17" customFormat="1" ht="21" customHeight="1" thickBot="1">
      <c r="A4" s="78"/>
      <c r="B4" s="85"/>
      <c r="C4" s="67"/>
      <c r="D4" s="67"/>
      <c r="E4" s="67"/>
      <c r="F4" s="67"/>
      <c r="G4" s="18">
        <v>1</v>
      </c>
      <c r="H4" s="18">
        <v>2</v>
      </c>
      <c r="I4" s="18">
        <v>3</v>
      </c>
      <c r="J4" s="18" t="s">
        <v>7</v>
      </c>
      <c r="K4" s="67"/>
      <c r="L4" s="67"/>
      <c r="M4" s="69"/>
    </row>
    <row r="5" spans="1:13" ht="16">
      <c r="A5" s="82" t="s">
        <v>468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A6" s="23" t="s">
        <v>178</v>
      </c>
      <c r="B6" s="23" t="s">
        <v>333</v>
      </c>
      <c r="C6" s="23" t="s">
        <v>334</v>
      </c>
      <c r="D6" s="23" t="s">
        <v>335</v>
      </c>
      <c r="E6" s="23" t="s">
        <v>458</v>
      </c>
      <c r="F6" s="23" t="s">
        <v>11</v>
      </c>
      <c r="G6" s="24" t="s">
        <v>81</v>
      </c>
      <c r="H6" s="25" t="s">
        <v>104</v>
      </c>
      <c r="I6" s="25" t="s">
        <v>104</v>
      </c>
      <c r="J6" s="22"/>
      <c r="K6" s="22" t="str">
        <f>"260,0"</f>
        <v>260,0</v>
      </c>
      <c r="L6" s="22" t="str">
        <f>"148,3820"</f>
        <v>148,3820</v>
      </c>
      <c r="M6" s="23" t="s">
        <v>430</v>
      </c>
    </row>
    <row r="7" spans="1:13" ht="16">
      <c r="A7" s="83" t="s">
        <v>468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>
      <c r="A8" s="35" t="s">
        <v>178</v>
      </c>
      <c r="B8" s="35" t="s">
        <v>336</v>
      </c>
      <c r="C8" s="35" t="s">
        <v>337</v>
      </c>
      <c r="D8" s="35" t="s">
        <v>338</v>
      </c>
      <c r="E8" s="35" t="s">
        <v>463</v>
      </c>
      <c r="F8" s="35" t="s">
        <v>102</v>
      </c>
      <c r="G8" s="36" t="s">
        <v>104</v>
      </c>
      <c r="H8" s="37" t="s">
        <v>98</v>
      </c>
      <c r="I8" s="36" t="s">
        <v>98</v>
      </c>
      <c r="J8" s="38"/>
      <c r="K8" s="38" t="str">
        <f>"290,0"</f>
        <v>290,0</v>
      </c>
      <c r="L8" s="38" t="str">
        <f>"209,6835"</f>
        <v>209,6835</v>
      </c>
      <c r="M8" s="35" t="s">
        <v>429</v>
      </c>
    </row>
    <row r="9" spans="1:13" s="26" customFormat="1">
      <c r="A9" s="27"/>
      <c r="B9" s="27" t="s">
        <v>339</v>
      </c>
      <c r="C9" s="27"/>
      <c r="D9" s="27"/>
      <c r="E9" s="27"/>
      <c r="F9" s="27"/>
      <c r="M9" s="27"/>
    </row>
    <row r="10" spans="1:13" s="26" customFormat="1">
      <c r="A10" s="27"/>
      <c r="B10" s="27"/>
      <c r="C10" s="27"/>
      <c r="D10" s="27"/>
      <c r="E10" s="27"/>
      <c r="F10" s="27"/>
      <c r="M10" s="27"/>
    </row>
    <row r="11" spans="1:13" s="26" customFormat="1">
      <c r="A11" s="27"/>
      <c r="B11" s="27"/>
      <c r="C11" s="27"/>
      <c r="D11" s="27"/>
      <c r="E11" s="27"/>
      <c r="F11" s="27"/>
      <c r="M11" s="27"/>
    </row>
    <row r="12" spans="1:13" s="26" customFormat="1">
      <c r="A12" s="27"/>
      <c r="B12" s="27"/>
      <c r="C12" s="27"/>
      <c r="D12" s="27"/>
      <c r="E12" s="27"/>
      <c r="F12" s="27"/>
      <c r="M12" s="27"/>
    </row>
    <row r="13" spans="1:13" s="26" customFormat="1">
      <c r="A13" s="27"/>
      <c r="B13" s="27"/>
      <c r="C13" s="27"/>
      <c r="D13" s="27"/>
      <c r="E13" s="27"/>
      <c r="F13" s="27"/>
      <c r="M13" s="27"/>
    </row>
    <row r="14" spans="1:13" s="26" customFormat="1">
      <c r="A14" s="27"/>
      <c r="B14" s="27"/>
      <c r="C14" s="27"/>
      <c r="D14" s="27"/>
      <c r="E14" s="27"/>
      <c r="F14" s="27"/>
      <c r="M14" s="27"/>
    </row>
    <row r="15" spans="1:13" s="26" customFormat="1">
      <c r="A15" s="27"/>
      <c r="B15" s="27"/>
      <c r="C15" s="27"/>
      <c r="D15" s="27"/>
      <c r="E15" s="27"/>
      <c r="F15" s="27"/>
      <c r="M15" s="27"/>
    </row>
    <row r="16" spans="1:13" s="26" customFormat="1">
      <c r="A16" s="27"/>
      <c r="B16" s="27"/>
      <c r="C16" s="27"/>
      <c r="D16" s="27"/>
      <c r="E16" s="27"/>
      <c r="F16" s="27"/>
      <c r="M16" s="27"/>
    </row>
    <row r="18" spans="1:13" s="26" customFormat="1" ht="18">
      <c r="A18" s="27"/>
      <c r="B18" s="27"/>
      <c r="C18" s="29"/>
      <c r="D18" s="29"/>
      <c r="E18" s="27"/>
      <c r="F18" s="27"/>
      <c r="M18" s="27"/>
    </row>
    <row r="19" spans="1:13" s="26" customFormat="1" ht="16">
      <c r="A19" s="27"/>
      <c r="B19" s="27"/>
      <c r="C19" s="31"/>
      <c r="D19" s="31"/>
      <c r="E19" s="27"/>
      <c r="F19" s="27"/>
      <c r="M19" s="27"/>
    </row>
    <row r="20" spans="1:13" s="26" customFormat="1" ht="14">
      <c r="A20" s="27"/>
      <c r="B20" s="27"/>
      <c r="C20" s="33"/>
      <c r="D20" s="33"/>
      <c r="E20" s="27"/>
      <c r="F20" s="27"/>
      <c r="M20" s="27"/>
    </row>
    <row r="21" spans="1:13" s="26" customFormat="1" ht="14">
      <c r="A21" s="27"/>
      <c r="B21" s="27"/>
      <c r="C21" s="17"/>
      <c r="D21" s="17"/>
      <c r="E21" s="17"/>
      <c r="F21" s="17"/>
      <c r="M21" s="27"/>
    </row>
    <row r="22" spans="1:13" s="26" customFormat="1">
      <c r="A22" s="27"/>
      <c r="B22" s="27"/>
      <c r="C22" s="27"/>
      <c r="D22" s="27"/>
      <c r="M22" s="27"/>
    </row>
    <row r="24" spans="1:13" s="26" customFormat="1" ht="14">
      <c r="A24" s="27"/>
      <c r="B24" s="27"/>
      <c r="C24" s="33"/>
      <c r="D24" s="33"/>
      <c r="E24" s="27"/>
      <c r="F24" s="27"/>
      <c r="M24" s="27"/>
    </row>
    <row r="25" spans="1:13" s="26" customFormat="1" ht="14">
      <c r="A25" s="27"/>
      <c r="B25" s="27"/>
      <c r="C25" s="17"/>
      <c r="D25" s="17"/>
      <c r="E25" s="17"/>
      <c r="F25" s="17"/>
      <c r="M25" s="27"/>
    </row>
    <row r="26" spans="1:13" s="26" customFormat="1">
      <c r="A26" s="27"/>
      <c r="B26" s="27"/>
      <c r="C26" s="27"/>
      <c r="D26" s="27"/>
      <c r="M26" s="27"/>
    </row>
    <row r="27" spans="1:13" s="26" customFormat="1">
      <c r="A27" s="27"/>
      <c r="B27" s="27"/>
      <c r="C27" s="27"/>
      <c r="D27" s="27"/>
      <c r="M27" s="27"/>
    </row>
    <row r="29" spans="1:13" s="26" customFormat="1" ht="14">
      <c r="A29" s="27"/>
      <c r="B29" s="27"/>
      <c r="C29" s="33"/>
      <c r="D29" s="33"/>
      <c r="E29" s="27"/>
      <c r="F29" s="27"/>
      <c r="M29" s="27"/>
    </row>
    <row r="30" spans="1:13" s="26" customFormat="1" ht="14">
      <c r="A30" s="27"/>
      <c r="B30" s="27"/>
      <c r="C30" s="17"/>
      <c r="D30" s="17"/>
      <c r="E30" s="17"/>
      <c r="F30" s="17"/>
      <c r="M30" s="27"/>
    </row>
    <row r="31" spans="1:13" s="26" customFormat="1">
      <c r="A31" s="27"/>
      <c r="B31" s="27"/>
      <c r="C31" s="27"/>
      <c r="D31" s="27"/>
      <c r="M31" s="27"/>
    </row>
    <row r="32" spans="1:13" s="26" customFormat="1">
      <c r="A32" s="27"/>
      <c r="B32" s="27"/>
      <c r="C32" s="27"/>
      <c r="D32" s="27"/>
      <c r="M32" s="27"/>
    </row>
    <row r="33" spans="1:13" s="26" customFormat="1">
      <c r="A33" s="27"/>
      <c r="B33" s="27"/>
      <c r="C33" s="27"/>
      <c r="D33" s="27"/>
      <c r="M33" s="27"/>
    </row>
    <row r="36" spans="1:13" s="26" customFormat="1" ht="16">
      <c r="A36" s="27"/>
      <c r="B36" s="27"/>
      <c r="C36" s="31"/>
      <c r="D36" s="31"/>
      <c r="E36" s="27"/>
      <c r="F36" s="27"/>
      <c r="M36" s="27"/>
    </row>
    <row r="37" spans="1:13" s="26" customFormat="1" ht="14">
      <c r="A37" s="27"/>
      <c r="B37" s="27"/>
      <c r="C37" s="33"/>
      <c r="D37" s="33"/>
      <c r="E37" s="27"/>
      <c r="F37" s="27"/>
      <c r="M37" s="27"/>
    </row>
    <row r="38" spans="1:13" s="26" customFormat="1" ht="14">
      <c r="A38" s="27"/>
      <c r="B38" s="27"/>
      <c r="C38" s="17"/>
      <c r="D38" s="17"/>
      <c r="E38" s="17"/>
      <c r="F38" s="17"/>
      <c r="M38" s="27"/>
    </row>
    <row r="39" spans="1:13" s="26" customFormat="1">
      <c r="A39" s="27"/>
      <c r="B39" s="27"/>
      <c r="C39" s="27"/>
      <c r="D39" s="27"/>
      <c r="M39" s="27"/>
    </row>
    <row r="40" spans="1:13" s="26" customFormat="1">
      <c r="A40" s="27"/>
      <c r="B40" s="27"/>
      <c r="C40" s="27"/>
      <c r="D40" s="27"/>
      <c r="M40" s="27"/>
    </row>
    <row r="41" spans="1:13" s="26" customFormat="1">
      <c r="A41" s="27"/>
      <c r="B41" s="27"/>
      <c r="C41" s="27"/>
      <c r="D41" s="27"/>
      <c r="M41" s="27"/>
    </row>
    <row r="43" spans="1:13" s="26" customFormat="1" ht="14">
      <c r="A43" s="27"/>
      <c r="B43" s="27"/>
      <c r="C43" s="33"/>
      <c r="D43" s="33"/>
      <c r="E43" s="27"/>
      <c r="F43" s="27"/>
      <c r="M43" s="27"/>
    </row>
    <row r="44" spans="1:13" s="26" customFormat="1" ht="14">
      <c r="A44" s="27"/>
      <c r="B44" s="27"/>
      <c r="C44" s="17"/>
      <c r="D44" s="17"/>
      <c r="E44" s="17"/>
      <c r="F44" s="17"/>
      <c r="M44" s="27"/>
    </row>
    <row r="45" spans="1:13" s="26" customFormat="1">
      <c r="A45" s="27"/>
      <c r="B45" s="27"/>
      <c r="C45" s="27"/>
      <c r="D45" s="27"/>
      <c r="M45" s="27"/>
    </row>
    <row r="46" spans="1:13" s="26" customFormat="1">
      <c r="A46" s="27"/>
      <c r="B46" s="27"/>
      <c r="C46" s="27"/>
      <c r="D46" s="27"/>
      <c r="M46" s="27"/>
    </row>
    <row r="47" spans="1:13" s="26" customFormat="1">
      <c r="A47" s="27"/>
      <c r="B47" s="27"/>
      <c r="C47" s="27"/>
      <c r="D47" s="27"/>
      <c r="M47" s="27"/>
    </row>
    <row r="49" spans="1:13" s="26" customFormat="1" ht="14">
      <c r="A49" s="27"/>
      <c r="B49" s="27"/>
      <c r="C49" s="33"/>
      <c r="D49" s="33"/>
      <c r="E49" s="27"/>
      <c r="F49" s="27"/>
      <c r="M49" s="27"/>
    </row>
    <row r="50" spans="1:13" s="26" customFormat="1" ht="14">
      <c r="A50" s="27"/>
      <c r="B50" s="27"/>
      <c r="C50" s="17"/>
      <c r="D50" s="17"/>
      <c r="E50" s="17"/>
      <c r="F50" s="17"/>
      <c r="M50" s="27"/>
    </row>
    <row r="51" spans="1:13" s="26" customFormat="1">
      <c r="A51" s="27"/>
      <c r="B51" s="27"/>
      <c r="C51" s="27"/>
      <c r="D51" s="27"/>
      <c r="M51" s="27"/>
    </row>
    <row r="52" spans="1:13" s="26" customFormat="1">
      <c r="A52" s="27"/>
      <c r="B52" s="27"/>
      <c r="C52" s="27"/>
      <c r="D52" s="27"/>
      <c r="M52" s="27"/>
    </row>
    <row r="53" spans="1:13" s="26" customFormat="1">
      <c r="A53" s="27"/>
      <c r="B53" s="27"/>
      <c r="C53" s="27"/>
      <c r="D53" s="27"/>
      <c r="M53" s="27"/>
    </row>
  </sheetData>
  <mergeCells count="13">
    <mergeCell ref="A5:M5"/>
    <mergeCell ref="A7:M7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19685039370078741" right="0.47244094488188981" top="0.43307086614173229" bottom="0.47244094488188981" header="0.51181102362204722" footer="0.51181102362204722"/>
  <pageSetup scale="67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9"/>
  <sheetViews>
    <sheetView zoomScaleNormal="100" workbookViewId="0">
      <selection activeCell="F6" sqref="F1:F1048576"/>
    </sheetView>
  </sheetViews>
  <sheetFormatPr baseColWidth="10" defaultColWidth="9.1640625" defaultRowHeight="13"/>
  <cols>
    <col min="1" max="1" width="7.5" style="27" bestFit="1" customWidth="1"/>
    <col min="2" max="2" width="29" style="27" bestFit="1" customWidth="1"/>
    <col min="3" max="3" width="27.83203125" style="27" bestFit="1" customWidth="1"/>
    <col min="4" max="4" width="21.5" style="27" bestFit="1" customWidth="1"/>
    <col min="5" max="5" width="10.5" style="27" bestFit="1" customWidth="1"/>
    <col min="6" max="6" width="21" style="27" bestFit="1" customWidth="1"/>
    <col min="7" max="10" width="5.5" style="26" bestFit="1" customWidth="1"/>
    <col min="11" max="11" width="11.33203125" style="26" bestFit="1" customWidth="1"/>
    <col min="12" max="12" width="8.5" style="26" bestFit="1" customWidth="1"/>
    <col min="13" max="13" width="19.1640625" style="27" bestFit="1" customWidth="1"/>
    <col min="14" max="16384" width="9.1640625" style="16"/>
  </cols>
  <sheetData>
    <row r="1" spans="1:13" s="34" customFormat="1" ht="29" customHeight="1">
      <c r="A1" s="70" t="s">
        <v>452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34" customFormat="1" ht="62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7" customFormat="1" ht="12.75" customHeight="1">
      <c r="A3" s="77" t="s">
        <v>453</v>
      </c>
      <c r="B3" s="79" t="s">
        <v>0</v>
      </c>
      <c r="C3" s="81" t="s">
        <v>456</v>
      </c>
      <c r="D3" s="81" t="s">
        <v>454</v>
      </c>
      <c r="E3" s="66" t="s">
        <v>457</v>
      </c>
      <c r="F3" s="66" t="s">
        <v>8</v>
      </c>
      <c r="G3" s="66" t="s">
        <v>3</v>
      </c>
      <c r="H3" s="66"/>
      <c r="I3" s="66"/>
      <c r="J3" s="66"/>
      <c r="K3" s="66" t="s">
        <v>216</v>
      </c>
      <c r="L3" s="66" t="s">
        <v>6</v>
      </c>
      <c r="M3" s="68" t="s">
        <v>5</v>
      </c>
    </row>
    <row r="4" spans="1:13" s="17" customFormat="1" ht="21" customHeight="1" thickBot="1">
      <c r="A4" s="78"/>
      <c r="B4" s="85"/>
      <c r="C4" s="67"/>
      <c r="D4" s="67"/>
      <c r="E4" s="67"/>
      <c r="F4" s="67"/>
      <c r="G4" s="18">
        <v>1</v>
      </c>
      <c r="H4" s="18">
        <v>2</v>
      </c>
      <c r="I4" s="18">
        <v>3</v>
      </c>
      <c r="J4" s="18" t="s">
        <v>7</v>
      </c>
      <c r="K4" s="67"/>
      <c r="L4" s="67"/>
      <c r="M4" s="69"/>
    </row>
    <row r="5" spans="1:13" ht="16">
      <c r="A5" s="84" t="s">
        <v>468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4" thickBot="1">
      <c r="A6" s="20" t="s">
        <v>178</v>
      </c>
      <c r="B6" s="20" t="s">
        <v>369</v>
      </c>
      <c r="C6" s="20" t="s">
        <v>340</v>
      </c>
      <c r="D6" s="20" t="s">
        <v>341</v>
      </c>
      <c r="E6" s="20" t="s">
        <v>460</v>
      </c>
      <c r="F6" s="20" t="s">
        <v>342</v>
      </c>
      <c r="G6" s="8" t="s">
        <v>30</v>
      </c>
      <c r="H6" s="21" t="s">
        <v>18</v>
      </c>
      <c r="I6" s="8" t="s">
        <v>18</v>
      </c>
      <c r="J6" s="19"/>
      <c r="K6" s="19" t="str">
        <f>"125,0"</f>
        <v>125,0</v>
      </c>
      <c r="L6" s="19" t="str">
        <f>"129,2375"</f>
        <v>129,2375</v>
      </c>
      <c r="M6" s="20" t="s">
        <v>446</v>
      </c>
    </row>
    <row r="7" spans="1:13" ht="16">
      <c r="A7" s="84" t="s">
        <v>468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20" t="s">
        <v>178</v>
      </c>
      <c r="B8" s="20" t="s">
        <v>420</v>
      </c>
      <c r="C8" s="20" t="s">
        <v>343</v>
      </c>
      <c r="D8" s="20" t="s">
        <v>344</v>
      </c>
      <c r="E8" s="20" t="s">
        <v>458</v>
      </c>
      <c r="F8" s="20" t="s">
        <v>35</v>
      </c>
      <c r="G8" s="8" t="s">
        <v>17</v>
      </c>
      <c r="H8" s="8" t="s">
        <v>19</v>
      </c>
      <c r="I8" s="8" t="s">
        <v>91</v>
      </c>
      <c r="J8" s="21" t="s">
        <v>87</v>
      </c>
      <c r="K8" s="19" t="str">
        <f>"137,5"</f>
        <v>137,5</v>
      </c>
      <c r="L8" s="19" t="str">
        <f>"183,2325"</f>
        <v>183,2325</v>
      </c>
      <c r="M8" s="20" t="s">
        <v>447</v>
      </c>
    </row>
    <row r="9" spans="1:13" ht="14" thickBot="1">
      <c r="A9" s="20" t="s">
        <v>180</v>
      </c>
      <c r="B9" s="20" t="s">
        <v>401</v>
      </c>
      <c r="C9" s="20" t="s">
        <v>345</v>
      </c>
      <c r="D9" s="20" t="s">
        <v>346</v>
      </c>
      <c r="E9" s="20" t="s">
        <v>458</v>
      </c>
      <c r="F9" s="20" t="s">
        <v>196</v>
      </c>
      <c r="G9" s="8" t="s">
        <v>19</v>
      </c>
      <c r="H9" s="8" t="s">
        <v>87</v>
      </c>
      <c r="I9" s="21" t="s">
        <v>347</v>
      </c>
      <c r="J9" s="19"/>
      <c r="K9" s="19" t="str">
        <f>"140,0"</f>
        <v>140,0</v>
      </c>
      <c r="L9" s="19" t="str">
        <f>"166,1240"</f>
        <v>166,1240</v>
      </c>
      <c r="M9" s="20" t="s">
        <v>448</v>
      </c>
    </row>
    <row r="10" spans="1:13" ht="16">
      <c r="A10" s="84" t="s">
        <v>468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>
      <c r="A11" s="20" t="s">
        <v>178</v>
      </c>
      <c r="B11" s="20" t="s">
        <v>403</v>
      </c>
      <c r="C11" s="20" t="s">
        <v>116</v>
      </c>
      <c r="D11" s="20" t="s">
        <v>117</v>
      </c>
      <c r="E11" s="20" t="s">
        <v>460</v>
      </c>
      <c r="F11" s="20" t="s">
        <v>118</v>
      </c>
      <c r="G11" s="8" t="s">
        <v>98</v>
      </c>
      <c r="H11" s="8" t="s">
        <v>99</v>
      </c>
      <c r="I11" s="8" t="s">
        <v>120</v>
      </c>
      <c r="J11" s="8" t="s">
        <v>121</v>
      </c>
      <c r="K11" s="19" t="str">
        <f>"315,0"</f>
        <v>315,0</v>
      </c>
      <c r="L11" s="19" t="str">
        <f>"194,4810"</f>
        <v>194,4810</v>
      </c>
      <c r="M11" s="20" t="s">
        <v>424</v>
      </c>
    </row>
    <row r="12" spans="1:13">
      <c r="A12" s="20" t="s">
        <v>180</v>
      </c>
      <c r="B12" s="20" t="s">
        <v>370</v>
      </c>
      <c r="C12" s="20" t="s">
        <v>194</v>
      </c>
      <c r="D12" s="20" t="s">
        <v>195</v>
      </c>
      <c r="E12" s="20" t="s">
        <v>460</v>
      </c>
      <c r="F12" s="20" t="s">
        <v>196</v>
      </c>
      <c r="G12" s="8" t="s">
        <v>66</v>
      </c>
      <c r="H12" s="8" t="s">
        <v>114</v>
      </c>
      <c r="I12" s="21" t="s">
        <v>80</v>
      </c>
      <c r="J12" s="19"/>
      <c r="K12" s="19" t="str">
        <f>"235,0"</f>
        <v>235,0</v>
      </c>
      <c r="L12" s="19" t="str">
        <f>"144,0315"</f>
        <v>144,0315</v>
      </c>
      <c r="M12" s="20" t="s">
        <v>434</v>
      </c>
    </row>
    <row r="13" spans="1:13" ht="16">
      <c r="A13" s="82" t="s">
        <v>468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>
      <c r="A14" s="23" t="s">
        <v>178</v>
      </c>
      <c r="B14" s="23" t="s">
        <v>402</v>
      </c>
      <c r="C14" s="23" t="s">
        <v>348</v>
      </c>
      <c r="D14" s="23" t="s">
        <v>349</v>
      </c>
      <c r="E14" s="23" t="s">
        <v>461</v>
      </c>
      <c r="F14" s="23" t="s">
        <v>11</v>
      </c>
      <c r="G14" s="24" t="s">
        <v>350</v>
      </c>
      <c r="H14" s="24" t="s">
        <v>76</v>
      </c>
      <c r="I14" s="24" t="s">
        <v>114</v>
      </c>
      <c r="J14" s="22"/>
      <c r="K14" s="22" t="str">
        <f>"235,0"</f>
        <v>235,0</v>
      </c>
      <c r="L14" s="22" t="str">
        <f>"156,9800"</f>
        <v>156,9800</v>
      </c>
      <c r="M14" s="23"/>
    </row>
    <row r="15" spans="1:13">
      <c r="A15" s="20" t="s">
        <v>180</v>
      </c>
      <c r="B15" s="20" t="s">
        <v>371</v>
      </c>
      <c r="C15" s="20" t="s">
        <v>351</v>
      </c>
      <c r="D15" s="20" t="s">
        <v>352</v>
      </c>
      <c r="E15" s="20" t="s">
        <v>461</v>
      </c>
      <c r="F15" s="20" t="s">
        <v>29</v>
      </c>
      <c r="G15" s="21" t="s">
        <v>66</v>
      </c>
      <c r="H15" s="8" t="s">
        <v>353</v>
      </c>
      <c r="I15" s="21" t="s">
        <v>67</v>
      </c>
      <c r="J15" s="19"/>
      <c r="K15" s="19" t="str">
        <f>"232,5"</f>
        <v>232,5</v>
      </c>
      <c r="L15" s="19" t="str">
        <f>"145,7543"</f>
        <v>145,7543</v>
      </c>
      <c r="M15" s="20" t="s">
        <v>26</v>
      </c>
    </row>
    <row r="16" spans="1:13">
      <c r="A16" s="20" t="s">
        <v>181</v>
      </c>
      <c r="B16" s="20" t="s">
        <v>372</v>
      </c>
      <c r="C16" s="20" t="s">
        <v>197</v>
      </c>
      <c r="D16" s="20" t="s">
        <v>198</v>
      </c>
      <c r="E16" s="20" t="s">
        <v>461</v>
      </c>
      <c r="F16" s="20" t="s">
        <v>11</v>
      </c>
      <c r="G16" s="8" t="s">
        <v>46</v>
      </c>
      <c r="H16" s="21" t="s">
        <v>85</v>
      </c>
      <c r="I16" s="8" t="s">
        <v>85</v>
      </c>
      <c r="J16" s="19"/>
      <c r="K16" s="19" t="str">
        <f>"200,0"</f>
        <v>200,0</v>
      </c>
      <c r="L16" s="19" t="str">
        <f>"143,5800"</f>
        <v>143,5800</v>
      </c>
      <c r="M16" s="20" t="s">
        <v>435</v>
      </c>
    </row>
    <row r="17" spans="1:13" ht="16">
      <c r="A17" s="82" t="s">
        <v>468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>
      <c r="A18" s="20" t="s">
        <v>178</v>
      </c>
      <c r="B18" s="20" t="s">
        <v>393</v>
      </c>
      <c r="C18" s="20" t="s">
        <v>149</v>
      </c>
      <c r="D18" s="20" t="s">
        <v>150</v>
      </c>
      <c r="E18" s="20" t="s">
        <v>458</v>
      </c>
      <c r="F18" s="20" t="s">
        <v>118</v>
      </c>
      <c r="G18" s="8" t="s">
        <v>152</v>
      </c>
      <c r="H18" s="8" t="s">
        <v>153</v>
      </c>
      <c r="I18" s="8" t="s">
        <v>154</v>
      </c>
      <c r="J18" s="21" t="s">
        <v>155</v>
      </c>
      <c r="K18" s="19" t="str">
        <f>"355,0"</f>
        <v>355,0</v>
      </c>
      <c r="L18" s="19" t="str">
        <f>"213,1420"</f>
        <v>213,1420</v>
      </c>
      <c r="M18" s="20" t="s">
        <v>26</v>
      </c>
    </row>
    <row r="19" spans="1:13">
      <c r="A19" s="20" t="s">
        <v>180</v>
      </c>
      <c r="B19" s="20" t="s">
        <v>404</v>
      </c>
      <c r="C19" s="20" t="s">
        <v>74</v>
      </c>
      <c r="D19" s="20" t="s">
        <v>75</v>
      </c>
      <c r="E19" s="20" t="s">
        <v>458</v>
      </c>
      <c r="F19" s="20" t="s">
        <v>11</v>
      </c>
      <c r="G19" s="8" t="s">
        <v>80</v>
      </c>
      <c r="H19" s="8" t="s">
        <v>81</v>
      </c>
      <c r="I19" s="21" t="s">
        <v>82</v>
      </c>
      <c r="J19" s="19"/>
      <c r="K19" s="19" t="str">
        <f>"260,0"</f>
        <v>260,0</v>
      </c>
      <c r="L19" s="19" t="str">
        <f>"174,8240"</f>
        <v>174,8240</v>
      </c>
      <c r="M19" s="20" t="s">
        <v>26</v>
      </c>
    </row>
    <row r="20" spans="1:13">
      <c r="A20" s="20" t="s">
        <v>181</v>
      </c>
      <c r="B20" s="20" t="s">
        <v>406</v>
      </c>
      <c r="C20" s="20" t="s">
        <v>100</v>
      </c>
      <c r="D20" s="20" t="s">
        <v>101</v>
      </c>
      <c r="E20" s="20" t="s">
        <v>458</v>
      </c>
      <c r="F20" s="20" t="s">
        <v>102</v>
      </c>
      <c r="G20" s="8" t="s">
        <v>81</v>
      </c>
      <c r="H20" s="8" t="s">
        <v>82</v>
      </c>
      <c r="I20" s="21" t="s">
        <v>104</v>
      </c>
      <c r="J20" s="19"/>
      <c r="K20" s="19" t="str">
        <f>"270,0"</f>
        <v>270,0</v>
      </c>
      <c r="L20" s="19" t="str">
        <f>"174,0690"</f>
        <v>174,0690</v>
      </c>
      <c r="M20" s="20" t="s">
        <v>429</v>
      </c>
    </row>
    <row r="21" spans="1:13">
      <c r="A21" s="20" t="s">
        <v>182</v>
      </c>
      <c r="B21" s="20" t="s">
        <v>412</v>
      </c>
      <c r="C21" s="20" t="s">
        <v>201</v>
      </c>
      <c r="D21" s="20" t="s">
        <v>202</v>
      </c>
      <c r="E21" s="20" t="s">
        <v>458</v>
      </c>
      <c r="F21" s="20" t="s">
        <v>203</v>
      </c>
      <c r="G21" s="21" t="s">
        <v>88</v>
      </c>
      <c r="H21" s="21" t="s">
        <v>103</v>
      </c>
      <c r="I21" s="8" t="s">
        <v>103</v>
      </c>
      <c r="J21" s="19"/>
      <c r="K21" s="19" t="str">
        <f>"275,0"</f>
        <v>275,0</v>
      </c>
      <c r="L21" s="19" t="str">
        <f>"168,7400"</f>
        <v>168,7400</v>
      </c>
      <c r="M21" s="20" t="s">
        <v>26</v>
      </c>
    </row>
    <row r="22" spans="1:13">
      <c r="A22" s="23" t="s">
        <v>183</v>
      </c>
      <c r="B22" s="23" t="s">
        <v>210</v>
      </c>
      <c r="C22" s="23" t="s">
        <v>199</v>
      </c>
      <c r="D22" s="23" t="s">
        <v>200</v>
      </c>
      <c r="E22" s="20" t="s">
        <v>458</v>
      </c>
      <c r="F22" s="23" t="s">
        <v>29</v>
      </c>
      <c r="G22" s="24" t="s">
        <v>81</v>
      </c>
      <c r="H22" s="24" t="s">
        <v>104</v>
      </c>
      <c r="I22" s="25" t="s">
        <v>161</v>
      </c>
      <c r="J22" s="22"/>
      <c r="K22" s="22" t="str">
        <f>"280,0"</f>
        <v>280,0</v>
      </c>
      <c r="L22" s="22" t="str">
        <f>"160,1040"</f>
        <v>160,1040</v>
      </c>
      <c r="M22" s="23" t="s">
        <v>432</v>
      </c>
    </row>
    <row r="23" spans="1:13">
      <c r="A23" s="20" t="s">
        <v>207</v>
      </c>
      <c r="B23" s="20" t="s">
        <v>376</v>
      </c>
      <c r="C23" s="20" t="s">
        <v>354</v>
      </c>
      <c r="D23" s="20" t="s">
        <v>355</v>
      </c>
      <c r="E23" s="20" t="s">
        <v>458</v>
      </c>
      <c r="F23" s="20" t="s">
        <v>11</v>
      </c>
      <c r="G23" s="21" t="s">
        <v>46</v>
      </c>
      <c r="H23" s="8" t="s">
        <v>144</v>
      </c>
      <c r="I23" s="21" t="s">
        <v>73</v>
      </c>
      <c r="J23" s="19"/>
      <c r="K23" s="19" t="str">
        <f>"195,0"</f>
        <v>195,0</v>
      </c>
      <c r="L23" s="19" t="str">
        <f>"133,7700"</f>
        <v>133,7700</v>
      </c>
      <c r="M23" s="20"/>
    </row>
    <row r="24" spans="1:13" ht="16">
      <c r="A24" s="83" t="s">
        <v>468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>
      <c r="A25" s="35" t="s">
        <v>178</v>
      </c>
      <c r="B25" s="35" t="s">
        <v>210</v>
      </c>
      <c r="C25" s="35" t="s">
        <v>211</v>
      </c>
      <c r="D25" s="35" t="s">
        <v>200</v>
      </c>
      <c r="E25" s="35" t="s">
        <v>462</v>
      </c>
      <c r="F25" s="35" t="s">
        <v>29</v>
      </c>
      <c r="G25" s="36" t="s">
        <v>81</v>
      </c>
      <c r="H25" s="36" t="s">
        <v>104</v>
      </c>
      <c r="I25" s="37" t="s">
        <v>161</v>
      </c>
      <c r="J25" s="38"/>
      <c r="K25" s="38" t="str">
        <f>"280,0"</f>
        <v>280,0</v>
      </c>
      <c r="L25" s="38" t="str">
        <f>"169,7102"</f>
        <v>169,7102</v>
      </c>
      <c r="M25" s="35" t="s">
        <v>432</v>
      </c>
    </row>
    <row r="26" spans="1:13" ht="16">
      <c r="A26" s="83" t="s">
        <v>468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>
      <c r="A27" s="35" t="s">
        <v>178</v>
      </c>
      <c r="B27" s="35" t="s">
        <v>331</v>
      </c>
      <c r="C27" s="35" t="s">
        <v>214</v>
      </c>
      <c r="D27" s="35" t="s">
        <v>215</v>
      </c>
      <c r="E27" s="35" t="s">
        <v>464</v>
      </c>
      <c r="F27" s="35" t="s">
        <v>118</v>
      </c>
      <c r="G27" s="36" t="s">
        <v>127</v>
      </c>
      <c r="H27" s="36" t="s">
        <v>44</v>
      </c>
      <c r="I27" s="37" t="s">
        <v>144</v>
      </c>
      <c r="J27" s="38"/>
      <c r="K27" s="38" t="str">
        <f>"180,0"</f>
        <v>180,0</v>
      </c>
      <c r="L27" s="38" t="str">
        <f>"183,4149"</f>
        <v>183,4149</v>
      </c>
      <c r="M27" s="35" t="s">
        <v>437</v>
      </c>
    </row>
    <row r="36" spans="3:6" ht="18">
      <c r="C36" s="29"/>
      <c r="D36" s="29"/>
    </row>
    <row r="37" spans="3:6" ht="16">
      <c r="C37" s="31"/>
      <c r="D37" s="31"/>
    </row>
    <row r="38" spans="3:6" ht="14">
      <c r="C38" s="33"/>
      <c r="D38" s="33"/>
    </row>
    <row r="39" spans="3:6" ht="14">
      <c r="C39" s="17"/>
      <c r="D39" s="17"/>
      <c r="E39" s="17"/>
      <c r="F39" s="17"/>
    </row>
    <row r="40" spans="3:6">
      <c r="E40" s="26"/>
      <c r="F40" s="26"/>
    </row>
    <row r="42" spans="3:6" ht="14">
      <c r="C42" s="33"/>
      <c r="D42" s="33"/>
    </row>
    <row r="43" spans="3:6" ht="14">
      <c r="C43" s="17"/>
      <c r="D43" s="17"/>
      <c r="E43" s="17"/>
      <c r="F43" s="17"/>
    </row>
    <row r="44" spans="3:6">
      <c r="E44" s="26"/>
      <c r="F44" s="26"/>
    </row>
    <row r="45" spans="3:6">
      <c r="E45" s="26"/>
      <c r="F45" s="26"/>
    </row>
    <row r="48" spans="3:6" ht="16">
      <c r="C48" s="31"/>
      <c r="D48" s="31"/>
    </row>
    <row r="49" spans="3:6" ht="14">
      <c r="C49" s="33"/>
      <c r="D49" s="33"/>
    </row>
    <row r="50" spans="3:6" ht="14">
      <c r="C50" s="17"/>
      <c r="D50" s="17"/>
      <c r="E50" s="17"/>
      <c r="F50" s="17"/>
    </row>
    <row r="51" spans="3:6">
      <c r="E51" s="26"/>
      <c r="F51" s="26"/>
    </row>
    <row r="52" spans="3:6">
      <c r="E52" s="26"/>
      <c r="F52" s="26"/>
    </row>
    <row r="54" spans="3:6" ht="14">
      <c r="C54" s="33"/>
      <c r="D54" s="33"/>
    </row>
    <row r="55" spans="3:6" ht="14">
      <c r="C55" s="17"/>
      <c r="D55" s="17"/>
      <c r="E55" s="17"/>
      <c r="F55" s="17"/>
    </row>
    <row r="56" spans="3:6">
      <c r="E56" s="26"/>
      <c r="F56" s="26"/>
    </row>
    <row r="57" spans="3:6">
      <c r="E57" s="26"/>
      <c r="F57" s="26"/>
    </row>
    <row r="58" spans="3:6">
      <c r="E58" s="26"/>
      <c r="F58" s="26"/>
    </row>
    <row r="60" spans="3:6" ht="14">
      <c r="C60" s="33"/>
      <c r="D60" s="33"/>
    </row>
    <row r="61" spans="3:6" ht="14">
      <c r="C61" s="17"/>
      <c r="D61" s="17"/>
      <c r="E61" s="17"/>
      <c r="F61" s="17"/>
    </row>
    <row r="62" spans="3:6">
      <c r="E62" s="26"/>
      <c r="F62" s="26"/>
    </row>
    <row r="63" spans="3:6">
      <c r="E63" s="26"/>
      <c r="F63" s="26"/>
    </row>
    <row r="64" spans="3:6">
      <c r="E64" s="26"/>
      <c r="F64" s="26"/>
    </row>
    <row r="66" spans="3:6" ht="14">
      <c r="C66" s="33"/>
      <c r="D66" s="33"/>
    </row>
    <row r="67" spans="3:6" ht="14">
      <c r="C67" s="17"/>
      <c r="D67" s="17"/>
      <c r="E67" s="17"/>
      <c r="F67" s="17"/>
    </row>
    <row r="68" spans="3:6">
      <c r="E68" s="26"/>
      <c r="F68" s="26"/>
    </row>
    <row r="69" spans="3:6">
      <c r="E69" s="26"/>
      <c r="F69" s="26"/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17:M17"/>
    <mergeCell ref="A24:M24"/>
    <mergeCell ref="A26:M26"/>
    <mergeCell ref="L3:L4"/>
    <mergeCell ref="M3:M4"/>
    <mergeCell ref="A5:M5"/>
    <mergeCell ref="A7:M7"/>
    <mergeCell ref="A10:M10"/>
    <mergeCell ref="A13:M1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PL</vt:lpstr>
      <vt:lpstr>PP</vt:lpstr>
      <vt:lpstr>BP Raw</vt:lpstr>
      <vt:lpstr>BP Soft Eq</vt:lpstr>
      <vt:lpstr>DL 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2020-11-17T15:14:41Z</dcterms:modified>
</cp:coreProperties>
</file>