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Ноябрь/"/>
    </mc:Choice>
  </mc:AlternateContent>
  <xr:revisionPtr revIDLastSave="0" documentId="13_ncr:1_{16DB7E47-1E3C-B44D-A150-FF28B448E096}" xr6:coauthVersionLast="45" xr6:coauthVersionMax="45" xr10:uidLastSave="{00000000-0000-0000-0000-000000000000}"/>
  <bookViews>
    <workbookView xWindow="0" yWindow="460" windowWidth="28620" windowHeight="15240" firstSheet="14" activeTab="20" xr2:uid="{00000000-000D-0000-FFFF-FFFF00000000}"/>
  </bookViews>
  <sheets>
    <sheet name="WRPF ПЛ без экипировки ДК" sheetId="6" r:id="rId1"/>
    <sheet name="WRPF ПЛ без экипировки" sheetId="5" r:id="rId2"/>
    <sheet name="WRPF Двоеборье без экип ДК" sheetId="17" r:id="rId3"/>
    <sheet name="WRPF Двоеборье без экип" sheetId="16" r:id="rId4"/>
    <sheet name="WRPF Присед бэ ДК" sheetId="15" r:id="rId5"/>
    <sheet name="WRPF Жим лежа без экип ДК" sheetId="9" r:id="rId6"/>
    <sheet name="WRPF Жим лежа без экип" sheetId="8" r:id="rId7"/>
    <sheet name="WEPF Жим софт однопетельная ДК" sheetId="10" r:id="rId8"/>
    <sheet name="WEPF Жим софт однопетельная" sheetId="7" r:id="rId9"/>
    <sheet name="WEPF Жим софт многопетельнаяДК" sheetId="11" r:id="rId10"/>
    <sheet name="WRPF Тяга без экипировки ДК" sheetId="13" r:id="rId11"/>
    <sheet name="WRPF Тяга без экипировки" sheetId="12" r:id="rId12"/>
    <sheet name="WRPF Подъем на бицепс ДК" sheetId="31" r:id="rId13"/>
    <sheet name="WRPF Подъем на бицепс" sheetId="29" r:id="rId14"/>
    <sheet name="WRPF Экст.подъем на бицепс ДК" sheetId="32" r:id="rId15"/>
    <sheet name="WRPF Экст. подъем на бицепс" sheetId="30" r:id="rId16"/>
    <sheet name="СПР Пауэрспорт ДК" sheetId="44" r:id="rId17"/>
    <sheet name="СПР Жим стоя ДК" sheetId="41" r:id="rId18"/>
    <sheet name="СПР Жим стоя" sheetId="40" r:id="rId19"/>
    <sheet name="СПР Подъем на бицепс ДК" sheetId="43" r:id="rId20"/>
    <sheet name="СПР Подъем на бицепс" sheetId="42" r:id="rId21"/>
  </sheets>
  <definedNames>
    <definedName name="_FilterDatabase" localSheetId="1" hidden="1">'WRPF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44" l="1"/>
  <c r="O6" i="44"/>
  <c r="L6" i="43"/>
  <c r="K6" i="43"/>
  <c r="L6" i="42"/>
  <c r="K6" i="42"/>
  <c r="L9" i="41"/>
  <c r="K9" i="41"/>
  <c r="L6" i="41"/>
  <c r="K6" i="41"/>
  <c r="L6" i="40"/>
  <c r="K6" i="40"/>
  <c r="L17" i="32"/>
  <c r="K17" i="32"/>
  <c r="L14" i="32"/>
  <c r="K14" i="32"/>
  <c r="L13" i="32"/>
  <c r="K13" i="32"/>
  <c r="L10" i="32"/>
  <c r="K10" i="32"/>
  <c r="L7" i="32"/>
  <c r="K7" i="32"/>
  <c r="L6" i="32"/>
  <c r="K6" i="32"/>
  <c r="L22" i="31"/>
  <c r="K22" i="31"/>
  <c r="L19" i="31"/>
  <c r="K19" i="31"/>
  <c r="L16" i="31"/>
  <c r="K16" i="31"/>
  <c r="L15" i="31"/>
  <c r="K15" i="31"/>
  <c r="L14" i="31"/>
  <c r="K14" i="31"/>
  <c r="L11" i="31"/>
  <c r="K11" i="31"/>
  <c r="L10" i="31"/>
  <c r="K10" i="31"/>
  <c r="L9" i="31"/>
  <c r="K9" i="31"/>
  <c r="L6" i="31"/>
  <c r="K6" i="31"/>
  <c r="L13" i="30"/>
  <c r="K13" i="30"/>
  <c r="L10" i="30"/>
  <c r="K10" i="30"/>
  <c r="L9" i="30"/>
  <c r="K9" i="30"/>
  <c r="L6" i="30"/>
  <c r="K6" i="30"/>
  <c r="L6" i="29"/>
  <c r="K6" i="29"/>
  <c r="P9" i="17"/>
  <c r="O9" i="17"/>
  <c r="P6" i="17"/>
  <c r="O6" i="17"/>
  <c r="P12" i="16"/>
  <c r="O12" i="16"/>
  <c r="P9" i="16"/>
  <c r="O9" i="16"/>
  <c r="P6" i="16"/>
  <c r="O6" i="16"/>
  <c r="L6" i="15"/>
  <c r="K6" i="15"/>
  <c r="L9" i="13"/>
  <c r="K9" i="13"/>
  <c r="L6" i="13"/>
  <c r="K6" i="13"/>
  <c r="L9" i="12"/>
  <c r="K9" i="12"/>
  <c r="L6" i="12"/>
  <c r="K6" i="12"/>
  <c r="L6" i="11"/>
  <c r="K6" i="11"/>
  <c r="L9" i="10"/>
  <c r="K9" i="10"/>
  <c r="L6" i="10"/>
  <c r="K6" i="10"/>
  <c r="L15" i="9"/>
  <c r="K15" i="9"/>
  <c r="L12" i="9"/>
  <c r="K12" i="9"/>
  <c r="L9" i="9"/>
  <c r="L6" i="9"/>
  <c r="K6" i="9"/>
  <c r="L24" i="8"/>
  <c r="L21" i="8"/>
  <c r="K21" i="8"/>
  <c r="L18" i="8"/>
  <c r="K18" i="8"/>
  <c r="L15" i="8"/>
  <c r="K15" i="8"/>
  <c r="L12" i="8"/>
  <c r="K12" i="8"/>
  <c r="L9" i="8"/>
  <c r="K9" i="8"/>
  <c r="L6" i="8"/>
  <c r="K6" i="8"/>
  <c r="L6" i="7"/>
  <c r="K6" i="7"/>
  <c r="T19" i="6"/>
  <c r="S19" i="6"/>
  <c r="T16" i="6"/>
  <c r="S16" i="6"/>
  <c r="T15" i="6"/>
  <c r="S15" i="6"/>
  <c r="T12" i="6"/>
  <c r="S12" i="6"/>
  <c r="T9" i="6"/>
  <c r="S9" i="6"/>
  <c r="T6" i="6"/>
  <c r="T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<sst xmlns="http://schemas.openxmlformats.org/spreadsheetml/2006/main" count="1021" uniqueCount="308">
  <si>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</si>
  <si>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</si>
  <si>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</si>
  <si>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</si>
  <si>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</si>
  <si>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</si>
  <si>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</si>
  <si>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Wilks</t>
  </si>
  <si>
    <t>Приседание</t>
  </si>
  <si>
    <t>Жим лёжа</t>
  </si>
  <si>
    <t>Становая тяга</t>
  </si>
  <si>
    <t>ВЕСОВАЯ КАТЕГОРИЯ   52</t>
  </si>
  <si>
    <t>Девушки 17-19 (21.05.2007)/17</t>
  </si>
  <si>
    <t>52,00</t>
  </si>
  <si>
    <t>65,0</t>
  </si>
  <si>
    <t>67,5</t>
  </si>
  <si>
    <t>35,0</t>
  </si>
  <si>
    <t>37,5</t>
  </si>
  <si>
    <t>40,0</t>
  </si>
  <si>
    <t>60,0</t>
  </si>
  <si>
    <t>70,0</t>
  </si>
  <si>
    <t>80,0</t>
  </si>
  <si>
    <t>ВЕСОВАЯ КАТЕГОРИЯ   90</t>
  </si>
  <si>
    <t>Мастера 50-59 (28.04.1971)/53</t>
  </si>
  <si>
    <t>84,60</t>
  </si>
  <si>
    <t>130,0</t>
  </si>
  <si>
    <t>135,0</t>
  </si>
  <si>
    <t>75,0</t>
  </si>
  <si>
    <t>82,5</t>
  </si>
  <si>
    <t>155,0</t>
  </si>
  <si>
    <t>162,5</t>
  </si>
  <si>
    <t>167,5</t>
  </si>
  <si>
    <t xml:space="preserve">Дубов Алексей </t>
  </si>
  <si>
    <t>ВЕСОВАЯ КАТЕГОРИЯ   75</t>
  </si>
  <si>
    <t>Юноши 14-16 (12.01.2010)/14</t>
  </si>
  <si>
    <t>73,50</t>
  </si>
  <si>
    <t>85,0</t>
  </si>
  <si>
    <t>90,0</t>
  </si>
  <si>
    <t>95,0</t>
  </si>
  <si>
    <t>55,0</t>
  </si>
  <si>
    <t>57,5</t>
  </si>
  <si>
    <t>100,0</t>
  </si>
  <si>
    <t xml:space="preserve">Патрин Владимир </t>
  </si>
  <si>
    <t>Юноши 14-16 (09.11.2008)/16</t>
  </si>
  <si>
    <t>83,80</t>
  </si>
  <si>
    <t>117,5</t>
  </si>
  <si>
    <t>122,5</t>
  </si>
  <si>
    <t>127,5</t>
  </si>
  <si>
    <t>120,0</t>
  </si>
  <si>
    <t xml:space="preserve">Абсолютный зачёт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</si>
  <si>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</si>
  <si>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</si>
  <si>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</si>
  <si>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</si>
  <si>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Юноши 17-19 </t>
  </si>
  <si>
    <t>90</t>
  </si>
  <si>
    <t xml:space="preserve">Мужчины </t>
  </si>
  <si>
    <t xml:space="preserve">Юноши 14-16 </t>
  </si>
  <si>
    <t>75</t>
  </si>
  <si>
    <t>1</t>
  </si>
  <si>
    <t>Кочергина Екатерина</t>
  </si>
  <si>
    <t>Абрамова Надежда</t>
  </si>
  <si>
    <t>Камаев Егор</t>
  </si>
  <si>
    <t>-</t>
  </si>
  <si>
    <t>Чурсанов Григорий</t>
  </si>
  <si>
    <t>ВЕСОВАЯ КАТЕГОРИЯ   48</t>
  </si>
  <si>
    <t>Открытая (25.08.1991)/33</t>
  </si>
  <si>
    <t>47,40</t>
  </si>
  <si>
    <t>50,0</t>
  </si>
  <si>
    <t>Девушки 17-19 (14.09.2006)/18</t>
  </si>
  <si>
    <t>72,30</t>
  </si>
  <si>
    <t>92,5</t>
  </si>
  <si>
    <t>45,0</t>
  </si>
  <si>
    <t>47,5</t>
  </si>
  <si>
    <t>110,0</t>
  </si>
  <si>
    <t xml:space="preserve">Логинов Александр </t>
  </si>
  <si>
    <t>ВЕСОВАЯ КАТЕГОРИЯ   82.5</t>
  </si>
  <si>
    <t>Открытая (10.02.1987)/37</t>
  </si>
  <si>
    <t>76,00</t>
  </si>
  <si>
    <t>102,5</t>
  </si>
  <si>
    <t>107,5</t>
  </si>
  <si>
    <t xml:space="preserve">Шарафиев Наиль </t>
  </si>
  <si>
    <t>Открытая (27.08.1984)/40</t>
  </si>
  <si>
    <t>82,50</t>
  </si>
  <si>
    <t>160,0</t>
  </si>
  <si>
    <t>175,0</t>
  </si>
  <si>
    <t>190,0</t>
  </si>
  <si>
    <t>115,0</t>
  </si>
  <si>
    <t>125,0</t>
  </si>
  <si>
    <t>205,0</t>
  </si>
  <si>
    <t>225,0</t>
  </si>
  <si>
    <t>260,0</t>
  </si>
  <si>
    <t xml:space="preserve">Маркелов Максим </t>
  </si>
  <si>
    <t>Открытая (10.07.1994)/30</t>
  </si>
  <si>
    <t>78,00</t>
  </si>
  <si>
    <t>165,0</t>
  </si>
  <si>
    <t>185,0</t>
  </si>
  <si>
    <t>180,0</t>
  </si>
  <si>
    <t>200,0</t>
  </si>
  <si>
    <t>ВЕСОВАЯ КАТЕГОРИЯ   100</t>
  </si>
  <si>
    <t xml:space="preserve">Гайдаржи Егор </t>
  </si>
  <si>
    <t>Юноши 14-16 (18.01.2008)/16</t>
  </si>
  <si>
    <t>98,50</t>
  </si>
  <si>
    <t>105,0</t>
  </si>
  <si>
    <t>140,0</t>
  </si>
  <si>
    <t xml:space="preserve">Лагутин Евгений </t>
  </si>
  <si>
    <t xml:space="preserve">Открытая </t>
  </si>
  <si>
    <t>82.5</t>
  </si>
  <si>
    <t>100</t>
  </si>
  <si>
    <t>Минеева Лейсан</t>
  </si>
  <si>
    <t>Силанина Елизавета</t>
  </si>
  <si>
    <t>Баденко Эльвира</t>
  </si>
  <si>
    <t>Шарафиев Наиль</t>
  </si>
  <si>
    <t>2</t>
  </si>
  <si>
    <t>Маркелов Максим</t>
  </si>
  <si>
    <t>Гайдаржи Егор</t>
  </si>
  <si>
    <t>ВЕСОВАЯ КАТЕГОРИЯ   125</t>
  </si>
  <si>
    <t>Открытая (22.03.1990)/34</t>
  </si>
  <si>
    <t>123,50</t>
  </si>
  <si>
    <t>267,5</t>
  </si>
  <si>
    <t>285,5</t>
  </si>
  <si>
    <t>290,0</t>
  </si>
  <si>
    <t xml:space="preserve">Результат </t>
  </si>
  <si>
    <t xml:space="preserve">Gloss </t>
  </si>
  <si>
    <t>Результат</t>
  </si>
  <si>
    <t>Бакунц Гагик</t>
  </si>
  <si>
    <t>Мастера 50-59 (27.09.1970)/54</t>
  </si>
  <si>
    <t>87,40</t>
  </si>
  <si>
    <t>87,5</t>
  </si>
  <si>
    <t>97,5</t>
  </si>
  <si>
    <t>ВЕСОВАЯ КАТЕГОРИЯ   60</t>
  </si>
  <si>
    <t xml:space="preserve">Угарин Артём </t>
  </si>
  <si>
    <t>Юноши 17-19 (23.01.2005)/19</t>
  </si>
  <si>
    <t>59,60</t>
  </si>
  <si>
    <t xml:space="preserve">Гарифуллов Рафаэль </t>
  </si>
  <si>
    <t>Открытая (03.01.1995)/29</t>
  </si>
  <si>
    <t>71,00</t>
  </si>
  <si>
    <t>132,5</t>
  </si>
  <si>
    <t>Юноши 14-16 (18.06.2008)/16</t>
  </si>
  <si>
    <t>87,90</t>
  </si>
  <si>
    <t>ВЕСОВАЯ КАТЕГОРИЯ   110</t>
  </si>
  <si>
    <t xml:space="preserve">Мухортов Дмитрий </t>
  </si>
  <si>
    <t>Открытая (01.02.1987)/37</t>
  </si>
  <si>
    <t>110,00</t>
  </si>
  <si>
    <t>170,0</t>
  </si>
  <si>
    <t>Открытая (25.02.1992)/32</t>
  </si>
  <si>
    <t>120,20</t>
  </si>
  <si>
    <t>235,0</t>
  </si>
  <si>
    <t>60</t>
  </si>
  <si>
    <t>110</t>
  </si>
  <si>
    <t>Чернева Марина</t>
  </si>
  <si>
    <t>Угарин Артём</t>
  </si>
  <si>
    <t>Гарифуллов Рафаэль</t>
  </si>
  <si>
    <t>Рыбаков Георгий</t>
  </si>
  <si>
    <t>Мухортов Дмитрий</t>
  </si>
  <si>
    <t>Рыжиков Федор</t>
  </si>
  <si>
    <t>74,00</t>
  </si>
  <si>
    <t>Юноши 14-16 (25.08.2012)/12</t>
  </si>
  <si>
    <t>41,40</t>
  </si>
  <si>
    <t>42,5</t>
  </si>
  <si>
    <t>Открытая (18.11.1989)/34</t>
  </si>
  <si>
    <t>98,20</t>
  </si>
  <si>
    <t>150,0</t>
  </si>
  <si>
    <t>Юниоры (15.08.2002)/22</t>
  </si>
  <si>
    <t>124,00</t>
  </si>
  <si>
    <t>Мерзляков Александр</t>
  </si>
  <si>
    <t>Чадаев Александр</t>
  </si>
  <si>
    <t>Борунов Матвей</t>
  </si>
  <si>
    <t>Мастера 40-49 (13.08.1982)/42</t>
  </si>
  <si>
    <t>101,20</t>
  </si>
  <si>
    <t>Гераймас Александр</t>
  </si>
  <si>
    <t>230,0</t>
  </si>
  <si>
    <t>262,5</t>
  </si>
  <si>
    <t>Мастера 50-59 (01.11.1965)/59</t>
  </si>
  <si>
    <t>104,40</t>
  </si>
  <si>
    <t>Новлянский Виктор</t>
  </si>
  <si>
    <t>ВЕСОВАЯ КАТЕГОРИЯ   56</t>
  </si>
  <si>
    <t>Девушки 17-19 (14.06.2005)/19</t>
  </si>
  <si>
    <t>54,60</t>
  </si>
  <si>
    <t>Верховинская Наталья</t>
  </si>
  <si>
    <t>ВЕСОВАЯ КАТЕГОРИЯ   90+</t>
  </si>
  <si>
    <t>Мастера 40-49 (08.05.1983)/41</t>
  </si>
  <si>
    <t>97,00</t>
  </si>
  <si>
    <t>30,0</t>
  </si>
  <si>
    <t>ВЕСОВАЯ КАТЕГОРИЯ   67.5</t>
  </si>
  <si>
    <t>Юноши 14-16 (11.07.2008)/16</t>
  </si>
  <si>
    <t>66,00</t>
  </si>
  <si>
    <t>77,5</t>
  </si>
  <si>
    <t>153,0</t>
  </si>
  <si>
    <t>67.5</t>
  </si>
  <si>
    <t>Акимова Ольга</t>
  </si>
  <si>
    <t>Лукашов Богдан</t>
  </si>
  <si>
    <t xml:space="preserve">Репин Дмитрий </t>
  </si>
  <si>
    <t>Открытая (26.04.1987)/37</t>
  </si>
  <si>
    <t>109,40</t>
  </si>
  <si>
    <t>20,0</t>
  </si>
  <si>
    <t>22,5</t>
  </si>
  <si>
    <t>Репин Дмитрий</t>
  </si>
  <si>
    <t>Открытая (01.12.1992)/31</t>
  </si>
  <si>
    <t>100,00</t>
  </si>
  <si>
    <t>Ахтямова Алиса</t>
  </si>
  <si>
    <t>95,00</t>
  </si>
  <si>
    <t>Дубов Алексей</t>
  </si>
  <si>
    <t>Ошков Сергей</t>
  </si>
  <si>
    <t>27,5</t>
  </si>
  <si>
    <t xml:space="preserve">Сабирзянов Тимур </t>
  </si>
  <si>
    <t>66,90</t>
  </si>
  <si>
    <t>Открытая (12.05.2003)/21</t>
  </si>
  <si>
    <t>Мастера 60+ (18.04.1963)/61</t>
  </si>
  <si>
    <t>78,5</t>
  </si>
  <si>
    <t>Сабирзянов Тимур</t>
  </si>
  <si>
    <t>Открытая (15.09.1990)/34</t>
  </si>
  <si>
    <t>47,90</t>
  </si>
  <si>
    <t>25,0</t>
  </si>
  <si>
    <t>72,70</t>
  </si>
  <si>
    <t>74,40</t>
  </si>
  <si>
    <t xml:space="preserve">Мелконян Левон </t>
  </si>
  <si>
    <t>Открытая (01.09.1990)/34</t>
  </si>
  <si>
    <t>69,40</t>
  </si>
  <si>
    <t xml:space="preserve">Ошков Александр </t>
  </si>
  <si>
    <t>81,10</t>
  </si>
  <si>
    <t>62,5</t>
  </si>
  <si>
    <t>Открытая (11.01.1992)/32</t>
  </si>
  <si>
    <t>81,80</t>
  </si>
  <si>
    <t xml:space="preserve">Падьянов Лев </t>
  </si>
  <si>
    <t>Открытая (21.11.2003)/20</t>
  </si>
  <si>
    <t>89,40</t>
  </si>
  <si>
    <t>Нестерова Татьяна</t>
  </si>
  <si>
    <t>Мухамедов Руслан</t>
  </si>
  <si>
    <t>Мингараев Линар</t>
  </si>
  <si>
    <t>Мелконян Левон</t>
  </si>
  <si>
    <t>Ошков Александр</t>
  </si>
  <si>
    <t>Топчий Сергей</t>
  </si>
  <si>
    <t>Падьянов Лев</t>
  </si>
  <si>
    <t>72,5</t>
  </si>
  <si>
    <t xml:space="preserve">Автономов Евгений </t>
  </si>
  <si>
    <t>91,90</t>
  </si>
  <si>
    <t>Автономов Евгений</t>
  </si>
  <si>
    <t>Жим стоя</t>
  </si>
  <si>
    <t>93,80</t>
  </si>
  <si>
    <t>Борисов Дмитрий</t>
  </si>
  <si>
    <t>89,70</t>
  </si>
  <si>
    <t>64,40</t>
  </si>
  <si>
    <t>52,5</t>
  </si>
  <si>
    <t>Долгов Артём</t>
  </si>
  <si>
    <t>Открытая (01.07.1987)/37</t>
  </si>
  <si>
    <t>77,30</t>
  </si>
  <si>
    <t>Чернышев Олег</t>
  </si>
  <si>
    <t xml:space="preserve">Cамостоятельно </t>
  </si>
  <si>
    <t>Мироненко Александр</t>
  </si>
  <si>
    <t>Весовая категория</t>
  </si>
  <si>
    <t>Всероссийский турнир «Битва Титанов»
WRPF Пауэрлифтинг без экипировки ДК
Димитровград/Ульяновская область, 09 ноября 2024 года</t>
  </si>
  <si>
    <t>Всероссийский турнир «Битва Титанов»
WRPF Пауэрлифтинг без экипировки
Димитровград/Ульяновская область, 09 ноября 2024 года</t>
  </si>
  <si>
    <t>Всероссийский турнир «Битва Титанов»
WRPF Силовое двоеборье без экипировки ДК
Димитровград/Ульяновская область, 09 ноября 2024 года</t>
  </si>
  <si>
    <t>Всероссийский турнир «Битва Титанов»
WRPF Силовое двоеборье без экипировки
Димитровград/Ульяновская область, 09 ноября 2024 года</t>
  </si>
  <si>
    <t>Всероссийский турнир «Битва Титанов»
WRPF Присед без экипировки ДК
Димитровград/Ульяновская область, 09 ноября 2024 года</t>
  </si>
  <si>
    <t>Всероссийский турнир «Битва Титанов»
WRPF Жим лежа без экипировки ДК
Димитровград/Ульяновская область, 09 ноября 2024 года</t>
  </si>
  <si>
    <t>Всероссийский турнир «Битва Титанов»
WRPF Жим лежа без экипировки
Димитровград/Ульяновская область, 09 ноября 2024 года</t>
  </si>
  <si>
    <t>Всероссийский турнир «Битва Титанов»
WEPF Жим лежа в однопетельной софт экипировке ДК
Димитровград/Ульяновская область, 09 ноября 2024 года</t>
  </si>
  <si>
    <t>Всероссийский турнир «Битва Титанов»
WEPF Жим лежа в однопетельной софт экипировке
Димитровград/Ульяновская область, 09 ноября 2024 года</t>
  </si>
  <si>
    <t>Всероссийский турнир «Битва Титанов»
WEPF Жим лежа в многопетельной софт экипировке ДК
Димитровград/Ульяновская область, 09 ноября 2024 года</t>
  </si>
  <si>
    <t>Всероссийский турнир «Битва Титанов»
WRPF Строгий подъем штанги на бицепс ДК
Димитровград/Ульяновская область, 09 ноября 2024 года</t>
  </si>
  <si>
    <t>Всероссийский турнир «Битва Титанов»
WRPF Становая тяга без экипировки ДК
Димитровград/Ульяновская область, 09 ноября 2024 года</t>
  </si>
  <si>
    <t>Всероссийский турнир «Битва Титанов»
WRPF Становая тяга без экипировки
Димитровград/Ульяновская область, 09 ноября 2024 года</t>
  </si>
  <si>
    <t>Всероссийский турнир «Битва Титанов»
WRPF Экстремальный подъем штанги на бицепс
Димитровград/Ульяновская область, 09 ноября 2024 года</t>
  </si>
  <si>
    <t>Всероссийский турнир «Битва Титанов»
WRPF Строгий подъем штанги на бицепс
Димитровград/Ульяновская область, 09 ноября 2024 года</t>
  </si>
  <si>
    <t>Всероссийский турнир «Битва Титанов»
WRPF Экстремальный подъем штанги на бицепс ДК
Димитровград/Ульяновская область, 09 ноября 2024 года</t>
  </si>
  <si>
    <t>Всероссийский турнир «Битва Титанов»
СПР Пауэрспорт ДК
Димитровград/Ульяновская область, 09 ноября 2024 года</t>
  </si>
  <si>
    <t>Всероссийский турнир «Битва Титанов»
СПР Жим штанги стоя ДК
Димитровград/Ульяновская область, 09 ноября 2024 года</t>
  </si>
  <si>
    <t>Всероссийский турнир «Битва Титанов»
СПР Жим штанги стоя
Димитровград/Ульяновская область, 09 ноября 2024 года</t>
  </si>
  <si>
    <t>Всероссийский турнир «Битва Титанов»
СПР Строгий подъем штанги на бицепс ДК
Димитровград/Ульяновская область, 09 ноября 2024 года</t>
  </si>
  <si>
    <t>Всероссийский турнир «Битва Титанов»
СПР Строгий подъем штанги на бицепс
Димитровград/Ульяновская область, 09 ноября 2024 года</t>
  </si>
  <si>
    <t>Юноши 13-19 (18.01.2008)/16</t>
  </si>
  <si>
    <t>Юноши 13-19 (23.01.2005)/19</t>
  </si>
  <si>
    <t>Юноши 13-19 (25.08.2006)/18</t>
  </si>
  <si>
    <t>Юноши 13-19 (26.02.2008)/16</t>
  </si>
  <si>
    <t>Юниоры 20-23 (26.11.2003)/20</t>
  </si>
  <si>
    <t xml:space="preserve">Юниоры 20-23 </t>
  </si>
  <si>
    <t>Юниоры 20-23 (12.05.2003)/21</t>
  </si>
  <si>
    <t>Мастера 40-49 (19.08.1979)/45</t>
  </si>
  <si>
    <t xml:space="preserve">Мастера 40-49 </t>
  </si>
  <si>
    <t>Мастера 40-49 (04.05.1977)/47</t>
  </si>
  <si>
    <t>Юноши 13-19 (09.11.2007)/17</t>
  </si>
  <si>
    <t>Юноши 13-19 (18.06.2008)/16</t>
  </si>
  <si>
    <t>жим</t>
  </si>
  <si>
    <t>Республика Татарстан, Набережные Челны</t>
  </si>
  <si>
    <t>Ульяновская область, Ульяновск</t>
  </si>
  <si>
    <t>Республика Татарстан, Казань</t>
  </si>
  <si>
    <t>Ульяновская область, Димитровград</t>
  </si>
  <si>
    <t>Самарская область, Челно-Вершины</t>
  </si>
  <si>
    <t>Самарская область, Самара</t>
  </si>
  <si>
    <t>Самарская область, Тольятти</t>
  </si>
  <si>
    <t>Ульяновская область, Новая Майна</t>
  </si>
  <si>
    <t>Республика Марий Эл, Волжск</t>
  </si>
  <si>
    <t>Чувашская Республика, Чебоксары</t>
  </si>
  <si>
    <t xml:space="preserve">Самарская область, Самара </t>
  </si>
  <si>
    <t>№</t>
  </si>
  <si>
    <t>тяга</t>
  </si>
  <si>
    <t xml:space="preserve">
Дата рождения/Возраст</t>
  </si>
  <si>
    <t>Возрастная группа</t>
  </si>
  <si>
    <t>O</t>
  </si>
  <si>
    <t>T2</t>
  </si>
  <si>
    <t>T1</t>
  </si>
  <si>
    <t>M2</t>
  </si>
  <si>
    <t>M1</t>
  </si>
  <si>
    <t>J</t>
  </si>
  <si>
    <t>T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</si>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</sst>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U28"/>
  <sheetViews>
    <sheetView workbookViewId="0">
      <selection activeCell="E20" sqref="E20"/>
    </sheetView>
  </sheetViews>
  <sheetFormatPr baseColWidth="10" defaultColWidth="9.1640625" defaultRowHeight="13"/>
  <cols>
    <col min="1" max="1" width="7.33203125" style="5" bestFit="1" customWidth="1"/>
    <col min="2" max="2" width="19.33203125" style="5" bestFit="1" customWidth="1"/>
    <col min="3" max="3" width="27.83203125" style="5" customWidth="1"/>
    <col min="4" max="4" width="17.6640625" style="5" customWidth="1"/>
    <col min="5" max="5" width="10.1640625" style="10" bestFit="1" customWidth="1"/>
    <col min="6" max="6" width="42.83203125" style="5" bestFit="1" customWidth="1"/>
    <col min="7" max="9" width="5.6640625" style="17" bestFit="1" customWidth="1"/>
    <col min="10" max="10" width="4.33203125" style="17" bestFit="1" customWidth="1"/>
    <col min="11" max="13" width="5.6640625" style="17" bestFit="1" customWidth="1"/>
    <col min="14" max="14" width="4.33203125" style="17" bestFit="1" customWidth="1"/>
    <col min="15" max="17" width="5.6640625" style="17" bestFit="1" customWidth="1"/>
    <col min="18" max="18" width="4.33203125" style="17" bestFit="1" customWidth="1"/>
    <col min="19" max="19" width="7.1640625" style="18" bestFit="1" customWidth="1"/>
    <col min="20" max="20" width="8.6640625" style="6" bestFit="1" customWidth="1"/>
    <col min="21" max="21" width="18.33203125" style="5" bestFit="1" customWidth="1"/>
    <col min="22" max="16384" width="9.1640625" style="3"/>
  </cols>
  <sheetData>
    <row r="1" spans="1:21" s="2" customFormat="1" ht="29" customHeight="1">
      <c r="A1" s="55" t="s">
        <v>251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8</v>
      </c>
      <c r="H3" s="67"/>
      <c r="I3" s="67"/>
      <c r="J3" s="67"/>
      <c r="K3" s="67" t="s">
        <v>9</v>
      </c>
      <c r="L3" s="67"/>
      <c r="M3" s="67"/>
      <c r="N3" s="67"/>
      <c r="O3" s="67" t="s">
        <v>10</v>
      </c>
      <c r="P3" s="67"/>
      <c r="Q3" s="67"/>
      <c r="R3" s="67"/>
      <c r="S3" s="47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50"/>
      <c r="U4" s="52"/>
    </row>
    <row r="5" spans="1:21" ht="16">
      <c r="A5" s="53" t="s">
        <v>65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21" t="s">
        <v>63</v>
      </c>
      <c r="B6" s="7" t="s">
        <v>109</v>
      </c>
      <c r="C6" s="7" t="s">
        <v>66</v>
      </c>
      <c r="D6" s="7" t="s">
        <v>67</v>
      </c>
      <c r="E6" s="8" t="s">
        <v>300</v>
      </c>
      <c r="F6" s="7" t="s">
        <v>285</v>
      </c>
      <c r="G6" s="20" t="s">
        <v>37</v>
      </c>
      <c r="H6" s="20" t="s">
        <v>37</v>
      </c>
      <c r="I6" s="20" t="s">
        <v>37</v>
      </c>
      <c r="J6" s="21"/>
      <c r="K6" s="20"/>
      <c r="L6" s="21"/>
      <c r="M6" s="21"/>
      <c r="N6" s="21"/>
      <c r="O6" s="20"/>
      <c r="P6" s="21"/>
      <c r="Q6" s="21"/>
      <c r="R6" s="21"/>
      <c r="S6" s="40">
        <v>0</v>
      </c>
      <c r="T6" s="9" t="str">
        <f>"0,0000"</f>
        <v>0,0000</v>
      </c>
      <c r="U6" s="7"/>
    </row>
    <row r="8" spans="1:21" ht="16">
      <c r="A8" s="43" t="s">
        <v>33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21">
      <c r="A9" s="21" t="s">
        <v>59</v>
      </c>
      <c r="B9" s="7" t="s">
        <v>110</v>
      </c>
      <c r="C9" s="7" t="s">
        <v>69</v>
      </c>
      <c r="D9" s="7" t="s">
        <v>70</v>
      </c>
      <c r="E9" s="8" t="s">
        <v>301</v>
      </c>
      <c r="F9" s="7" t="s">
        <v>286</v>
      </c>
      <c r="G9" s="19" t="s">
        <v>36</v>
      </c>
      <c r="H9" s="19" t="s">
        <v>71</v>
      </c>
      <c r="I9" s="19" t="s">
        <v>38</v>
      </c>
      <c r="J9" s="21"/>
      <c r="K9" s="19" t="s">
        <v>72</v>
      </c>
      <c r="L9" s="19" t="s">
        <v>73</v>
      </c>
      <c r="M9" s="19" t="s">
        <v>68</v>
      </c>
      <c r="N9" s="21"/>
      <c r="O9" s="19" t="s">
        <v>74</v>
      </c>
      <c r="P9" s="19" t="s">
        <v>47</v>
      </c>
      <c r="Q9" s="19" t="s">
        <v>25</v>
      </c>
      <c r="R9" s="21"/>
      <c r="S9" s="40" t="str">
        <f>"275,0"</f>
        <v>275,0</v>
      </c>
      <c r="T9" s="9" t="str">
        <f>"267,6850"</f>
        <v>267,6850</v>
      </c>
      <c r="U9" s="7" t="s">
        <v>75</v>
      </c>
    </row>
    <row r="11" spans="1:21" ht="16">
      <c r="A11" s="43" t="s">
        <v>76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21">
      <c r="A12" s="21" t="s">
        <v>59</v>
      </c>
      <c r="B12" s="7" t="s">
        <v>111</v>
      </c>
      <c r="C12" s="7" t="s">
        <v>77</v>
      </c>
      <c r="D12" s="7" t="s">
        <v>78</v>
      </c>
      <c r="E12" s="8" t="s">
        <v>300</v>
      </c>
      <c r="F12" s="7" t="s">
        <v>286</v>
      </c>
      <c r="G12" s="20" t="s">
        <v>21</v>
      </c>
      <c r="H12" s="19" t="s">
        <v>36</v>
      </c>
      <c r="I12" s="19" t="s">
        <v>71</v>
      </c>
      <c r="J12" s="21"/>
      <c r="K12" s="19" t="s">
        <v>18</v>
      </c>
      <c r="L12" s="19" t="s">
        <v>72</v>
      </c>
      <c r="M12" s="20" t="s">
        <v>73</v>
      </c>
      <c r="N12" s="21"/>
      <c r="O12" s="19" t="s">
        <v>38</v>
      </c>
      <c r="P12" s="19" t="s">
        <v>79</v>
      </c>
      <c r="Q12" s="20" t="s">
        <v>80</v>
      </c>
      <c r="R12" s="21"/>
      <c r="S12" s="40" t="str">
        <f>"240,0"</f>
        <v>240,0</v>
      </c>
      <c r="T12" s="9" t="str">
        <f>"226,2960"</f>
        <v>226,2960</v>
      </c>
      <c r="U12" s="7"/>
    </row>
    <row r="14" spans="1:21" ht="16">
      <c r="A14" s="43" t="s">
        <v>76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21">
      <c r="A15" s="29" t="s">
        <v>59</v>
      </c>
      <c r="B15" s="22" t="s">
        <v>112</v>
      </c>
      <c r="C15" s="22" t="s">
        <v>82</v>
      </c>
      <c r="D15" s="22" t="s">
        <v>83</v>
      </c>
      <c r="E15" s="23" t="s">
        <v>300</v>
      </c>
      <c r="F15" s="22" t="s">
        <v>287</v>
      </c>
      <c r="G15" s="28" t="s">
        <v>84</v>
      </c>
      <c r="H15" s="28" t="s">
        <v>85</v>
      </c>
      <c r="I15" s="28" t="s">
        <v>86</v>
      </c>
      <c r="J15" s="29"/>
      <c r="K15" s="28" t="s">
        <v>87</v>
      </c>
      <c r="L15" s="28" t="s">
        <v>48</v>
      </c>
      <c r="M15" s="30" t="s">
        <v>88</v>
      </c>
      <c r="N15" s="29"/>
      <c r="O15" s="28" t="s">
        <v>89</v>
      </c>
      <c r="P15" s="28" t="s">
        <v>90</v>
      </c>
      <c r="Q15" s="30" t="s">
        <v>91</v>
      </c>
      <c r="R15" s="29"/>
      <c r="S15" s="41" t="str">
        <f>"535,0"</f>
        <v>535,0</v>
      </c>
      <c r="T15" s="24" t="str">
        <f>"358,3965"</f>
        <v>358,3965</v>
      </c>
      <c r="U15" s="22"/>
    </row>
    <row r="16" spans="1:21">
      <c r="A16" s="32" t="s">
        <v>113</v>
      </c>
      <c r="B16" s="25" t="s">
        <v>114</v>
      </c>
      <c r="C16" s="25" t="s">
        <v>93</v>
      </c>
      <c r="D16" s="25" t="s">
        <v>94</v>
      </c>
      <c r="E16" s="26" t="s">
        <v>300</v>
      </c>
      <c r="F16" s="25" t="s">
        <v>288</v>
      </c>
      <c r="G16" s="31" t="s">
        <v>95</v>
      </c>
      <c r="H16" s="31" t="s">
        <v>85</v>
      </c>
      <c r="I16" s="31" t="s">
        <v>96</v>
      </c>
      <c r="J16" s="32"/>
      <c r="K16" s="31" t="s">
        <v>74</v>
      </c>
      <c r="L16" s="31" t="s">
        <v>45</v>
      </c>
      <c r="M16" s="31" t="s">
        <v>48</v>
      </c>
      <c r="N16" s="32"/>
      <c r="O16" s="31" t="s">
        <v>97</v>
      </c>
      <c r="P16" s="31" t="s">
        <v>86</v>
      </c>
      <c r="Q16" s="31" t="s">
        <v>98</v>
      </c>
      <c r="R16" s="32"/>
      <c r="S16" s="42" t="str">
        <f>"505,0"</f>
        <v>505,0</v>
      </c>
      <c r="T16" s="27" t="str">
        <f>"350,4195"</f>
        <v>350,4195</v>
      </c>
      <c r="U16" s="25"/>
    </row>
    <row r="18" spans="1:21" ht="16">
      <c r="A18" s="43" t="s">
        <v>99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21">
      <c r="A19" s="21" t="s">
        <v>59</v>
      </c>
      <c r="B19" s="7" t="s">
        <v>115</v>
      </c>
      <c r="C19" s="7" t="s">
        <v>101</v>
      </c>
      <c r="D19" s="7" t="s">
        <v>102</v>
      </c>
      <c r="E19" s="8" t="s">
        <v>302</v>
      </c>
      <c r="F19" s="7" t="s">
        <v>288</v>
      </c>
      <c r="G19" s="20" t="s">
        <v>37</v>
      </c>
      <c r="H19" s="19" t="s">
        <v>37</v>
      </c>
      <c r="I19" s="19" t="s">
        <v>103</v>
      </c>
      <c r="J19" s="21"/>
      <c r="K19" s="19" t="s">
        <v>41</v>
      </c>
      <c r="L19" s="19" t="s">
        <v>103</v>
      </c>
      <c r="M19" s="19" t="s">
        <v>74</v>
      </c>
      <c r="N19" s="21"/>
      <c r="O19" s="19" t="s">
        <v>74</v>
      </c>
      <c r="P19" s="19" t="s">
        <v>104</v>
      </c>
      <c r="Q19" s="20" t="s">
        <v>97</v>
      </c>
      <c r="R19" s="21"/>
      <c r="S19" s="40" t="str">
        <f>"355,0"</f>
        <v>355,0</v>
      </c>
      <c r="T19" s="9" t="str">
        <f>"217,3665"</f>
        <v>217,3665</v>
      </c>
      <c r="U19" s="7" t="s">
        <v>105</v>
      </c>
    </row>
    <row r="23" spans="1:21" ht="18">
      <c r="B23" s="12" t="s">
        <v>49</v>
      </c>
      <c r="C23" s="12"/>
    </row>
    <row r="24" spans="1:21" ht="16">
      <c r="B24" s="13" t="s">
        <v>56</v>
      </c>
      <c r="C24" s="13"/>
    </row>
    <row r="25" spans="1:21" ht="14">
      <c r="B25" s="14" t="s">
        <v>50</v>
      </c>
      <c r="C25" s="14" t="s">
        <v>51</v>
      </c>
      <c r="D25" s="14" t="s">
        <v>250</v>
      </c>
      <c r="E25" s="15" t="s">
        <v>52</v>
      </c>
      <c r="F25" s="14" t="s">
        <v>53</v>
      </c>
    </row>
    <row r="26" spans="1:21">
      <c r="B26" s="5" t="s">
        <v>81</v>
      </c>
      <c r="C26" s="5" t="s">
        <v>106</v>
      </c>
      <c r="D26" s="17" t="s">
        <v>107</v>
      </c>
      <c r="E26" s="18">
        <v>535</v>
      </c>
      <c r="F26" s="16">
        <v>358.39650005102197</v>
      </c>
    </row>
    <row r="27" spans="1:21">
      <c r="B27" s="5" t="s">
        <v>92</v>
      </c>
      <c r="C27" s="5" t="s">
        <v>106</v>
      </c>
      <c r="D27" s="17" t="s">
        <v>107</v>
      </c>
      <c r="E27" s="18">
        <v>505</v>
      </c>
      <c r="F27" s="16">
        <v>350.41949450969702</v>
      </c>
    </row>
    <row r="28" spans="1:21">
      <c r="B28" s="5" t="s">
        <v>100</v>
      </c>
      <c r="C28" s="5" t="s">
        <v>57</v>
      </c>
      <c r="D28" s="17" t="s">
        <v>108</v>
      </c>
      <c r="E28" s="18">
        <v>355</v>
      </c>
      <c r="F28" s="16">
        <v>217.36649245023699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8:R18"/>
    <mergeCell ref="B3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20.1640625" style="5" customWidth="1"/>
    <col min="3" max="3" width="25.33203125" style="5" bestFit="1" customWidth="1"/>
    <col min="4" max="4" width="20.83203125" style="5" bestFit="1" customWidth="1"/>
    <col min="5" max="5" width="10.1640625" style="10" bestFit="1" customWidth="1"/>
    <col min="6" max="6" width="34" style="5" bestFit="1" customWidth="1"/>
    <col min="7" max="9" width="5.6640625" style="17" bestFit="1" customWidth="1"/>
    <col min="10" max="10" width="4.33203125" style="17" bestFit="1" customWidth="1"/>
    <col min="11" max="11" width="10.5" style="6" bestFit="1" customWidth="1"/>
    <col min="12" max="12" width="8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5" t="s">
        <v>260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9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99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166</v>
      </c>
      <c r="C6" s="7" t="s">
        <v>160</v>
      </c>
      <c r="D6" s="7" t="s">
        <v>161</v>
      </c>
      <c r="E6" s="8" t="s">
        <v>300</v>
      </c>
      <c r="F6" s="7" t="s">
        <v>286</v>
      </c>
      <c r="G6" s="20" t="s">
        <v>171</v>
      </c>
      <c r="H6" s="19" t="s">
        <v>171</v>
      </c>
      <c r="I6" s="20" t="s">
        <v>172</v>
      </c>
      <c r="J6" s="21"/>
      <c r="K6" s="9" t="str">
        <f>"230,0"</f>
        <v>230,0</v>
      </c>
      <c r="L6" s="9" t="str">
        <f>"134,7455"</f>
        <v>134,7455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33203125" style="5" bestFit="1" customWidth="1"/>
    <col min="2" max="2" width="20.6640625" style="5" bestFit="1" customWidth="1"/>
    <col min="3" max="3" width="27.83203125" style="5" customWidth="1"/>
    <col min="4" max="4" width="20.83203125" style="5" bestFit="1" customWidth="1"/>
    <col min="5" max="5" width="10.1640625" style="10" bestFit="1" customWidth="1"/>
    <col min="6" max="6" width="34" style="5" bestFit="1" customWidth="1"/>
    <col min="7" max="9" width="5.6640625" style="17" bestFit="1" customWidth="1"/>
    <col min="10" max="10" width="4.33203125" style="17" bestFit="1" customWidth="1"/>
    <col min="11" max="11" width="10.5" style="6" bestFit="1" customWidth="1"/>
    <col min="12" max="12" width="8.6640625" style="6" bestFit="1" customWidth="1"/>
    <col min="13" max="13" width="18.33203125" style="5" bestFit="1" customWidth="1"/>
    <col min="14" max="16384" width="9.1640625" style="3"/>
  </cols>
  <sheetData>
    <row r="1" spans="1:13" s="2" customFormat="1" ht="29" customHeight="1">
      <c r="A1" s="55" t="s">
        <v>262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10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176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179</v>
      </c>
      <c r="C6" s="7" t="s">
        <v>177</v>
      </c>
      <c r="D6" s="7" t="s">
        <v>178</v>
      </c>
      <c r="E6" s="8" t="s">
        <v>301</v>
      </c>
      <c r="F6" s="7" t="s">
        <v>291</v>
      </c>
      <c r="G6" s="19" t="s">
        <v>27</v>
      </c>
      <c r="H6" s="19" t="s">
        <v>21</v>
      </c>
      <c r="I6" s="19" t="s">
        <v>128</v>
      </c>
      <c r="J6" s="21"/>
      <c r="K6" s="9" t="str">
        <f>"87,5"</f>
        <v>87,5</v>
      </c>
      <c r="L6" s="9" t="str">
        <f>"105,0175"</f>
        <v>105,0175</v>
      </c>
      <c r="M6" s="7"/>
    </row>
    <row r="8" spans="1:13" ht="16">
      <c r="A8" s="43" t="s">
        <v>33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1" t="s">
        <v>59</v>
      </c>
      <c r="B9" s="7" t="s">
        <v>110</v>
      </c>
      <c r="C9" s="7" t="s">
        <v>69</v>
      </c>
      <c r="D9" s="7" t="s">
        <v>70</v>
      </c>
      <c r="E9" s="8" t="s">
        <v>301</v>
      </c>
      <c r="F9" s="7" t="s">
        <v>286</v>
      </c>
      <c r="G9" s="19" t="s">
        <v>74</v>
      </c>
      <c r="H9" s="19" t="s">
        <v>47</v>
      </c>
      <c r="I9" s="19" t="s">
        <v>25</v>
      </c>
      <c r="J9" s="21"/>
      <c r="K9" s="9" t="str">
        <f>"130,0"</f>
        <v>130,0</v>
      </c>
      <c r="L9" s="9" t="str">
        <f>"126,5420"</f>
        <v>126,5420</v>
      </c>
      <c r="M9" s="7" t="s">
        <v>75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33203125" style="5" bestFit="1" customWidth="1"/>
    <col min="2" max="2" width="19.5" style="5" bestFit="1" customWidth="1"/>
    <col min="3" max="3" width="27.83203125" style="5" customWidth="1"/>
    <col min="4" max="4" width="20.83203125" style="5" bestFit="1" customWidth="1"/>
    <col min="5" max="5" width="10.1640625" style="10" bestFit="1" customWidth="1"/>
    <col min="6" max="6" width="34" style="5" bestFit="1" customWidth="1"/>
    <col min="7" max="9" width="5.6640625" style="17" bestFit="1" customWidth="1"/>
    <col min="10" max="10" width="4.33203125" style="17" bestFit="1" customWidth="1"/>
    <col min="11" max="11" width="10.5" style="6" bestFit="1" customWidth="1"/>
    <col min="12" max="12" width="8.664062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55" t="s">
        <v>263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10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11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60</v>
      </c>
      <c r="C6" s="7" t="s">
        <v>12</v>
      </c>
      <c r="D6" s="7" t="s">
        <v>13</v>
      </c>
      <c r="E6" s="8" t="s">
        <v>301</v>
      </c>
      <c r="F6" s="7" t="s">
        <v>286</v>
      </c>
      <c r="G6" s="19" t="s">
        <v>19</v>
      </c>
      <c r="H6" s="19" t="s">
        <v>20</v>
      </c>
      <c r="I6" s="20" t="s">
        <v>21</v>
      </c>
      <c r="J6" s="21"/>
      <c r="K6" s="9" t="str">
        <f>"70,0"</f>
        <v>70,0</v>
      </c>
      <c r="L6" s="9" t="str">
        <f>"87,2620"</f>
        <v>87,2620</v>
      </c>
      <c r="M6" s="7"/>
    </row>
    <row r="8" spans="1:13" ht="16">
      <c r="A8" s="43" t="s">
        <v>140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1" t="s">
        <v>59</v>
      </c>
      <c r="B9" s="7" t="s">
        <v>175</v>
      </c>
      <c r="C9" s="7" t="s">
        <v>173</v>
      </c>
      <c r="D9" s="7" t="s">
        <v>174</v>
      </c>
      <c r="E9" s="8" t="s">
        <v>303</v>
      </c>
      <c r="F9" s="7" t="s">
        <v>290</v>
      </c>
      <c r="G9" s="19" t="s">
        <v>86</v>
      </c>
      <c r="H9" s="19" t="s">
        <v>98</v>
      </c>
      <c r="I9" s="20" t="s">
        <v>89</v>
      </c>
      <c r="J9" s="21"/>
      <c r="K9" s="9" t="str">
        <f>"200,0"</f>
        <v>200,0</v>
      </c>
      <c r="L9" s="9" t="str">
        <f>"161,6760"</f>
        <v>161,6760</v>
      </c>
      <c r="M9" s="7" t="s">
        <v>170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1"/>
  <sheetViews>
    <sheetView workbookViewId="0">
      <selection activeCell="E22" sqref="E22"/>
    </sheetView>
  </sheetViews>
  <sheetFormatPr baseColWidth="10" defaultColWidth="9.1640625" defaultRowHeight="13"/>
  <cols>
    <col min="1" max="1" width="7.33203125" style="5" bestFit="1" customWidth="1"/>
    <col min="2" max="2" width="22.33203125" style="5" customWidth="1"/>
    <col min="3" max="3" width="28.5" style="5" bestFit="1" customWidth="1"/>
    <col min="4" max="4" width="20.83203125" style="5" bestFit="1" customWidth="1"/>
    <col min="5" max="5" width="10.1640625" style="10" bestFit="1" customWidth="1"/>
    <col min="6" max="6" width="42.83203125" style="5" bestFit="1" customWidth="1"/>
    <col min="7" max="9" width="4.6640625" style="17" bestFit="1" customWidth="1"/>
    <col min="10" max="10" width="4.33203125" style="17" bestFit="1" customWidth="1"/>
    <col min="11" max="11" width="10.5" style="6" bestFit="1" customWidth="1"/>
    <col min="12" max="12" width="7.664062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5" t="s">
        <v>261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284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65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227</v>
      </c>
      <c r="C6" s="7" t="s">
        <v>211</v>
      </c>
      <c r="D6" s="7" t="s">
        <v>212</v>
      </c>
      <c r="E6" s="8" t="s">
        <v>300</v>
      </c>
      <c r="F6" s="7" t="s">
        <v>285</v>
      </c>
      <c r="G6" s="19" t="s">
        <v>213</v>
      </c>
      <c r="H6" s="19" t="s">
        <v>204</v>
      </c>
      <c r="I6" s="20" t="s">
        <v>183</v>
      </c>
      <c r="J6" s="21"/>
      <c r="K6" s="9" t="str">
        <f>"27,5"</f>
        <v>27,5</v>
      </c>
      <c r="L6" s="9" t="str">
        <f>"32,4747"</f>
        <v>32,4747</v>
      </c>
      <c r="M6" s="7"/>
    </row>
    <row r="8" spans="1:13" ht="16">
      <c r="A8" s="43" t="s">
        <v>33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9" t="s">
        <v>59</v>
      </c>
      <c r="B9" s="22" t="s">
        <v>228</v>
      </c>
      <c r="C9" s="22" t="s">
        <v>274</v>
      </c>
      <c r="D9" s="22" t="s">
        <v>214</v>
      </c>
      <c r="E9" s="23" t="s">
        <v>306</v>
      </c>
      <c r="F9" s="22" t="s">
        <v>292</v>
      </c>
      <c r="G9" s="28" t="s">
        <v>68</v>
      </c>
      <c r="H9" s="30" t="s">
        <v>39</v>
      </c>
      <c r="I9" s="30" t="s">
        <v>39</v>
      </c>
      <c r="J9" s="29"/>
      <c r="K9" s="24" t="str">
        <f>"50,0"</f>
        <v>50,0</v>
      </c>
      <c r="L9" s="24" t="str">
        <f>"35,2425"</f>
        <v>35,2425</v>
      </c>
      <c r="M9" s="22"/>
    </row>
    <row r="10" spans="1:13">
      <c r="A10" s="37" t="s">
        <v>113</v>
      </c>
      <c r="B10" s="34" t="s">
        <v>229</v>
      </c>
      <c r="C10" s="34" t="s">
        <v>275</v>
      </c>
      <c r="D10" s="34" t="s">
        <v>215</v>
      </c>
      <c r="E10" s="35" t="s">
        <v>306</v>
      </c>
      <c r="F10" s="34" t="s">
        <v>288</v>
      </c>
      <c r="G10" s="38" t="s">
        <v>16</v>
      </c>
      <c r="H10" s="38" t="s">
        <v>18</v>
      </c>
      <c r="I10" s="39" t="s">
        <v>68</v>
      </c>
      <c r="J10" s="37"/>
      <c r="K10" s="36" t="str">
        <f>"40,0"</f>
        <v>40,0</v>
      </c>
      <c r="L10" s="36" t="str">
        <f>"27,7060"</f>
        <v>27,7060</v>
      </c>
      <c r="M10" s="34"/>
    </row>
    <row r="11" spans="1:13">
      <c r="A11" s="32" t="s">
        <v>59</v>
      </c>
      <c r="B11" s="25" t="s">
        <v>230</v>
      </c>
      <c r="C11" s="25" t="s">
        <v>217</v>
      </c>
      <c r="D11" s="25" t="s">
        <v>218</v>
      </c>
      <c r="E11" s="26" t="s">
        <v>300</v>
      </c>
      <c r="F11" s="25" t="s">
        <v>288</v>
      </c>
      <c r="G11" s="31" t="s">
        <v>68</v>
      </c>
      <c r="H11" s="31" t="s">
        <v>40</v>
      </c>
      <c r="I11" s="33" t="s">
        <v>19</v>
      </c>
      <c r="J11" s="32"/>
      <c r="K11" s="27" t="str">
        <f>"57,5"</f>
        <v>57,5</v>
      </c>
      <c r="L11" s="27" t="str">
        <f>"42,0526"</f>
        <v>42,0526</v>
      </c>
      <c r="M11" s="25"/>
    </row>
    <row r="13" spans="1:13" ht="16">
      <c r="A13" s="43" t="s">
        <v>76</v>
      </c>
      <c r="B13" s="43"/>
      <c r="C13" s="44"/>
      <c r="D13" s="44"/>
      <c r="E13" s="44"/>
      <c r="F13" s="44"/>
      <c r="G13" s="44"/>
      <c r="H13" s="44"/>
      <c r="I13" s="44"/>
      <c r="J13" s="44"/>
    </row>
    <row r="14" spans="1:13">
      <c r="A14" s="29" t="s">
        <v>59</v>
      </c>
      <c r="B14" s="22" t="s">
        <v>231</v>
      </c>
      <c r="C14" s="22" t="s">
        <v>276</v>
      </c>
      <c r="D14" s="22" t="s">
        <v>220</v>
      </c>
      <c r="E14" s="23" t="s">
        <v>305</v>
      </c>
      <c r="F14" s="22" t="s">
        <v>293</v>
      </c>
      <c r="G14" s="28" t="s">
        <v>221</v>
      </c>
      <c r="H14" s="28" t="s">
        <v>14</v>
      </c>
      <c r="I14" s="30" t="s">
        <v>15</v>
      </c>
      <c r="J14" s="29"/>
      <c r="K14" s="24" t="str">
        <f>"65,0"</f>
        <v>65,0</v>
      </c>
      <c r="L14" s="24" t="str">
        <f>"42,3702"</f>
        <v>42,3702</v>
      </c>
      <c r="M14" s="22" t="s">
        <v>203</v>
      </c>
    </row>
    <row r="15" spans="1:13">
      <c r="A15" s="37" t="s">
        <v>59</v>
      </c>
      <c r="B15" s="34" t="s">
        <v>232</v>
      </c>
      <c r="C15" s="34" t="s">
        <v>222</v>
      </c>
      <c r="D15" s="34" t="s">
        <v>223</v>
      </c>
      <c r="E15" s="35" t="s">
        <v>300</v>
      </c>
      <c r="F15" s="34" t="s">
        <v>291</v>
      </c>
      <c r="G15" s="38" t="s">
        <v>39</v>
      </c>
      <c r="H15" s="38" t="s">
        <v>19</v>
      </c>
      <c r="I15" s="39" t="s">
        <v>14</v>
      </c>
      <c r="J15" s="37"/>
      <c r="K15" s="36" t="str">
        <f>"60,0"</f>
        <v>60,0</v>
      </c>
      <c r="L15" s="36" t="str">
        <f>"38,8920"</f>
        <v>38,8920</v>
      </c>
      <c r="M15" s="34"/>
    </row>
    <row r="16" spans="1:13">
      <c r="A16" s="32" t="s">
        <v>113</v>
      </c>
      <c r="B16" s="25" t="s">
        <v>112</v>
      </c>
      <c r="C16" s="25" t="s">
        <v>82</v>
      </c>
      <c r="D16" s="25" t="s">
        <v>83</v>
      </c>
      <c r="E16" s="26" t="s">
        <v>300</v>
      </c>
      <c r="F16" s="25" t="s">
        <v>287</v>
      </c>
      <c r="G16" s="31" t="s">
        <v>68</v>
      </c>
      <c r="H16" s="31" t="s">
        <v>39</v>
      </c>
      <c r="I16" s="31" t="s">
        <v>19</v>
      </c>
      <c r="J16" s="32"/>
      <c r="K16" s="27" t="str">
        <f>"60,0"</f>
        <v>60,0</v>
      </c>
      <c r="L16" s="27" t="str">
        <f>"38,6760"</f>
        <v>38,6760</v>
      </c>
      <c r="M16" s="25"/>
    </row>
    <row r="18" spans="1:13" ht="16">
      <c r="A18" s="43" t="s">
        <v>22</v>
      </c>
      <c r="B18" s="43"/>
      <c r="C18" s="44"/>
      <c r="D18" s="44"/>
      <c r="E18" s="44"/>
      <c r="F18" s="44"/>
      <c r="G18" s="44"/>
      <c r="H18" s="44"/>
      <c r="I18" s="44"/>
      <c r="J18" s="44"/>
    </row>
    <row r="19" spans="1:13">
      <c r="A19" s="21" t="s">
        <v>59</v>
      </c>
      <c r="B19" s="7" t="s">
        <v>233</v>
      </c>
      <c r="C19" s="7" t="s">
        <v>225</v>
      </c>
      <c r="D19" s="7" t="s">
        <v>226</v>
      </c>
      <c r="E19" s="8" t="s">
        <v>300</v>
      </c>
      <c r="F19" s="7" t="s">
        <v>286</v>
      </c>
      <c r="G19" s="19" t="s">
        <v>14</v>
      </c>
      <c r="H19" s="20" t="s">
        <v>15</v>
      </c>
      <c r="I19" s="20" t="s">
        <v>15</v>
      </c>
      <c r="J19" s="21"/>
      <c r="K19" s="9" t="str">
        <f>"65,0"</f>
        <v>65,0</v>
      </c>
      <c r="L19" s="9" t="str">
        <f>"39,9197"</f>
        <v>39,9197</v>
      </c>
      <c r="M19" s="7"/>
    </row>
    <row r="21" spans="1:13" ht="16">
      <c r="A21" s="43" t="s">
        <v>99</v>
      </c>
      <c r="B21" s="43"/>
      <c r="C21" s="44"/>
      <c r="D21" s="44"/>
      <c r="E21" s="44"/>
      <c r="F21" s="44"/>
      <c r="G21" s="44"/>
      <c r="H21" s="44"/>
      <c r="I21" s="44"/>
      <c r="J21" s="44"/>
    </row>
    <row r="22" spans="1:13">
      <c r="A22" s="21" t="s">
        <v>59</v>
      </c>
      <c r="B22" s="7" t="s">
        <v>115</v>
      </c>
      <c r="C22" s="7" t="s">
        <v>272</v>
      </c>
      <c r="D22" s="7" t="s">
        <v>102</v>
      </c>
      <c r="E22" s="8" t="s">
        <v>306</v>
      </c>
      <c r="F22" s="7" t="s">
        <v>288</v>
      </c>
      <c r="G22" s="19" t="s">
        <v>18</v>
      </c>
      <c r="H22" s="19" t="s">
        <v>72</v>
      </c>
      <c r="I22" s="19" t="s">
        <v>40</v>
      </c>
      <c r="J22" s="21"/>
      <c r="K22" s="9" t="str">
        <f>"57,5"</f>
        <v>57,5</v>
      </c>
      <c r="L22" s="9" t="str">
        <f>"33,6404"</f>
        <v>33,6404</v>
      </c>
      <c r="M22" s="7" t="s">
        <v>105</v>
      </c>
    </row>
    <row r="24" spans="1:13">
      <c r="G24" s="5"/>
      <c r="K24" s="17"/>
      <c r="M24" s="6"/>
    </row>
    <row r="25" spans="1:13">
      <c r="K25" s="17"/>
      <c r="M25" s="6"/>
    </row>
    <row r="26" spans="1:13" ht="18">
      <c r="B26" s="12" t="s">
        <v>49</v>
      </c>
      <c r="C26" s="12"/>
      <c r="K26" s="17"/>
      <c r="M26" s="6"/>
    </row>
    <row r="27" spans="1:13" ht="16">
      <c r="B27" s="13" t="s">
        <v>56</v>
      </c>
      <c r="C27" s="13"/>
      <c r="K27" s="17"/>
      <c r="M27" s="6"/>
    </row>
    <row r="28" spans="1:13" ht="14">
      <c r="B28" s="14" t="s">
        <v>50</v>
      </c>
      <c r="C28" s="14" t="s">
        <v>51</v>
      </c>
      <c r="D28" s="14" t="s">
        <v>250</v>
      </c>
      <c r="E28" s="15" t="s">
        <v>122</v>
      </c>
      <c r="F28" s="14" t="s">
        <v>123</v>
      </c>
      <c r="K28" s="17"/>
      <c r="M28" s="6"/>
    </row>
    <row r="29" spans="1:13">
      <c r="B29" s="5" t="s">
        <v>219</v>
      </c>
      <c r="C29" s="5" t="s">
        <v>277</v>
      </c>
      <c r="D29" s="17" t="s">
        <v>107</v>
      </c>
      <c r="E29" s="18">
        <v>65</v>
      </c>
      <c r="F29" s="16">
        <v>42.370249032974201</v>
      </c>
      <c r="K29" s="17"/>
      <c r="M29" s="6"/>
    </row>
    <row r="30" spans="1:13">
      <c r="B30" s="5" t="s">
        <v>216</v>
      </c>
      <c r="C30" s="5" t="s">
        <v>106</v>
      </c>
      <c r="D30" s="17" t="s">
        <v>58</v>
      </c>
      <c r="E30" s="18">
        <v>57.5</v>
      </c>
      <c r="F30" s="16">
        <v>42.052625268697703</v>
      </c>
      <c r="K30" s="17"/>
      <c r="M30" s="6"/>
    </row>
    <row r="31" spans="1:13">
      <c r="B31" s="5" t="s">
        <v>224</v>
      </c>
      <c r="C31" s="5" t="s">
        <v>106</v>
      </c>
      <c r="D31" s="17" t="s">
        <v>55</v>
      </c>
      <c r="E31" s="18">
        <v>65</v>
      </c>
      <c r="F31" s="16">
        <v>39.9197492003441</v>
      </c>
      <c r="G31" s="5"/>
      <c r="K31" s="17"/>
      <c r="M31" s="6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A18:J18"/>
    <mergeCell ref="A21:J21"/>
    <mergeCell ref="B3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20" style="5" customWidth="1"/>
    <col min="3" max="3" width="25.33203125" style="5" bestFit="1" customWidth="1"/>
    <col min="4" max="4" width="20.83203125" style="5" bestFit="1" customWidth="1"/>
    <col min="5" max="5" width="10.1640625" style="10" bestFit="1" customWidth="1"/>
    <col min="6" max="6" width="37.1640625" style="5" bestFit="1" customWidth="1"/>
    <col min="7" max="10" width="4.5" style="17" customWidth="1"/>
    <col min="11" max="11" width="10.5" style="6" bestFit="1" customWidth="1"/>
    <col min="12" max="12" width="7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5" t="s">
        <v>265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284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180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200</v>
      </c>
      <c r="C6" s="7" t="s">
        <v>198</v>
      </c>
      <c r="D6" s="7" t="s">
        <v>199</v>
      </c>
      <c r="E6" s="8" t="s">
        <v>300</v>
      </c>
      <c r="F6" s="7" t="s">
        <v>288</v>
      </c>
      <c r="G6" s="19" t="s">
        <v>195</v>
      </c>
      <c r="H6" s="19" t="s">
        <v>196</v>
      </c>
      <c r="I6" s="19" t="s">
        <v>204</v>
      </c>
      <c r="J6" s="21"/>
      <c r="K6" s="9" t="str">
        <f>"27,5"</f>
        <v>27,5</v>
      </c>
      <c r="L6" s="9" t="str">
        <f>"19,6804"</f>
        <v>19,6804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8"/>
  <sheetViews>
    <sheetView workbookViewId="0">
      <selection activeCell="E18" sqref="E18"/>
    </sheetView>
  </sheetViews>
  <sheetFormatPr baseColWidth="10" defaultColWidth="9.1640625" defaultRowHeight="13"/>
  <cols>
    <col min="1" max="1" width="7.33203125" style="5" bestFit="1" customWidth="1"/>
    <col min="2" max="2" width="20.6640625" style="5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35.83203125" style="5" bestFit="1" customWidth="1"/>
    <col min="7" max="7" width="4.6640625" style="17" bestFit="1" customWidth="1"/>
    <col min="8" max="9" width="5.6640625" style="17" bestFit="1" customWidth="1"/>
    <col min="10" max="10" width="4.33203125" style="17" bestFit="1" customWidth="1"/>
    <col min="11" max="11" width="10.5" style="6" bestFit="1" customWidth="1"/>
    <col min="12" max="12" width="7.664062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5" t="s">
        <v>266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284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184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9" t="s">
        <v>59</v>
      </c>
      <c r="B6" s="22" t="s">
        <v>210</v>
      </c>
      <c r="C6" s="22" t="s">
        <v>278</v>
      </c>
      <c r="D6" s="22" t="s">
        <v>206</v>
      </c>
      <c r="E6" s="23" t="s">
        <v>305</v>
      </c>
      <c r="F6" s="22" t="s">
        <v>286</v>
      </c>
      <c r="G6" s="30" t="s">
        <v>27</v>
      </c>
      <c r="H6" s="28" t="s">
        <v>27</v>
      </c>
      <c r="I6" s="30" t="s">
        <v>21</v>
      </c>
      <c r="J6" s="29"/>
      <c r="K6" s="24" t="str">
        <f>"75,0"</f>
        <v>75,0</v>
      </c>
      <c r="L6" s="24" t="str">
        <f>"56,5612"</f>
        <v>56,5612</v>
      </c>
      <c r="M6" s="22"/>
    </row>
    <row r="7" spans="1:13">
      <c r="A7" s="32" t="s">
        <v>59</v>
      </c>
      <c r="B7" s="25" t="s">
        <v>210</v>
      </c>
      <c r="C7" s="25" t="s">
        <v>207</v>
      </c>
      <c r="D7" s="25" t="s">
        <v>206</v>
      </c>
      <c r="E7" s="26" t="s">
        <v>300</v>
      </c>
      <c r="F7" s="25" t="s">
        <v>286</v>
      </c>
      <c r="G7" s="33" t="s">
        <v>27</v>
      </c>
      <c r="H7" s="31" t="s">
        <v>27</v>
      </c>
      <c r="I7" s="33" t="s">
        <v>21</v>
      </c>
      <c r="J7" s="32"/>
      <c r="K7" s="27" t="str">
        <f>"75,0"</f>
        <v>75,0</v>
      </c>
      <c r="L7" s="27" t="str">
        <f>"56,5612"</f>
        <v>56,5612</v>
      </c>
      <c r="M7" s="25"/>
    </row>
    <row r="9" spans="1:13" ht="16">
      <c r="A9" s="43" t="s">
        <v>22</v>
      </c>
      <c r="B9" s="43"/>
      <c r="C9" s="44"/>
      <c r="D9" s="44"/>
      <c r="E9" s="44"/>
      <c r="F9" s="44"/>
      <c r="G9" s="44"/>
      <c r="H9" s="44"/>
      <c r="I9" s="44"/>
      <c r="J9" s="44"/>
    </row>
    <row r="10" spans="1:13">
      <c r="A10" s="21" t="s">
        <v>59</v>
      </c>
      <c r="B10" s="7" t="s">
        <v>233</v>
      </c>
      <c r="C10" s="7" t="s">
        <v>225</v>
      </c>
      <c r="D10" s="7" t="s">
        <v>226</v>
      </c>
      <c r="E10" s="8" t="s">
        <v>300</v>
      </c>
      <c r="F10" s="7" t="s">
        <v>286</v>
      </c>
      <c r="G10" s="20" t="s">
        <v>234</v>
      </c>
      <c r="H10" s="19" t="s">
        <v>234</v>
      </c>
      <c r="I10" s="20" t="s">
        <v>28</v>
      </c>
      <c r="J10" s="21"/>
      <c r="K10" s="9" t="str">
        <f>"72,5"</f>
        <v>72,5</v>
      </c>
      <c r="L10" s="9" t="str">
        <f>"44,5259"</f>
        <v>44,5259</v>
      </c>
      <c r="M10" s="7"/>
    </row>
    <row r="12" spans="1:13" ht="16">
      <c r="A12" s="43" t="s">
        <v>99</v>
      </c>
      <c r="B12" s="43"/>
      <c r="C12" s="44"/>
      <c r="D12" s="44"/>
      <c r="E12" s="44"/>
      <c r="F12" s="44"/>
      <c r="G12" s="44"/>
      <c r="H12" s="44"/>
      <c r="I12" s="44"/>
      <c r="J12" s="44"/>
    </row>
    <row r="13" spans="1:13">
      <c r="A13" s="29" t="s">
        <v>59</v>
      </c>
      <c r="B13" s="22" t="s">
        <v>166</v>
      </c>
      <c r="C13" s="22" t="s">
        <v>160</v>
      </c>
      <c r="D13" s="22" t="s">
        <v>161</v>
      </c>
      <c r="E13" s="23" t="s">
        <v>300</v>
      </c>
      <c r="F13" s="22" t="s">
        <v>286</v>
      </c>
      <c r="G13" s="28" t="s">
        <v>27</v>
      </c>
      <c r="H13" s="30" t="s">
        <v>128</v>
      </c>
      <c r="I13" s="28" t="s">
        <v>128</v>
      </c>
      <c r="J13" s="29"/>
      <c r="K13" s="24" t="str">
        <f>"87,5"</f>
        <v>87,5</v>
      </c>
      <c r="L13" s="24" t="str">
        <f>"51,2619"</f>
        <v>51,2619</v>
      </c>
      <c r="M13" s="22"/>
    </row>
    <row r="14" spans="1:13">
      <c r="A14" s="32" t="s">
        <v>59</v>
      </c>
      <c r="B14" s="25" t="s">
        <v>237</v>
      </c>
      <c r="C14" s="25" t="s">
        <v>279</v>
      </c>
      <c r="D14" s="25" t="s">
        <v>236</v>
      </c>
      <c r="E14" s="26" t="s">
        <v>304</v>
      </c>
      <c r="F14" s="25" t="s">
        <v>294</v>
      </c>
      <c r="G14" s="31" t="s">
        <v>27</v>
      </c>
      <c r="H14" s="31" t="s">
        <v>28</v>
      </c>
      <c r="I14" s="31" t="s">
        <v>37</v>
      </c>
      <c r="J14" s="32"/>
      <c r="K14" s="27" t="str">
        <f>"90,0"</f>
        <v>90,0</v>
      </c>
      <c r="L14" s="27" t="str">
        <f>"57,4448"</f>
        <v>57,4448</v>
      </c>
      <c r="M14" s="25"/>
    </row>
    <row r="16" spans="1:13" ht="16">
      <c r="A16" s="43" t="s">
        <v>140</v>
      </c>
      <c r="B16" s="43"/>
      <c r="C16" s="44"/>
      <c r="D16" s="44"/>
      <c r="E16" s="44"/>
      <c r="F16" s="44"/>
      <c r="G16" s="44"/>
      <c r="H16" s="44"/>
      <c r="I16" s="44"/>
      <c r="J16" s="44"/>
    </row>
    <row r="17" spans="1:13">
      <c r="A17" s="21" t="s">
        <v>59</v>
      </c>
      <c r="B17" s="7" t="s">
        <v>197</v>
      </c>
      <c r="C17" s="7" t="s">
        <v>193</v>
      </c>
      <c r="D17" s="7" t="s">
        <v>194</v>
      </c>
      <c r="E17" s="8" t="s">
        <v>300</v>
      </c>
      <c r="F17" s="7" t="s">
        <v>286</v>
      </c>
      <c r="G17" s="19" t="s">
        <v>37</v>
      </c>
      <c r="H17" s="19" t="s">
        <v>41</v>
      </c>
      <c r="I17" s="19" t="s">
        <v>74</v>
      </c>
      <c r="J17" s="21"/>
      <c r="K17" s="9" t="str">
        <f>"110,0"</f>
        <v>110,0</v>
      </c>
      <c r="L17" s="9" t="str">
        <f>"61,9685"</f>
        <v>61,9685</v>
      </c>
      <c r="M17" s="7"/>
    </row>
    <row r="19" spans="1:13" ht="16">
      <c r="F19" s="11"/>
      <c r="G19" s="5"/>
      <c r="K19" s="17"/>
      <c r="M19" s="6"/>
    </row>
    <row r="20" spans="1:13">
      <c r="G20" s="5"/>
      <c r="K20" s="17"/>
      <c r="M20" s="6"/>
    </row>
    <row r="21" spans="1:13" ht="18">
      <c r="B21" s="12" t="s">
        <v>49</v>
      </c>
      <c r="C21" s="12"/>
      <c r="K21" s="17"/>
      <c r="M21" s="6"/>
    </row>
    <row r="22" spans="1:13" ht="16">
      <c r="B22" s="13" t="s">
        <v>56</v>
      </c>
      <c r="C22" s="13"/>
      <c r="K22" s="17"/>
      <c r="M22" s="6"/>
    </row>
    <row r="23" spans="1:13" ht="14">
      <c r="B23" s="14" t="s">
        <v>50</v>
      </c>
      <c r="C23" s="14" t="s">
        <v>51</v>
      </c>
      <c r="D23" s="14" t="s">
        <v>250</v>
      </c>
      <c r="E23" s="15" t="s">
        <v>122</v>
      </c>
      <c r="F23" s="14" t="s">
        <v>123</v>
      </c>
      <c r="K23" s="17"/>
      <c r="M23" s="6"/>
    </row>
    <row r="24" spans="1:13">
      <c r="B24" s="5" t="s">
        <v>192</v>
      </c>
      <c r="C24" s="5" t="s">
        <v>106</v>
      </c>
      <c r="D24" s="17" t="s">
        <v>149</v>
      </c>
      <c r="E24" s="18">
        <v>110</v>
      </c>
      <c r="F24" s="16">
        <v>61.968502402305603</v>
      </c>
      <c r="K24" s="17"/>
      <c r="M24" s="6"/>
    </row>
    <row r="25" spans="1:13">
      <c r="B25" s="5" t="s">
        <v>235</v>
      </c>
      <c r="C25" s="5" t="s">
        <v>280</v>
      </c>
      <c r="D25" s="17" t="s">
        <v>108</v>
      </c>
      <c r="E25" s="18">
        <v>90</v>
      </c>
      <c r="F25" s="16">
        <v>57.444751811027501</v>
      </c>
      <c r="K25" s="17"/>
      <c r="M25" s="6"/>
    </row>
    <row r="26" spans="1:13">
      <c r="B26" s="5" t="s">
        <v>205</v>
      </c>
      <c r="C26" s="5" t="s">
        <v>106</v>
      </c>
      <c r="D26" s="17" t="s">
        <v>189</v>
      </c>
      <c r="E26" s="18">
        <v>75</v>
      </c>
      <c r="F26" s="16">
        <v>56.5612480044365</v>
      </c>
      <c r="K26" s="17"/>
      <c r="M26" s="6"/>
    </row>
    <row r="27" spans="1:13">
      <c r="E27" s="5"/>
      <c r="F27" s="10"/>
      <c r="G27" s="5"/>
      <c r="K27" s="17"/>
      <c r="M27" s="6"/>
    </row>
    <row r="28" spans="1:13">
      <c r="E28" s="5"/>
      <c r="F28" s="10"/>
      <c r="G28" s="5"/>
      <c r="K28" s="17"/>
      <c r="M28" s="6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6:J16"/>
    <mergeCell ref="B3:B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3"/>
  <sheetViews>
    <sheetView workbookViewId="0">
      <selection activeCell="C27" sqref="C27"/>
    </sheetView>
  </sheetViews>
  <sheetFormatPr baseColWidth="10" defaultColWidth="9.1640625" defaultRowHeight="13"/>
  <cols>
    <col min="1" max="1" width="7.33203125" style="5" bestFit="1" customWidth="1"/>
    <col min="2" max="2" width="19.6640625" style="5" customWidth="1"/>
    <col min="3" max="3" width="28.5" style="5" bestFit="1" customWidth="1"/>
    <col min="4" max="4" width="20.83203125" style="5" bestFit="1" customWidth="1"/>
    <col min="5" max="5" width="10.1640625" style="10" bestFit="1" customWidth="1"/>
    <col min="6" max="6" width="37.33203125" style="5" bestFit="1" customWidth="1"/>
    <col min="7" max="10" width="4.6640625" style="17" bestFit="1" customWidth="1"/>
    <col min="11" max="11" width="10.5" style="6" bestFit="1" customWidth="1"/>
    <col min="12" max="12" width="7.6640625" style="6" bestFit="1" customWidth="1"/>
    <col min="13" max="13" width="17" style="5" bestFit="1" customWidth="1"/>
    <col min="14" max="16384" width="9.1640625" style="3"/>
  </cols>
  <sheetData>
    <row r="1" spans="1:13" s="2" customFormat="1" ht="29" customHeight="1">
      <c r="A1" s="55" t="s">
        <v>264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284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130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151</v>
      </c>
      <c r="C6" s="7" t="s">
        <v>273</v>
      </c>
      <c r="D6" s="7" t="s">
        <v>133</v>
      </c>
      <c r="E6" s="8" t="s">
        <v>306</v>
      </c>
      <c r="F6" s="7" t="s">
        <v>286</v>
      </c>
      <c r="G6" s="19" t="s">
        <v>183</v>
      </c>
      <c r="H6" s="19" t="s">
        <v>18</v>
      </c>
      <c r="I6" s="20" t="s">
        <v>68</v>
      </c>
      <c r="J6" s="21"/>
      <c r="K6" s="9" t="str">
        <f>"40,0"</f>
        <v>40,0</v>
      </c>
      <c r="L6" s="9" t="str">
        <f>"33,5320"</f>
        <v>33,5320</v>
      </c>
      <c r="M6" s="7" t="s">
        <v>42</v>
      </c>
    </row>
    <row r="8" spans="1:13" ht="16">
      <c r="A8" s="43" t="s">
        <v>184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9" t="s">
        <v>59</v>
      </c>
      <c r="B9" s="22" t="s">
        <v>210</v>
      </c>
      <c r="C9" s="22" t="s">
        <v>278</v>
      </c>
      <c r="D9" s="22" t="s">
        <v>206</v>
      </c>
      <c r="E9" s="23" t="s">
        <v>305</v>
      </c>
      <c r="F9" s="22" t="s">
        <v>286</v>
      </c>
      <c r="G9" s="30" t="s">
        <v>27</v>
      </c>
      <c r="H9" s="28" t="s">
        <v>27</v>
      </c>
      <c r="I9" s="30" t="s">
        <v>21</v>
      </c>
      <c r="J9" s="29"/>
      <c r="K9" s="24" t="str">
        <f>"75,0"</f>
        <v>75,0</v>
      </c>
      <c r="L9" s="24" t="str">
        <f>"56,5612"</f>
        <v>56,5612</v>
      </c>
      <c r="M9" s="22"/>
    </row>
    <row r="10" spans="1:13">
      <c r="A10" s="32" t="s">
        <v>59</v>
      </c>
      <c r="B10" s="25" t="s">
        <v>210</v>
      </c>
      <c r="C10" s="25" t="s">
        <v>207</v>
      </c>
      <c r="D10" s="25" t="s">
        <v>206</v>
      </c>
      <c r="E10" s="26" t="s">
        <v>300</v>
      </c>
      <c r="F10" s="25" t="s">
        <v>286</v>
      </c>
      <c r="G10" s="33" t="s">
        <v>27</v>
      </c>
      <c r="H10" s="31" t="s">
        <v>27</v>
      </c>
      <c r="I10" s="33" t="s">
        <v>21</v>
      </c>
      <c r="J10" s="32"/>
      <c r="K10" s="27" t="str">
        <f>"75,0"</f>
        <v>75,0</v>
      </c>
      <c r="L10" s="27" t="str">
        <f>"56,5612"</f>
        <v>56,5612</v>
      </c>
      <c r="M10" s="25"/>
    </row>
    <row r="12" spans="1:13" ht="16">
      <c r="A12" s="43" t="s">
        <v>99</v>
      </c>
      <c r="B12" s="43"/>
      <c r="C12" s="44"/>
      <c r="D12" s="44"/>
      <c r="E12" s="44"/>
      <c r="F12" s="44"/>
      <c r="G12" s="44"/>
      <c r="H12" s="44"/>
      <c r="I12" s="44"/>
      <c r="J12" s="44"/>
    </row>
    <row r="13" spans="1:13">
      <c r="A13" s="21" t="s">
        <v>59</v>
      </c>
      <c r="B13" s="7" t="s">
        <v>202</v>
      </c>
      <c r="C13" s="7" t="s">
        <v>208</v>
      </c>
      <c r="D13" s="7" t="s">
        <v>201</v>
      </c>
      <c r="E13" s="8" t="s">
        <v>307</v>
      </c>
      <c r="F13" s="7" t="s">
        <v>289</v>
      </c>
      <c r="G13" s="20" t="s">
        <v>27</v>
      </c>
      <c r="H13" s="19" t="s">
        <v>209</v>
      </c>
      <c r="I13" s="19" t="s">
        <v>21</v>
      </c>
      <c r="J13" s="20" t="s">
        <v>28</v>
      </c>
      <c r="K13" s="9" t="str">
        <f>"80,0"</f>
        <v>80,0</v>
      </c>
      <c r="L13" s="9" t="str">
        <f>"65,0107"</f>
        <v>65,0107</v>
      </c>
      <c r="M13" s="7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22.5" style="5" customWidth="1"/>
    <col min="3" max="3" width="25.33203125" style="5" bestFit="1" customWidth="1"/>
    <col min="4" max="4" width="20.83203125" style="5" bestFit="1" customWidth="1"/>
    <col min="5" max="5" width="10.1640625" style="10" bestFit="1" customWidth="1"/>
    <col min="6" max="6" width="34" style="5" bestFit="1" customWidth="1"/>
    <col min="7" max="14" width="4.5" style="17" customWidth="1"/>
    <col min="15" max="15" width="7.6640625" style="6" bestFit="1" customWidth="1"/>
    <col min="16" max="16" width="7.5" style="6" bestFit="1" customWidth="1"/>
    <col min="17" max="17" width="16.1640625" style="5" bestFit="1" customWidth="1"/>
    <col min="18" max="16384" width="9.1640625" style="3"/>
  </cols>
  <sheetData>
    <row r="1" spans="1:17" s="2" customFormat="1" ht="29" customHeight="1">
      <c r="A1" s="55" t="s">
        <v>267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284</v>
      </c>
      <c r="H3" s="67"/>
      <c r="I3" s="67"/>
      <c r="J3" s="67"/>
      <c r="K3" s="67" t="s">
        <v>297</v>
      </c>
      <c r="L3" s="67"/>
      <c r="M3" s="67"/>
      <c r="N3" s="67"/>
      <c r="O3" s="4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52"/>
    </row>
    <row r="5" spans="1:17" ht="16">
      <c r="A5" s="53" t="s">
        <v>76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21" t="s">
        <v>59</v>
      </c>
      <c r="B6" s="7" t="s">
        <v>247</v>
      </c>
      <c r="C6" s="7" t="s">
        <v>245</v>
      </c>
      <c r="D6" s="7" t="s">
        <v>246</v>
      </c>
      <c r="E6" s="8" t="s">
        <v>300</v>
      </c>
      <c r="F6" s="7" t="s">
        <v>286</v>
      </c>
      <c r="G6" s="20" t="s">
        <v>21</v>
      </c>
      <c r="H6" s="19" t="s">
        <v>21</v>
      </c>
      <c r="I6" s="19" t="s">
        <v>28</v>
      </c>
      <c r="J6" s="21"/>
      <c r="K6" s="19" t="s">
        <v>19</v>
      </c>
      <c r="L6" s="19" t="s">
        <v>221</v>
      </c>
      <c r="M6" s="20" t="s">
        <v>14</v>
      </c>
      <c r="N6" s="21"/>
      <c r="O6" s="9" t="str">
        <f>"145,0"</f>
        <v>145,0</v>
      </c>
      <c r="P6" s="9" t="str">
        <f>"97,6793"</f>
        <v>97,6793</v>
      </c>
      <c r="Q6" s="7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workbookViewId="0">
      <selection activeCell="E10" sqref="E10"/>
    </sheetView>
  </sheetViews>
  <sheetFormatPr baseColWidth="10" defaultColWidth="9.1640625" defaultRowHeight="13"/>
  <cols>
    <col min="1" max="1" width="7.33203125" style="5" bestFit="1" customWidth="1"/>
    <col min="2" max="2" width="20" style="5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35.83203125" style="5" bestFit="1" customWidth="1"/>
    <col min="7" max="9" width="5.6640625" style="17" bestFit="1" customWidth="1"/>
    <col min="10" max="10" width="4.33203125" style="17" bestFit="1" customWidth="1"/>
    <col min="11" max="11" width="10.5" style="6" bestFit="1" customWidth="1"/>
    <col min="12" max="12" width="7.664062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5" t="s">
        <v>268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238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99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237</v>
      </c>
      <c r="C6" s="7" t="s">
        <v>279</v>
      </c>
      <c r="D6" s="7" t="s">
        <v>236</v>
      </c>
      <c r="E6" s="8" t="s">
        <v>304</v>
      </c>
      <c r="F6" s="7" t="s">
        <v>294</v>
      </c>
      <c r="G6" s="19" t="s">
        <v>38</v>
      </c>
      <c r="H6" s="19" t="s">
        <v>79</v>
      </c>
      <c r="I6" s="20" t="s">
        <v>103</v>
      </c>
      <c r="J6" s="21"/>
      <c r="K6" s="9" t="str">
        <f>"102,5"</f>
        <v>102,5</v>
      </c>
      <c r="L6" s="9" t="str">
        <f>"65,4232"</f>
        <v>65,4232</v>
      </c>
      <c r="M6" s="7"/>
    </row>
    <row r="8" spans="1:13" ht="16">
      <c r="A8" s="43" t="s">
        <v>140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1" t="s">
        <v>59</v>
      </c>
      <c r="B9" s="7" t="s">
        <v>197</v>
      </c>
      <c r="C9" s="7" t="s">
        <v>193</v>
      </c>
      <c r="D9" s="7" t="s">
        <v>194</v>
      </c>
      <c r="E9" s="8" t="s">
        <v>300</v>
      </c>
      <c r="F9" s="7" t="s">
        <v>286</v>
      </c>
      <c r="G9" s="19" t="s">
        <v>47</v>
      </c>
      <c r="H9" s="19" t="s">
        <v>26</v>
      </c>
      <c r="I9" s="20" t="s">
        <v>104</v>
      </c>
      <c r="J9" s="21"/>
      <c r="K9" s="9" t="str">
        <f>"135,0"</f>
        <v>135,0</v>
      </c>
      <c r="L9" s="9" t="str">
        <f>"76,0523"</f>
        <v>76,0523</v>
      </c>
      <c r="M9" s="7" t="s">
        <v>248</v>
      </c>
    </row>
    <row r="11" spans="1:13">
      <c r="E11" s="5"/>
      <c r="F11" s="10"/>
      <c r="G11" s="5"/>
      <c r="K11" s="17"/>
      <c r="M11" s="6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33203125" style="5" bestFit="1" customWidth="1"/>
    <col min="2" max="2" width="21.33203125" style="5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30.83203125" style="5" bestFit="1" customWidth="1"/>
    <col min="7" max="10" width="4.5" style="17" customWidth="1"/>
    <col min="11" max="11" width="7.6640625" style="6" bestFit="1" customWidth="1"/>
    <col min="12" max="12" width="7.5" style="6" bestFit="1" customWidth="1"/>
    <col min="13" max="13" width="19.6640625" style="5" bestFit="1" customWidth="1"/>
    <col min="14" max="16384" width="9.1640625" style="3"/>
  </cols>
  <sheetData>
    <row r="1" spans="1:13" s="2" customFormat="1" ht="29" customHeight="1">
      <c r="A1" s="55" t="s">
        <v>269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238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99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240</v>
      </c>
      <c r="C6" s="7" t="s">
        <v>281</v>
      </c>
      <c r="D6" s="7" t="s">
        <v>239</v>
      </c>
      <c r="E6" s="8" t="s">
        <v>304</v>
      </c>
      <c r="F6" s="7" t="s">
        <v>295</v>
      </c>
      <c r="G6" s="20" t="s">
        <v>27</v>
      </c>
      <c r="H6" s="20" t="s">
        <v>27</v>
      </c>
      <c r="I6" s="19" t="s">
        <v>27</v>
      </c>
      <c r="J6" s="21"/>
      <c r="K6" s="9" t="str">
        <f>"75,0"</f>
        <v>75,0</v>
      </c>
      <c r="L6" s="9" t="str">
        <f>"48,5845"</f>
        <v>48,5845</v>
      </c>
      <c r="M6" s="7" t="s">
        <v>170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Лист5">
    <pageSetUpPr fitToPage="1"/>
  </sheetPr>
  <dimension ref="A1:U15"/>
  <sheetViews>
    <sheetView workbookViewId="0">
      <selection activeCell="E16" sqref="E16"/>
    </sheetView>
  </sheetViews>
  <sheetFormatPr baseColWidth="10" defaultColWidth="9.1640625" defaultRowHeight="13"/>
  <cols>
    <col min="1" max="1" width="7.33203125" style="5" bestFit="1" customWidth="1"/>
    <col min="2" max="2" width="19.5" style="5" bestFit="1" customWidth="1"/>
    <col min="3" max="3" width="27.83203125" style="5" customWidth="1"/>
    <col min="4" max="4" width="17.6640625" style="5" customWidth="1"/>
    <col min="5" max="5" width="10.1640625" style="10" bestFit="1" customWidth="1"/>
    <col min="6" max="6" width="37.33203125" style="5" bestFit="1" customWidth="1"/>
    <col min="7" max="9" width="5.6640625" style="17" bestFit="1" customWidth="1"/>
    <col min="10" max="10" width="4.33203125" style="17" bestFit="1" customWidth="1"/>
    <col min="11" max="13" width="4.6640625" style="17" bestFit="1" customWidth="1"/>
    <col min="14" max="14" width="4.33203125" style="17" bestFit="1" customWidth="1"/>
    <col min="15" max="17" width="5.6640625" style="17" bestFit="1" customWidth="1"/>
    <col min="18" max="18" width="4.33203125" style="17" bestFit="1" customWidth="1"/>
    <col min="19" max="19" width="7.1640625" style="18" bestFit="1" customWidth="1"/>
    <col min="20" max="20" width="8.6640625" style="6" bestFit="1" customWidth="1"/>
    <col min="21" max="21" width="17" style="5" bestFit="1" customWidth="1"/>
    <col min="22" max="16384" width="9.1640625" style="3"/>
  </cols>
  <sheetData>
    <row r="1" spans="1:21" s="2" customFormat="1" ht="29" customHeight="1">
      <c r="A1" s="55" t="s">
        <v>252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8</v>
      </c>
      <c r="H3" s="67"/>
      <c r="I3" s="67"/>
      <c r="J3" s="67"/>
      <c r="K3" s="67" t="s">
        <v>9</v>
      </c>
      <c r="L3" s="67"/>
      <c r="M3" s="67"/>
      <c r="N3" s="67"/>
      <c r="O3" s="67" t="s">
        <v>10</v>
      </c>
      <c r="P3" s="67"/>
      <c r="Q3" s="67"/>
      <c r="R3" s="67"/>
      <c r="S3" s="47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50"/>
      <c r="U4" s="52"/>
    </row>
    <row r="5" spans="1:21" ht="16">
      <c r="A5" s="53" t="s">
        <v>11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21" t="s">
        <v>59</v>
      </c>
      <c r="B6" s="7" t="s">
        <v>60</v>
      </c>
      <c r="C6" s="7" t="s">
        <v>12</v>
      </c>
      <c r="D6" s="7" t="s">
        <v>13</v>
      </c>
      <c r="E6" s="8" t="s">
        <v>301</v>
      </c>
      <c r="F6" s="7" t="s">
        <v>286</v>
      </c>
      <c r="G6" s="19" t="s">
        <v>14</v>
      </c>
      <c r="H6" s="20" t="s">
        <v>15</v>
      </c>
      <c r="I6" s="20" t="s">
        <v>15</v>
      </c>
      <c r="J6" s="21"/>
      <c r="K6" s="19" t="s">
        <v>16</v>
      </c>
      <c r="L6" s="19" t="s">
        <v>17</v>
      </c>
      <c r="M6" s="19" t="s">
        <v>18</v>
      </c>
      <c r="N6" s="21"/>
      <c r="O6" s="19" t="s">
        <v>19</v>
      </c>
      <c r="P6" s="19" t="s">
        <v>20</v>
      </c>
      <c r="Q6" s="20" t="s">
        <v>21</v>
      </c>
      <c r="R6" s="21"/>
      <c r="S6" s="40" t="str">
        <f>"175,0"</f>
        <v>175,0</v>
      </c>
      <c r="T6" s="9" t="str">
        <f>"218,1550"</f>
        <v>218,1550</v>
      </c>
      <c r="U6" s="7"/>
    </row>
    <row r="8" spans="1:21" ht="16">
      <c r="A8" s="43" t="s">
        <v>22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21">
      <c r="A9" s="21" t="s">
        <v>59</v>
      </c>
      <c r="B9" s="7" t="s">
        <v>61</v>
      </c>
      <c r="C9" s="7" t="s">
        <v>23</v>
      </c>
      <c r="D9" s="7" t="s">
        <v>24</v>
      </c>
      <c r="E9" s="8" t="s">
        <v>303</v>
      </c>
      <c r="F9" s="7" t="s">
        <v>289</v>
      </c>
      <c r="G9" s="20" t="s">
        <v>25</v>
      </c>
      <c r="H9" s="19" t="s">
        <v>25</v>
      </c>
      <c r="I9" s="19" t="s">
        <v>26</v>
      </c>
      <c r="J9" s="21"/>
      <c r="K9" s="19" t="s">
        <v>27</v>
      </c>
      <c r="L9" s="19" t="s">
        <v>21</v>
      </c>
      <c r="M9" s="20" t="s">
        <v>28</v>
      </c>
      <c r="N9" s="21"/>
      <c r="O9" s="19" t="s">
        <v>29</v>
      </c>
      <c r="P9" s="19" t="s">
        <v>30</v>
      </c>
      <c r="Q9" s="19" t="s">
        <v>31</v>
      </c>
      <c r="R9" s="21"/>
      <c r="S9" s="40" t="str">
        <f>"382,5"</f>
        <v>382,5</v>
      </c>
      <c r="T9" s="9" t="str">
        <f>"410,2466"</f>
        <v>410,2466</v>
      </c>
      <c r="U9" s="7" t="s">
        <v>32</v>
      </c>
    </row>
    <row r="11" spans="1:21" ht="16">
      <c r="A11" s="43" t="s">
        <v>33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21">
      <c r="A12" s="21" t="s">
        <v>59</v>
      </c>
      <c r="B12" s="7" t="s">
        <v>62</v>
      </c>
      <c r="C12" s="7" t="s">
        <v>34</v>
      </c>
      <c r="D12" s="7" t="s">
        <v>35</v>
      </c>
      <c r="E12" s="8" t="s">
        <v>302</v>
      </c>
      <c r="F12" s="7" t="s">
        <v>286</v>
      </c>
      <c r="G12" s="19" t="s">
        <v>36</v>
      </c>
      <c r="H12" s="19" t="s">
        <v>37</v>
      </c>
      <c r="I12" s="19" t="s">
        <v>38</v>
      </c>
      <c r="J12" s="21"/>
      <c r="K12" s="19" t="s">
        <v>39</v>
      </c>
      <c r="L12" s="19" t="s">
        <v>40</v>
      </c>
      <c r="M12" s="20" t="s">
        <v>19</v>
      </c>
      <c r="N12" s="21"/>
      <c r="O12" s="19" t="s">
        <v>37</v>
      </c>
      <c r="P12" s="19" t="s">
        <v>38</v>
      </c>
      <c r="Q12" s="20" t="s">
        <v>41</v>
      </c>
      <c r="R12" s="21"/>
      <c r="S12" s="40" t="str">
        <f>"247,5"</f>
        <v>247,5</v>
      </c>
      <c r="T12" s="9" t="str">
        <f>"178,8930"</f>
        <v>178,8930</v>
      </c>
      <c r="U12" s="7" t="s">
        <v>42</v>
      </c>
    </row>
    <row r="14" spans="1:21" ht="16">
      <c r="A14" s="43" t="s">
        <v>22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21">
      <c r="A15" s="21" t="s">
        <v>63</v>
      </c>
      <c r="B15" s="7" t="s">
        <v>64</v>
      </c>
      <c r="C15" s="7" t="s">
        <v>43</v>
      </c>
      <c r="D15" s="7" t="s">
        <v>44</v>
      </c>
      <c r="E15" s="8" t="s">
        <v>302</v>
      </c>
      <c r="F15" s="7" t="s">
        <v>286</v>
      </c>
      <c r="G15" s="19" t="s">
        <v>45</v>
      </c>
      <c r="H15" s="19" t="s">
        <v>46</v>
      </c>
      <c r="I15" s="20" t="s">
        <v>47</v>
      </c>
      <c r="J15" s="21"/>
      <c r="K15" s="20" t="s">
        <v>20</v>
      </c>
      <c r="L15" s="20" t="s">
        <v>20</v>
      </c>
      <c r="M15" s="20" t="s">
        <v>20</v>
      </c>
      <c r="N15" s="21"/>
      <c r="O15" s="20"/>
      <c r="P15" s="21"/>
      <c r="Q15" s="21"/>
      <c r="R15" s="21"/>
      <c r="S15" s="40">
        <v>0</v>
      </c>
      <c r="T15" s="9" t="str">
        <f>"0,0000"</f>
        <v>0,0000</v>
      </c>
      <c r="U15" s="7" t="s">
        <v>42</v>
      </c>
    </row>
  </sheetData>
  <mergeCells count="17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A11:R11"/>
    <mergeCell ref="A14:R14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24.83203125" style="5" customWidth="1"/>
    <col min="3" max="3" width="27.6640625" style="5" bestFit="1" customWidth="1"/>
    <col min="4" max="4" width="20.83203125" style="5" bestFit="1" customWidth="1"/>
    <col min="5" max="5" width="10.1640625" style="10" bestFit="1" customWidth="1"/>
    <col min="6" max="6" width="37.1640625" style="5" bestFit="1" customWidth="1"/>
    <col min="7" max="10" width="4.5" style="17" customWidth="1"/>
    <col min="11" max="11" width="10.5" style="6" bestFit="1" customWidth="1"/>
    <col min="12" max="12" width="7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5" t="s">
        <v>270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284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184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244</v>
      </c>
      <c r="C6" s="7" t="s">
        <v>282</v>
      </c>
      <c r="D6" s="7" t="s">
        <v>242</v>
      </c>
      <c r="E6" s="8" t="s">
        <v>306</v>
      </c>
      <c r="F6" s="7" t="s">
        <v>288</v>
      </c>
      <c r="G6" s="19" t="s">
        <v>72</v>
      </c>
      <c r="H6" s="19" t="s">
        <v>243</v>
      </c>
      <c r="I6" s="19" t="s">
        <v>39</v>
      </c>
      <c r="J6" s="21"/>
      <c r="K6" s="9" t="str">
        <f>"55,0"</f>
        <v>55,0</v>
      </c>
      <c r="L6" s="9" t="str">
        <f>"42,8835"</f>
        <v>42,8835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15.6640625" style="5" bestFit="1" customWidth="1"/>
    <col min="3" max="3" width="27.6640625" style="5" bestFit="1" customWidth="1"/>
    <col min="4" max="4" width="20.83203125" style="5" bestFit="1" customWidth="1"/>
    <col min="5" max="5" width="10.1640625" style="10" bestFit="1" customWidth="1"/>
    <col min="6" max="6" width="34" style="5" bestFit="1" customWidth="1"/>
    <col min="7" max="10" width="4.5" style="17" customWidth="1"/>
    <col min="11" max="11" width="10.5" style="6" bestFit="1" customWidth="1"/>
    <col min="12" max="12" width="7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5" t="s">
        <v>271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284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22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153</v>
      </c>
      <c r="C6" s="7" t="s">
        <v>283</v>
      </c>
      <c r="D6" s="7" t="s">
        <v>241</v>
      </c>
      <c r="E6" s="8" t="s">
        <v>306</v>
      </c>
      <c r="F6" s="7" t="s">
        <v>286</v>
      </c>
      <c r="G6" s="19" t="s">
        <v>183</v>
      </c>
      <c r="H6" s="19" t="s">
        <v>16</v>
      </c>
      <c r="I6" s="20" t="s">
        <v>159</v>
      </c>
      <c r="J6" s="21"/>
      <c r="K6" s="9" t="str">
        <f>"35,0"</f>
        <v>35,0</v>
      </c>
      <c r="L6" s="9" t="str">
        <f>"21,4550"</f>
        <v>21,4550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9"/>
  <sheetViews>
    <sheetView workbookViewId="0">
      <selection sqref="A1:Q2"/>
    </sheetView>
  </sheetViews>
  <sheetFormatPr baseColWidth="10" defaultColWidth="9.1640625" defaultRowHeight="13"/>
  <cols>
    <col min="1" max="1" width="7.33203125" style="5" bestFit="1" customWidth="1"/>
    <col min="2" max="2" width="19.33203125" style="5" bestFit="1" customWidth="1"/>
    <col min="3" max="3" width="27.83203125" style="5" customWidth="1"/>
    <col min="4" max="4" width="20.83203125" style="5" bestFit="1" customWidth="1"/>
    <col min="5" max="5" width="10.1640625" style="10" bestFit="1" customWidth="1"/>
    <col min="6" max="6" width="37.1640625" style="5" bestFit="1" customWidth="1"/>
    <col min="7" max="9" width="5.6640625" style="17" bestFit="1" customWidth="1"/>
    <col min="10" max="10" width="4.33203125" style="17" bestFit="1" customWidth="1"/>
    <col min="11" max="13" width="5.6640625" style="17" bestFit="1" customWidth="1"/>
    <col min="14" max="14" width="4.33203125" style="17" bestFit="1" customWidth="1"/>
    <col min="15" max="15" width="7.1640625" style="6" bestFit="1" customWidth="1"/>
    <col min="16" max="16" width="8.6640625" style="6" bestFit="1" customWidth="1"/>
    <col min="17" max="17" width="18.33203125" style="5" bestFit="1" customWidth="1"/>
    <col min="18" max="16384" width="9.1640625" style="3"/>
  </cols>
  <sheetData>
    <row r="1" spans="1:17" s="2" customFormat="1" ht="29" customHeight="1">
      <c r="A1" s="55" t="s">
        <v>253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9</v>
      </c>
      <c r="H3" s="67"/>
      <c r="I3" s="67"/>
      <c r="J3" s="67"/>
      <c r="K3" s="67" t="s">
        <v>10</v>
      </c>
      <c r="L3" s="67"/>
      <c r="M3" s="67"/>
      <c r="N3" s="67"/>
      <c r="O3" s="4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52"/>
    </row>
    <row r="5" spans="1:17" ht="16">
      <c r="A5" s="53" t="s">
        <v>33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21" t="s">
        <v>59</v>
      </c>
      <c r="B6" s="7" t="s">
        <v>110</v>
      </c>
      <c r="C6" s="7" t="s">
        <v>69</v>
      </c>
      <c r="D6" s="7" t="s">
        <v>70</v>
      </c>
      <c r="E6" s="8" t="s">
        <v>301</v>
      </c>
      <c r="F6" s="7" t="s">
        <v>286</v>
      </c>
      <c r="G6" s="19" t="s">
        <v>72</v>
      </c>
      <c r="H6" s="19" t="s">
        <v>73</v>
      </c>
      <c r="I6" s="19" t="s">
        <v>68</v>
      </c>
      <c r="J6" s="21"/>
      <c r="K6" s="19" t="s">
        <v>74</v>
      </c>
      <c r="L6" s="19" t="s">
        <v>47</v>
      </c>
      <c r="M6" s="19" t="s">
        <v>25</v>
      </c>
      <c r="N6" s="21"/>
      <c r="O6" s="9" t="str">
        <f>"180,0"</f>
        <v>180,0</v>
      </c>
      <c r="P6" s="9" t="str">
        <f>"175,2120"</f>
        <v>175,2120</v>
      </c>
      <c r="Q6" s="7" t="s">
        <v>75</v>
      </c>
    </row>
    <row r="8" spans="1:17" ht="16">
      <c r="A8" s="43" t="s">
        <v>99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7">
      <c r="A9" s="21" t="s">
        <v>59</v>
      </c>
      <c r="B9" s="7" t="s">
        <v>115</v>
      </c>
      <c r="C9" s="7" t="s">
        <v>101</v>
      </c>
      <c r="D9" s="7" t="s">
        <v>102</v>
      </c>
      <c r="E9" s="8" t="s">
        <v>302</v>
      </c>
      <c r="F9" s="7" t="s">
        <v>288</v>
      </c>
      <c r="G9" s="19" t="s">
        <v>41</v>
      </c>
      <c r="H9" s="19" t="s">
        <v>103</v>
      </c>
      <c r="I9" s="19" t="s">
        <v>74</v>
      </c>
      <c r="J9" s="21"/>
      <c r="K9" s="19" t="s">
        <v>74</v>
      </c>
      <c r="L9" s="19" t="s">
        <v>104</v>
      </c>
      <c r="M9" s="20" t="s">
        <v>97</v>
      </c>
      <c r="N9" s="21"/>
      <c r="O9" s="9" t="str">
        <f>"250,0"</f>
        <v>250,0</v>
      </c>
      <c r="P9" s="9" t="str">
        <f>"153,0750"</f>
        <v>153,0750</v>
      </c>
      <c r="Q9" s="7" t="s">
        <v>105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12"/>
  <sheetViews>
    <sheetView workbookViewId="0">
      <selection activeCell="E13" sqref="E13"/>
    </sheetView>
  </sheetViews>
  <sheetFormatPr baseColWidth="10" defaultColWidth="9.1640625" defaultRowHeight="13"/>
  <cols>
    <col min="1" max="1" width="7.33203125" style="5" bestFit="1" customWidth="1"/>
    <col min="2" max="2" width="22.33203125" style="5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37.33203125" style="5" bestFit="1" customWidth="1"/>
    <col min="7" max="9" width="4.6640625" style="17" bestFit="1" customWidth="1"/>
    <col min="10" max="10" width="4.33203125" style="17" bestFit="1" customWidth="1"/>
    <col min="11" max="13" width="5.6640625" style="17" bestFit="1" customWidth="1"/>
    <col min="14" max="14" width="4.33203125" style="17" bestFit="1" customWidth="1"/>
    <col min="15" max="15" width="7.1640625" style="6" bestFit="1" customWidth="1"/>
    <col min="16" max="16" width="8.6640625" style="6" bestFit="1" customWidth="1"/>
    <col min="17" max="17" width="16.1640625" style="5" bestFit="1" customWidth="1"/>
    <col min="18" max="16384" width="9.1640625" style="3"/>
  </cols>
  <sheetData>
    <row r="1" spans="1:17" s="2" customFormat="1" ht="29" customHeight="1">
      <c r="A1" s="55" t="s">
        <v>254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7</v>
      </c>
      <c r="F3" s="67" t="s">
        <v>5</v>
      </c>
      <c r="G3" s="67" t="s">
        <v>9</v>
      </c>
      <c r="H3" s="67"/>
      <c r="I3" s="67"/>
      <c r="J3" s="67"/>
      <c r="K3" s="67" t="s">
        <v>10</v>
      </c>
      <c r="L3" s="67"/>
      <c r="M3" s="67"/>
      <c r="N3" s="67"/>
      <c r="O3" s="4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52"/>
    </row>
    <row r="5" spans="1:17" ht="16">
      <c r="A5" s="53" t="s">
        <v>180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21" t="s">
        <v>59</v>
      </c>
      <c r="B6" s="7" t="s">
        <v>190</v>
      </c>
      <c r="C6" s="7" t="s">
        <v>181</v>
      </c>
      <c r="D6" s="7" t="s">
        <v>182</v>
      </c>
      <c r="E6" s="8" t="s">
        <v>304</v>
      </c>
      <c r="F6" s="7" t="s">
        <v>289</v>
      </c>
      <c r="G6" s="19" t="s">
        <v>183</v>
      </c>
      <c r="H6" s="20" t="s">
        <v>16</v>
      </c>
      <c r="I6" s="20" t="s">
        <v>16</v>
      </c>
      <c r="J6" s="21"/>
      <c r="K6" s="19" t="s">
        <v>103</v>
      </c>
      <c r="L6" s="19" t="s">
        <v>74</v>
      </c>
      <c r="M6" s="19" t="s">
        <v>87</v>
      </c>
      <c r="N6" s="21"/>
      <c r="O6" s="9" t="str">
        <f>"145,0"</f>
        <v>145,0</v>
      </c>
      <c r="P6" s="9" t="str">
        <f>"122,4819"</f>
        <v>122,4819</v>
      </c>
      <c r="Q6" s="7" t="s">
        <v>32</v>
      </c>
    </row>
    <row r="8" spans="1:17" ht="16">
      <c r="A8" s="43" t="s">
        <v>184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7">
      <c r="A9" s="21" t="s">
        <v>59</v>
      </c>
      <c r="B9" s="7" t="s">
        <v>191</v>
      </c>
      <c r="C9" s="7" t="s">
        <v>185</v>
      </c>
      <c r="D9" s="7" t="s">
        <v>186</v>
      </c>
      <c r="E9" s="8" t="s">
        <v>302</v>
      </c>
      <c r="F9" s="7" t="s">
        <v>286</v>
      </c>
      <c r="G9" s="19" t="s">
        <v>27</v>
      </c>
      <c r="H9" s="20" t="s">
        <v>187</v>
      </c>
      <c r="I9" s="20" t="s">
        <v>187</v>
      </c>
      <c r="J9" s="21"/>
      <c r="K9" s="19" t="s">
        <v>162</v>
      </c>
      <c r="L9" s="19" t="s">
        <v>188</v>
      </c>
      <c r="M9" s="20" t="s">
        <v>29</v>
      </c>
      <c r="N9" s="21"/>
      <c r="O9" s="9" t="str">
        <f>"228,0"</f>
        <v>228,0</v>
      </c>
      <c r="P9" s="9" t="str">
        <f>"179,0256"</f>
        <v>179,0256</v>
      </c>
      <c r="Q9" s="7"/>
    </row>
    <row r="11" spans="1:17" ht="16">
      <c r="A11" s="43" t="s">
        <v>22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7">
      <c r="A12" s="21" t="s">
        <v>59</v>
      </c>
      <c r="B12" s="7" t="s">
        <v>153</v>
      </c>
      <c r="C12" s="7" t="s">
        <v>138</v>
      </c>
      <c r="D12" s="7" t="s">
        <v>139</v>
      </c>
      <c r="E12" s="8" t="s">
        <v>302</v>
      </c>
      <c r="F12" s="7" t="s">
        <v>286</v>
      </c>
      <c r="G12" s="19" t="s">
        <v>20</v>
      </c>
      <c r="H12" s="19" t="s">
        <v>27</v>
      </c>
      <c r="I12" s="19" t="s">
        <v>21</v>
      </c>
      <c r="J12" s="21"/>
      <c r="K12" s="19" t="s">
        <v>74</v>
      </c>
      <c r="L12" s="19" t="s">
        <v>87</v>
      </c>
      <c r="M12" s="19" t="s">
        <v>88</v>
      </c>
      <c r="N12" s="21"/>
      <c r="O12" s="9" t="str">
        <f>"205,0"</f>
        <v>205,0</v>
      </c>
      <c r="P12" s="9" t="str">
        <f>"132,4915"</f>
        <v>132,4915</v>
      </c>
      <c r="Q12" s="7"/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33203125" style="5" bestFit="1" customWidth="1"/>
    <col min="2" max="2" width="20.33203125" style="5" bestFit="1" customWidth="1"/>
    <col min="3" max="3" width="26.5" style="5" bestFit="1" customWidth="1"/>
    <col min="4" max="4" width="20.83203125" style="5" bestFit="1" customWidth="1"/>
    <col min="5" max="5" width="10.1640625" style="10" bestFit="1" customWidth="1"/>
    <col min="6" max="6" width="37.1640625" style="5" bestFit="1" customWidth="1"/>
    <col min="7" max="9" width="4.6640625" style="17" bestFit="1" customWidth="1"/>
    <col min="10" max="10" width="4.33203125" style="17" bestFit="1" customWidth="1"/>
    <col min="11" max="11" width="10.5" style="6" bestFit="1" customWidth="1"/>
    <col min="12" max="12" width="7.664062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5" t="s">
        <v>255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8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11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165</v>
      </c>
      <c r="C6" s="7" t="s">
        <v>157</v>
      </c>
      <c r="D6" s="7" t="s">
        <v>158</v>
      </c>
      <c r="E6" s="8" t="s">
        <v>302</v>
      </c>
      <c r="F6" s="7" t="s">
        <v>288</v>
      </c>
      <c r="G6" s="19" t="s">
        <v>68</v>
      </c>
      <c r="H6" s="19" t="s">
        <v>39</v>
      </c>
      <c r="I6" s="20" t="s">
        <v>40</v>
      </c>
      <c r="J6" s="21"/>
      <c r="K6" s="9" t="str">
        <f>"55,0"</f>
        <v>55,0</v>
      </c>
      <c r="L6" s="9" t="str">
        <f>"70,2625"</f>
        <v>70,2625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33203125" style="5" bestFit="1" customWidth="1"/>
    <col min="2" max="2" width="20.33203125" style="5" bestFit="1" customWidth="1"/>
    <col min="3" max="3" width="27.83203125" style="5" customWidth="1"/>
    <col min="4" max="4" width="20.83203125" style="5" bestFit="1" customWidth="1"/>
    <col min="5" max="5" width="10.1640625" style="10" bestFit="1" customWidth="1"/>
    <col min="6" max="6" width="37.1640625" style="5" bestFit="1" customWidth="1"/>
    <col min="7" max="9" width="5.6640625" style="17" bestFit="1" customWidth="1"/>
    <col min="10" max="10" width="4.33203125" style="17" bestFit="1" customWidth="1"/>
    <col min="11" max="11" width="10.5" style="18" bestFit="1" customWidth="1"/>
    <col min="12" max="12" width="8.5" style="6" bestFit="1" customWidth="1"/>
    <col min="13" max="13" width="18.33203125" style="5" bestFit="1" customWidth="1"/>
    <col min="14" max="16384" width="9.1640625" style="3"/>
  </cols>
  <sheetData>
    <row r="1" spans="1:13" s="2" customFormat="1" ht="29" customHeight="1">
      <c r="A1" s="55" t="s">
        <v>256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9</v>
      </c>
      <c r="H3" s="67"/>
      <c r="I3" s="67"/>
      <c r="J3" s="67"/>
      <c r="K3" s="47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8"/>
      <c r="L4" s="50"/>
      <c r="M4" s="52"/>
    </row>
    <row r="5" spans="1:13" ht="16">
      <c r="A5" s="53" t="s">
        <v>33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110</v>
      </c>
      <c r="C6" s="7" t="s">
        <v>69</v>
      </c>
      <c r="D6" s="7" t="s">
        <v>156</v>
      </c>
      <c r="E6" s="8" t="s">
        <v>301</v>
      </c>
      <c r="F6" s="7" t="s">
        <v>286</v>
      </c>
      <c r="G6" s="19" t="s">
        <v>72</v>
      </c>
      <c r="H6" s="19" t="s">
        <v>73</v>
      </c>
      <c r="I6" s="19" t="s">
        <v>68</v>
      </c>
      <c r="J6" s="21"/>
      <c r="K6" s="40" t="str">
        <f>"50,0"</f>
        <v>50,0</v>
      </c>
      <c r="L6" s="9" t="str">
        <f>"47,9350"</f>
        <v>47,9350</v>
      </c>
      <c r="M6" s="7" t="s">
        <v>75</v>
      </c>
    </row>
    <row r="8" spans="1:13" ht="16">
      <c r="A8" s="43" t="s">
        <v>11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1" t="s">
        <v>63</v>
      </c>
      <c r="B9" s="7" t="s">
        <v>165</v>
      </c>
      <c r="C9" s="7" t="s">
        <v>157</v>
      </c>
      <c r="D9" s="7" t="s">
        <v>158</v>
      </c>
      <c r="E9" s="8" t="s">
        <v>302</v>
      </c>
      <c r="F9" s="7" t="s">
        <v>288</v>
      </c>
      <c r="G9" s="20" t="s">
        <v>159</v>
      </c>
      <c r="H9" s="20" t="s">
        <v>159</v>
      </c>
      <c r="I9" s="20" t="s">
        <v>159</v>
      </c>
      <c r="J9" s="21"/>
      <c r="K9" s="40">
        <v>0</v>
      </c>
      <c r="L9" s="9" t="str">
        <f>"0,0000"</f>
        <v>0,0000</v>
      </c>
      <c r="M9" s="7"/>
    </row>
    <row r="11" spans="1:13" ht="16">
      <c r="A11" s="43" t="s">
        <v>99</v>
      </c>
      <c r="B11" s="43"/>
      <c r="C11" s="44"/>
      <c r="D11" s="44"/>
      <c r="E11" s="44"/>
      <c r="F11" s="44"/>
      <c r="G11" s="44"/>
      <c r="H11" s="44"/>
      <c r="I11" s="44"/>
      <c r="J11" s="44"/>
    </row>
    <row r="12" spans="1:13">
      <c r="A12" s="21" t="s">
        <v>59</v>
      </c>
      <c r="B12" s="7" t="s">
        <v>166</v>
      </c>
      <c r="C12" s="7" t="s">
        <v>160</v>
      </c>
      <c r="D12" s="7" t="s">
        <v>161</v>
      </c>
      <c r="E12" s="8" t="s">
        <v>300</v>
      </c>
      <c r="F12" s="7" t="s">
        <v>286</v>
      </c>
      <c r="G12" s="19" t="s">
        <v>104</v>
      </c>
      <c r="H12" s="20" t="s">
        <v>162</v>
      </c>
      <c r="I12" s="20" t="s">
        <v>162</v>
      </c>
      <c r="J12" s="21"/>
      <c r="K12" s="40" t="str">
        <f>"140,0"</f>
        <v>140,0</v>
      </c>
      <c r="L12" s="9" t="str">
        <f>"85,8340"</f>
        <v>85,8340</v>
      </c>
      <c r="M12" s="7"/>
    </row>
    <row r="14" spans="1:13" ht="16">
      <c r="A14" s="43" t="s">
        <v>116</v>
      </c>
      <c r="B14" s="43"/>
      <c r="C14" s="44"/>
      <c r="D14" s="44"/>
      <c r="E14" s="44"/>
      <c r="F14" s="44"/>
      <c r="G14" s="44"/>
      <c r="H14" s="44"/>
      <c r="I14" s="44"/>
      <c r="J14" s="44"/>
    </row>
    <row r="15" spans="1:13">
      <c r="A15" s="21" t="s">
        <v>59</v>
      </c>
      <c r="B15" s="7" t="s">
        <v>167</v>
      </c>
      <c r="C15" s="7" t="s">
        <v>163</v>
      </c>
      <c r="D15" s="7" t="s">
        <v>164</v>
      </c>
      <c r="E15" s="8" t="s">
        <v>305</v>
      </c>
      <c r="F15" s="7" t="s">
        <v>288</v>
      </c>
      <c r="G15" s="19" t="s">
        <v>86</v>
      </c>
      <c r="H15" s="20" t="s">
        <v>98</v>
      </c>
      <c r="I15" s="20" t="s">
        <v>98</v>
      </c>
      <c r="J15" s="21"/>
      <c r="K15" s="40" t="str">
        <f>"190,0"</f>
        <v>190,0</v>
      </c>
      <c r="L15" s="9" t="str">
        <f>"108,4520"</f>
        <v>108,4520</v>
      </c>
      <c r="M15" s="7"/>
    </row>
    <row r="16" spans="1:13" ht="15.75" customHeight="1"/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33"/>
  <sheetViews>
    <sheetView workbookViewId="0">
      <selection activeCell="E25" sqref="E25"/>
    </sheetView>
  </sheetViews>
  <sheetFormatPr baseColWidth="10" defaultColWidth="9.1640625" defaultRowHeight="13"/>
  <cols>
    <col min="1" max="1" width="7.33203125" style="5" bestFit="1" customWidth="1"/>
    <col min="2" max="2" width="20.33203125" style="5" bestFit="1" customWidth="1"/>
    <col min="3" max="3" width="27.83203125" style="5" customWidth="1"/>
    <col min="4" max="4" width="20.83203125" style="5" bestFit="1" customWidth="1"/>
    <col min="5" max="5" width="10.1640625" style="10" bestFit="1" customWidth="1"/>
    <col min="6" max="6" width="37.1640625" style="5" bestFit="1" customWidth="1"/>
    <col min="7" max="9" width="5.6640625" style="17" bestFit="1" customWidth="1"/>
    <col min="10" max="10" width="4.6640625" style="17" bestFit="1" customWidth="1"/>
    <col min="11" max="11" width="10.5" style="18" bestFit="1" customWidth="1"/>
    <col min="12" max="12" width="8.6640625" style="6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55" t="s">
        <v>257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9</v>
      </c>
      <c r="H3" s="67"/>
      <c r="I3" s="67"/>
      <c r="J3" s="67"/>
      <c r="K3" s="47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48"/>
      <c r="L4" s="50"/>
      <c r="M4" s="52"/>
    </row>
    <row r="5" spans="1:13" ht="16">
      <c r="A5" s="53" t="s">
        <v>11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60</v>
      </c>
      <c r="C6" s="7" t="s">
        <v>12</v>
      </c>
      <c r="D6" s="7" t="s">
        <v>13</v>
      </c>
      <c r="E6" s="8" t="s">
        <v>301</v>
      </c>
      <c r="F6" s="7" t="s">
        <v>286</v>
      </c>
      <c r="G6" s="19" t="s">
        <v>16</v>
      </c>
      <c r="H6" s="19" t="s">
        <v>17</v>
      </c>
      <c r="I6" s="19" t="s">
        <v>18</v>
      </c>
      <c r="J6" s="21"/>
      <c r="K6" s="40" t="str">
        <f>"40,0"</f>
        <v>40,0</v>
      </c>
      <c r="L6" s="9" t="str">
        <f>"49,8640"</f>
        <v>49,8640</v>
      </c>
      <c r="M6" s="7"/>
    </row>
    <row r="8" spans="1:13" ht="16">
      <c r="A8" s="43" t="s">
        <v>22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1" t="s">
        <v>59</v>
      </c>
      <c r="B9" s="7" t="s">
        <v>150</v>
      </c>
      <c r="C9" s="7" t="s">
        <v>126</v>
      </c>
      <c r="D9" s="7" t="s">
        <v>127</v>
      </c>
      <c r="E9" s="8" t="s">
        <v>303</v>
      </c>
      <c r="F9" s="7" t="s">
        <v>288</v>
      </c>
      <c r="G9" s="19" t="s">
        <v>128</v>
      </c>
      <c r="H9" s="19" t="s">
        <v>71</v>
      </c>
      <c r="I9" s="19" t="s">
        <v>38</v>
      </c>
      <c r="J9" s="19" t="s">
        <v>129</v>
      </c>
      <c r="K9" s="40" t="str">
        <f>"95,0"</f>
        <v>95,0</v>
      </c>
      <c r="L9" s="9" t="str">
        <f>"102,0892"</f>
        <v>102,0892</v>
      </c>
      <c r="M9" s="7"/>
    </row>
    <row r="11" spans="1:13" ht="16">
      <c r="A11" s="43" t="s">
        <v>130</v>
      </c>
      <c r="B11" s="43"/>
      <c r="C11" s="44"/>
      <c r="D11" s="44"/>
      <c r="E11" s="44"/>
      <c r="F11" s="44"/>
      <c r="G11" s="44"/>
      <c r="H11" s="44"/>
      <c r="I11" s="44"/>
      <c r="J11" s="44"/>
    </row>
    <row r="12" spans="1:13">
      <c r="A12" s="21" t="s">
        <v>59</v>
      </c>
      <c r="B12" s="7" t="s">
        <v>151</v>
      </c>
      <c r="C12" s="7" t="s">
        <v>132</v>
      </c>
      <c r="D12" s="7" t="s">
        <v>133</v>
      </c>
      <c r="E12" s="8" t="s">
        <v>301</v>
      </c>
      <c r="F12" s="7" t="s">
        <v>286</v>
      </c>
      <c r="G12" s="19" t="s">
        <v>20</v>
      </c>
      <c r="H12" s="19" t="s">
        <v>27</v>
      </c>
      <c r="I12" s="20" t="s">
        <v>21</v>
      </c>
      <c r="J12" s="21"/>
      <c r="K12" s="40" t="str">
        <f>"75,0"</f>
        <v>75,0</v>
      </c>
      <c r="L12" s="9" t="str">
        <f>"64,3575"</f>
        <v>64,3575</v>
      </c>
      <c r="M12" s="7" t="s">
        <v>42</v>
      </c>
    </row>
    <row r="14" spans="1:13" ht="16">
      <c r="A14" s="43" t="s">
        <v>33</v>
      </c>
      <c r="B14" s="43"/>
      <c r="C14" s="44"/>
      <c r="D14" s="44"/>
      <c r="E14" s="44"/>
      <c r="F14" s="44"/>
      <c r="G14" s="44"/>
      <c r="H14" s="44"/>
      <c r="I14" s="44"/>
      <c r="J14" s="44"/>
    </row>
    <row r="15" spans="1:13">
      <c r="A15" s="21" t="s">
        <v>59</v>
      </c>
      <c r="B15" s="7" t="s">
        <v>152</v>
      </c>
      <c r="C15" s="7" t="s">
        <v>135</v>
      </c>
      <c r="D15" s="7" t="s">
        <v>136</v>
      </c>
      <c r="E15" s="8" t="s">
        <v>300</v>
      </c>
      <c r="F15" s="7" t="s">
        <v>288</v>
      </c>
      <c r="G15" s="19" t="s">
        <v>74</v>
      </c>
      <c r="H15" s="19" t="s">
        <v>88</v>
      </c>
      <c r="I15" s="19" t="s">
        <v>137</v>
      </c>
      <c r="J15" s="21"/>
      <c r="K15" s="40" t="str">
        <f>"132,5"</f>
        <v>132,5</v>
      </c>
      <c r="L15" s="9" t="str">
        <f>"98,2355"</f>
        <v>98,2355</v>
      </c>
      <c r="M15" s="7"/>
    </row>
    <row r="17" spans="1:13" ht="16">
      <c r="A17" s="43" t="s">
        <v>22</v>
      </c>
      <c r="B17" s="43"/>
      <c r="C17" s="44"/>
      <c r="D17" s="44"/>
      <c r="E17" s="44"/>
      <c r="F17" s="44"/>
      <c r="G17" s="44"/>
      <c r="H17" s="44"/>
      <c r="I17" s="44"/>
      <c r="J17" s="44"/>
    </row>
    <row r="18" spans="1:13">
      <c r="A18" s="21" t="s">
        <v>59</v>
      </c>
      <c r="B18" s="7" t="s">
        <v>153</v>
      </c>
      <c r="C18" s="7" t="s">
        <v>138</v>
      </c>
      <c r="D18" s="7" t="s">
        <v>139</v>
      </c>
      <c r="E18" s="8" t="s">
        <v>302</v>
      </c>
      <c r="F18" s="7" t="s">
        <v>286</v>
      </c>
      <c r="G18" s="19" t="s">
        <v>20</v>
      </c>
      <c r="H18" s="19" t="s">
        <v>27</v>
      </c>
      <c r="I18" s="19" t="s">
        <v>21</v>
      </c>
      <c r="J18" s="21"/>
      <c r="K18" s="40" t="str">
        <f>"80,0"</f>
        <v>80,0</v>
      </c>
      <c r="L18" s="9" t="str">
        <f>"51,7040"</f>
        <v>51,7040</v>
      </c>
      <c r="M18" s="7"/>
    </row>
    <row r="20" spans="1:13" ht="16">
      <c r="A20" s="43" t="s">
        <v>140</v>
      </c>
      <c r="B20" s="43"/>
      <c r="C20" s="44"/>
      <c r="D20" s="44"/>
      <c r="E20" s="44"/>
      <c r="F20" s="44"/>
      <c r="G20" s="44"/>
      <c r="H20" s="44"/>
      <c r="I20" s="44"/>
      <c r="J20" s="44"/>
    </row>
    <row r="21" spans="1:13">
      <c r="A21" s="21" t="s">
        <v>59</v>
      </c>
      <c r="B21" s="7" t="s">
        <v>154</v>
      </c>
      <c r="C21" s="7" t="s">
        <v>142</v>
      </c>
      <c r="D21" s="7" t="s">
        <v>143</v>
      </c>
      <c r="E21" s="8" t="s">
        <v>300</v>
      </c>
      <c r="F21" s="7" t="s">
        <v>290</v>
      </c>
      <c r="G21" s="19" t="s">
        <v>144</v>
      </c>
      <c r="H21" s="19" t="s">
        <v>97</v>
      </c>
      <c r="I21" s="20" t="s">
        <v>86</v>
      </c>
      <c r="J21" s="21"/>
      <c r="K21" s="40" t="str">
        <f>"180,0"</f>
        <v>180,0</v>
      </c>
      <c r="L21" s="9" t="str">
        <f>"105,9300"</f>
        <v>105,9300</v>
      </c>
      <c r="M21" s="7"/>
    </row>
    <row r="23" spans="1:13" ht="16">
      <c r="A23" s="43" t="s">
        <v>116</v>
      </c>
      <c r="B23" s="43"/>
      <c r="C23" s="44"/>
      <c r="D23" s="44"/>
      <c r="E23" s="44"/>
      <c r="F23" s="44"/>
      <c r="G23" s="44"/>
      <c r="H23" s="44"/>
      <c r="I23" s="44"/>
      <c r="J23" s="44"/>
    </row>
    <row r="24" spans="1:13">
      <c r="A24" s="21" t="s">
        <v>63</v>
      </c>
      <c r="B24" s="7" t="s">
        <v>155</v>
      </c>
      <c r="C24" s="7" t="s">
        <v>145</v>
      </c>
      <c r="D24" s="7" t="s">
        <v>146</v>
      </c>
      <c r="E24" s="8" t="s">
        <v>300</v>
      </c>
      <c r="F24" s="7" t="s">
        <v>288</v>
      </c>
      <c r="G24" s="20" t="s">
        <v>147</v>
      </c>
      <c r="H24" s="20" t="s">
        <v>147</v>
      </c>
      <c r="I24" s="20" t="s">
        <v>147</v>
      </c>
      <c r="J24" s="21"/>
      <c r="K24" s="40">
        <v>0</v>
      </c>
      <c r="L24" s="9" t="str">
        <f>"0,0000"</f>
        <v>0,0000</v>
      </c>
      <c r="M24" s="7" t="s">
        <v>249</v>
      </c>
    </row>
    <row r="26" spans="1:13">
      <c r="G26" s="5"/>
      <c r="M26" s="6"/>
    </row>
    <row r="27" spans="1:13">
      <c r="M27" s="6"/>
    </row>
    <row r="28" spans="1:13" ht="18">
      <c r="B28" s="12" t="s">
        <v>49</v>
      </c>
      <c r="C28" s="12"/>
      <c r="M28" s="6"/>
    </row>
    <row r="29" spans="1:13" ht="16">
      <c r="B29" s="13" t="s">
        <v>56</v>
      </c>
      <c r="C29" s="13"/>
      <c r="M29" s="6"/>
    </row>
    <row r="30" spans="1:13" ht="14">
      <c r="B30" s="14" t="s">
        <v>50</v>
      </c>
      <c r="C30" s="14" t="s">
        <v>51</v>
      </c>
      <c r="D30" s="14" t="s">
        <v>250</v>
      </c>
      <c r="E30" s="15" t="s">
        <v>122</v>
      </c>
      <c r="F30" s="14" t="s">
        <v>53</v>
      </c>
      <c r="M30" s="6"/>
    </row>
    <row r="31" spans="1:13">
      <c r="B31" s="5" t="s">
        <v>141</v>
      </c>
      <c r="C31" s="5" t="s">
        <v>106</v>
      </c>
      <c r="D31" s="17" t="s">
        <v>149</v>
      </c>
      <c r="E31" s="18">
        <v>180</v>
      </c>
      <c r="F31" s="16">
        <v>105.930004119873</v>
      </c>
      <c r="M31" s="6"/>
    </row>
    <row r="32" spans="1:13">
      <c r="B32" s="5" t="s">
        <v>134</v>
      </c>
      <c r="C32" s="5" t="s">
        <v>106</v>
      </c>
      <c r="D32" s="17" t="s">
        <v>58</v>
      </c>
      <c r="E32" s="18">
        <v>132.5</v>
      </c>
      <c r="F32" s="16">
        <v>98.235500454902606</v>
      </c>
      <c r="M32" s="6"/>
    </row>
    <row r="33" spans="2:6">
      <c r="B33" s="5" t="s">
        <v>131</v>
      </c>
      <c r="C33" s="5" t="s">
        <v>54</v>
      </c>
      <c r="D33" s="17" t="s">
        <v>148</v>
      </c>
      <c r="E33" s="18">
        <v>75</v>
      </c>
      <c r="F33" s="16">
        <v>64.357499778270693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3:J23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0:J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33203125" style="5" bestFit="1" customWidth="1"/>
    <col min="2" max="2" width="19.3320312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35.6640625" style="5" customWidth="1"/>
    <col min="7" max="9" width="5.5" style="17" customWidth="1"/>
    <col min="10" max="10" width="4.5" style="17" customWidth="1"/>
    <col min="11" max="11" width="10.5" style="6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5" t="s">
        <v>258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9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140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170</v>
      </c>
      <c r="C6" s="7" t="s">
        <v>168</v>
      </c>
      <c r="D6" s="7" t="s">
        <v>169</v>
      </c>
      <c r="E6" s="8" t="s">
        <v>304</v>
      </c>
      <c r="F6" s="7" t="s">
        <v>290</v>
      </c>
      <c r="G6" s="19" t="s">
        <v>84</v>
      </c>
      <c r="H6" s="19" t="s">
        <v>85</v>
      </c>
      <c r="I6" s="19" t="s">
        <v>86</v>
      </c>
      <c r="J6" s="21"/>
      <c r="K6" s="9" t="str">
        <f>"190,0"</f>
        <v>190,0</v>
      </c>
      <c r="L6" s="9" t="str">
        <f>"112,1133"</f>
        <v>112,1133</v>
      </c>
      <c r="M6" s="7"/>
    </row>
    <row r="8" spans="1:13" ht="16">
      <c r="A8" s="43" t="s">
        <v>116</v>
      </c>
      <c r="B8" s="43"/>
      <c r="C8" s="44"/>
      <c r="D8" s="44"/>
      <c r="E8" s="44"/>
      <c r="F8" s="44"/>
      <c r="G8" s="44"/>
      <c r="H8" s="44"/>
      <c r="I8" s="44"/>
      <c r="J8" s="44"/>
    </row>
    <row r="9" spans="1:13">
      <c r="A9" s="21" t="s">
        <v>59</v>
      </c>
      <c r="B9" s="7" t="s">
        <v>125</v>
      </c>
      <c r="C9" s="7" t="s">
        <v>117</v>
      </c>
      <c r="D9" s="7" t="s">
        <v>118</v>
      </c>
      <c r="E9" s="8" t="s">
        <v>300</v>
      </c>
      <c r="F9" s="7" t="s">
        <v>290</v>
      </c>
      <c r="G9" s="19" t="s">
        <v>119</v>
      </c>
      <c r="H9" s="19" t="s">
        <v>120</v>
      </c>
      <c r="I9" s="19" t="s">
        <v>121</v>
      </c>
      <c r="J9" s="21"/>
      <c r="K9" s="9" t="str">
        <f>"290,0"</f>
        <v>290,0</v>
      </c>
      <c r="L9" s="9" t="str">
        <f>"158,6880"</f>
        <v>158,6880</v>
      </c>
      <c r="M9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21" style="5" customWidth="1"/>
    <col min="3" max="3" width="25.33203125" style="5" bestFit="1" customWidth="1"/>
    <col min="4" max="4" width="20.83203125" style="5" bestFit="1" customWidth="1"/>
    <col min="5" max="5" width="10.1640625" style="10" bestFit="1" customWidth="1"/>
    <col min="6" max="6" width="30.33203125" style="5" bestFit="1" customWidth="1"/>
    <col min="7" max="9" width="5.6640625" style="17" bestFit="1" customWidth="1"/>
    <col min="10" max="10" width="4.33203125" style="17" bestFit="1" customWidth="1"/>
    <col min="11" max="11" width="10.5" style="6" bestFit="1" customWidth="1"/>
    <col min="12" max="12" width="8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55" t="s">
        <v>259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296</v>
      </c>
      <c r="B3" s="45" t="s">
        <v>0</v>
      </c>
      <c r="C3" s="65" t="s">
        <v>298</v>
      </c>
      <c r="D3" s="65" t="s">
        <v>6</v>
      </c>
      <c r="E3" s="49" t="s">
        <v>299</v>
      </c>
      <c r="F3" s="67" t="s">
        <v>5</v>
      </c>
      <c r="G3" s="67" t="s">
        <v>9</v>
      </c>
      <c r="H3" s="67"/>
      <c r="I3" s="67"/>
      <c r="J3" s="67"/>
      <c r="K3" s="49" t="s">
        <v>124</v>
      </c>
      <c r="L3" s="49" t="s">
        <v>3</v>
      </c>
      <c r="M3" s="51" t="s">
        <v>2</v>
      </c>
    </row>
    <row r="4" spans="1:13" s="1" customFormat="1" ht="21" customHeight="1" thickBot="1">
      <c r="A4" s="64"/>
      <c r="B4" s="46"/>
      <c r="C4" s="66"/>
      <c r="D4" s="66"/>
      <c r="E4" s="50"/>
      <c r="F4" s="66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116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21" t="s">
        <v>59</v>
      </c>
      <c r="B6" s="7" t="s">
        <v>125</v>
      </c>
      <c r="C6" s="7" t="s">
        <v>117</v>
      </c>
      <c r="D6" s="7" t="s">
        <v>118</v>
      </c>
      <c r="E6" s="8" t="s">
        <v>300</v>
      </c>
      <c r="F6" s="7" t="s">
        <v>290</v>
      </c>
      <c r="G6" s="19" t="s">
        <v>119</v>
      </c>
      <c r="H6" s="19" t="s">
        <v>120</v>
      </c>
      <c r="I6" s="19" t="s">
        <v>121</v>
      </c>
      <c r="J6" s="21"/>
      <c r="K6" s="9" t="str">
        <f>"290,0"</f>
        <v>290,0</v>
      </c>
      <c r="L6" s="9" t="str">
        <f>"158,6880"</f>
        <v>158,6880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WRPF ПЛ без экипировки ДК</vt:lpstr>
      <vt:lpstr>WRPF ПЛ без экипировки</vt:lpstr>
      <vt:lpstr>WRPF Двоеборье без экип ДК</vt:lpstr>
      <vt:lpstr>WRPF Двоеборье без экип</vt:lpstr>
      <vt:lpstr>WRPF Присед бэ ДК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WRPF Экст.подъем на бицепс ДК</vt:lpstr>
      <vt:lpstr>WRPF Экст. подъем на бицепс</vt:lpstr>
      <vt:lpstr>СПР Пауэрспорт ДК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2024-11-13T14:30:23Z</dcterms:modified>
</cp:coreProperties>
</file>