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Ноябрь/"/>
    </mc:Choice>
  </mc:AlternateContent>
  <xr:revisionPtr revIDLastSave="0" documentId="13_ncr:1_{75C9C6D4-C444-E442-A9DD-9B5EFA5D5274}" xr6:coauthVersionLast="45" xr6:coauthVersionMax="45" xr10:uidLastSave="{00000000-0000-0000-0000-000000000000}"/>
  <bookViews>
    <workbookView xWindow="0" yWindow="460" windowWidth="28800" windowHeight="16060" firstSheet="2" activeTab="7" xr2:uid="{00000000-000D-0000-FFFF-FFFF00000000}"/>
  </bookViews>
  <sheets>
    <sheet name="IPL Жим без экипировки" sheetId="43" r:id="rId1"/>
    <sheet name="IPL Тяга без экипировки" sheetId="44" r:id="rId2"/>
    <sheet name="СПР Жим софт однопетельная" sheetId="46" r:id="rId3"/>
    <sheet name="СПР Жим софт многопетельная" sheetId="47" r:id="rId4"/>
    <sheet name="СПР Пауэрспорт" sheetId="54" r:id="rId5"/>
    <sheet name="ФЖД ЖД Любители" sheetId="5" r:id="rId6"/>
    <sheet name="ФЖД ЖД Армейский жим" sheetId="32" r:id="rId7"/>
    <sheet name="ФЖД Любители жим на макс." sheetId="6" r:id="rId8"/>
  </sheets>
  <definedNames>
    <definedName name="_FilterDatabase" localSheetId="5" hidden="1">'ФЖД ЖД Любители'!$A$1:$M$3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54" l="1"/>
  <c r="O10" i="54"/>
  <c r="P7" i="54"/>
  <c r="O7" i="54"/>
  <c r="P6" i="54"/>
  <c r="O6" i="54"/>
  <c r="L6" i="47"/>
  <c r="K6" i="47"/>
  <c r="L15" i="46"/>
  <c r="K15" i="46"/>
  <c r="L14" i="46"/>
  <c r="K14" i="46"/>
  <c r="L13" i="46"/>
  <c r="K13" i="46"/>
  <c r="L12" i="46"/>
  <c r="K12" i="46"/>
  <c r="L9" i="46"/>
  <c r="K9" i="46"/>
  <c r="L6" i="46"/>
  <c r="L27" i="44"/>
  <c r="K27" i="44"/>
  <c r="L24" i="44"/>
  <c r="K24" i="44"/>
  <c r="L21" i="44"/>
  <c r="K21" i="44"/>
  <c r="L18" i="44"/>
  <c r="K18" i="44"/>
  <c r="L15" i="44"/>
  <c r="K15" i="44"/>
  <c r="L12" i="44"/>
  <c r="K12" i="44"/>
  <c r="L9" i="44"/>
  <c r="K9" i="44"/>
  <c r="L6" i="44"/>
  <c r="K6" i="44"/>
  <c r="L16" i="43"/>
  <c r="L15" i="43"/>
  <c r="K15" i="43"/>
  <c r="L12" i="43"/>
  <c r="K12" i="43"/>
  <c r="L11" i="43"/>
  <c r="K11" i="43"/>
  <c r="L10" i="43"/>
  <c r="K10" i="43"/>
  <c r="L9" i="43"/>
  <c r="K9" i="43"/>
  <c r="L6" i="43"/>
  <c r="K6" i="43"/>
  <c r="N6" i="32"/>
  <c r="M6" i="32"/>
  <c r="L12" i="6"/>
  <c r="K12" i="6"/>
  <c r="L9" i="6"/>
  <c r="K9" i="6"/>
  <c r="L6" i="6"/>
  <c r="K6" i="6"/>
  <c r="N10" i="5"/>
  <c r="M10" i="5"/>
  <c r="N9" i="5"/>
  <c r="M9" i="5"/>
  <c r="N6" i="5"/>
  <c r="M6" i="5"/>
</calcChain>
</file>

<file path=xl/sharedStrings.xml><?xml version="1.0" encoding="utf-8"?>
<sst xmlns="http://schemas.openxmlformats.org/spreadsheetml/2006/main" count="464" uniqueCount="194">
  <si>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</si>
  <si>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</si>
  <si>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</si>
  <si>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</si>
  <si>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</si>
  <si>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</si>
  <si>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</si>
  <si>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</si>
  <si>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</si>
  <si>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Жим лёжа</t>
  </si>
  <si>
    <t>ВЕСОВАЯ КАТЕГОРИЯ   100</t>
  </si>
  <si>
    <t>Алексеев Александр</t>
  </si>
  <si>
    <t>Открытая (09.12.1986)/33</t>
  </si>
  <si>
    <t>98,50</t>
  </si>
  <si>
    <t xml:space="preserve">Москва </t>
  </si>
  <si>
    <t>155,0</t>
  </si>
  <si>
    <t>162,5</t>
  </si>
  <si>
    <t>50,0</t>
  </si>
  <si>
    <t>70,0</t>
  </si>
  <si>
    <t>ВЕСОВАЯ КАТЕГОРИЯ   110</t>
  </si>
  <si>
    <t>Климов Роман</t>
  </si>
  <si>
    <t>Открытая (24.12.1981)/38</t>
  </si>
  <si>
    <t>109,00</t>
  </si>
  <si>
    <t>150,0</t>
  </si>
  <si>
    <t>160,0</t>
  </si>
  <si>
    <t>165,0</t>
  </si>
  <si>
    <t>110,0</t>
  </si>
  <si>
    <t xml:space="preserve">Кислов П. </t>
  </si>
  <si>
    <t>Кислов Павел</t>
  </si>
  <si>
    <t>Открытая (26.05.1983)/37</t>
  </si>
  <si>
    <t>107,80</t>
  </si>
  <si>
    <t>140,0</t>
  </si>
  <si>
    <t>145,0</t>
  </si>
  <si>
    <t>1</t>
  </si>
  <si>
    <t/>
  </si>
  <si>
    <t>2</t>
  </si>
  <si>
    <t>ВЕСОВАЯ КАТЕГОРИЯ   90</t>
  </si>
  <si>
    <t>Соколов Сергей</t>
  </si>
  <si>
    <t>Мастера 70+ (07.09.1950)/70</t>
  </si>
  <si>
    <t>84,90</t>
  </si>
  <si>
    <t>90,0</t>
  </si>
  <si>
    <t>92,5</t>
  </si>
  <si>
    <t>Фролов Павел</t>
  </si>
  <si>
    <t>Открытая (16.07.1990)/30</t>
  </si>
  <si>
    <t>102,80</t>
  </si>
  <si>
    <t>152,5</t>
  </si>
  <si>
    <t>Результат</t>
  </si>
  <si>
    <t>100,0</t>
  </si>
  <si>
    <t>80,0</t>
  </si>
  <si>
    <t>Жим стоя</t>
  </si>
  <si>
    <t>Темиров Хуршед</t>
  </si>
  <si>
    <t>88,80</t>
  </si>
  <si>
    <t xml:space="preserve">Химки/Московская область </t>
  </si>
  <si>
    <t>72,5</t>
  </si>
  <si>
    <t>75,0</t>
  </si>
  <si>
    <t>45,0</t>
  </si>
  <si>
    <t xml:space="preserve">Гредягин А. </t>
  </si>
  <si>
    <t>ВЕСОВАЯ КАТЕГОРИЯ   82.5</t>
  </si>
  <si>
    <t>Горшков Антон</t>
  </si>
  <si>
    <t>Открытая (25.03.1988)/32</t>
  </si>
  <si>
    <t>82,00</t>
  </si>
  <si>
    <t xml:space="preserve">Владимир/Владимирская область </t>
  </si>
  <si>
    <t>170,0</t>
  </si>
  <si>
    <t>Дементьев Юрий</t>
  </si>
  <si>
    <t>89,10</t>
  </si>
  <si>
    <t xml:space="preserve">Щёлково/Московская область </t>
  </si>
  <si>
    <t>Волчанов Владислав</t>
  </si>
  <si>
    <t>Открытая (31.10.1975)/45</t>
  </si>
  <si>
    <t>84,30</t>
  </si>
  <si>
    <t>180,0</t>
  </si>
  <si>
    <t>Костев Николай</t>
  </si>
  <si>
    <t>Открытая (17.12.1959)/60</t>
  </si>
  <si>
    <t>86,20</t>
  </si>
  <si>
    <t>Степанов Тимофей</t>
  </si>
  <si>
    <t>104,50</t>
  </si>
  <si>
    <t>130,0</t>
  </si>
  <si>
    <t>Шайфлер Марсель</t>
  </si>
  <si>
    <t>85,0</t>
  </si>
  <si>
    <t xml:space="preserve">Бархатова О. </t>
  </si>
  <si>
    <t>-</t>
  </si>
  <si>
    <t>Становая тяга</t>
  </si>
  <si>
    <t>ВЕСОВАЯ КАТЕГОРИЯ   75</t>
  </si>
  <si>
    <t>Костина Мария</t>
  </si>
  <si>
    <t>Открытая (18.05.1990)/30</t>
  </si>
  <si>
    <t>70,30</t>
  </si>
  <si>
    <t>105,0</t>
  </si>
  <si>
    <t xml:space="preserve">Федоренко А. </t>
  </si>
  <si>
    <t>ВЕСОВАЯ КАТЕГОРИЯ   52</t>
  </si>
  <si>
    <t>Андреенко Александр</t>
  </si>
  <si>
    <t>48,20</t>
  </si>
  <si>
    <t>ВЕСОВАЯ КАТЕГОРИЯ   60</t>
  </si>
  <si>
    <t>Чистяков Василий</t>
  </si>
  <si>
    <t>58,40</t>
  </si>
  <si>
    <t>Тихомиров Максим</t>
  </si>
  <si>
    <t>74,00</t>
  </si>
  <si>
    <t>Будунов Артем</t>
  </si>
  <si>
    <t>Открытая (24.12.1995)/24</t>
  </si>
  <si>
    <t>78,20</t>
  </si>
  <si>
    <t>115,0</t>
  </si>
  <si>
    <t>120,0</t>
  </si>
  <si>
    <t>Тихомиров Денис</t>
  </si>
  <si>
    <t>Открытая (22.08.1995)/25</t>
  </si>
  <si>
    <t>88,60</t>
  </si>
  <si>
    <t>142,5</t>
  </si>
  <si>
    <t>ВЕСОВАЯ КАТЕГОРИЯ   140</t>
  </si>
  <si>
    <t>Лившиц Олег</t>
  </si>
  <si>
    <t>Открытая (03.10.1973)/47</t>
  </si>
  <si>
    <t>125,50</t>
  </si>
  <si>
    <t>315,0</t>
  </si>
  <si>
    <t>335,0</t>
  </si>
  <si>
    <t>350,0</t>
  </si>
  <si>
    <t>Клинцова Мария</t>
  </si>
  <si>
    <t>Открытая (31.01.1987)/33</t>
  </si>
  <si>
    <t>83,60</t>
  </si>
  <si>
    <t xml:space="preserve">Мельников А. </t>
  </si>
  <si>
    <t>Илюшин Руслан</t>
  </si>
  <si>
    <t>Открытая (25.02.1991)/29</t>
  </si>
  <si>
    <t>89,70</t>
  </si>
  <si>
    <t>240,0</t>
  </si>
  <si>
    <t>255,0</t>
  </si>
  <si>
    <t>265,0</t>
  </si>
  <si>
    <t xml:space="preserve">Ушков И. </t>
  </si>
  <si>
    <t>ВЕСОВАЯ КАТЕГОРИЯ   125</t>
  </si>
  <si>
    <t>Черствов Алексей</t>
  </si>
  <si>
    <t>Открытая (16.04.1981)/39</t>
  </si>
  <si>
    <t>120,20</t>
  </si>
  <si>
    <t>280,0</t>
  </si>
  <si>
    <t>290,0</t>
  </si>
  <si>
    <t>305,0</t>
  </si>
  <si>
    <t>Сафин Максим</t>
  </si>
  <si>
    <t>Открытая (24.06.1983)/37</t>
  </si>
  <si>
    <t>110,10</t>
  </si>
  <si>
    <t>250,0</t>
  </si>
  <si>
    <t>Воробьёв Александр</t>
  </si>
  <si>
    <t>117,40</t>
  </si>
  <si>
    <t xml:space="preserve">Тейково/Ивановская область </t>
  </si>
  <si>
    <t>260,0</t>
  </si>
  <si>
    <t>270,0</t>
  </si>
  <si>
    <t>Аверкин Сергей</t>
  </si>
  <si>
    <t>111,40</t>
  </si>
  <si>
    <t>Мельников Алексей</t>
  </si>
  <si>
    <t>Открытая (22.10.1987)/33</t>
  </si>
  <si>
    <t>99,00</t>
  </si>
  <si>
    <t>320,0</t>
  </si>
  <si>
    <t>370,0</t>
  </si>
  <si>
    <t xml:space="preserve">Лосино-Петровский/Московская область </t>
  </si>
  <si>
    <t>60,0</t>
  </si>
  <si>
    <t>82,5</t>
  </si>
  <si>
    <t>65,0</t>
  </si>
  <si>
    <t>55,0</t>
  </si>
  <si>
    <t>Волков Сергей</t>
  </si>
  <si>
    <t>99,70</t>
  </si>
  <si>
    <t xml:space="preserve">Долгопрудный/Московская область </t>
  </si>
  <si>
    <t>95,0</t>
  </si>
  <si>
    <t>Тяга</t>
  </si>
  <si>
    <t>Открытый турнир «DaVinci Gym Cup»
СПР Пауэрспорт
Москва, 28 ноября 2020 года</t>
  </si>
  <si>
    <t>Открытый турнир «DaVinci Gym Cup»
IPL Жим лежа без экипировки
Москва, 28 ноября 2020 года</t>
  </si>
  <si>
    <t>Юниоры 20-23 (30.12.1996)/23</t>
  </si>
  <si>
    <t>Юниоры 20-23 (29.04.1997)/23</t>
  </si>
  <si>
    <t>Мастера 40-49 (11.02.1972)/48</t>
  </si>
  <si>
    <t>Мастера 40-49 (04.08.1976)/44</t>
  </si>
  <si>
    <t>Мастера 40-49 (19.12.1978)/41</t>
  </si>
  <si>
    <t>Мастера 40-49 (01.06.1973)/47</t>
  </si>
  <si>
    <t>Мастера 40-44 (19.12.1978)/41</t>
  </si>
  <si>
    <t>Мастера 60-64 (17.12.1959)/60</t>
  </si>
  <si>
    <t>Юноши 15-19 (17.04.2003)/17</t>
  </si>
  <si>
    <t>Юноши 15-19 (17.05.2002)/18</t>
  </si>
  <si>
    <t>Богородское/Московская область</t>
  </si>
  <si>
    <t>Сергиев Посад/Московская область</t>
  </si>
  <si>
    <t>Открытый турнир «DaVinci Gym Cup»
IPL Становая тяга без экипировки
Москва, 28 ноября 2020 года</t>
  </si>
  <si>
    <t>Юноши 13-19 (25.12.2002)/17</t>
  </si>
  <si>
    <t>Юноши 13-19 (02.04.2003)/17</t>
  </si>
  <si>
    <t>Юноши 13-19 (17.05.2002)/18</t>
  </si>
  <si>
    <t xml:space="preserve">Орехово-Зуево/Московская область </t>
  </si>
  <si>
    <t xml:space="preserve">Вербилки/Московская область </t>
  </si>
  <si>
    <t xml:space="preserve">Пикляев Д. </t>
  </si>
  <si>
    <t>Открытый турнир «DaVinci Gym Cup»
СПР Жим лежа в однопетельной софт экипировке
Москва, 28 ноября 2020 года</t>
  </si>
  <si>
    <t>Открытый турнир «DaVinci Gym Cup»
СПР Жим лежа в многопетельной софт экипировке
Москва, 28 ноября 2020 года</t>
  </si>
  <si>
    <t>Многоповторный жим</t>
  </si>
  <si>
    <t>Открытый турнир «DaVinci Gym Cup»
ФЖД Любители двоеборье
Москва, 28 ноября 2020 года</t>
  </si>
  <si>
    <t>Открытый турнир «DaVinci Gym Cup»
ФЖД Армейский жим двоеборье
Москва, 28 ноября 2020 года</t>
  </si>
  <si>
    <t>Открытый турнир «DaVinci Gym Cup»
ФЖД Любители жим на максимум
Москва, 28 ноября 2020 года</t>
  </si>
  <si>
    <t>Островцы/Московская область</t>
  </si>
  <si>
    <t>№</t>
  </si>
  <si>
    <t xml:space="preserve">
Дата рождения/Возраст</t>
  </si>
  <si>
    <t>Возрастная группа</t>
  </si>
  <si>
    <t>O</t>
  </si>
  <si>
    <t>J</t>
  </si>
  <si>
    <t>M5</t>
  </si>
  <si>
    <t>T</t>
  </si>
  <si>
    <t>M1</t>
  </si>
  <si>
    <t>Жим</t>
  </si>
  <si>
    <t>О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</si>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</sst>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61D7-A48C-412D-8FE2-43E47FBB41F8}">
  <dimension ref="A1:M17"/>
  <sheetViews>
    <sheetView workbookViewId="0">
      <selection activeCell="E16" sqref="E16"/>
    </sheetView>
  </sheetViews>
  <sheetFormatPr baseColWidth="10" defaultColWidth="9.1640625" defaultRowHeight="13"/>
  <cols>
    <col min="1" max="1" width="6.6640625" style="5" bestFit="1" customWidth="1"/>
    <col min="2" max="2" width="18.6640625" style="5" bestFit="1" customWidth="1"/>
    <col min="3" max="3" width="27.83203125" style="5" customWidth="1"/>
    <col min="4" max="4" width="20" style="5" bestFit="1" customWidth="1"/>
    <col min="5" max="5" width="9.6640625" style="5" bestFit="1" customWidth="1"/>
    <col min="6" max="6" width="36.83203125" style="5" customWidth="1"/>
    <col min="7" max="9" width="5.33203125" style="6" customWidth="1"/>
    <col min="10" max="10" width="4.33203125" style="6" customWidth="1"/>
    <col min="11" max="11" width="10.5" style="24" bestFit="1" customWidth="1"/>
    <col min="12" max="12" width="8.33203125" style="6" bestFit="1" customWidth="1"/>
    <col min="13" max="13" width="25.6640625" style="5" customWidth="1"/>
    <col min="14" max="16384" width="9.1640625" style="3"/>
  </cols>
  <sheetData>
    <row r="1" spans="1:13" s="2" customFormat="1" ht="29" customHeight="1">
      <c r="A1" s="37" t="s">
        <v>156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9</v>
      </c>
      <c r="H3" s="49"/>
      <c r="I3" s="49"/>
      <c r="J3" s="49"/>
      <c r="K3" s="54" t="s">
        <v>46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55"/>
      <c r="L4" s="48"/>
      <c r="M4" s="34"/>
    </row>
    <row r="5" spans="1:13" ht="16">
      <c r="A5" s="35" t="s">
        <v>57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33</v>
      </c>
      <c r="B6" s="7" t="s">
        <v>58</v>
      </c>
      <c r="C6" s="7" t="s">
        <v>59</v>
      </c>
      <c r="D6" s="7" t="s">
        <v>60</v>
      </c>
      <c r="E6" s="7" t="s">
        <v>186</v>
      </c>
      <c r="F6" s="7" t="s">
        <v>61</v>
      </c>
      <c r="G6" s="14" t="s">
        <v>23</v>
      </c>
      <c r="H6" s="14" t="s">
        <v>24</v>
      </c>
      <c r="I6" s="14" t="s">
        <v>62</v>
      </c>
      <c r="J6" s="8"/>
      <c r="K6" s="23" t="str">
        <f>"170,0"</f>
        <v>170,0</v>
      </c>
      <c r="L6" s="8" t="str">
        <f>"110,0155"</f>
        <v>110,0155</v>
      </c>
      <c r="M6" s="7"/>
    </row>
    <row r="7" spans="1:13">
      <c r="B7" s="5" t="s">
        <v>34</v>
      </c>
    </row>
    <row r="8" spans="1:13" ht="16">
      <c r="A8" s="50" t="s">
        <v>36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10" t="s">
        <v>33</v>
      </c>
      <c r="B9" s="9" t="s">
        <v>63</v>
      </c>
      <c r="C9" s="9" t="s">
        <v>157</v>
      </c>
      <c r="D9" s="9" t="s">
        <v>64</v>
      </c>
      <c r="E9" s="9" t="s">
        <v>187</v>
      </c>
      <c r="F9" s="9" t="s">
        <v>65</v>
      </c>
      <c r="G9" s="15" t="s">
        <v>23</v>
      </c>
      <c r="H9" s="20" t="s">
        <v>45</v>
      </c>
      <c r="I9" s="20" t="s">
        <v>45</v>
      </c>
      <c r="J9" s="10"/>
      <c r="K9" s="25" t="str">
        <f>"150,0"</f>
        <v>150,0</v>
      </c>
      <c r="L9" s="10" t="str">
        <f>"92,2950"</f>
        <v>92,2950</v>
      </c>
      <c r="M9" s="9"/>
    </row>
    <row r="10" spans="1:13">
      <c r="A10" s="19" t="s">
        <v>33</v>
      </c>
      <c r="B10" s="18" t="s">
        <v>66</v>
      </c>
      <c r="C10" s="18" t="s">
        <v>67</v>
      </c>
      <c r="D10" s="18" t="s">
        <v>68</v>
      </c>
      <c r="E10" s="18" t="s">
        <v>186</v>
      </c>
      <c r="F10" s="18" t="s">
        <v>167</v>
      </c>
      <c r="G10" s="21" t="s">
        <v>24</v>
      </c>
      <c r="H10" s="21" t="s">
        <v>62</v>
      </c>
      <c r="I10" s="21" t="s">
        <v>69</v>
      </c>
      <c r="J10" s="19"/>
      <c r="K10" s="26" t="str">
        <f>"180,0"</f>
        <v>180,0</v>
      </c>
      <c r="L10" s="19" t="str">
        <f>"114,4530"</f>
        <v>114,4530</v>
      </c>
      <c r="M10" s="18"/>
    </row>
    <row r="11" spans="1:13">
      <c r="A11" s="19" t="s">
        <v>35</v>
      </c>
      <c r="B11" s="18" t="s">
        <v>70</v>
      </c>
      <c r="C11" s="18" t="s">
        <v>71</v>
      </c>
      <c r="D11" s="18" t="s">
        <v>72</v>
      </c>
      <c r="E11" s="18" t="s">
        <v>186</v>
      </c>
      <c r="F11" s="18" t="s">
        <v>168</v>
      </c>
      <c r="G11" s="21" t="s">
        <v>23</v>
      </c>
      <c r="H11" s="21" t="s">
        <v>24</v>
      </c>
      <c r="I11" s="21" t="s">
        <v>16</v>
      </c>
      <c r="J11" s="19"/>
      <c r="K11" s="26" t="str">
        <f>"162,5"</f>
        <v>162,5</v>
      </c>
      <c r="L11" s="19" t="str">
        <f>"101,9281"</f>
        <v>101,9281</v>
      </c>
      <c r="M11" s="18"/>
    </row>
    <row r="12" spans="1:13">
      <c r="A12" s="12" t="s">
        <v>33</v>
      </c>
      <c r="B12" s="11" t="s">
        <v>70</v>
      </c>
      <c r="C12" s="11" t="s">
        <v>164</v>
      </c>
      <c r="D12" s="11" t="s">
        <v>72</v>
      </c>
      <c r="E12" s="11" t="s">
        <v>188</v>
      </c>
      <c r="F12" s="11" t="s">
        <v>168</v>
      </c>
      <c r="G12" s="16" t="s">
        <v>23</v>
      </c>
      <c r="H12" s="16" t="s">
        <v>24</v>
      </c>
      <c r="I12" s="16" t="s">
        <v>16</v>
      </c>
      <c r="J12" s="12"/>
      <c r="K12" s="27" t="str">
        <f>"162,5"</f>
        <v>162,5</v>
      </c>
      <c r="L12" s="12" t="str">
        <f>"136,5837"</f>
        <v>136,5837</v>
      </c>
      <c r="M12" s="11"/>
    </row>
    <row r="13" spans="1:13">
      <c r="B13" s="5" t="s">
        <v>34</v>
      </c>
    </row>
    <row r="14" spans="1:13" ht="16">
      <c r="A14" s="50" t="s">
        <v>19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10" t="s">
        <v>33</v>
      </c>
      <c r="B15" s="9" t="s">
        <v>73</v>
      </c>
      <c r="C15" s="9" t="s">
        <v>165</v>
      </c>
      <c r="D15" s="9" t="s">
        <v>74</v>
      </c>
      <c r="E15" s="9" t="s">
        <v>189</v>
      </c>
      <c r="F15" s="9" t="s">
        <v>14</v>
      </c>
      <c r="G15" s="15" t="s">
        <v>75</v>
      </c>
      <c r="H15" s="20" t="s">
        <v>31</v>
      </c>
      <c r="I15" s="15" t="s">
        <v>31</v>
      </c>
      <c r="J15" s="10"/>
      <c r="K15" s="25" t="str">
        <f>"140,0"</f>
        <v>140,0</v>
      </c>
      <c r="L15" s="10" t="str">
        <f>"80,0240"</f>
        <v>80,0240</v>
      </c>
      <c r="M15" s="9" t="s">
        <v>86</v>
      </c>
    </row>
    <row r="16" spans="1:13">
      <c r="A16" s="12" t="s">
        <v>79</v>
      </c>
      <c r="B16" s="11" t="s">
        <v>76</v>
      </c>
      <c r="C16" s="11" t="s">
        <v>166</v>
      </c>
      <c r="D16" s="11" t="s">
        <v>30</v>
      </c>
      <c r="E16" s="11" t="s">
        <v>189</v>
      </c>
      <c r="F16" s="11" t="s">
        <v>14</v>
      </c>
      <c r="G16" s="17" t="s">
        <v>54</v>
      </c>
      <c r="H16" s="17" t="s">
        <v>77</v>
      </c>
      <c r="I16" s="17" t="s">
        <v>77</v>
      </c>
      <c r="J16" s="12"/>
      <c r="K16" s="27">
        <v>0</v>
      </c>
      <c r="L16" s="12" t="str">
        <f>"0,0000"</f>
        <v>0,0000</v>
      </c>
      <c r="M16" s="11" t="s">
        <v>78</v>
      </c>
    </row>
    <row r="17" spans="2:2">
      <c r="B17" s="5" t="s">
        <v>34</v>
      </c>
    </row>
  </sheetData>
  <mergeCells count="14">
    <mergeCell ref="A8:J8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87E6-BBFA-4ADC-8A7F-9108FED2DA95}">
  <dimension ref="A1:M28"/>
  <sheetViews>
    <sheetView workbookViewId="0">
      <selection activeCell="E28" sqref="E28"/>
    </sheetView>
  </sheetViews>
  <sheetFormatPr baseColWidth="10" defaultColWidth="9.1640625" defaultRowHeight="13"/>
  <cols>
    <col min="1" max="1" width="6.6640625" style="5" bestFit="1" customWidth="1"/>
    <col min="2" max="2" width="19.33203125" style="5" bestFit="1" customWidth="1"/>
    <col min="3" max="3" width="27.83203125" style="5" customWidth="1"/>
    <col min="4" max="4" width="20" style="5" bestFit="1" customWidth="1"/>
    <col min="5" max="5" width="9.6640625" style="5" bestFit="1" customWidth="1"/>
    <col min="6" max="6" width="41.1640625" style="5" customWidth="1"/>
    <col min="7" max="9" width="5.33203125" style="6" customWidth="1"/>
    <col min="10" max="10" width="4.33203125" style="6" customWidth="1"/>
    <col min="11" max="11" width="10.5" style="6" bestFit="1" customWidth="1"/>
    <col min="12" max="12" width="8.3320312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37" t="s">
        <v>169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80</v>
      </c>
      <c r="H3" s="49"/>
      <c r="I3" s="49"/>
      <c r="J3" s="49"/>
      <c r="K3" s="49" t="s">
        <v>46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81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33</v>
      </c>
      <c r="B6" s="7" t="s">
        <v>82</v>
      </c>
      <c r="C6" s="7" t="s">
        <v>83</v>
      </c>
      <c r="D6" s="7" t="s">
        <v>84</v>
      </c>
      <c r="E6" s="7" t="s">
        <v>186</v>
      </c>
      <c r="F6" s="7" t="s">
        <v>14</v>
      </c>
      <c r="G6" s="14" t="s">
        <v>40</v>
      </c>
      <c r="H6" s="14" t="s">
        <v>47</v>
      </c>
      <c r="I6" s="13" t="s">
        <v>85</v>
      </c>
      <c r="J6" s="8"/>
      <c r="K6" s="8" t="str">
        <f>"100,0"</f>
        <v>100,0</v>
      </c>
      <c r="L6" s="8" t="str">
        <f>"87,3850"</f>
        <v>87,3850</v>
      </c>
      <c r="M6" s="7" t="s">
        <v>86</v>
      </c>
    </row>
    <row r="7" spans="1:13">
      <c r="B7" s="5" t="s">
        <v>34</v>
      </c>
    </row>
    <row r="8" spans="1:13" ht="16">
      <c r="A8" s="50" t="s">
        <v>87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33</v>
      </c>
      <c r="B9" s="7" t="s">
        <v>88</v>
      </c>
      <c r="C9" s="7" t="s">
        <v>170</v>
      </c>
      <c r="D9" s="7" t="s">
        <v>89</v>
      </c>
      <c r="E9" s="7" t="s">
        <v>189</v>
      </c>
      <c r="F9" s="7" t="s">
        <v>14</v>
      </c>
      <c r="G9" s="14" t="s">
        <v>17</v>
      </c>
      <c r="H9" s="13" t="s">
        <v>18</v>
      </c>
      <c r="I9" s="14" t="s">
        <v>54</v>
      </c>
      <c r="J9" s="8"/>
      <c r="K9" s="8" t="str">
        <f>"75,0"</f>
        <v>75,0</v>
      </c>
      <c r="L9" s="8" t="str">
        <f>"79,0087"</f>
        <v>79,0087</v>
      </c>
      <c r="M9" s="7" t="s">
        <v>78</v>
      </c>
    </row>
    <row r="10" spans="1:13">
      <c r="B10" s="5" t="s">
        <v>34</v>
      </c>
    </row>
    <row r="11" spans="1:13" ht="16">
      <c r="A11" s="50" t="s">
        <v>90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33</v>
      </c>
      <c r="B12" s="7" t="s">
        <v>91</v>
      </c>
      <c r="C12" s="7" t="s">
        <v>171</v>
      </c>
      <c r="D12" s="7" t="s">
        <v>92</v>
      </c>
      <c r="E12" s="7" t="s">
        <v>189</v>
      </c>
      <c r="F12" s="7" t="s">
        <v>14</v>
      </c>
      <c r="G12" s="14" t="s">
        <v>77</v>
      </c>
      <c r="H12" s="13" t="s">
        <v>47</v>
      </c>
      <c r="I12" s="13" t="s">
        <v>47</v>
      </c>
      <c r="J12" s="8"/>
      <c r="K12" s="8" t="str">
        <f>"85,0"</f>
        <v>85,0</v>
      </c>
      <c r="L12" s="8" t="str">
        <f>"72,7005"</f>
        <v>72,7005</v>
      </c>
      <c r="M12" s="7" t="s">
        <v>86</v>
      </c>
    </row>
    <row r="13" spans="1:13">
      <c r="B13" s="5" t="s">
        <v>34</v>
      </c>
    </row>
    <row r="14" spans="1:13" ht="16">
      <c r="A14" s="50" t="s">
        <v>81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8" t="s">
        <v>33</v>
      </c>
      <c r="B15" s="7" t="s">
        <v>93</v>
      </c>
      <c r="C15" s="7" t="s">
        <v>158</v>
      </c>
      <c r="D15" s="7" t="s">
        <v>94</v>
      </c>
      <c r="E15" s="7" t="s">
        <v>187</v>
      </c>
      <c r="F15" s="7" t="s">
        <v>14</v>
      </c>
      <c r="G15" s="13" t="s">
        <v>75</v>
      </c>
      <c r="H15" s="14" t="s">
        <v>75</v>
      </c>
      <c r="I15" s="14" t="s">
        <v>32</v>
      </c>
      <c r="J15" s="8"/>
      <c r="K15" s="8" t="str">
        <f>"145,0"</f>
        <v>145,0</v>
      </c>
      <c r="L15" s="8" t="str">
        <f>"100,8403"</f>
        <v>100,8403</v>
      </c>
      <c r="M15" s="7" t="s">
        <v>86</v>
      </c>
    </row>
    <row r="16" spans="1:13">
      <c r="B16" s="5" t="s">
        <v>34</v>
      </c>
    </row>
    <row r="17" spans="1:13" ht="16">
      <c r="A17" s="50" t="s">
        <v>57</v>
      </c>
      <c r="B17" s="50"/>
      <c r="C17" s="51"/>
      <c r="D17" s="51"/>
      <c r="E17" s="51"/>
      <c r="F17" s="51"/>
      <c r="G17" s="51"/>
      <c r="H17" s="51"/>
      <c r="I17" s="51"/>
      <c r="J17" s="51"/>
    </row>
    <row r="18" spans="1:13">
      <c r="A18" s="8" t="s">
        <v>33</v>
      </c>
      <c r="B18" s="7" t="s">
        <v>95</v>
      </c>
      <c r="C18" s="7" t="s">
        <v>96</v>
      </c>
      <c r="D18" s="7" t="s">
        <v>97</v>
      </c>
      <c r="E18" s="7" t="s">
        <v>186</v>
      </c>
      <c r="F18" s="7" t="s">
        <v>14</v>
      </c>
      <c r="G18" s="13" t="s">
        <v>98</v>
      </c>
      <c r="H18" s="14" t="s">
        <v>98</v>
      </c>
      <c r="I18" s="14" t="s">
        <v>99</v>
      </c>
      <c r="J18" s="8"/>
      <c r="K18" s="8" t="str">
        <f>"120,0"</f>
        <v>120,0</v>
      </c>
      <c r="L18" s="8" t="str">
        <f>"80,1780"</f>
        <v>80,1780</v>
      </c>
      <c r="M18" s="7" t="s">
        <v>78</v>
      </c>
    </row>
    <row r="19" spans="1:13">
      <c r="B19" s="5" t="s">
        <v>34</v>
      </c>
    </row>
    <row r="20" spans="1:13" ht="16">
      <c r="A20" s="50" t="s">
        <v>36</v>
      </c>
      <c r="B20" s="50"/>
      <c r="C20" s="51"/>
      <c r="D20" s="51"/>
      <c r="E20" s="51"/>
      <c r="F20" s="51"/>
      <c r="G20" s="51"/>
      <c r="H20" s="51"/>
      <c r="I20" s="51"/>
      <c r="J20" s="51"/>
    </row>
    <row r="21" spans="1:13">
      <c r="A21" s="8" t="s">
        <v>33</v>
      </c>
      <c r="B21" s="7" t="s">
        <v>100</v>
      </c>
      <c r="C21" s="7" t="s">
        <v>101</v>
      </c>
      <c r="D21" s="7" t="s">
        <v>102</v>
      </c>
      <c r="E21" s="7" t="s">
        <v>186</v>
      </c>
      <c r="F21" s="7" t="s">
        <v>14</v>
      </c>
      <c r="G21" s="13" t="s">
        <v>24</v>
      </c>
      <c r="H21" s="13" t="s">
        <v>24</v>
      </c>
      <c r="I21" s="14" t="s">
        <v>62</v>
      </c>
      <c r="J21" s="8"/>
      <c r="K21" s="8" t="str">
        <f>"170,0"</f>
        <v>170,0</v>
      </c>
      <c r="L21" s="8" t="str">
        <f>"104,9410"</f>
        <v>104,9410</v>
      </c>
      <c r="M21" s="7" t="s">
        <v>86</v>
      </c>
    </row>
    <row r="22" spans="1:13">
      <c r="B22" s="5" t="s">
        <v>34</v>
      </c>
    </row>
    <row r="23" spans="1:13" ht="16">
      <c r="A23" s="50" t="s">
        <v>19</v>
      </c>
      <c r="B23" s="50"/>
      <c r="C23" s="51"/>
      <c r="D23" s="51"/>
      <c r="E23" s="51"/>
      <c r="F23" s="51"/>
      <c r="G23" s="51"/>
      <c r="H23" s="51"/>
      <c r="I23" s="51"/>
      <c r="J23" s="51"/>
    </row>
    <row r="24" spans="1:13">
      <c r="A24" s="8" t="s">
        <v>33</v>
      </c>
      <c r="B24" s="7" t="s">
        <v>76</v>
      </c>
      <c r="C24" s="7" t="s">
        <v>172</v>
      </c>
      <c r="D24" s="7" t="s">
        <v>30</v>
      </c>
      <c r="E24" s="7" t="s">
        <v>189</v>
      </c>
      <c r="F24" s="7" t="s">
        <v>14</v>
      </c>
      <c r="G24" s="14" t="s">
        <v>75</v>
      </c>
      <c r="H24" s="14" t="s">
        <v>103</v>
      </c>
      <c r="I24" s="14" t="s">
        <v>23</v>
      </c>
      <c r="J24" s="8"/>
      <c r="K24" s="8" t="str">
        <f>"150,0"</f>
        <v>150,0</v>
      </c>
      <c r="L24" s="8" t="str">
        <f>"84,8700"</f>
        <v>84,8700</v>
      </c>
      <c r="M24" s="7" t="s">
        <v>78</v>
      </c>
    </row>
    <row r="25" spans="1:13">
      <c r="B25" s="5" t="s">
        <v>34</v>
      </c>
    </row>
    <row r="26" spans="1:13" ht="16">
      <c r="A26" s="50" t="s">
        <v>104</v>
      </c>
      <c r="B26" s="50"/>
      <c r="C26" s="51"/>
      <c r="D26" s="51"/>
      <c r="E26" s="51"/>
      <c r="F26" s="51"/>
      <c r="G26" s="51"/>
      <c r="H26" s="51"/>
      <c r="I26" s="51"/>
      <c r="J26" s="51"/>
    </row>
    <row r="27" spans="1:13">
      <c r="A27" s="8" t="s">
        <v>33</v>
      </c>
      <c r="B27" s="7" t="s">
        <v>105</v>
      </c>
      <c r="C27" s="7" t="s">
        <v>106</v>
      </c>
      <c r="D27" s="7" t="s">
        <v>107</v>
      </c>
      <c r="E27" s="7" t="s">
        <v>186</v>
      </c>
      <c r="F27" s="7" t="s">
        <v>145</v>
      </c>
      <c r="G27" s="14" t="s">
        <v>108</v>
      </c>
      <c r="H27" s="14" t="s">
        <v>109</v>
      </c>
      <c r="I27" s="13" t="s">
        <v>110</v>
      </c>
      <c r="J27" s="8"/>
      <c r="K27" s="8" t="str">
        <f>"335,0"</f>
        <v>335,0</v>
      </c>
      <c r="L27" s="8" t="str">
        <f>"182,5482"</f>
        <v>182,5482</v>
      </c>
      <c r="M27" s="7"/>
    </row>
    <row r="28" spans="1:13">
      <c r="B28" s="5" t="s">
        <v>34</v>
      </c>
    </row>
  </sheetData>
  <mergeCells count="19">
    <mergeCell ref="A26:J26"/>
    <mergeCell ref="B3:B4"/>
    <mergeCell ref="A8:J8"/>
    <mergeCell ref="A11:J11"/>
    <mergeCell ref="A14:J14"/>
    <mergeCell ref="A17:J17"/>
    <mergeCell ref="A20:J20"/>
    <mergeCell ref="A23:J2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9C391-A788-4AEF-8A7D-2BCAC84CDD96}">
  <dimension ref="A1:M16"/>
  <sheetViews>
    <sheetView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18.6640625" style="5" bestFit="1" customWidth="1"/>
    <col min="3" max="3" width="28.1640625" style="5" bestFit="1" customWidth="1"/>
    <col min="4" max="4" width="20" style="5" bestFit="1" customWidth="1"/>
    <col min="5" max="5" width="9.6640625" style="5" bestFit="1" customWidth="1"/>
    <col min="6" max="6" width="38" style="5" customWidth="1"/>
    <col min="7" max="9" width="5.33203125" style="6" customWidth="1"/>
    <col min="10" max="10" width="4.33203125" style="6" customWidth="1"/>
    <col min="11" max="11" width="10.5" style="24" bestFit="1" customWidth="1"/>
    <col min="12" max="12" width="8.33203125" style="6" bestFit="1" customWidth="1"/>
    <col min="13" max="13" width="17.5" style="5" customWidth="1"/>
    <col min="14" max="16384" width="9.1640625" style="3"/>
  </cols>
  <sheetData>
    <row r="1" spans="1:13" s="2" customFormat="1" ht="29" customHeight="1">
      <c r="A1" s="37" t="s">
        <v>176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9</v>
      </c>
      <c r="H3" s="49"/>
      <c r="I3" s="49"/>
      <c r="J3" s="49"/>
      <c r="K3" s="54" t="s">
        <v>46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55"/>
      <c r="L4" s="48"/>
      <c r="M4" s="34"/>
    </row>
    <row r="5" spans="1:13" ht="16">
      <c r="A5" s="35" t="s">
        <v>36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79</v>
      </c>
      <c r="B6" s="7" t="s">
        <v>111</v>
      </c>
      <c r="C6" s="7" t="s">
        <v>112</v>
      </c>
      <c r="D6" s="7" t="s">
        <v>113</v>
      </c>
      <c r="E6" s="7" t="s">
        <v>186</v>
      </c>
      <c r="F6" s="7" t="s">
        <v>14</v>
      </c>
      <c r="G6" s="13" t="s">
        <v>26</v>
      </c>
      <c r="H6" s="13" t="s">
        <v>26</v>
      </c>
      <c r="I6" s="13" t="s">
        <v>26</v>
      </c>
      <c r="J6" s="8"/>
      <c r="K6" s="23">
        <v>0</v>
      </c>
      <c r="L6" s="8" t="str">
        <f>"0,0000"</f>
        <v>0,0000</v>
      </c>
      <c r="M6" s="7" t="s">
        <v>114</v>
      </c>
    </row>
    <row r="7" spans="1:13">
      <c r="B7" s="5" t="s">
        <v>34</v>
      </c>
    </row>
    <row r="8" spans="1:13" ht="16">
      <c r="A8" s="50" t="s">
        <v>36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33</v>
      </c>
      <c r="B9" s="7" t="s">
        <v>115</v>
      </c>
      <c r="C9" s="7" t="s">
        <v>116</v>
      </c>
      <c r="D9" s="7" t="s">
        <v>117</v>
      </c>
      <c r="E9" s="7" t="s">
        <v>186</v>
      </c>
      <c r="F9" s="7" t="s">
        <v>173</v>
      </c>
      <c r="G9" s="14" t="s">
        <v>118</v>
      </c>
      <c r="H9" s="14" t="s">
        <v>119</v>
      </c>
      <c r="I9" s="14" t="s">
        <v>120</v>
      </c>
      <c r="J9" s="8"/>
      <c r="K9" s="23" t="str">
        <f>"265,0"</f>
        <v>265,0</v>
      </c>
      <c r="L9" s="8" t="str">
        <f>"162,4450"</f>
        <v>162,4450</v>
      </c>
      <c r="M9" s="7" t="s">
        <v>121</v>
      </c>
    </row>
    <row r="10" spans="1:13">
      <c r="B10" s="5" t="s">
        <v>34</v>
      </c>
    </row>
    <row r="11" spans="1:13" ht="16">
      <c r="A11" s="50" t="s">
        <v>122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10" t="s">
        <v>33</v>
      </c>
      <c r="B12" s="9" t="s">
        <v>123</v>
      </c>
      <c r="C12" s="9" t="s">
        <v>124</v>
      </c>
      <c r="D12" s="9" t="s">
        <v>125</v>
      </c>
      <c r="E12" s="9" t="s">
        <v>186</v>
      </c>
      <c r="F12" s="9" t="s">
        <v>174</v>
      </c>
      <c r="G12" s="15" t="s">
        <v>126</v>
      </c>
      <c r="H12" s="15" t="s">
        <v>127</v>
      </c>
      <c r="I12" s="20" t="s">
        <v>128</v>
      </c>
      <c r="J12" s="10"/>
      <c r="K12" s="25" t="str">
        <f>"290,0"</f>
        <v>290,0</v>
      </c>
      <c r="L12" s="10" t="str">
        <f>"159,7175"</f>
        <v>159,7175</v>
      </c>
      <c r="M12" s="9"/>
    </row>
    <row r="13" spans="1:13">
      <c r="A13" s="19" t="s">
        <v>35</v>
      </c>
      <c r="B13" s="18" t="s">
        <v>129</v>
      </c>
      <c r="C13" s="18" t="s">
        <v>130</v>
      </c>
      <c r="D13" s="18" t="s">
        <v>131</v>
      </c>
      <c r="E13" s="18" t="s">
        <v>186</v>
      </c>
      <c r="F13" s="18" t="s">
        <v>14</v>
      </c>
      <c r="G13" s="21" t="s">
        <v>118</v>
      </c>
      <c r="H13" s="21" t="s">
        <v>132</v>
      </c>
      <c r="I13" s="22" t="s">
        <v>119</v>
      </c>
      <c r="J13" s="19"/>
      <c r="K13" s="26" t="str">
        <f>"250,0"</f>
        <v>250,0</v>
      </c>
      <c r="L13" s="19" t="str">
        <f>"140,5875"</f>
        <v>140,5875</v>
      </c>
      <c r="M13" s="18"/>
    </row>
    <row r="14" spans="1:13">
      <c r="A14" s="19" t="s">
        <v>33</v>
      </c>
      <c r="B14" s="18" t="s">
        <v>133</v>
      </c>
      <c r="C14" s="18" t="s">
        <v>159</v>
      </c>
      <c r="D14" s="18" t="s">
        <v>134</v>
      </c>
      <c r="E14" s="18" t="s">
        <v>190</v>
      </c>
      <c r="F14" s="18" t="s">
        <v>135</v>
      </c>
      <c r="G14" s="21" t="s">
        <v>132</v>
      </c>
      <c r="H14" s="21" t="s">
        <v>136</v>
      </c>
      <c r="I14" s="22" t="s">
        <v>137</v>
      </c>
      <c r="J14" s="19"/>
      <c r="K14" s="26" t="str">
        <f>"260,0"</f>
        <v>260,0</v>
      </c>
      <c r="L14" s="19" t="str">
        <f>"157,9121"</f>
        <v>157,9121</v>
      </c>
      <c r="M14" s="18"/>
    </row>
    <row r="15" spans="1:13">
      <c r="A15" s="12" t="s">
        <v>35</v>
      </c>
      <c r="B15" s="11" t="s">
        <v>138</v>
      </c>
      <c r="C15" s="11" t="s">
        <v>160</v>
      </c>
      <c r="D15" s="11" t="s">
        <v>139</v>
      </c>
      <c r="E15" s="11" t="s">
        <v>190</v>
      </c>
      <c r="F15" s="11" t="s">
        <v>135</v>
      </c>
      <c r="G15" s="16" t="s">
        <v>118</v>
      </c>
      <c r="H15" s="16" t="s">
        <v>132</v>
      </c>
      <c r="I15" s="17" t="s">
        <v>136</v>
      </c>
      <c r="J15" s="12"/>
      <c r="K15" s="27" t="str">
        <f>"250,0"</f>
        <v>250,0</v>
      </c>
      <c r="L15" s="12" t="str">
        <f>"146,1764"</f>
        <v>146,1764</v>
      </c>
      <c r="M15" s="11"/>
    </row>
    <row r="16" spans="1:13">
      <c r="B16" s="5" t="s">
        <v>34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DC6E-84BC-4D7D-B12E-4F6C750B153D}">
  <dimension ref="A1:M7"/>
  <sheetViews>
    <sheetView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17.5" style="5" bestFit="1" customWidth="1"/>
    <col min="3" max="3" width="24.5" style="5" bestFit="1" customWidth="1"/>
    <col min="4" max="4" width="20" style="5" bestFit="1" customWidth="1"/>
    <col min="5" max="5" width="9.6640625" style="5" bestFit="1" customWidth="1"/>
    <col min="6" max="6" width="20.83203125" style="5" customWidth="1"/>
    <col min="7" max="8" width="5.33203125" style="6" customWidth="1"/>
    <col min="9" max="9" width="5" style="6" customWidth="1"/>
    <col min="10" max="10" width="4.33203125" style="6" customWidth="1"/>
    <col min="11" max="11" width="10.5" style="6" bestFit="1" customWidth="1"/>
    <col min="12" max="12" width="8.3320312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37" t="s">
        <v>177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9</v>
      </c>
      <c r="H3" s="49"/>
      <c r="I3" s="49"/>
      <c r="J3" s="49"/>
      <c r="K3" s="49" t="s">
        <v>46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33</v>
      </c>
      <c r="B6" s="7" t="s">
        <v>140</v>
      </c>
      <c r="C6" s="7" t="s">
        <v>141</v>
      </c>
      <c r="D6" s="7" t="s">
        <v>142</v>
      </c>
      <c r="E6" s="7" t="s">
        <v>186</v>
      </c>
      <c r="F6" s="7" t="s">
        <v>14</v>
      </c>
      <c r="G6" s="14" t="s">
        <v>143</v>
      </c>
      <c r="H6" s="13" t="s">
        <v>144</v>
      </c>
      <c r="I6" s="8"/>
      <c r="J6" s="8"/>
      <c r="K6" s="8" t="str">
        <f>"320,0"</f>
        <v>320,0</v>
      </c>
      <c r="L6" s="8" t="str">
        <f>"186,8160"</f>
        <v>186,8160</v>
      </c>
      <c r="M6" s="7" t="s">
        <v>175</v>
      </c>
    </row>
    <row r="7" spans="1:13">
      <c r="B7" s="5" t="s">
        <v>34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3D81-0A70-42F1-BA3F-C6E9952D6A7D}">
  <dimension ref="A1:Q11"/>
  <sheetViews>
    <sheetView workbookViewId="0">
      <selection sqref="A1:Q2"/>
    </sheetView>
  </sheetViews>
  <sheetFormatPr baseColWidth="10" defaultColWidth="9.1640625" defaultRowHeight="13"/>
  <cols>
    <col min="1" max="1" width="6.6640625" style="5" bestFit="1" customWidth="1"/>
    <col min="2" max="2" width="21" style="5" customWidth="1"/>
    <col min="3" max="3" width="28.1640625" style="5" bestFit="1" customWidth="1"/>
    <col min="4" max="4" width="20" style="5" bestFit="1" customWidth="1"/>
    <col min="5" max="5" width="9.6640625" style="5" bestFit="1" customWidth="1"/>
    <col min="6" max="6" width="31.5" style="5" bestFit="1" customWidth="1"/>
    <col min="7" max="14" width="5.33203125" style="6" customWidth="1"/>
    <col min="15" max="15" width="7.1640625" style="6" bestFit="1" customWidth="1"/>
    <col min="16" max="16" width="8.3320312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37" t="s">
        <v>155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191</v>
      </c>
      <c r="H3" s="49"/>
      <c r="I3" s="49"/>
      <c r="J3" s="49"/>
      <c r="K3" s="49" t="s">
        <v>154</v>
      </c>
      <c r="L3" s="49"/>
      <c r="M3" s="49"/>
      <c r="N3" s="49"/>
      <c r="O3" s="49" t="s">
        <v>1</v>
      </c>
      <c r="P3" s="49" t="s">
        <v>3</v>
      </c>
      <c r="Q3" s="33" t="s">
        <v>2</v>
      </c>
    </row>
    <row r="4" spans="1:17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34"/>
    </row>
    <row r="5" spans="1:17" ht="16">
      <c r="A5" s="35" t="s">
        <v>36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10" t="s">
        <v>33</v>
      </c>
      <c r="B6" s="9" t="s">
        <v>63</v>
      </c>
      <c r="C6" s="9" t="s">
        <v>157</v>
      </c>
      <c r="D6" s="9" t="s">
        <v>64</v>
      </c>
      <c r="E6" s="9" t="s">
        <v>192</v>
      </c>
      <c r="F6" s="9" t="s">
        <v>65</v>
      </c>
      <c r="G6" s="15" t="s">
        <v>18</v>
      </c>
      <c r="H6" s="15" t="s">
        <v>48</v>
      </c>
      <c r="I6" s="15" t="s">
        <v>147</v>
      </c>
      <c r="J6" s="10"/>
      <c r="K6" s="15" t="s">
        <v>146</v>
      </c>
      <c r="L6" s="15" t="s">
        <v>148</v>
      </c>
      <c r="M6" s="20" t="s">
        <v>147</v>
      </c>
      <c r="N6" s="10"/>
      <c r="O6" s="10" t="str">
        <f>"147,5"</f>
        <v>147,5</v>
      </c>
      <c r="P6" s="10" t="str">
        <f>"90,7567"</f>
        <v>90,7567</v>
      </c>
      <c r="Q6" s="9"/>
    </row>
    <row r="7" spans="1:17">
      <c r="A7" s="12" t="s">
        <v>33</v>
      </c>
      <c r="B7" s="11" t="s">
        <v>50</v>
      </c>
      <c r="C7" s="11" t="s">
        <v>161</v>
      </c>
      <c r="D7" s="11" t="s">
        <v>51</v>
      </c>
      <c r="E7" s="11" t="s">
        <v>190</v>
      </c>
      <c r="F7" s="11" t="s">
        <v>52</v>
      </c>
      <c r="G7" s="16" t="s">
        <v>53</v>
      </c>
      <c r="H7" s="16" t="s">
        <v>54</v>
      </c>
      <c r="I7" s="17" t="s">
        <v>48</v>
      </c>
      <c r="J7" s="12"/>
      <c r="K7" s="17" t="s">
        <v>149</v>
      </c>
      <c r="L7" s="16" t="s">
        <v>149</v>
      </c>
      <c r="M7" s="17" t="s">
        <v>146</v>
      </c>
      <c r="N7" s="12"/>
      <c r="O7" s="12" t="str">
        <f>"130,0"</f>
        <v>130,0</v>
      </c>
      <c r="P7" s="12" t="str">
        <f>"80,9399"</f>
        <v>80,9399</v>
      </c>
      <c r="Q7" s="11" t="s">
        <v>56</v>
      </c>
    </row>
    <row r="8" spans="1:17">
      <c r="B8" s="5" t="s">
        <v>34</v>
      </c>
    </row>
    <row r="9" spans="1:17" ht="16">
      <c r="A9" s="50" t="s">
        <v>10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7">
      <c r="A10" s="8" t="s">
        <v>33</v>
      </c>
      <c r="B10" s="7" t="s">
        <v>150</v>
      </c>
      <c r="C10" s="7" t="s">
        <v>162</v>
      </c>
      <c r="D10" s="7" t="s">
        <v>151</v>
      </c>
      <c r="E10" s="7" t="s">
        <v>190</v>
      </c>
      <c r="F10" s="7" t="s">
        <v>152</v>
      </c>
      <c r="G10" s="14" t="s">
        <v>77</v>
      </c>
      <c r="H10" s="14" t="s">
        <v>40</v>
      </c>
      <c r="I10" s="14" t="s">
        <v>153</v>
      </c>
      <c r="J10" s="8"/>
      <c r="K10" s="14" t="s">
        <v>146</v>
      </c>
      <c r="L10" s="14" t="s">
        <v>148</v>
      </c>
      <c r="M10" s="13" t="s">
        <v>18</v>
      </c>
      <c r="N10" s="8"/>
      <c r="O10" s="8" t="str">
        <f>"160,0"</f>
        <v>160,0</v>
      </c>
      <c r="P10" s="8" t="str">
        <f>"100,7645"</f>
        <v>100,7645</v>
      </c>
      <c r="Q10" s="7"/>
    </row>
    <row r="11" spans="1:17">
      <c r="B11" s="5" t="s">
        <v>34</v>
      </c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O11"/>
  <sheetViews>
    <sheetView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18.33203125" style="5" bestFit="1" customWidth="1"/>
    <col min="3" max="3" width="24.5" style="5" bestFit="1" customWidth="1"/>
    <col min="4" max="4" width="20" style="5" bestFit="1" customWidth="1"/>
    <col min="5" max="5" width="15.1640625" style="5" bestFit="1" customWidth="1"/>
    <col min="6" max="6" width="16.33203125" style="5" bestFit="1" customWidth="1"/>
    <col min="7" max="9" width="5.33203125" style="6" customWidth="1"/>
    <col min="10" max="10" width="4.33203125" style="6" customWidth="1"/>
    <col min="11" max="11" width="10.33203125" style="6" customWidth="1"/>
    <col min="12" max="12" width="12" style="30" customWidth="1"/>
    <col min="13" max="13" width="7.1640625" style="6" bestFit="1" customWidth="1"/>
    <col min="14" max="14" width="9.33203125" style="6" bestFit="1" customWidth="1"/>
    <col min="15" max="15" width="20.5" style="5" customWidth="1"/>
    <col min="16" max="16384" width="9.1640625" style="3"/>
  </cols>
  <sheetData>
    <row r="1" spans="1:15" s="2" customFormat="1" ht="29" customHeight="1">
      <c r="A1" s="37" t="s">
        <v>179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9</v>
      </c>
      <c r="H3" s="49"/>
      <c r="I3" s="49"/>
      <c r="J3" s="49"/>
      <c r="K3" s="56" t="s">
        <v>178</v>
      </c>
      <c r="L3" s="57"/>
      <c r="M3" s="49" t="s">
        <v>1</v>
      </c>
      <c r="N3" s="49" t="s">
        <v>3</v>
      </c>
      <c r="O3" s="33" t="s">
        <v>2</v>
      </c>
    </row>
    <row r="4" spans="1:15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8" t="s">
        <v>7</v>
      </c>
      <c r="M4" s="48"/>
      <c r="N4" s="48"/>
      <c r="O4" s="34"/>
    </row>
    <row r="5" spans="1:15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5">
      <c r="A6" s="8" t="s">
        <v>33</v>
      </c>
      <c r="B6" s="7" t="s">
        <v>11</v>
      </c>
      <c r="C6" s="7" t="s">
        <v>12</v>
      </c>
      <c r="D6" s="7" t="s">
        <v>13</v>
      </c>
      <c r="E6" s="7" t="s">
        <v>186</v>
      </c>
      <c r="F6" s="7" t="s">
        <v>14</v>
      </c>
      <c r="G6" s="13" t="s">
        <v>15</v>
      </c>
      <c r="H6" s="14" t="s">
        <v>15</v>
      </c>
      <c r="I6" s="14" t="s">
        <v>16</v>
      </c>
      <c r="J6" s="8"/>
      <c r="K6" s="8" t="s">
        <v>17</v>
      </c>
      <c r="L6" s="29">
        <v>70</v>
      </c>
      <c r="M6" s="8" t="str">
        <f>"232,5"</f>
        <v>232,5</v>
      </c>
      <c r="N6" s="8" t="str">
        <f>"7546,5972"</f>
        <v>7546,5972</v>
      </c>
      <c r="O6" s="7"/>
    </row>
    <row r="7" spans="1:15">
      <c r="B7" s="5" t="s">
        <v>34</v>
      </c>
    </row>
    <row r="8" spans="1:15" ht="16">
      <c r="A8" s="50" t="s">
        <v>19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5">
      <c r="A9" s="10" t="s">
        <v>33</v>
      </c>
      <c r="B9" s="9" t="s">
        <v>20</v>
      </c>
      <c r="C9" s="9" t="s">
        <v>21</v>
      </c>
      <c r="D9" s="9" t="s">
        <v>22</v>
      </c>
      <c r="E9" s="9" t="s">
        <v>186</v>
      </c>
      <c r="F9" s="9" t="s">
        <v>14</v>
      </c>
      <c r="G9" s="15" t="s">
        <v>23</v>
      </c>
      <c r="H9" s="15" t="s">
        <v>24</v>
      </c>
      <c r="I9" s="15" t="s">
        <v>25</v>
      </c>
      <c r="J9" s="10"/>
      <c r="K9" s="10" t="s">
        <v>26</v>
      </c>
      <c r="L9" s="31">
        <v>17</v>
      </c>
      <c r="M9" s="10" t="str">
        <f>"182,0"</f>
        <v>182,0</v>
      </c>
      <c r="N9" s="10" t="str">
        <f>"6248,7426"</f>
        <v>6248,7426</v>
      </c>
      <c r="O9" s="9" t="s">
        <v>27</v>
      </c>
    </row>
    <row r="10" spans="1:15">
      <c r="A10" s="12" t="s">
        <v>35</v>
      </c>
      <c r="B10" s="11" t="s">
        <v>28</v>
      </c>
      <c r="C10" s="11" t="s">
        <v>29</v>
      </c>
      <c r="D10" s="11" t="s">
        <v>30</v>
      </c>
      <c r="E10" s="11" t="s">
        <v>186</v>
      </c>
      <c r="F10" s="11" t="s">
        <v>14</v>
      </c>
      <c r="G10" s="16" t="s">
        <v>31</v>
      </c>
      <c r="H10" s="16" t="s">
        <v>32</v>
      </c>
      <c r="I10" s="17" t="s">
        <v>23</v>
      </c>
      <c r="J10" s="12"/>
      <c r="K10" s="12" t="s">
        <v>26</v>
      </c>
      <c r="L10" s="32">
        <v>16</v>
      </c>
      <c r="M10" s="12" t="str">
        <f>"161,0"</f>
        <v>161,0</v>
      </c>
      <c r="N10" s="12" t="str">
        <f>"5597,2350"</f>
        <v>5597,2350</v>
      </c>
      <c r="O10" s="11"/>
    </row>
    <row r="11" spans="1:15">
      <c r="B11" s="5" t="s">
        <v>34</v>
      </c>
    </row>
  </sheetData>
  <mergeCells count="14">
    <mergeCell ref="A5:L5"/>
    <mergeCell ref="A8:L8"/>
    <mergeCell ref="B3:B4"/>
    <mergeCell ref="E3:E4"/>
    <mergeCell ref="M3:M4"/>
    <mergeCell ref="N3:N4"/>
    <mergeCell ref="A1:O2"/>
    <mergeCell ref="G3:J3"/>
    <mergeCell ref="A3:A4"/>
    <mergeCell ref="C3:C4"/>
    <mergeCell ref="D3:D4"/>
    <mergeCell ref="O3:O4"/>
    <mergeCell ref="F3:F4"/>
    <mergeCell ref="K3:L3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A682-1F29-4B18-988C-2D27F7922702}">
  <dimension ref="A1:O7"/>
  <sheetViews>
    <sheetView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15.33203125" style="5" bestFit="1" customWidth="1"/>
    <col min="3" max="3" width="28.1640625" style="5" bestFit="1" customWidth="1"/>
    <col min="4" max="4" width="20" style="5" bestFit="1" customWidth="1"/>
    <col min="5" max="5" width="15.1640625" style="5" bestFit="1" customWidth="1"/>
    <col min="6" max="6" width="24.5" style="5" bestFit="1" customWidth="1"/>
    <col min="7" max="10" width="4.33203125" style="6" customWidth="1"/>
    <col min="11" max="11" width="9.83203125" style="6" customWidth="1"/>
    <col min="12" max="12" width="12.1640625" style="6" customWidth="1"/>
    <col min="13" max="13" width="7.1640625" style="6" bestFit="1" customWidth="1"/>
    <col min="14" max="14" width="9.33203125" style="6" bestFit="1" customWidth="1"/>
    <col min="15" max="15" width="20.6640625" style="5" customWidth="1"/>
    <col min="16" max="16384" width="9.1640625" style="3"/>
  </cols>
  <sheetData>
    <row r="1" spans="1:15" s="2" customFormat="1" ht="29" customHeight="1">
      <c r="A1" s="37" t="s">
        <v>180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49</v>
      </c>
      <c r="H3" s="49"/>
      <c r="I3" s="49"/>
      <c r="J3" s="49"/>
      <c r="K3" s="49" t="s">
        <v>178</v>
      </c>
      <c r="L3" s="49"/>
      <c r="M3" s="49" t="s">
        <v>1</v>
      </c>
      <c r="N3" s="49" t="s">
        <v>3</v>
      </c>
      <c r="O3" s="33" t="s">
        <v>2</v>
      </c>
    </row>
    <row r="4" spans="1:15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48"/>
      <c r="N4" s="48"/>
      <c r="O4" s="34"/>
    </row>
    <row r="5" spans="1:15" ht="16">
      <c r="A5" s="35" t="s">
        <v>36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5">
      <c r="A6" s="8" t="s">
        <v>33</v>
      </c>
      <c r="B6" s="7" t="s">
        <v>50</v>
      </c>
      <c r="C6" s="7" t="s">
        <v>163</v>
      </c>
      <c r="D6" s="7" t="s">
        <v>51</v>
      </c>
      <c r="E6" s="7" t="s">
        <v>190</v>
      </c>
      <c r="F6" s="7" t="s">
        <v>52</v>
      </c>
      <c r="G6" s="14" t="s">
        <v>53</v>
      </c>
      <c r="H6" s="14" t="s">
        <v>54</v>
      </c>
      <c r="I6" s="13" t="s">
        <v>48</v>
      </c>
      <c r="J6" s="8"/>
      <c r="K6" s="8" t="s">
        <v>55</v>
      </c>
      <c r="L6" s="29">
        <v>23</v>
      </c>
      <c r="M6" s="8" t="str">
        <f>"98,0"</f>
        <v>98,0</v>
      </c>
      <c r="N6" s="8" t="str">
        <f>"3175,5926"</f>
        <v>3175,5926</v>
      </c>
      <c r="O6" s="7" t="s">
        <v>56</v>
      </c>
    </row>
    <row r="7" spans="1:15">
      <c r="B7" s="5" t="s">
        <v>34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7D3F-0FDE-4C2A-B235-7EB482ED7821}">
  <dimension ref="A1:M13"/>
  <sheetViews>
    <sheetView tabSelected="1"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18.33203125" style="5" bestFit="1" customWidth="1"/>
    <col min="3" max="3" width="25.5" style="5" bestFit="1" customWidth="1"/>
    <col min="4" max="4" width="20" style="5" bestFit="1" customWidth="1"/>
    <col min="5" max="5" width="9.6640625" style="5" bestFit="1" customWidth="1"/>
    <col min="6" max="6" width="30.6640625" style="5" customWidth="1"/>
    <col min="7" max="9" width="5.33203125" style="6" customWidth="1"/>
    <col min="10" max="10" width="4.33203125" style="6" customWidth="1"/>
    <col min="11" max="11" width="10.5" style="6" bestFit="1" customWidth="1"/>
    <col min="12" max="12" width="8.332031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7" t="s">
        <v>181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183</v>
      </c>
      <c r="B3" s="52" t="s">
        <v>0</v>
      </c>
      <c r="C3" s="47" t="s">
        <v>184</v>
      </c>
      <c r="D3" s="47" t="s">
        <v>8</v>
      </c>
      <c r="E3" s="49" t="s">
        <v>185</v>
      </c>
      <c r="F3" s="49" t="s">
        <v>5</v>
      </c>
      <c r="G3" s="49" t="s">
        <v>9</v>
      </c>
      <c r="H3" s="49"/>
      <c r="I3" s="49"/>
      <c r="J3" s="49"/>
      <c r="K3" s="49" t="s">
        <v>46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36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33</v>
      </c>
      <c r="B6" s="7" t="s">
        <v>37</v>
      </c>
      <c r="C6" s="7" t="s">
        <v>38</v>
      </c>
      <c r="D6" s="7" t="s">
        <v>39</v>
      </c>
      <c r="E6" s="7" t="s">
        <v>193</v>
      </c>
      <c r="F6" s="7" t="s">
        <v>182</v>
      </c>
      <c r="G6" s="14" t="s">
        <v>40</v>
      </c>
      <c r="H6" s="13" t="s">
        <v>41</v>
      </c>
      <c r="I6" s="14" t="s">
        <v>41</v>
      </c>
      <c r="J6" s="8"/>
      <c r="K6" s="8" t="str">
        <f>"92,5"</f>
        <v>92,5</v>
      </c>
      <c r="L6" s="8" t="str">
        <f>"103,5963"</f>
        <v>103,5963</v>
      </c>
      <c r="M6" s="7"/>
    </row>
    <row r="7" spans="1:13">
      <c r="B7" s="5" t="s">
        <v>34</v>
      </c>
    </row>
    <row r="8" spans="1:13" ht="16">
      <c r="A8" s="50" t="s">
        <v>10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33</v>
      </c>
      <c r="B9" s="7" t="s">
        <v>11</v>
      </c>
      <c r="C9" s="7" t="s">
        <v>12</v>
      </c>
      <c r="D9" s="7" t="s">
        <v>13</v>
      </c>
      <c r="E9" s="7" t="s">
        <v>186</v>
      </c>
      <c r="F9" s="7" t="s">
        <v>14</v>
      </c>
      <c r="G9" s="13" t="s">
        <v>15</v>
      </c>
      <c r="H9" s="14" t="s">
        <v>15</v>
      </c>
      <c r="I9" s="14" t="s">
        <v>16</v>
      </c>
      <c r="J9" s="8"/>
      <c r="K9" s="8" t="str">
        <f>"162,5"</f>
        <v>162,5</v>
      </c>
      <c r="L9" s="8" t="str">
        <f>"99,4987"</f>
        <v>99,4987</v>
      </c>
      <c r="M9" s="7"/>
    </row>
    <row r="10" spans="1:13">
      <c r="B10" s="5" t="s">
        <v>34</v>
      </c>
    </row>
    <row r="11" spans="1:13" ht="16">
      <c r="A11" s="50" t="s">
        <v>19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33</v>
      </c>
      <c r="B12" s="7" t="s">
        <v>42</v>
      </c>
      <c r="C12" s="7" t="s">
        <v>43</v>
      </c>
      <c r="D12" s="7" t="s">
        <v>44</v>
      </c>
      <c r="E12" s="7" t="s">
        <v>186</v>
      </c>
      <c r="F12" s="7" t="s">
        <v>14</v>
      </c>
      <c r="G12" s="14" t="s">
        <v>31</v>
      </c>
      <c r="H12" s="14" t="s">
        <v>45</v>
      </c>
      <c r="I12" s="8"/>
      <c r="J12" s="8"/>
      <c r="K12" s="8" t="str">
        <f>"152,5"</f>
        <v>152,5</v>
      </c>
      <c r="L12" s="8" t="str">
        <f>"91,8203"</f>
        <v>91,8203</v>
      </c>
      <c r="M12" s="7"/>
    </row>
    <row r="13" spans="1:13">
      <c r="B13" s="5" t="s">
        <v>34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IPL Жим без экипировки</vt:lpstr>
      <vt:lpstr>IPL Тяга без экипировки</vt:lpstr>
      <vt:lpstr>СПР Жим софт однопетельная</vt:lpstr>
      <vt:lpstr>СПР Жим софт многопетельная</vt:lpstr>
      <vt:lpstr>СПР Пауэрспорт</vt:lpstr>
      <vt:lpstr>ФЖД ЖД Любители</vt:lpstr>
      <vt:lpstr>ФЖД ЖД Армейский жим</vt:lpstr>
      <vt:lpstr>ФЖД Любители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2020-12-02T16:04:49Z</dcterms:modified>
</cp:coreProperties>
</file>