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8_{BFA72D88-BB83-A24D-943C-68020EBEE0C5}" xr6:coauthVersionLast="45" xr6:coauthVersionMax="45" xr10:uidLastSave="{00000000-0000-0000-0000-000000000000}"/>
  <bookViews>
    <workbookView xWindow="480" yWindow="460" windowWidth="27320" windowHeight="15280" tabRatio="688" xr2:uid="{00000000-000D-0000-FFFF-FFFF00000000}"/>
  </bookViews>
  <sheets>
    <sheet name="WRPF Жим лежа без экип" sheetId="6" r:id="rId1"/>
    <sheet name="WEPF Жим софт многопетельная" sheetId="7" r:id="rId2"/>
    <sheet name="WRPF Жим СФО" sheetId="11" r:id="rId3"/>
    <sheet name="WRPF Народный 1 вес" sheetId="9" r:id="rId4"/>
    <sheet name="WRPF Народный 1_2 веса" sheetId="10" r:id="rId5"/>
    <sheet name="WRPF Тяга без экипировки" sheetId="8" r:id="rId6"/>
    <sheet name="WRPF Подъем на бицепс" sheetId="12" r:id="rId7"/>
    <sheet name="Командное первенство" sheetId="15" r:id="rId8"/>
    <sheet name="Судейская коллегия" sheetId="16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2" l="1"/>
  <c r="K34" i="12"/>
  <c r="E34" i="12"/>
  <c r="L31" i="12"/>
  <c r="K31" i="12"/>
  <c r="E31" i="12"/>
  <c r="L30" i="12"/>
  <c r="K30" i="12"/>
  <c r="E30" i="12"/>
  <c r="L29" i="12"/>
  <c r="K29" i="12"/>
  <c r="E29" i="12"/>
  <c r="L28" i="12"/>
  <c r="K28" i="12"/>
  <c r="E28" i="12"/>
  <c r="L25" i="12"/>
  <c r="K25" i="12"/>
  <c r="E25" i="12"/>
  <c r="L22" i="12"/>
  <c r="K22" i="12"/>
  <c r="E22" i="12"/>
  <c r="L19" i="12"/>
  <c r="K19" i="12"/>
  <c r="E19" i="12"/>
  <c r="L18" i="12"/>
  <c r="K18" i="12"/>
  <c r="E18" i="12"/>
  <c r="L17" i="12"/>
  <c r="K17" i="12"/>
  <c r="E17" i="12"/>
  <c r="L14" i="12"/>
  <c r="K14" i="12"/>
  <c r="E14" i="12"/>
  <c r="L13" i="12"/>
  <c r="K13" i="12"/>
  <c r="E13" i="12"/>
  <c r="L10" i="12"/>
  <c r="K10" i="12"/>
  <c r="E10" i="12"/>
  <c r="L9" i="12"/>
  <c r="K9" i="12"/>
  <c r="E9" i="12"/>
  <c r="L6" i="12"/>
  <c r="K6" i="12"/>
  <c r="E6" i="12"/>
  <c r="L15" i="11"/>
  <c r="K15" i="11"/>
  <c r="E15" i="11"/>
  <c r="L12" i="11"/>
  <c r="K12" i="11"/>
  <c r="E12" i="11"/>
  <c r="L9" i="11"/>
  <c r="K9" i="11"/>
  <c r="E9" i="11"/>
  <c r="L6" i="11"/>
  <c r="K6" i="11"/>
  <c r="E6" i="11"/>
  <c r="J13" i="10"/>
  <c r="I13" i="10"/>
  <c r="E13" i="10"/>
  <c r="J12" i="10"/>
  <c r="I12" i="10"/>
  <c r="E12" i="10"/>
  <c r="J9" i="10"/>
  <c r="I9" i="10"/>
  <c r="E9" i="10"/>
  <c r="J6" i="10"/>
  <c r="I6" i="10"/>
  <c r="E6" i="10"/>
  <c r="J27" i="9"/>
  <c r="I27" i="9"/>
  <c r="E27" i="9"/>
  <c r="J24" i="9"/>
  <c r="I24" i="9"/>
  <c r="E24" i="9"/>
  <c r="J23" i="9"/>
  <c r="I23" i="9"/>
  <c r="E23" i="9"/>
  <c r="J22" i="9"/>
  <c r="I22" i="9"/>
  <c r="E22" i="9"/>
  <c r="J19" i="9"/>
  <c r="I19" i="9"/>
  <c r="E19" i="9"/>
  <c r="J18" i="9"/>
  <c r="I18" i="9"/>
  <c r="E18" i="9"/>
  <c r="J17" i="9"/>
  <c r="I17" i="9"/>
  <c r="E17" i="9"/>
  <c r="J16" i="9"/>
  <c r="I16" i="9"/>
  <c r="E16" i="9"/>
  <c r="J15" i="9"/>
  <c r="I15" i="9"/>
  <c r="E15" i="9"/>
  <c r="J14" i="9"/>
  <c r="I14" i="9"/>
  <c r="E14" i="9"/>
  <c r="J11" i="9"/>
  <c r="I11" i="9"/>
  <c r="E11" i="9"/>
  <c r="J10" i="9"/>
  <c r="I10" i="9"/>
  <c r="E10" i="9"/>
  <c r="J9" i="9"/>
  <c r="I9" i="9"/>
  <c r="E9" i="9"/>
  <c r="J6" i="9"/>
  <c r="I6" i="9"/>
  <c r="E6" i="9"/>
  <c r="L49" i="8"/>
  <c r="K49" i="8"/>
  <c r="E49" i="8"/>
  <c r="L46" i="8"/>
  <c r="K46" i="8"/>
  <c r="E46" i="8"/>
  <c r="L43" i="8"/>
  <c r="K43" i="8"/>
  <c r="E43" i="8"/>
  <c r="L40" i="8"/>
  <c r="K40" i="8"/>
  <c r="E40" i="8"/>
  <c r="L39" i="8"/>
  <c r="K39" i="8"/>
  <c r="E39" i="8"/>
  <c r="L38" i="8"/>
  <c r="K38" i="8"/>
  <c r="E38" i="8"/>
  <c r="L35" i="8"/>
  <c r="K35" i="8"/>
  <c r="E35" i="8"/>
  <c r="L34" i="8"/>
  <c r="K34" i="8"/>
  <c r="E34" i="8"/>
  <c r="L31" i="8"/>
  <c r="K31" i="8"/>
  <c r="E31" i="8"/>
  <c r="L30" i="8"/>
  <c r="K30" i="8"/>
  <c r="E30" i="8"/>
  <c r="L29" i="8"/>
  <c r="K29" i="8"/>
  <c r="E29" i="8"/>
  <c r="L28" i="8"/>
  <c r="K28" i="8"/>
  <c r="E28" i="8"/>
  <c r="L25" i="8"/>
  <c r="K25" i="8"/>
  <c r="E25" i="8"/>
  <c r="L22" i="8"/>
  <c r="K22" i="8"/>
  <c r="E22" i="8"/>
  <c r="L19" i="8"/>
  <c r="K19" i="8"/>
  <c r="E19" i="8"/>
  <c r="L16" i="8"/>
  <c r="K16" i="8"/>
  <c r="E16" i="8"/>
  <c r="L13" i="8"/>
  <c r="K13" i="8"/>
  <c r="E13" i="8"/>
  <c r="L10" i="8"/>
  <c r="K10" i="8"/>
  <c r="E10" i="8"/>
  <c r="L7" i="8"/>
  <c r="K7" i="8"/>
  <c r="E7" i="8"/>
  <c r="L6" i="8"/>
  <c r="K6" i="8"/>
  <c r="E6" i="8"/>
  <c r="L9" i="7"/>
  <c r="K9" i="7"/>
  <c r="E9" i="7"/>
  <c r="L6" i="7"/>
  <c r="E6" i="7"/>
  <c r="L77" i="6"/>
  <c r="K77" i="6"/>
  <c r="E77" i="6"/>
  <c r="L76" i="6"/>
  <c r="K76" i="6"/>
  <c r="E76" i="6"/>
  <c r="L73" i="6"/>
  <c r="K73" i="6"/>
  <c r="E73" i="6"/>
  <c r="L72" i="6"/>
  <c r="K72" i="6"/>
  <c r="E72" i="6"/>
  <c r="L71" i="6"/>
  <c r="K71" i="6"/>
  <c r="E71" i="6"/>
  <c r="L70" i="6"/>
  <c r="K70" i="6"/>
  <c r="E70" i="6"/>
  <c r="L69" i="6"/>
  <c r="K69" i="6"/>
  <c r="E69" i="6"/>
  <c r="L68" i="6"/>
  <c r="K68" i="6"/>
  <c r="E68" i="6"/>
  <c r="L65" i="6"/>
  <c r="K65" i="6"/>
  <c r="E65" i="6"/>
  <c r="L64" i="6"/>
  <c r="K64" i="6"/>
  <c r="E64" i="6"/>
  <c r="L63" i="6"/>
  <c r="K63" i="6"/>
  <c r="E63" i="6"/>
  <c r="L62" i="6"/>
  <c r="K62" i="6"/>
  <c r="E62" i="6"/>
  <c r="L61" i="6"/>
  <c r="K61" i="6"/>
  <c r="E61" i="6"/>
  <c r="L58" i="6"/>
  <c r="K58" i="6"/>
  <c r="E58" i="6"/>
  <c r="L57" i="6"/>
  <c r="K57" i="6"/>
  <c r="E57" i="6"/>
  <c r="L56" i="6"/>
  <c r="K56" i="6"/>
  <c r="E56" i="6"/>
  <c r="L55" i="6"/>
  <c r="K55" i="6"/>
  <c r="E55" i="6"/>
  <c r="L54" i="6"/>
  <c r="K54" i="6"/>
  <c r="E54" i="6"/>
  <c r="L53" i="6"/>
  <c r="K53" i="6"/>
  <c r="E53" i="6"/>
  <c r="L52" i="6"/>
  <c r="K52" i="6"/>
  <c r="E52" i="6"/>
  <c r="L51" i="6"/>
  <c r="K51" i="6"/>
  <c r="E51" i="6"/>
  <c r="L50" i="6"/>
  <c r="K50" i="6"/>
  <c r="E50" i="6"/>
  <c r="L47" i="6"/>
  <c r="K47" i="6"/>
  <c r="E47" i="6"/>
  <c r="L46" i="6"/>
  <c r="K46" i="6"/>
  <c r="E46" i="6"/>
  <c r="L45" i="6"/>
  <c r="K45" i="6"/>
  <c r="E45" i="6"/>
  <c r="L44" i="6"/>
  <c r="K44" i="6"/>
  <c r="E44" i="6"/>
  <c r="L43" i="6"/>
  <c r="K43" i="6"/>
  <c r="E43" i="6"/>
  <c r="L40" i="6"/>
  <c r="K40" i="6"/>
  <c r="E40" i="6"/>
  <c r="L39" i="6"/>
  <c r="K39" i="6"/>
  <c r="E39" i="6"/>
  <c r="L38" i="6"/>
  <c r="K38" i="6"/>
  <c r="E38" i="6"/>
  <c r="L37" i="6"/>
  <c r="K37" i="6"/>
  <c r="E37" i="6"/>
  <c r="L34" i="6"/>
  <c r="K34" i="6"/>
  <c r="E34" i="6"/>
  <c r="L33" i="6"/>
  <c r="K33" i="6"/>
  <c r="E33" i="6"/>
  <c r="L32" i="6"/>
  <c r="K32" i="6"/>
  <c r="E32" i="6"/>
  <c r="L29" i="6"/>
  <c r="K29" i="6"/>
  <c r="E29" i="6"/>
  <c r="L26" i="6"/>
  <c r="K26" i="6"/>
  <c r="E26" i="6"/>
  <c r="L25" i="6"/>
  <c r="K25" i="6"/>
  <c r="E25" i="6"/>
  <c r="L22" i="6"/>
  <c r="K22" i="6"/>
  <c r="E22" i="6"/>
  <c r="L19" i="6"/>
  <c r="K19" i="6"/>
  <c r="E19" i="6"/>
  <c r="L16" i="6"/>
  <c r="K16" i="6"/>
  <c r="E16" i="6"/>
  <c r="L15" i="6"/>
  <c r="K15" i="6"/>
  <c r="E15" i="6"/>
  <c r="L14" i="6"/>
  <c r="K14" i="6"/>
  <c r="E14" i="6"/>
  <c r="L11" i="6"/>
  <c r="K11" i="6"/>
  <c r="E11" i="6"/>
  <c r="L10" i="6"/>
  <c r="K10" i="6"/>
  <c r="E10" i="6"/>
  <c r="L9" i="6"/>
  <c r="K9" i="6"/>
  <c r="E9" i="6"/>
  <c r="L6" i="6"/>
  <c r="K6" i="6"/>
  <c r="E6" i="6"/>
</calcChain>
</file>

<file path=xl/sharedStrings.xml><?xml version="1.0" encoding="utf-8"?>
<sst xmlns="http://schemas.openxmlformats.org/spreadsheetml/2006/main" count="1235" uniqueCount="470">
  <si>
    <t>ФИО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</si>
  <si>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</si>
  <si>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</si>
  <si>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</si>
  <si>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</si>
  <si>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</si>
  <si>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</si>
  <si>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</si>
  <si>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</si>
  <si>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Секретарь:</t>
  </si>
  <si>
    <t xml:space="preserve">Абсолютный зачёт </t>
  </si>
  <si>
    <t>Результат</t>
  </si>
  <si>
    <t/>
  </si>
  <si>
    <t>Место</t>
  </si>
  <si>
    <t>Wilks</t>
  </si>
  <si>
    <t>Жим лёжа</t>
  </si>
  <si>
    <t>ВЕСОВАЯ КАТЕГОРИЯ   44</t>
  </si>
  <si>
    <t>Ошмарина Софья</t>
  </si>
  <si>
    <t>Девушки 14-16 (09.09.2005)/15</t>
  </si>
  <si>
    <t>43,25</t>
  </si>
  <si>
    <t xml:space="preserve">Пермь/Пермский край </t>
  </si>
  <si>
    <t>35,0</t>
  </si>
  <si>
    <t>37,5</t>
  </si>
  <si>
    <t>40,0</t>
  </si>
  <si>
    <t xml:space="preserve">Малышев И. </t>
  </si>
  <si>
    <t>ВЕСОВАЯ КАТЕГОРИЯ   48</t>
  </si>
  <si>
    <t>Сарапульцева Юлия</t>
  </si>
  <si>
    <t>Открытая (24.11.1989)/31</t>
  </si>
  <si>
    <t>47,20</t>
  </si>
  <si>
    <t xml:space="preserve">Кунгур/Пермский край </t>
  </si>
  <si>
    <t>57,5</t>
  </si>
  <si>
    <t>60,0</t>
  </si>
  <si>
    <t>62,5</t>
  </si>
  <si>
    <t xml:space="preserve">Сарапульцев В. </t>
  </si>
  <si>
    <t>Султангареева Фаина</t>
  </si>
  <si>
    <t>Открытая (18.07.1988)/32</t>
  </si>
  <si>
    <t>47,60</t>
  </si>
  <si>
    <t>47,5</t>
  </si>
  <si>
    <t>50,0</t>
  </si>
  <si>
    <t>52,5</t>
  </si>
  <si>
    <t xml:space="preserve">Косожихин П. </t>
  </si>
  <si>
    <t>Килина Вероника</t>
  </si>
  <si>
    <t>Открытая (09.03.1992)/28</t>
  </si>
  <si>
    <t xml:space="preserve">Чернушка/Пермский край </t>
  </si>
  <si>
    <t xml:space="preserve">Щипицин А. </t>
  </si>
  <si>
    <t>ВЕСОВАЯ КАТЕГОРИЯ   52</t>
  </si>
  <si>
    <t>Гвоздева Валерия</t>
  </si>
  <si>
    <t>Девушки 14-16 (13.11.2005)/15</t>
  </si>
  <si>
    <t>51,30</t>
  </si>
  <si>
    <t xml:space="preserve">Нытва/Пермский край </t>
  </si>
  <si>
    <t>37,0</t>
  </si>
  <si>
    <t xml:space="preserve">Койков Е. </t>
  </si>
  <si>
    <t>Ерофеева Елена</t>
  </si>
  <si>
    <t>Открытая (27.05.1984)/36</t>
  </si>
  <si>
    <t>49,50</t>
  </si>
  <si>
    <t xml:space="preserve">Калашников Е. </t>
  </si>
  <si>
    <t>Мударисова Регина</t>
  </si>
  <si>
    <t>Открытая (02.10.1994)/26</t>
  </si>
  <si>
    <t>51,20</t>
  </si>
  <si>
    <t>42,5</t>
  </si>
  <si>
    <t xml:space="preserve">Некрасов И. </t>
  </si>
  <si>
    <t>ВЕСОВАЯ КАТЕГОРИЯ   56</t>
  </si>
  <si>
    <t>Петрученко Мария</t>
  </si>
  <si>
    <t>Открытая (05.10.1996)/24</t>
  </si>
  <si>
    <t>56,00</t>
  </si>
  <si>
    <t>45,0</t>
  </si>
  <si>
    <t xml:space="preserve">Суменков Д. </t>
  </si>
  <si>
    <t>ВЕСОВАЯ КАТЕГОРИЯ   60</t>
  </si>
  <si>
    <t>Штефан Анастасия</t>
  </si>
  <si>
    <t>Открытая (07.06.1993)/27</t>
  </si>
  <si>
    <t>58,80</t>
  </si>
  <si>
    <t>65,0</t>
  </si>
  <si>
    <t>67,5</t>
  </si>
  <si>
    <t>ВЕСОВАЯ КАТЕГОРИЯ   67.5</t>
  </si>
  <si>
    <t>Кулюкина Дарья</t>
  </si>
  <si>
    <t>Девушки 14-16 (01.02.2005)/15</t>
  </si>
  <si>
    <t>67,00</t>
  </si>
  <si>
    <t xml:space="preserve">Сячин А. </t>
  </si>
  <si>
    <t>Емельянова Ирина</t>
  </si>
  <si>
    <t>Открытая (20.03.1975)/45</t>
  </si>
  <si>
    <t>67,50</t>
  </si>
  <si>
    <t>80,0</t>
  </si>
  <si>
    <t>82,5</t>
  </si>
  <si>
    <t>85,0</t>
  </si>
  <si>
    <t xml:space="preserve">Третьяков А. </t>
  </si>
  <si>
    <t>ВЕСОВАЯ КАТЕГОРИЯ   75</t>
  </si>
  <si>
    <t>Шаламова Ольга</t>
  </si>
  <si>
    <t>Мастера 40-49 (15.09.1977)/43</t>
  </si>
  <si>
    <t>74,10</t>
  </si>
  <si>
    <t xml:space="preserve">Баландин С. </t>
  </si>
  <si>
    <t>Бахарев Кирилл</t>
  </si>
  <si>
    <t>Юноши 14-16 (17.12.2004)/15</t>
  </si>
  <si>
    <t>92,5</t>
  </si>
  <si>
    <t>100,0</t>
  </si>
  <si>
    <t>102,5</t>
  </si>
  <si>
    <t xml:space="preserve">Бахарев О. </t>
  </si>
  <si>
    <t>Киселев Денис</t>
  </si>
  <si>
    <t>Мастера 40-49 (23.02.1980)/40</t>
  </si>
  <si>
    <t>65,20</t>
  </si>
  <si>
    <t>95,0</t>
  </si>
  <si>
    <t>105,0</t>
  </si>
  <si>
    <t>Ошмарин Владимир</t>
  </si>
  <si>
    <t>Мастера 50-59 (30.04.1967)/53</t>
  </si>
  <si>
    <t>64,50</t>
  </si>
  <si>
    <t>107,5</t>
  </si>
  <si>
    <t>110,0</t>
  </si>
  <si>
    <t>Тукачев Максим</t>
  </si>
  <si>
    <t>Юноши 17-19 (22.06.2003)/17</t>
  </si>
  <si>
    <t>69,20</t>
  </si>
  <si>
    <t xml:space="preserve">Новоильинский/Пермский край </t>
  </si>
  <si>
    <t>90,0</t>
  </si>
  <si>
    <t xml:space="preserve">Попков А. </t>
  </si>
  <si>
    <t>Попков Александр</t>
  </si>
  <si>
    <t>Открытая (03.09.1985)/35</t>
  </si>
  <si>
    <t>72,00</t>
  </si>
  <si>
    <t>120,0</t>
  </si>
  <si>
    <t>125,0</t>
  </si>
  <si>
    <t>130,0</t>
  </si>
  <si>
    <t>Ярославцев Игорь</t>
  </si>
  <si>
    <t>Открытая (14.11.1991)/29</t>
  </si>
  <si>
    <t>74,80</t>
  </si>
  <si>
    <t>112,5</t>
  </si>
  <si>
    <t>Некрасов Сергей</t>
  </si>
  <si>
    <t>Открытая (12.08.1984)/36</t>
  </si>
  <si>
    <t>70,50</t>
  </si>
  <si>
    <t>ВЕСОВАЯ КАТЕГОРИЯ   82.5</t>
  </si>
  <si>
    <t>Кузьминых Никита</t>
  </si>
  <si>
    <t>Юноши 17-19 (24.05.2003)/17</t>
  </si>
  <si>
    <t>80,70</t>
  </si>
  <si>
    <t>115,0</t>
  </si>
  <si>
    <t>Горбунов Владислав</t>
  </si>
  <si>
    <t>Юниоры (09.02.1998)/22</t>
  </si>
  <si>
    <t>79,00</t>
  </si>
  <si>
    <t>137,5</t>
  </si>
  <si>
    <t>142,5</t>
  </si>
  <si>
    <t xml:space="preserve">Прищепа В. </t>
  </si>
  <si>
    <t>Мальцев Павел</t>
  </si>
  <si>
    <t>Открытая (02.07.1990)/30</t>
  </si>
  <si>
    <t>77,80</t>
  </si>
  <si>
    <t>135,0</t>
  </si>
  <si>
    <t>140,0</t>
  </si>
  <si>
    <t>Кушнин Иван</t>
  </si>
  <si>
    <t>Открытая (26.03.1990)/30</t>
  </si>
  <si>
    <t>81,20</t>
  </si>
  <si>
    <t xml:space="preserve">Яйва/Пермский край </t>
  </si>
  <si>
    <t>Сарапульцев Вадим</t>
  </si>
  <si>
    <t>Мастера 40-49 (07.05.1971)/49</t>
  </si>
  <si>
    <t>81,50</t>
  </si>
  <si>
    <t>145,0</t>
  </si>
  <si>
    <t>ВЕСОВАЯ КАТЕГОРИЯ   90</t>
  </si>
  <si>
    <t>Аджикильдеев Виталий</t>
  </si>
  <si>
    <t>Открытая (28.07.1988)/32</t>
  </si>
  <si>
    <t>88,00</t>
  </si>
  <si>
    <t>185,0</t>
  </si>
  <si>
    <t>195,0</t>
  </si>
  <si>
    <t>200,0</t>
  </si>
  <si>
    <t>Сячин Антон</t>
  </si>
  <si>
    <t>Открытая (20.12.1991)/28</t>
  </si>
  <si>
    <t>86,20</t>
  </si>
  <si>
    <t>160,0</t>
  </si>
  <si>
    <t>165,0</t>
  </si>
  <si>
    <t>170,0</t>
  </si>
  <si>
    <t>Токарев Илья</t>
  </si>
  <si>
    <t>Открытая (28.06.1968)/52</t>
  </si>
  <si>
    <t>88,90</t>
  </si>
  <si>
    <t>155,0</t>
  </si>
  <si>
    <t>162,5</t>
  </si>
  <si>
    <t>Ашрафзянов Закий</t>
  </si>
  <si>
    <t>Открытая (07.06.1996)/24</t>
  </si>
  <si>
    <t>89,10</t>
  </si>
  <si>
    <t>150,0</t>
  </si>
  <si>
    <t xml:space="preserve">Новиков И. </t>
  </si>
  <si>
    <t>Шайхутдинов Александр</t>
  </si>
  <si>
    <t>Открытая (09.02.1986)/34</t>
  </si>
  <si>
    <t>83,80</t>
  </si>
  <si>
    <t xml:space="preserve">Самостоятельно </t>
  </si>
  <si>
    <t>Коновалов Антон</t>
  </si>
  <si>
    <t>Открытая (11.05.1991)/29</t>
  </si>
  <si>
    <t>88,30</t>
  </si>
  <si>
    <t>132,5</t>
  </si>
  <si>
    <t>Мастера 50-59 (28.06.1968)/52</t>
  </si>
  <si>
    <t>Исхаков Равил</t>
  </si>
  <si>
    <t>Мастера 60-69 (19.11.1951)/69</t>
  </si>
  <si>
    <t>86,00</t>
  </si>
  <si>
    <t>70,0</t>
  </si>
  <si>
    <t>72,5</t>
  </si>
  <si>
    <t>Черноморец Андрей</t>
  </si>
  <si>
    <t>Мастера 70-79 (20.06.1946)/74</t>
  </si>
  <si>
    <t>90,00</t>
  </si>
  <si>
    <t>ВЕСОВАЯ КАТЕГОРИЯ   100</t>
  </si>
  <si>
    <t>Некрасов Иван</t>
  </si>
  <si>
    <t>Открытая (18.03.1982)/38</t>
  </si>
  <si>
    <t>96,80</t>
  </si>
  <si>
    <t>180,0</t>
  </si>
  <si>
    <t>190,0</t>
  </si>
  <si>
    <t>Степанов Илья</t>
  </si>
  <si>
    <t>Открытая (27.08.1987)/33</t>
  </si>
  <si>
    <t>94,80</t>
  </si>
  <si>
    <t>Верхоланцев Алексей</t>
  </si>
  <si>
    <t>Открытая (21.06.1989)/31</t>
  </si>
  <si>
    <t>97,30</t>
  </si>
  <si>
    <t>Дидковский Юрий</t>
  </si>
  <si>
    <t>Мастера 50-59 (09.04.1970)/50</t>
  </si>
  <si>
    <t>95,70</t>
  </si>
  <si>
    <t>Косков Сергей</t>
  </si>
  <si>
    <t>Мастера 60-69 (03.01.1957)/63</t>
  </si>
  <si>
    <t>95,20</t>
  </si>
  <si>
    <t>117,5</t>
  </si>
  <si>
    <t>ВЕСОВАЯ КАТЕГОРИЯ   110</t>
  </si>
  <si>
    <t>Лузин Иван</t>
  </si>
  <si>
    <t>Юноши 14-16 (24.02.2004)/16</t>
  </si>
  <si>
    <t>102,00</t>
  </si>
  <si>
    <t>Жижикин Иван</t>
  </si>
  <si>
    <t>Открытая (01.02.1989)/31</t>
  </si>
  <si>
    <t>107,70</t>
  </si>
  <si>
    <t>192,5</t>
  </si>
  <si>
    <t>Крутиков Алексей</t>
  </si>
  <si>
    <t>Открытая (07.05.1993)/27</t>
  </si>
  <si>
    <t>109,10</t>
  </si>
  <si>
    <t>Бояркин Владимир</t>
  </si>
  <si>
    <t>Открытая (06.12.1972)/48</t>
  </si>
  <si>
    <t>101,70</t>
  </si>
  <si>
    <t xml:space="preserve">Чусовой/Пермский край </t>
  </si>
  <si>
    <t>Серёгин Семён</t>
  </si>
  <si>
    <t>Открытая (10.02.1985)/35</t>
  </si>
  <si>
    <t>109,50</t>
  </si>
  <si>
    <t>177,5</t>
  </si>
  <si>
    <t>Мастера 40-49 (06.12.1972)/48</t>
  </si>
  <si>
    <t>ВЕСОВАЯ КАТЕГОРИЯ   125</t>
  </si>
  <si>
    <t>Манин Александр</t>
  </si>
  <si>
    <t>Открытая (11.01.1991)/29</t>
  </si>
  <si>
    <t>112,00</t>
  </si>
  <si>
    <t xml:space="preserve">Березники/Пермский край </t>
  </si>
  <si>
    <t>210,0</t>
  </si>
  <si>
    <t>220,0</t>
  </si>
  <si>
    <t>240,0</t>
  </si>
  <si>
    <t>Павлов Евгений</t>
  </si>
  <si>
    <t>Открытая (02.05.1980)/40</t>
  </si>
  <si>
    <t>111,20</t>
  </si>
  <si>
    <t xml:space="preserve">Женщины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</si>
  <si>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</si>
  <si>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</si>
  <si>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</si>
  <si>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</si>
  <si>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67.5</t>
  </si>
  <si>
    <t xml:space="preserve">Открытая </t>
  </si>
  <si>
    <t>86,7510</t>
  </si>
  <si>
    <t>48</t>
  </si>
  <si>
    <t>83,8000</t>
  </si>
  <si>
    <t>60</t>
  </si>
  <si>
    <t>73,6125</t>
  </si>
  <si>
    <t>75</t>
  </si>
  <si>
    <t xml:space="preserve">Мужчины </t>
  </si>
  <si>
    <t>110</t>
  </si>
  <si>
    <t>82.5</t>
  </si>
  <si>
    <t>90</t>
  </si>
  <si>
    <t>129,1800</t>
  </si>
  <si>
    <t>125</t>
  </si>
  <si>
    <t>128,7660</t>
  </si>
  <si>
    <t>100</t>
  </si>
  <si>
    <t>114,1265</t>
  </si>
  <si>
    <t>1</t>
  </si>
  <si>
    <t>2</t>
  </si>
  <si>
    <t>3</t>
  </si>
  <si>
    <t>4</t>
  </si>
  <si>
    <t>5</t>
  </si>
  <si>
    <t>6</t>
  </si>
  <si>
    <t>Gloss</t>
  </si>
  <si>
    <t>Койков Стас</t>
  </si>
  <si>
    <t>Открытая (10.11.1990)/30</t>
  </si>
  <si>
    <t>81,30</t>
  </si>
  <si>
    <t>207,5</t>
  </si>
  <si>
    <t>83,75</t>
  </si>
  <si>
    <t xml:space="preserve">Gloss </t>
  </si>
  <si>
    <t>-</t>
  </si>
  <si>
    <t>Становая тяга</t>
  </si>
  <si>
    <t>Курбатова Екатерина</t>
  </si>
  <si>
    <t>Открытая (16.11.1986)/34</t>
  </si>
  <si>
    <t>47,25</t>
  </si>
  <si>
    <t>127,5</t>
  </si>
  <si>
    <t>Коркодинова Ольга</t>
  </si>
  <si>
    <t>Открытая (13.12.1982)/37</t>
  </si>
  <si>
    <t>57,70</t>
  </si>
  <si>
    <t xml:space="preserve">Зямилов А. </t>
  </si>
  <si>
    <t>Долина Варвара</t>
  </si>
  <si>
    <t>Мастера 40-49 (05.02.1972)/48</t>
  </si>
  <si>
    <t>67,20</t>
  </si>
  <si>
    <t xml:space="preserve">Брохман С. </t>
  </si>
  <si>
    <t>ВЕСОВАЯ КАТЕГОРИЯ   90+</t>
  </si>
  <si>
    <t>Титова Ирина</t>
  </si>
  <si>
    <t>Мастера 40-49 (03.01.1974)/46</t>
  </si>
  <si>
    <t xml:space="preserve">Алербон Д. </t>
  </si>
  <si>
    <t>Ощепков Ярослав</t>
  </si>
  <si>
    <t>Юноши 14-16 (09.12.2008)/12</t>
  </si>
  <si>
    <t>46,10</t>
  </si>
  <si>
    <t>Гурьянов Олег</t>
  </si>
  <si>
    <t>Юноши 14-16 (06.07.2006)/14</t>
  </si>
  <si>
    <t>58,00</t>
  </si>
  <si>
    <t>Есаулов Руслан</t>
  </si>
  <si>
    <t>Юниоры (07.06.1997)/23</t>
  </si>
  <si>
    <t>66,00</t>
  </si>
  <si>
    <t xml:space="preserve">Одегов С. </t>
  </si>
  <si>
    <t>Плотников Михаил</t>
  </si>
  <si>
    <t>Юниоры (15.05.2000)/20</t>
  </si>
  <si>
    <t>73,50</t>
  </si>
  <si>
    <t>Соколов Алексей</t>
  </si>
  <si>
    <t>Открытая (20.10.1993)/27</t>
  </si>
  <si>
    <t>222,5</t>
  </si>
  <si>
    <t>Усенко Ян</t>
  </si>
  <si>
    <t>Открытая (30.10.1997)/23</t>
  </si>
  <si>
    <t>74,60</t>
  </si>
  <si>
    <t xml:space="preserve">Сиротин В. </t>
  </si>
  <si>
    <t>Щипицин Алексей</t>
  </si>
  <si>
    <t>Открытая (21.03.1991)/29</t>
  </si>
  <si>
    <t>70,00</t>
  </si>
  <si>
    <t>212,5</t>
  </si>
  <si>
    <t>217,5</t>
  </si>
  <si>
    <t>Белов Александр</t>
  </si>
  <si>
    <t>Юноши 14-16 (23.06.2004)/16</t>
  </si>
  <si>
    <t>80,40</t>
  </si>
  <si>
    <t>Демидов Валерий</t>
  </si>
  <si>
    <t>Мастера 50-59 (17.03.1963)/57</t>
  </si>
  <si>
    <t>80,90</t>
  </si>
  <si>
    <t xml:space="preserve">Никонов В. </t>
  </si>
  <si>
    <t>255,0</t>
  </si>
  <si>
    <t>275,0</t>
  </si>
  <si>
    <t>282,5</t>
  </si>
  <si>
    <t>235,0</t>
  </si>
  <si>
    <t>Зямилов Александр</t>
  </si>
  <si>
    <t>Открытая (10.01.1995)/25</t>
  </si>
  <si>
    <t>106,90</t>
  </si>
  <si>
    <t>250,0</t>
  </si>
  <si>
    <t>265,0</t>
  </si>
  <si>
    <t>280,0</t>
  </si>
  <si>
    <t>177,6225</t>
  </si>
  <si>
    <t>159,2475</t>
  </si>
  <si>
    <t>158,8428</t>
  </si>
  <si>
    <t>Народный жим</t>
  </si>
  <si>
    <t>Открытая (30.04.1967)/53</t>
  </si>
  <si>
    <t>Лобанов Роман</t>
  </si>
  <si>
    <t>Открытая (23.05.1997)/23</t>
  </si>
  <si>
    <t>64,85</t>
  </si>
  <si>
    <t>Резников Вячеслав</t>
  </si>
  <si>
    <t>Открытая (29.12.1982)/37</t>
  </si>
  <si>
    <t>82,50</t>
  </si>
  <si>
    <t>Вараксин Константин</t>
  </si>
  <si>
    <t>Открытая (21.12.1984)/35</t>
  </si>
  <si>
    <t>78,60</t>
  </si>
  <si>
    <t>Гончарук Дмитрий</t>
  </si>
  <si>
    <t>Открытая (30.03.1990)/30</t>
  </si>
  <si>
    <t>Дейбус Иван</t>
  </si>
  <si>
    <t>Открытая (20.08.1987)/33</t>
  </si>
  <si>
    <t>80,30</t>
  </si>
  <si>
    <t>Гринюк Владимир</t>
  </si>
  <si>
    <t>Открытая (14.09.1985)/35</t>
  </si>
  <si>
    <t>79,20</t>
  </si>
  <si>
    <t>Дмитриев Дмитрий</t>
  </si>
  <si>
    <t>Открытая (27.08.1978)/42</t>
  </si>
  <si>
    <t>88,45</t>
  </si>
  <si>
    <t xml:space="preserve">Полазна/Пермский край </t>
  </si>
  <si>
    <t>25,0</t>
  </si>
  <si>
    <t>Камашев Олег</t>
  </si>
  <si>
    <t>86,80</t>
  </si>
  <si>
    <t>87,5</t>
  </si>
  <si>
    <t>20,0</t>
  </si>
  <si>
    <t>Зобнин Дмитрий</t>
  </si>
  <si>
    <t>Открытая (16.11.1982)/38</t>
  </si>
  <si>
    <t>102,15</t>
  </si>
  <si>
    <t>4125,0</t>
  </si>
  <si>
    <t>2658,9749</t>
  </si>
  <si>
    <t>3360,0</t>
  </si>
  <si>
    <t>2237,2559</t>
  </si>
  <si>
    <t>3587,5</t>
  </si>
  <si>
    <t>2067,8349</t>
  </si>
  <si>
    <t>Тоннаж</t>
  </si>
  <si>
    <t>22,5</t>
  </si>
  <si>
    <t>Поносов Владимир</t>
  </si>
  <si>
    <t>Мастера 60+ (19.06.1955)/65</t>
  </si>
  <si>
    <t>79,25</t>
  </si>
  <si>
    <t>Лузин Сергей</t>
  </si>
  <si>
    <t>Мастера 60+ (30.04.1954)/66</t>
  </si>
  <si>
    <t>88,85</t>
  </si>
  <si>
    <t>Мастера 60+ (20.06.1946)/74</t>
  </si>
  <si>
    <t>89,95</t>
  </si>
  <si>
    <t>Багаев Олег</t>
  </si>
  <si>
    <t>Открытая (17.08.1992)/28</t>
  </si>
  <si>
    <t>58,70</t>
  </si>
  <si>
    <t xml:space="preserve">Тимофеев А., Некрасов И. </t>
  </si>
  <si>
    <t>Махнутин Павел</t>
  </si>
  <si>
    <t>Открытая (13.08.1983)/37</t>
  </si>
  <si>
    <t>68,60</t>
  </si>
  <si>
    <t>55,0</t>
  </si>
  <si>
    <t>Сергеев Олег</t>
  </si>
  <si>
    <t>Открытая (25.04.1988)/32</t>
  </si>
  <si>
    <t>76,05</t>
  </si>
  <si>
    <t xml:space="preserve">Лысьва/Пермский край </t>
  </si>
  <si>
    <t>Соларёв Валентин</t>
  </si>
  <si>
    <t>Открытая (17.04.1988)/32</t>
  </si>
  <si>
    <t>87,35</t>
  </si>
  <si>
    <t>Подъем на бицепс</t>
  </si>
  <si>
    <t>Ведерникова Елизавета</t>
  </si>
  <si>
    <t>55,30</t>
  </si>
  <si>
    <t xml:space="preserve">Ведерников П. </t>
  </si>
  <si>
    <t>Усков Владислав</t>
  </si>
  <si>
    <t>Открытая (17.03.1998)/22</t>
  </si>
  <si>
    <t>66,45</t>
  </si>
  <si>
    <t>Колпаков Евгений</t>
  </si>
  <si>
    <t>73,35</t>
  </si>
  <si>
    <t xml:space="preserve">Котухов Д. </t>
  </si>
  <si>
    <t>Сулейманов Рифат</t>
  </si>
  <si>
    <t>Открытая (10.03.1992)/28</t>
  </si>
  <si>
    <t>72,60</t>
  </si>
  <si>
    <t xml:space="preserve">Козин Н. </t>
  </si>
  <si>
    <t>Костарев Никита</t>
  </si>
  <si>
    <t>Открытая (19.08.1995)/25</t>
  </si>
  <si>
    <t>78,95</t>
  </si>
  <si>
    <t xml:space="preserve">Рудаков В. </t>
  </si>
  <si>
    <t>Козин Николай</t>
  </si>
  <si>
    <t>Открытая (13.04.1996)/24</t>
  </si>
  <si>
    <t>98,45</t>
  </si>
  <si>
    <t>75,0</t>
  </si>
  <si>
    <t>Котухов Данил</t>
  </si>
  <si>
    <t>105,35</t>
  </si>
  <si>
    <t>Рудаков Владимир</t>
  </si>
  <si>
    <t>Открытая (28.06.1987)/33</t>
  </si>
  <si>
    <t>101,40</t>
  </si>
  <si>
    <t>Алербон Дмитрий</t>
  </si>
  <si>
    <t>110,00</t>
  </si>
  <si>
    <t>Ведерников Петр</t>
  </si>
  <si>
    <t>Открытая (08.07.1981)/39</t>
  </si>
  <si>
    <t>111,35</t>
  </si>
  <si>
    <t>45,5112</t>
  </si>
  <si>
    <t>42,6168</t>
  </si>
  <si>
    <t>39,6165</t>
  </si>
  <si>
    <t>1 место</t>
  </si>
  <si>
    <t>2 место</t>
  </si>
  <si>
    <t>3 место</t>
  </si>
  <si>
    <t>Главный судья соревнований:</t>
  </si>
  <si>
    <t>Главный секретарь соревнований:</t>
  </si>
  <si>
    <t>Геташвили Мария/ Пермь</t>
  </si>
  <si>
    <t>Минахметова Ольга/ Пермь</t>
  </si>
  <si>
    <t>Судьи:</t>
  </si>
  <si>
    <t>Некрасов Иван/ РК, Пермь</t>
  </si>
  <si>
    <t>Худяков Александр/ РК, Пермь</t>
  </si>
  <si>
    <t>Шестаков Максим/ РК, Пермь</t>
  </si>
  <si>
    <t>Горн Ксения/ РК, Пермь</t>
  </si>
  <si>
    <t>Емельянова Ирина/ РК, Пермь</t>
  </si>
  <si>
    <t>Командное первенство
Открытого благотворительного турнира
"Сердце Льва"</t>
  </si>
  <si>
    <t>4 место</t>
  </si>
  <si>
    <t>Drive Fitness (138 очков)</t>
  </si>
  <si>
    <t>Богатырь (96 очков)</t>
  </si>
  <si>
    <t>Легенда (123 очка)</t>
  </si>
  <si>
    <t>Energy (102 очка)</t>
  </si>
  <si>
    <t>Судейская коллегия
Открытого благотворительного турнира
"Сердце Льва"</t>
  </si>
  <si>
    <t>Баландин Сергей/ Пермь</t>
  </si>
  <si>
    <t>Открытый благотворительный турнир города Перми "Сердце Льва" 
WRPF Строгий подъем штанги на бицепс
Пермь/Пермский край, 12 декабря 2020 года</t>
  </si>
  <si>
    <t>Мастера 40-49 (26.06.1975)/45</t>
  </si>
  <si>
    <t>Девушки 13-19 (09.09.2005)/15</t>
  </si>
  <si>
    <t>Девушки 13-19 (23.04.2007)/13</t>
  </si>
  <si>
    <t>Юниоры 20-23 (24.05.2000)/20</t>
  </si>
  <si>
    <t>Мастера 40-49 (23.08.1977)/43</t>
  </si>
  <si>
    <t>Весовая категория</t>
  </si>
  <si>
    <t>Открытый благотворительный турнир города Перми "Сердце Льва" 
WRPF Становая тяга без экипировки
Пермь/Пермский край, 12 декабря 2020 года</t>
  </si>
  <si>
    <t>Открытый благотворительный турнир города Перми "Сердце Льва" 
WRPF Народный жим 1/2 веса
Пермь/Пермский край, 12 декабря 2020 года</t>
  </si>
  <si>
    <t>Открытый благотворительный турнир города Перми "Сердце Льва" 
WRPF Народный жим 1 вес
Пермь/Пермский край, 12 декабря 2020 года</t>
  </si>
  <si>
    <t>Открытый благотворительный турнир города Перми "Сердце Льва" 
WRPF Жим СФО
Пермь/Пермский край, 12 декабря 2020 года</t>
  </si>
  <si>
    <t>Открытый благотворительный турнир города Перми "Сердце Льва" 
WRPF Жим лежа в многопетельной софт экипировке
Пермь/Пермский край, 12 декабря 2020 года</t>
  </si>
  <si>
    <t>Открытый благотворительный турнир города Перми "Сердце Льва" 
WRPF Жим лежа без экипировки
Пермь/Пермский край, 12 декабря 2020 года</t>
  </si>
  <si>
    <t xml:space="preserve">Анжеро-Судженск/Кемеровская область </t>
  </si>
  <si>
    <t xml:space="preserve">Сарапул/Республика Удмуртия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</si>
</sst>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  <font>
      <b/>
      <sz val="2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77C2-6F03-456B-8689-CA7AF6E4F0B0}">
  <dimension ref="A1:M94"/>
  <sheetViews>
    <sheetView tabSelected="1"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8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44" t="s">
        <v>467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14</v>
      </c>
      <c r="F3" s="30" t="s">
        <v>5</v>
      </c>
      <c r="G3" s="30" t="s">
        <v>15</v>
      </c>
      <c r="H3" s="30"/>
      <c r="I3" s="30"/>
      <c r="J3" s="30"/>
      <c r="K3" s="30" t="s">
        <v>11</v>
      </c>
      <c r="L3" s="30" t="s">
        <v>2</v>
      </c>
      <c r="M3" s="32" t="s">
        <v>1</v>
      </c>
    </row>
    <row r="4" spans="1:13" s="1" customFormat="1" ht="21" customHeight="1" thickBot="1">
      <c r="A4" s="37"/>
      <c r="B4" s="42"/>
      <c r="C4" s="31"/>
      <c r="D4" s="31"/>
      <c r="E4" s="31"/>
      <c r="F4" s="31"/>
      <c r="G4" s="4">
        <v>1</v>
      </c>
      <c r="H4" s="4">
        <v>2</v>
      </c>
      <c r="I4" s="4">
        <v>3</v>
      </c>
      <c r="J4" s="4" t="s">
        <v>3</v>
      </c>
      <c r="K4" s="31"/>
      <c r="L4" s="31"/>
      <c r="M4" s="33"/>
    </row>
    <row r="5" spans="1:13" ht="16">
      <c r="A5" s="34" t="s">
        <v>16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261</v>
      </c>
      <c r="B6" s="8" t="s">
        <v>17</v>
      </c>
      <c r="C6" s="8" t="s">
        <v>18</v>
      </c>
      <c r="D6" s="8" t="s">
        <v>19</v>
      </c>
      <c r="E6" s="8" t="str">
        <f>"1,4936"</f>
        <v>1,4936</v>
      </c>
      <c r="F6" s="8" t="s">
        <v>20</v>
      </c>
      <c r="G6" s="20" t="s">
        <v>21</v>
      </c>
      <c r="H6" s="21" t="s">
        <v>22</v>
      </c>
      <c r="I6" s="21" t="s">
        <v>23</v>
      </c>
      <c r="J6" s="9"/>
      <c r="K6" s="9" t="str">
        <f>"40,0"</f>
        <v>40,0</v>
      </c>
      <c r="L6" s="9" t="str">
        <f>"59,7440"</f>
        <v>59,7440</v>
      </c>
      <c r="M6" s="8" t="s">
        <v>24</v>
      </c>
    </row>
    <row r="7" spans="1:13">
      <c r="B7" s="5" t="s">
        <v>12</v>
      </c>
    </row>
    <row r="8" spans="1:13" ht="16">
      <c r="A8" s="39" t="s">
        <v>25</v>
      </c>
      <c r="B8" s="39"/>
      <c r="C8" s="40"/>
      <c r="D8" s="40"/>
      <c r="E8" s="40"/>
      <c r="F8" s="40"/>
      <c r="G8" s="40"/>
      <c r="H8" s="40"/>
      <c r="I8" s="40"/>
      <c r="J8" s="40"/>
    </row>
    <row r="9" spans="1:13">
      <c r="A9" s="11" t="s">
        <v>261</v>
      </c>
      <c r="B9" s="10" t="s">
        <v>26</v>
      </c>
      <c r="C9" s="10" t="s">
        <v>27</v>
      </c>
      <c r="D9" s="10" t="s">
        <v>28</v>
      </c>
      <c r="E9" s="10" t="str">
        <f>"1,3408"</f>
        <v>1,3408</v>
      </c>
      <c r="F9" s="10" t="s">
        <v>29</v>
      </c>
      <c r="G9" s="22" t="s">
        <v>30</v>
      </c>
      <c r="H9" s="22" t="s">
        <v>31</v>
      </c>
      <c r="I9" s="22" t="s">
        <v>32</v>
      </c>
      <c r="J9" s="11"/>
      <c r="K9" s="11" t="str">
        <f>"62,5"</f>
        <v>62,5</v>
      </c>
      <c r="L9" s="11" t="str">
        <f>"83,8000"</f>
        <v>83,8000</v>
      </c>
      <c r="M9" s="10" t="s">
        <v>33</v>
      </c>
    </row>
    <row r="10" spans="1:13">
      <c r="A10" s="13" t="s">
        <v>262</v>
      </c>
      <c r="B10" s="12" t="s">
        <v>34</v>
      </c>
      <c r="C10" s="12" t="s">
        <v>35</v>
      </c>
      <c r="D10" s="12" t="s">
        <v>36</v>
      </c>
      <c r="E10" s="12" t="str">
        <f>"1,3326"</f>
        <v>1,3326</v>
      </c>
      <c r="F10" s="12" t="s">
        <v>20</v>
      </c>
      <c r="G10" s="23" t="s">
        <v>37</v>
      </c>
      <c r="H10" s="23" t="s">
        <v>38</v>
      </c>
      <c r="I10" s="23" t="s">
        <v>39</v>
      </c>
      <c r="J10" s="13"/>
      <c r="K10" s="13" t="str">
        <f>"52,5"</f>
        <v>52,5</v>
      </c>
      <c r="L10" s="13" t="str">
        <f>"69,9615"</f>
        <v>69,9615</v>
      </c>
      <c r="M10" s="12" t="s">
        <v>40</v>
      </c>
    </row>
    <row r="11" spans="1:13">
      <c r="A11" s="15" t="s">
        <v>263</v>
      </c>
      <c r="B11" s="14" t="s">
        <v>41</v>
      </c>
      <c r="C11" s="14" t="s">
        <v>42</v>
      </c>
      <c r="D11" s="14" t="s">
        <v>36</v>
      </c>
      <c r="E11" s="14" t="str">
        <f>"1,3326"</f>
        <v>1,3326</v>
      </c>
      <c r="F11" s="14" t="s">
        <v>43</v>
      </c>
      <c r="G11" s="24" t="s">
        <v>37</v>
      </c>
      <c r="H11" s="24" t="s">
        <v>38</v>
      </c>
      <c r="I11" s="24" t="s">
        <v>39</v>
      </c>
      <c r="J11" s="15"/>
      <c r="K11" s="15" t="str">
        <f>"52,5"</f>
        <v>52,5</v>
      </c>
      <c r="L11" s="15" t="str">
        <f>"69,9615"</f>
        <v>69,9615</v>
      </c>
      <c r="M11" s="14" t="s">
        <v>44</v>
      </c>
    </row>
    <row r="12" spans="1:13">
      <c r="B12" s="5" t="s">
        <v>12</v>
      </c>
    </row>
    <row r="13" spans="1:13" ht="16">
      <c r="A13" s="39" t="s">
        <v>45</v>
      </c>
      <c r="B13" s="39"/>
      <c r="C13" s="40"/>
      <c r="D13" s="40"/>
      <c r="E13" s="40"/>
      <c r="F13" s="40"/>
      <c r="G13" s="40"/>
      <c r="H13" s="40"/>
      <c r="I13" s="40"/>
      <c r="J13" s="40"/>
    </row>
    <row r="14" spans="1:13">
      <c r="A14" s="11" t="s">
        <v>261</v>
      </c>
      <c r="B14" s="10" t="s">
        <v>46</v>
      </c>
      <c r="C14" s="10" t="s">
        <v>47</v>
      </c>
      <c r="D14" s="10" t="s">
        <v>48</v>
      </c>
      <c r="E14" s="10" t="str">
        <f>"1,2597"</f>
        <v>1,2597</v>
      </c>
      <c r="F14" s="10" t="s">
        <v>49</v>
      </c>
      <c r="G14" s="22" t="s">
        <v>21</v>
      </c>
      <c r="H14" s="25" t="s">
        <v>50</v>
      </c>
      <c r="I14" s="25" t="s">
        <v>23</v>
      </c>
      <c r="J14" s="11"/>
      <c r="K14" s="11" t="str">
        <f>"35,0"</f>
        <v>35,0</v>
      </c>
      <c r="L14" s="11" t="str">
        <f>"44,0895"</f>
        <v>44,0895</v>
      </c>
      <c r="M14" s="10" t="s">
        <v>51</v>
      </c>
    </row>
    <row r="15" spans="1:13">
      <c r="A15" s="13" t="s">
        <v>261</v>
      </c>
      <c r="B15" s="12" t="s">
        <v>52</v>
      </c>
      <c r="C15" s="12" t="s">
        <v>53</v>
      </c>
      <c r="D15" s="12" t="s">
        <v>54</v>
      </c>
      <c r="E15" s="12" t="str">
        <f>"1,2944"</f>
        <v>1,2944</v>
      </c>
      <c r="F15" s="12" t="s">
        <v>20</v>
      </c>
      <c r="G15" s="26" t="s">
        <v>38</v>
      </c>
      <c r="H15" s="26" t="s">
        <v>38</v>
      </c>
      <c r="I15" s="23" t="s">
        <v>38</v>
      </c>
      <c r="J15" s="13"/>
      <c r="K15" s="13" t="str">
        <f>"50,0"</f>
        <v>50,0</v>
      </c>
      <c r="L15" s="13" t="str">
        <f>"64,7200"</f>
        <v>64,7200</v>
      </c>
      <c r="M15" s="12" t="s">
        <v>55</v>
      </c>
    </row>
    <row r="16" spans="1:13">
      <c r="A16" s="15" t="s">
        <v>262</v>
      </c>
      <c r="B16" s="14" t="s">
        <v>56</v>
      </c>
      <c r="C16" s="14" t="s">
        <v>57</v>
      </c>
      <c r="D16" s="14" t="s">
        <v>58</v>
      </c>
      <c r="E16" s="14" t="str">
        <f>"1,2616"</f>
        <v>1,2616</v>
      </c>
      <c r="F16" s="14" t="s">
        <v>20</v>
      </c>
      <c r="G16" s="24" t="s">
        <v>22</v>
      </c>
      <c r="H16" s="24" t="s">
        <v>23</v>
      </c>
      <c r="I16" s="27" t="s">
        <v>59</v>
      </c>
      <c r="J16" s="15"/>
      <c r="K16" s="15" t="str">
        <f>"40,0"</f>
        <v>40,0</v>
      </c>
      <c r="L16" s="15" t="str">
        <f>"50,4640"</f>
        <v>50,4640</v>
      </c>
      <c r="M16" s="14" t="s">
        <v>60</v>
      </c>
    </row>
    <row r="17" spans="1:13">
      <c r="B17" s="5" t="s">
        <v>12</v>
      </c>
    </row>
    <row r="18" spans="1:13" ht="16">
      <c r="A18" s="39" t="s">
        <v>61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3">
      <c r="A19" s="9" t="s">
        <v>261</v>
      </c>
      <c r="B19" s="8" t="s">
        <v>62</v>
      </c>
      <c r="C19" s="8" t="s">
        <v>63</v>
      </c>
      <c r="D19" s="8" t="s">
        <v>64</v>
      </c>
      <c r="E19" s="8" t="str">
        <f>"1,1766"</f>
        <v>1,1766</v>
      </c>
      <c r="F19" s="8" t="s">
        <v>20</v>
      </c>
      <c r="G19" s="21" t="s">
        <v>65</v>
      </c>
      <c r="H19" s="21" t="s">
        <v>38</v>
      </c>
      <c r="I19" s="21" t="s">
        <v>39</v>
      </c>
      <c r="J19" s="9"/>
      <c r="K19" s="9" t="str">
        <f>"52,5"</f>
        <v>52,5</v>
      </c>
      <c r="L19" s="9" t="str">
        <f>"61,7715"</f>
        <v>61,7715</v>
      </c>
      <c r="M19" s="8" t="s">
        <v>66</v>
      </c>
    </row>
    <row r="20" spans="1:13">
      <c r="B20" s="5" t="s">
        <v>12</v>
      </c>
    </row>
    <row r="21" spans="1:13" ht="16">
      <c r="A21" s="39" t="s">
        <v>67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3">
      <c r="A22" s="9" t="s">
        <v>261</v>
      </c>
      <c r="B22" s="8" t="s">
        <v>68</v>
      </c>
      <c r="C22" s="8" t="s">
        <v>69</v>
      </c>
      <c r="D22" s="8" t="s">
        <v>70</v>
      </c>
      <c r="E22" s="8" t="str">
        <f>"1,1325"</f>
        <v>1,1325</v>
      </c>
      <c r="F22" s="8" t="s">
        <v>468</v>
      </c>
      <c r="G22" s="21" t="s">
        <v>31</v>
      </c>
      <c r="H22" s="21" t="s">
        <v>71</v>
      </c>
      <c r="I22" s="20" t="s">
        <v>72</v>
      </c>
      <c r="J22" s="9"/>
      <c r="K22" s="9" t="str">
        <f>"65,0"</f>
        <v>65,0</v>
      </c>
      <c r="L22" s="9" t="str">
        <f>"73,6125"</f>
        <v>73,6125</v>
      </c>
      <c r="M22" s="8" t="s">
        <v>175</v>
      </c>
    </row>
    <row r="23" spans="1:13">
      <c r="B23" s="5" t="s">
        <v>12</v>
      </c>
    </row>
    <row r="24" spans="1:13" ht="16">
      <c r="A24" s="39" t="s">
        <v>73</v>
      </c>
      <c r="B24" s="39"/>
      <c r="C24" s="40"/>
      <c r="D24" s="40"/>
      <c r="E24" s="40"/>
      <c r="F24" s="40"/>
      <c r="G24" s="40"/>
      <c r="H24" s="40"/>
      <c r="I24" s="40"/>
      <c r="J24" s="40"/>
    </row>
    <row r="25" spans="1:13">
      <c r="A25" s="11" t="s">
        <v>261</v>
      </c>
      <c r="B25" s="10" t="s">
        <v>74</v>
      </c>
      <c r="C25" s="10" t="s">
        <v>75</v>
      </c>
      <c r="D25" s="10" t="s">
        <v>76</v>
      </c>
      <c r="E25" s="10" t="str">
        <f>"1,0261"</f>
        <v>1,0261</v>
      </c>
      <c r="F25" s="10" t="s">
        <v>20</v>
      </c>
      <c r="G25" s="25" t="s">
        <v>22</v>
      </c>
      <c r="H25" s="22" t="s">
        <v>22</v>
      </c>
      <c r="I25" s="25" t="s">
        <v>23</v>
      </c>
      <c r="J25" s="11"/>
      <c r="K25" s="11" t="str">
        <f>"37,5"</f>
        <v>37,5</v>
      </c>
      <c r="L25" s="11" t="str">
        <f>"38,4788"</f>
        <v>38,4788</v>
      </c>
      <c r="M25" s="10" t="s">
        <v>77</v>
      </c>
    </row>
    <row r="26" spans="1:13">
      <c r="A26" s="15" t="s">
        <v>261</v>
      </c>
      <c r="B26" s="14" t="s">
        <v>78</v>
      </c>
      <c r="C26" s="14" t="s">
        <v>79</v>
      </c>
      <c r="D26" s="14" t="s">
        <v>80</v>
      </c>
      <c r="E26" s="14" t="str">
        <f>"1,0206"</f>
        <v>1,0206</v>
      </c>
      <c r="F26" s="14" t="s">
        <v>20</v>
      </c>
      <c r="G26" s="24" t="s">
        <v>81</v>
      </c>
      <c r="H26" s="24" t="s">
        <v>82</v>
      </c>
      <c r="I26" s="24" t="s">
        <v>83</v>
      </c>
      <c r="J26" s="15"/>
      <c r="K26" s="15" t="str">
        <f>"85,0"</f>
        <v>85,0</v>
      </c>
      <c r="L26" s="15" t="str">
        <f>"86,7510"</f>
        <v>86,7510</v>
      </c>
      <c r="M26" s="14" t="s">
        <v>84</v>
      </c>
    </row>
    <row r="27" spans="1:13">
      <c r="B27" s="5" t="s">
        <v>12</v>
      </c>
    </row>
    <row r="28" spans="1:13" ht="16">
      <c r="A28" s="39" t="s">
        <v>85</v>
      </c>
      <c r="B28" s="39"/>
      <c r="C28" s="40"/>
      <c r="D28" s="40"/>
      <c r="E28" s="40"/>
      <c r="F28" s="40"/>
      <c r="G28" s="40"/>
      <c r="H28" s="40"/>
      <c r="I28" s="40"/>
      <c r="J28" s="40"/>
    </row>
    <row r="29" spans="1:13">
      <c r="A29" s="9" t="s">
        <v>261</v>
      </c>
      <c r="B29" s="8" t="s">
        <v>86</v>
      </c>
      <c r="C29" s="8" t="s">
        <v>87</v>
      </c>
      <c r="D29" s="8" t="s">
        <v>88</v>
      </c>
      <c r="E29" s="8" t="str">
        <f>"0,9579"</f>
        <v>0,9579</v>
      </c>
      <c r="F29" s="8" t="s">
        <v>20</v>
      </c>
      <c r="G29" s="21" t="s">
        <v>59</v>
      </c>
      <c r="H29" s="21" t="s">
        <v>65</v>
      </c>
      <c r="I29" s="21" t="s">
        <v>37</v>
      </c>
      <c r="J29" s="9"/>
      <c r="K29" s="9" t="str">
        <f>"47,5"</f>
        <v>47,5</v>
      </c>
      <c r="L29" s="9" t="str">
        <f>"46,7743"</f>
        <v>46,7743</v>
      </c>
      <c r="M29" s="8" t="s">
        <v>89</v>
      </c>
    </row>
    <row r="30" spans="1:13">
      <c r="B30" s="5" t="s">
        <v>12</v>
      </c>
    </row>
    <row r="31" spans="1:13" ht="16">
      <c r="A31" s="39" t="s">
        <v>73</v>
      </c>
      <c r="B31" s="39"/>
      <c r="C31" s="40"/>
      <c r="D31" s="40"/>
      <c r="E31" s="40"/>
      <c r="F31" s="40"/>
      <c r="G31" s="40"/>
      <c r="H31" s="40"/>
      <c r="I31" s="40"/>
      <c r="J31" s="40"/>
    </row>
    <row r="32" spans="1:13">
      <c r="A32" s="11" t="s">
        <v>261</v>
      </c>
      <c r="B32" s="10" t="s">
        <v>90</v>
      </c>
      <c r="C32" s="10" t="s">
        <v>91</v>
      </c>
      <c r="D32" s="10" t="s">
        <v>76</v>
      </c>
      <c r="E32" s="10" t="str">
        <f>"0,7756"</f>
        <v>0,7756</v>
      </c>
      <c r="F32" s="10" t="s">
        <v>20</v>
      </c>
      <c r="G32" s="22" t="s">
        <v>92</v>
      </c>
      <c r="H32" s="22" t="s">
        <v>93</v>
      </c>
      <c r="I32" s="25" t="s">
        <v>94</v>
      </c>
      <c r="J32" s="11"/>
      <c r="K32" s="11" t="str">
        <f>"100,0"</f>
        <v>100,0</v>
      </c>
      <c r="L32" s="11" t="str">
        <f>"77,5600"</f>
        <v>77,5600</v>
      </c>
      <c r="M32" s="10" t="s">
        <v>95</v>
      </c>
    </row>
    <row r="33" spans="1:13">
      <c r="A33" s="13" t="s">
        <v>261</v>
      </c>
      <c r="B33" s="12" t="s">
        <v>96</v>
      </c>
      <c r="C33" s="12" t="s">
        <v>97</v>
      </c>
      <c r="D33" s="12" t="s">
        <v>98</v>
      </c>
      <c r="E33" s="12" t="str">
        <f>"0,7932"</f>
        <v>0,7932</v>
      </c>
      <c r="F33" s="12" t="s">
        <v>20</v>
      </c>
      <c r="G33" s="23" t="s">
        <v>99</v>
      </c>
      <c r="H33" s="23" t="s">
        <v>93</v>
      </c>
      <c r="I33" s="26" t="s">
        <v>100</v>
      </c>
      <c r="J33" s="13"/>
      <c r="K33" s="13" t="str">
        <f>"100,0"</f>
        <v>100,0</v>
      </c>
      <c r="L33" s="13" t="str">
        <f>"79,3200"</f>
        <v>79,3200</v>
      </c>
      <c r="M33" s="12" t="s">
        <v>89</v>
      </c>
    </row>
    <row r="34" spans="1:13">
      <c r="A34" s="15" t="s">
        <v>261</v>
      </c>
      <c r="B34" s="14" t="s">
        <v>101</v>
      </c>
      <c r="C34" s="14" t="s">
        <v>102</v>
      </c>
      <c r="D34" s="14" t="s">
        <v>103</v>
      </c>
      <c r="E34" s="14" t="str">
        <f>"0,8004"</f>
        <v>0,8004</v>
      </c>
      <c r="F34" s="14" t="s">
        <v>20</v>
      </c>
      <c r="G34" s="24" t="s">
        <v>100</v>
      </c>
      <c r="H34" s="24" t="s">
        <v>104</v>
      </c>
      <c r="I34" s="24" t="s">
        <v>105</v>
      </c>
      <c r="J34" s="15"/>
      <c r="K34" s="15" t="str">
        <f>"110,0"</f>
        <v>110,0</v>
      </c>
      <c r="L34" s="15" t="str">
        <f>"106,2691"</f>
        <v>106,2691</v>
      </c>
      <c r="M34" s="14" t="s">
        <v>24</v>
      </c>
    </row>
    <row r="35" spans="1:13">
      <c r="B35" s="5" t="s">
        <v>12</v>
      </c>
    </row>
    <row r="36" spans="1:13" ht="16">
      <c r="A36" s="39" t="s">
        <v>85</v>
      </c>
      <c r="B36" s="39"/>
      <c r="C36" s="40"/>
      <c r="D36" s="40"/>
      <c r="E36" s="40"/>
      <c r="F36" s="40"/>
      <c r="G36" s="40"/>
      <c r="H36" s="40"/>
      <c r="I36" s="40"/>
      <c r="J36" s="40"/>
    </row>
    <row r="37" spans="1:13">
      <c r="A37" s="11" t="s">
        <v>261</v>
      </c>
      <c r="B37" s="10" t="s">
        <v>106</v>
      </c>
      <c r="C37" s="10" t="s">
        <v>107</v>
      </c>
      <c r="D37" s="10" t="s">
        <v>108</v>
      </c>
      <c r="E37" s="10" t="str">
        <f>"0,7561"</f>
        <v>0,7561</v>
      </c>
      <c r="F37" s="10" t="s">
        <v>109</v>
      </c>
      <c r="G37" s="22" t="s">
        <v>110</v>
      </c>
      <c r="H37" s="22" t="s">
        <v>99</v>
      </c>
      <c r="I37" s="25" t="s">
        <v>93</v>
      </c>
      <c r="J37" s="11"/>
      <c r="K37" s="11" t="str">
        <f>"95,0"</f>
        <v>95,0</v>
      </c>
      <c r="L37" s="11" t="str">
        <f>"71,8295"</f>
        <v>71,8295</v>
      </c>
      <c r="M37" s="10" t="s">
        <v>111</v>
      </c>
    </row>
    <row r="38" spans="1:13">
      <c r="A38" s="13" t="s">
        <v>261</v>
      </c>
      <c r="B38" s="12" t="s">
        <v>112</v>
      </c>
      <c r="C38" s="12" t="s">
        <v>113</v>
      </c>
      <c r="D38" s="12" t="s">
        <v>114</v>
      </c>
      <c r="E38" s="12" t="str">
        <f>"0,7337"</f>
        <v>0,7337</v>
      </c>
      <c r="F38" s="12" t="s">
        <v>109</v>
      </c>
      <c r="G38" s="23" t="s">
        <v>115</v>
      </c>
      <c r="H38" s="23" t="s">
        <v>116</v>
      </c>
      <c r="I38" s="23" t="s">
        <v>117</v>
      </c>
      <c r="J38" s="13"/>
      <c r="K38" s="13" t="str">
        <f>"130,0"</f>
        <v>130,0</v>
      </c>
      <c r="L38" s="13" t="str">
        <f>"95,3810"</f>
        <v>95,3810</v>
      </c>
      <c r="M38" s="12" t="s">
        <v>175</v>
      </c>
    </row>
    <row r="39" spans="1:13">
      <c r="A39" s="13" t="s">
        <v>262</v>
      </c>
      <c r="B39" s="12" t="s">
        <v>118</v>
      </c>
      <c r="C39" s="12" t="s">
        <v>119</v>
      </c>
      <c r="D39" s="12" t="s">
        <v>120</v>
      </c>
      <c r="E39" s="12" t="str">
        <f>"0,7139"</f>
        <v>0,7139</v>
      </c>
      <c r="F39" s="12" t="s">
        <v>20</v>
      </c>
      <c r="G39" s="23" t="s">
        <v>94</v>
      </c>
      <c r="H39" s="23" t="s">
        <v>105</v>
      </c>
      <c r="I39" s="26" t="s">
        <v>121</v>
      </c>
      <c r="J39" s="13"/>
      <c r="K39" s="13" t="str">
        <f>"110,0"</f>
        <v>110,0</v>
      </c>
      <c r="L39" s="13" t="str">
        <f>"78,5290"</f>
        <v>78,5290</v>
      </c>
      <c r="M39" s="12" t="s">
        <v>175</v>
      </c>
    </row>
    <row r="40" spans="1:13">
      <c r="A40" s="15" t="s">
        <v>263</v>
      </c>
      <c r="B40" s="14" t="s">
        <v>122</v>
      </c>
      <c r="C40" s="14" t="s">
        <v>123</v>
      </c>
      <c r="D40" s="14" t="s">
        <v>124</v>
      </c>
      <c r="E40" s="14" t="str">
        <f>"0,7453"</f>
        <v>0,7453</v>
      </c>
      <c r="F40" s="14" t="s">
        <v>20</v>
      </c>
      <c r="G40" s="24" t="s">
        <v>93</v>
      </c>
      <c r="H40" s="27" t="s">
        <v>100</v>
      </c>
      <c r="I40" s="27" t="s">
        <v>100</v>
      </c>
      <c r="J40" s="15"/>
      <c r="K40" s="15" t="str">
        <f>"100,0"</f>
        <v>100,0</v>
      </c>
      <c r="L40" s="15" t="str">
        <f>"74,5300"</f>
        <v>74,5300</v>
      </c>
      <c r="M40" s="14" t="s">
        <v>89</v>
      </c>
    </row>
    <row r="41" spans="1:13">
      <c r="B41" s="5" t="s">
        <v>12</v>
      </c>
    </row>
    <row r="42" spans="1:13" ht="16">
      <c r="A42" s="39" t="s">
        <v>125</v>
      </c>
      <c r="B42" s="39"/>
      <c r="C42" s="40"/>
      <c r="D42" s="40"/>
      <c r="E42" s="40"/>
      <c r="F42" s="40"/>
      <c r="G42" s="40"/>
      <c r="H42" s="40"/>
      <c r="I42" s="40"/>
      <c r="J42" s="40"/>
    </row>
    <row r="43" spans="1:13">
      <c r="A43" s="11" t="s">
        <v>261</v>
      </c>
      <c r="B43" s="10" t="s">
        <v>126</v>
      </c>
      <c r="C43" s="10" t="s">
        <v>127</v>
      </c>
      <c r="D43" s="10" t="s">
        <v>128</v>
      </c>
      <c r="E43" s="10" t="str">
        <f>"0,6790"</f>
        <v>0,6790</v>
      </c>
      <c r="F43" s="10" t="s">
        <v>20</v>
      </c>
      <c r="G43" s="22" t="s">
        <v>93</v>
      </c>
      <c r="H43" s="22" t="s">
        <v>105</v>
      </c>
      <c r="I43" s="22" t="s">
        <v>129</v>
      </c>
      <c r="J43" s="11"/>
      <c r="K43" s="11" t="str">
        <f>"115,0"</f>
        <v>115,0</v>
      </c>
      <c r="L43" s="11" t="str">
        <f>"78,0850"</f>
        <v>78,0850</v>
      </c>
      <c r="M43" s="10" t="s">
        <v>175</v>
      </c>
    </row>
    <row r="44" spans="1:13">
      <c r="A44" s="13" t="s">
        <v>261</v>
      </c>
      <c r="B44" s="12" t="s">
        <v>130</v>
      </c>
      <c r="C44" s="12" t="s">
        <v>131</v>
      </c>
      <c r="D44" s="12" t="s">
        <v>132</v>
      </c>
      <c r="E44" s="12" t="str">
        <f>"0,6882"</f>
        <v>0,6882</v>
      </c>
      <c r="F44" s="12" t="s">
        <v>20</v>
      </c>
      <c r="G44" s="23" t="s">
        <v>117</v>
      </c>
      <c r="H44" s="23" t="s">
        <v>133</v>
      </c>
      <c r="I44" s="23" t="s">
        <v>134</v>
      </c>
      <c r="J44" s="13"/>
      <c r="K44" s="13" t="str">
        <f>"142,5"</f>
        <v>142,5</v>
      </c>
      <c r="L44" s="13" t="str">
        <f>"98,0685"</f>
        <v>98,0685</v>
      </c>
      <c r="M44" s="12" t="s">
        <v>135</v>
      </c>
    </row>
    <row r="45" spans="1:13">
      <c r="A45" s="13" t="s">
        <v>261</v>
      </c>
      <c r="B45" s="12" t="s">
        <v>136</v>
      </c>
      <c r="C45" s="12" t="s">
        <v>137</v>
      </c>
      <c r="D45" s="12" t="s">
        <v>138</v>
      </c>
      <c r="E45" s="12" t="str">
        <f>"0,6951"</f>
        <v>0,6951</v>
      </c>
      <c r="F45" s="12" t="s">
        <v>20</v>
      </c>
      <c r="G45" s="23" t="s">
        <v>117</v>
      </c>
      <c r="H45" s="23" t="s">
        <v>139</v>
      </c>
      <c r="I45" s="26" t="s">
        <v>140</v>
      </c>
      <c r="J45" s="13"/>
      <c r="K45" s="13" t="str">
        <f>"135,0"</f>
        <v>135,0</v>
      </c>
      <c r="L45" s="13" t="str">
        <f>"93,8385"</f>
        <v>93,8385</v>
      </c>
      <c r="M45" s="12" t="s">
        <v>175</v>
      </c>
    </row>
    <row r="46" spans="1:13">
      <c r="A46" s="13" t="s">
        <v>262</v>
      </c>
      <c r="B46" s="12" t="s">
        <v>141</v>
      </c>
      <c r="C46" s="12" t="s">
        <v>142</v>
      </c>
      <c r="D46" s="12" t="s">
        <v>143</v>
      </c>
      <c r="E46" s="12" t="str">
        <f>"0,6764"</f>
        <v>0,6764</v>
      </c>
      <c r="F46" s="12" t="s">
        <v>144</v>
      </c>
      <c r="G46" s="26" t="s">
        <v>116</v>
      </c>
      <c r="H46" s="23" t="s">
        <v>116</v>
      </c>
      <c r="I46" s="26" t="s">
        <v>133</v>
      </c>
      <c r="J46" s="13"/>
      <c r="K46" s="13" t="str">
        <f>"125,0"</f>
        <v>125,0</v>
      </c>
      <c r="L46" s="13" t="str">
        <f>"84,5500"</f>
        <v>84,5500</v>
      </c>
      <c r="M46" s="12" t="s">
        <v>175</v>
      </c>
    </row>
    <row r="47" spans="1:13">
      <c r="A47" s="15" t="s">
        <v>261</v>
      </c>
      <c r="B47" s="14" t="s">
        <v>145</v>
      </c>
      <c r="C47" s="14" t="s">
        <v>146</v>
      </c>
      <c r="D47" s="14" t="s">
        <v>147</v>
      </c>
      <c r="E47" s="14" t="str">
        <f>"0,6749"</f>
        <v>0,6749</v>
      </c>
      <c r="F47" s="14" t="s">
        <v>29</v>
      </c>
      <c r="G47" s="24" t="s">
        <v>133</v>
      </c>
      <c r="H47" s="24" t="s">
        <v>134</v>
      </c>
      <c r="I47" s="27" t="s">
        <v>148</v>
      </c>
      <c r="J47" s="15"/>
      <c r="K47" s="15" t="str">
        <f>"142,5"</f>
        <v>142,5</v>
      </c>
      <c r="L47" s="15" t="str">
        <f>"108,8681"</f>
        <v>108,8681</v>
      </c>
      <c r="M47" s="14" t="s">
        <v>175</v>
      </c>
    </row>
    <row r="48" spans="1:13">
      <c r="B48" s="5" t="s">
        <v>12</v>
      </c>
    </row>
    <row r="49" spans="1:13" ht="16">
      <c r="A49" s="39" t="s">
        <v>149</v>
      </c>
      <c r="B49" s="39"/>
      <c r="C49" s="40"/>
      <c r="D49" s="40"/>
      <c r="E49" s="40"/>
      <c r="F49" s="40"/>
      <c r="G49" s="40"/>
      <c r="H49" s="40"/>
      <c r="I49" s="40"/>
      <c r="J49" s="40"/>
    </row>
    <row r="50" spans="1:13">
      <c r="A50" s="11" t="s">
        <v>261</v>
      </c>
      <c r="B50" s="10" t="s">
        <v>150</v>
      </c>
      <c r="C50" s="10" t="s">
        <v>151</v>
      </c>
      <c r="D50" s="10" t="s">
        <v>152</v>
      </c>
      <c r="E50" s="10" t="str">
        <f>"0,6459"</f>
        <v>0,6459</v>
      </c>
      <c r="F50" s="10" t="s">
        <v>144</v>
      </c>
      <c r="G50" s="22" t="s">
        <v>153</v>
      </c>
      <c r="H50" s="22" t="s">
        <v>154</v>
      </c>
      <c r="I50" s="22" t="s">
        <v>155</v>
      </c>
      <c r="J50" s="11"/>
      <c r="K50" s="11" t="str">
        <f>"200,0"</f>
        <v>200,0</v>
      </c>
      <c r="L50" s="11" t="str">
        <f>"129,1800"</f>
        <v>129,1800</v>
      </c>
      <c r="M50" s="10" t="s">
        <v>175</v>
      </c>
    </row>
    <row r="51" spans="1:13">
      <c r="A51" s="13" t="s">
        <v>262</v>
      </c>
      <c r="B51" s="12" t="s">
        <v>156</v>
      </c>
      <c r="C51" s="12" t="s">
        <v>157</v>
      </c>
      <c r="D51" s="12" t="s">
        <v>158</v>
      </c>
      <c r="E51" s="12" t="str">
        <f>"0,6532"</f>
        <v>0,6532</v>
      </c>
      <c r="F51" s="12" t="s">
        <v>20</v>
      </c>
      <c r="G51" s="23" t="s">
        <v>159</v>
      </c>
      <c r="H51" s="23" t="s">
        <v>160</v>
      </c>
      <c r="I51" s="26" t="s">
        <v>161</v>
      </c>
      <c r="J51" s="13"/>
      <c r="K51" s="13" t="str">
        <f>"165,0"</f>
        <v>165,0</v>
      </c>
      <c r="L51" s="13" t="str">
        <f>"107,7780"</f>
        <v>107,7780</v>
      </c>
      <c r="M51" s="12" t="s">
        <v>175</v>
      </c>
    </row>
    <row r="52" spans="1:13">
      <c r="A52" s="13" t="s">
        <v>263</v>
      </c>
      <c r="B52" s="12" t="s">
        <v>162</v>
      </c>
      <c r="C52" s="12" t="s">
        <v>163</v>
      </c>
      <c r="D52" s="12" t="s">
        <v>164</v>
      </c>
      <c r="E52" s="12" t="str">
        <f>"0,6424"</f>
        <v>0,6424</v>
      </c>
      <c r="F52" s="12" t="s">
        <v>29</v>
      </c>
      <c r="G52" s="23" t="s">
        <v>165</v>
      </c>
      <c r="H52" s="23" t="s">
        <v>159</v>
      </c>
      <c r="I52" s="23" t="s">
        <v>166</v>
      </c>
      <c r="J52" s="13"/>
      <c r="K52" s="13" t="str">
        <f>"162,5"</f>
        <v>162,5</v>
      </c>
      <c r="L52" s="13" t="str">
        <f>"104,3900"</f>
        <v>104,3900</v>
      </c>
      <c r="M52" s="12" t="s">
        <v>84</v>
      </c>
    </row>
    <row r="53" spans="1:13">
      <c r="A53" s="13" t="s">
        <v>264</v>
      </c>
      <c r="B53" s="12" t="s">
        <v>167</v>
      </c>
      <c r="C53" s="12" t="s">
        <v>168</v>
      </c>
      <c r="D53" s="12" t="s">
        <v>169</v>
      </c>
      <c r="E53" s="12" t="str">
        <f>"0,6417"</f>
        <v>0,6417</v>
      </c>
      <c r="F53" s="12" t="s">
        <v>20</v>
      </c>
      <c r="G53" s="23" t="s">
        <v>140</v>
      </c>
      <c r="H53" s="23" t="s">
        <v>170</v>
      </c>
      <c r="I53" s="23" t="s">
        <v>159</v>
      </c>
      <c r="J53" s="13"/>
      <c r="K53" s="13" t="str">
        <f>"160,0"</f>
        <v>160,0</v>
      </c>
      <c r="L53" s="13" t="str">
        <f>"102,6720"</f>
        <v>102,6720</v>
      </c>
      <c r="M53" s="12" t="s">
        <v>171</v>
      </c>
    </row>
    <row r="54" spans="1:13">
      <c r="A54" s="13" t="s">
        <v>265</v>
      </c>
      <c r="B54" s="12" t="s">
        <v>172</v>
      </c>
      <c r="C54" s="12" t="s">
        <v>173</v>
      </c>
      <c r="D54" s="12" t="s">
        <v>174</v>
      </c>
      <c r="E54" s="12" t="str">
        <f>"0,6637"</f>
        <v>0,6637</v>
      </c>
      <c r="F54" s="12" t="s">
        <v>144</v>
      </c>
      <c r="G54" s="23" t="s">
        <v>117</v>
      </c>
      <c r="H54" s="23" t="s">
        <v>140</v>
      </c>
      <c r="I54" s="26" t="s">
        <v>170</v>
      </c>
      <c r="J54" s="13"/>
      <c r="K54" s="13" t="str">
        <f>"140,0"</f>
        <v>140,0</v>
      </c>
      <c r="L54" s="13" t="str">
        <f>"92,9180"</f>
        <v>92,9180</v>
      </c>
      <c r="M54" s="12" t="s">
        <v>175</v>
      </c>
    </row>
    <row r="55" spans="1:13">
      <c r="A55" s="13" t="s">
        <v>266</v>
      </c>
      <c r="B55" s="12" t="s">
        <v>176</v>
      </c>
      <c r="C55" s="12" t="s">
        <v>177</v>
      </c>
      <c r="D55" s="12" t="s">
        <v>178</v>
      </c>
      <c r="E55" s="12" t="str">
        <f>"0,6447"</f>
        <v>0,6447</v>
      </c>
      <c r="F55" s="12" t="s">
        <v>469</v>
      </c>
      <c r="G55" s="26" t="s">
        <v>116</v>
      </c>
      <c r="H55" s="23" t="s">
        <v>116</v>
      </c>
      <c r="I55" s="26" t="s">
        <v>179</v>
      </c>
      <c r="J55" s="13"/>
      <c r="K55" s="13" t="str">
        <f>"125,0"</f>
        <v>125,0</v>
      </c>
      <c r="L55" s="13" t="str">
        <f>"80,5875"</f>
        <v>80,5875</v>
      </c>
      <c r="M55" s="12" t="s">
        <v>175</v>
      </c>
    </row>
    <row r="56" spans="1:13">
      <c r="A56" s="13" t="s">
        <v>261</v>
      </c>
      <c r="B56" s="12" t="s">
        <v>162</v>
      </c>
      <c r="C56" s="12" t="s">
        <v>180</v>
      </c>
      <c r="D56" s="12" t="s">
        <v>164</v>
      </c>
      <c r="E56" s="12" t="str">
        <f>"0,6424"</f>
        <v>0,6424</v>
      </c>
      <c r="F56" s="12" t="s">
        <v>29</v>
      </c>
      <c r="G56" s="23" t="s">
        <v>165</v>
      </c>
      <c r="H56" s="23" t="s">
        <v>159</v>
      </c>
      <c r="I56" s="23" t="s">
        <v>166</v>
      </c>
      <c r="J56" s="13"/>
      <c r="K56" s="13" t="str">
        <f>"162,5"</f>
        <v>162,5</v>
      </c>
      <c r="L56" s="13" t="str">
        <f>"123,9109"</f>
        <v>123,9109</v>
      </c>
      <c r="M56" s="12" t="s">
        <v>84</v>
      </c>
    </row>
    <row r="57" spans="1:13">
      <c r="A57" s="13" t="s">
        <v>261</v>
      </c>
      <c r="B57" s="12" t="s">
        <v>181</v>
      </c>
      <c r="C57" s="12" t="s">
        <v>182</v>
      </c>
      <c r="D57" s="12" t="s">
        <v>183</v>
      </c>
      <c r="E57" s="12" t="str">
        <f>"0,6540"</f>
        <v>0,6540</v>
      </c>
      <c r="F57" s="12" t="s">
        <v>20</v>
      </c>
      <c r="G57" s="23" t="s">
        <v>31</v>
      </c>
      <c r="H57" s="23" t="s">
        <v>184</v>
      </c>
      <c r="I57" s="23" t="s">
        <v>185</v>
      </c>
      <c r="J57" s="13"/>
      <c r="K57" s="13" t="str">
        <f>"72,5"</f>
        <v>72,5</v>
      </c>
      <c r="L57" s="13" t="str">
        <f>"78,8986"</f>
        <v>78,8986</v>
      </c>
      <c r="M57" s="12" t="s">
        <v>175</v>
      </c>
    </row>
    <row r="58" spans="1:13">
      <c r="A58" s="15" t="s">
        <v>261</v>
      </c>
      <c r="B58" s="14" t="s">
        <v>186</v>
      </c>
      <c r="C58" s="14" t="s">
        <v>187</v>
      </c>
      <c r="D58" s="14" t="s">
        <v>188</v>
      </c>
      <c r="E58" s="14" t="str">
        <f>"0,6384"</f>
        <v>0,6384</v>
      </c>
      <c r="F58" s="14" t="s">
        <v>20</v>
      </c>
      <c r="G58" s="24" t="s">
        <v>81</v>
      </c>
      <c r="H58" s="24" t="s">
        <v>110</v>
      </c>
      <c r="I58" s="27" t="s">
        <v>99</v>
      </c>
      <c r="J58" s="15"/>
      <c r="K58" s="15" t="str">
        <f>"90,0"</f>
        <v>90,0</v>
      </c>
      <c r="L58" s="15" t="str">
        <f>"106,8682"</f>
        <v>106,8682</v>
      </c>
      <c r="M58" s="14" t="s">
        <v>175</v>
      </c>
    </row>
    <row r="59" spans="1:13">
      <c r="B59" s="5" t="s">
        <v>12</v>
      </c>
    </row>
    <row r="60" spans="1:13" ht="16">
      <c r="A60" s="39" t="s">
        <v>189</v>
      </c>
      <c r="B60" s="39"/>
      <c r="C60" s="40"/>
      <c r="D60" s="40"/>
      <c r="E60" s="40"/>
      <c r="F60" s="40"/>
      <c r="G60" s="40"/>
      <c r="H60" s="40"/>
      <c r="I60" s="40"/>
      <c r="J60" s="40"/>
    </row>
    <row r="61" spans="1:13">
      <c r="A61" s="11" t="s">
        <v>261</v>
      </c>
      <c r="B61" s="10" t="s">
        <v>190</v>
      </c>
      <c r="C61" s="10" t="s">
        <v>191</v>
      </c>
      <c r="D61" s="10" t="s">
        <v>192</v>
      </c>
      <c r="E61" s="10" t="str">
        <f>"0,6169"</f>
        <v>0,6169</v>
      </c>
      <c r="F61" s="10" t="s">
        <v>20</v>
      </c>
      <c r="G61" s="22" t="s">
        <v>193</v>
      </c>
      <c r="H61" s="22" t="s">
        <v>153</v>
      </c>
      <c r="I61" s="25" t="s">
        <v>194</v>
      </c>
      <c r="J61" s="11"/>
      <c r="K61" s="11" t="str">
        <f>"185,0"</f>
        <v>185,0</v>
      </c>
      <c r="L61" s="11" t="str">
        <f>"114,1265"</f>
        <v>114,1265</v>
      </c>
      <c r="M61" s="10" t="s">
        <v>175</v>
      </c>
    </row>
    <row r="62" spans="1:13">
      <c r="A62" s="13" t="s">
        <v>262</v>
      </c>
      <c r="B62" s="12" t="s">
        <v>195</v>
      </c>
      <c r="C62" s="12" t="s">
        <v>196</v>
      </c>
      <c r="D62" s="12" t="s">
        <v>197</v>
      </c>
      <c r="E62" s="12" t="str">
        <f>"0,6226"</f>
        <v>0,6226</v>
      </c>
      <c r="F62" s="12" t="s">
        <v>20</v>
      </c>
      <c r="G62" s="26" t="s">
        <v>165</v>
      </c>
      <c r="H62" s="23" t="s">
        <v>165</v>
      </c>
      <c r="I62" s="23" t="s">
        <v>159</v>
      </c>
      <c r="J62" s="13"/>
      <c r="K62" s="13" t="str">
        <f>"160,0"</f>
        <v>160,0</v>
      </c>
      <c r="L62" s="13" t="str">
        <f>"99,6160"</f>
        <v>99,6160</v>
      </c>
      <c r="M62" s="12" t="s">
        <v>175</v>
      </c>
    </row>
    <row r="63" spans="1:13">
      <c r="A63" s="13" t="s">
        <v>263</v>
      </c>
      <c r="B63" s="12" t="s">
        <v>198</v>
      </c>
      <c r="C63" s="12" t="s">
        <v>199</v>
      </c>
      <c r="D63" s="12" t="s">
        <v>200</v>
      </c>
      <c r="E63" s="12" t="str">
        <f>"0,6155"</f>
        <v>0,6155</v>
      </c>
      <c r="F63" s="12" t="s">
        <v>20</v>
      </c>
      <c r="G63" s="23" t="s">
        <v>148</v>
      </c>
      <c r="H63" s="23" t="s">
        <v>165</v>
      </c>
      <c r="I63" s="23" t="s">
        <v>159</v>
      </c>
      <c r="J63" s="13"/>
      <c r="K63" s="13" t="str">
        <f>"160,0"</f>
        <v>160,0</v>
      </c>
      <c r="L63" s="13" t="str">
        <f>"98,4800"</f>
        <v>98,4800</v>
      </c>
      <c r="M63" s="12" t="s">
        <v>175</v>
      </c>
    </row>
    <row r="64" spans="1:13">
      <c r="A64" s="13" t="s">
        <v>261</v>
      </c>
      <c r="B64" s="12" t="s">
        <v>201</v>
      </c>
      <c r="C64" s="12" t="s">
        <v>202</v>
      </c>
      <c r="D64" s="12" t="s">
        <v>203</v>
      </c>
      <c r="E64" s="12" t="str">
        <f>"0,6200"</f>
        <v>0,6200</v>
      </c>
      <c r="F64" s="12" t="s">
        <v>20</v>
      </c>
      <c r="G64" s="23" t="s">
        <v>139</v>
      </c>
      <c r="H64" s="23" t="s">
        <v>140</v>
      </c>
      <c r="I64" s="26" t="s">
        <v>148</v>
      </c>
      <c r="J64" s="13"/>
      <c r="K64" s="13" t="str">
        <f>"140,0"</f>
        <v>140,0</v>
      </c>
      <c r="L64" s="13" t="str">
        <f>"99,8200"</f>
        <v>99,8200</v>
      </c>
      <c r="M64" s="12" t="s">
        <v>60</v>
      </c>
    </row>
    <row r="65" spans="1:13">
      <c r="A65" s="15" t="s">
        <v>261</v>
      </c>
      <c r="B65" s="14" t="s">
        <v>204</v>
      </c>
      <c r="C65" s="14" t="s">
        <v>205</v>
      </c>
      <c r="D65" s="14" t="s">
        <v>206</v>
      </c>
      <c r="E65" s="14" t="str">
        <f>"0,6214"</f>
        <v>0,6214</v>
      </c>
      <c r="F65" s="14" t="s">
        <v>49</v>
      </c>
      <c r="G65" s="27" t="s">
        <v>129</v>
      </c>
      <c r="H65" s="24" t="s">
        <v>207</v>
      </c>
      <c r="I65" s="27" t="s">
        <v>115</v>
      </c>
      <c r="J65" s="15"/>
      <c r="K65" s="15" t="str">
        <f>"117,5"</f>
        <v>117,5</v>
      </c>
      <c r="L65" s="15" t="str">
        <f>"107,3313"</f>
        <v>107,3313</v>
      </c>
      <c r="M65" s="14" t="s">
        <v>175</v>
      </c>
    </row>
    <row r="66" spans="1:13">
      <c r="B66" s="5" t="s">
        <v>12</v>
      </c>
    </row>
    <row r="67" spans="1:13" ht="16">
      <c r="A67" s="39" t="s">
        <v>208</v>
      </c>
      <c r="B67" s="39"/>
      <c r="C67" s="40"/>
      <c r="D67" s="40"/>
      <c r="E67" s="40"/>
      <c r="F67" s="40"/>
      <c r="G67" s="40"/>
      <c r="H67" s="40"/>
      <c r="I67" s="40"/>
      <c r="J67" s="40"/>
    </row>
    <row r="68" spans="1:13">
      <c r="A68" s="11" t="s">
        <v>261</v>
      </c>
      <c r="B68" s="10" t="s">
        <v>209</v>
      </c>
      <c r="C68" s="10" t="s">
        <v>210</v>
      </c>
      <c r="D68" s="10" t="s">
        <v>211</v>
      </c>
      <c r="E68" s="10" t="str">
        <f>"0,6039"</f>
        <v>0,6039</v>
      </c>
      <c r="F68" s="10" t="s">
        <v>109</v>
      </c>
      <c r="G68" s="25" t="s">
        <v>115</v>
      </c>
      <c r="H68" s="22" t="s">
        <v>116</v>
      </c>
      <c r="I68" s="22" t="s">
        <v>117</v>
      </c>
      <c r="J68" s="11"/>
      <c r="K68" s="11" t="str">
        <f>"130,0"</f>
        <v>130,0</v>
      </c>
      <c r="L68" s="11" t="str">
        <f>"78,5070"</f>
        <v>78,5070</v>
      </c>
      <c r="M68" s="10" t="s">
        <v>111</v>
      </c>
    </row>
    <row r="69" spans="1:13">
      <c r="A69" s="13" t="s">
        <v>261</v>
      </c>
      <c r="B69" s="12" t="s">
        <v>212</v>
      </c>
      <c r="C69" s="12" t="s">
        <v>213</v>
      </c>
      <c r="D69" s="12" t="s">
        <v>214</v>
      </c>
      <c r="E69" s="12" t="str">
        <f>"0,5924"</f>
        <v>0,5924</v>
      </c>
      <c r="F69" s="12" t="s">
        <v>20</v>
      </c>
      <c r="G69" s="23" t="s">
        <v>161</v>
      </c>
      <c r="H69" s="23" t="s">
        <v>193</v>
      </c>
      <c r="I69" s="23" t="s">
        <v>215</v>
      </c>
      <c r="J69" s="13"/>
      <c r="K69" s="13" t="str">
        <f>"192,5"</f>
        <v>192,5</v>
      </c>
      <c r="L69" s="13" t="str">
        <f>"114,0370"</f>
        <v>114,0370</v>
      </c>
      <c r="M69" s="12" t="s">
        <v>175</v>
      </c>
    </row>
    <row r="70" spans="1:13">
      <c r="A70" s="13" t="s">
        <v>262</v>
      </c>
      <c r="B70" s="12" t="s">
        <v>216</v>
      </c>
      <c r="C70" s="12" t="s">
        <v>217</v>
      </c>
      <c r="D70" s="12" t="s">
        <v>218</v>
      </c>
      <c r="E70" s="12" t="str">
        <f>"0,5900"</f>
        <v>0,5900</v>
      </c>
      <c r="F70" s="12" t="s">
        <v>20</v>
      </c>
      <c r="G70" s="23" t="s">
        <v>153</v>
      </c>
      <c r="H70" s="26" t="s">
        <v>215</v>
      </c>
      <c r="I70" s="26" t="s">
        <v>215</v>
      </c>
      <c r="J70" s="13"/>
      <c r="K70" s="13" t="str">
        <f>"185,0"</f>
        <v>185,0</v>
      </c>
      <c r="L70" s="13" t="str">
        <f>"109,1500"</f>
        <v>109,1500</v>
      </c>
      <c r="M70" s="12" t="s">
        <v>175</v>
      </c>
    </row>
    <row r="71" spans="1:13">
      <c r="A71" s="13" t="s">
        <v>263</v>
      </c>
      <c r="B71" s="12" t="s">
        <v>219</v>
      </c>
      <c r="C71" s="12" t="s">
        <v>220</v>
      </c>
      <c r="D71" s="12" t="s">
        <v>221</v>
      </c>
      <c r="E71" s="12" t="str">
        <f>"0,6046"</f>
        <v>0,6046</v>
      </c>
      <c r="F71" s="12" t="s">
        <v>222</v>
      </c>
      <c r="G71" s="23" t="s">
        <v>161</v>
      </c>
      <c r="H71" s="23" t="s">
        <v>193</v>
      </c>
      <c r="I71" s="13"/>
      <c r="J71" s="13"/>
      <c r="K71" s="13" t="str">
        <f>"180,0"</f>
        <v>180,0</v>
      </c>
      <c r="L71" s="13" t="str">
        <f>"108,8280"</f>
        <v>108,8280</v>
      </c>
      <c r="M71" s="12" t="s">
        <v>175</v>
      </c>
    </row>
    <row r="72" spans="1:13">
      <c r="A72" s="13" t="s">
        <v>264</v>
      </c>
      <c r="B72" s="12" t="s">
        <v>223</v>
      </c>
      <c r="C72" s="12" t="s">
        <v>224</v>
      </c>
      <c r="D72" s="12" t="s">
        <v>225</v>
      </c>
      <c r="E72" s="12" t="str">
        <f>"0,5893"</f>
        <v>0,5893</v>
      </c>
      <c r="F72" s="12" t="s">
        <v>20</v>
      </c>
      <c r="G72" s="23" t="s">
        <v>161</v>
      </c>
      <c r="H72" s="26" t="s">
        <v>226</v>
      </c>
      <c r="I72" s="26" t="s">
        <v>226</v>
      </c>
      <c r="J72" s="13"/>
      <c r="K72" s="13" t="str">
        <f>"170,0"</f>
        <v>170,0</v>
      </c>
      <c r="L72" s="13" t="str">
        <f>"100,1810"</f>
        <v>100,1810</v>
      </c>
      <c r="M72" s="12" t="s">
        <v>175</v>
      </c>
    </row>
    <row r="73" spans="1:13">
      <c r="A73" s="15" t="s">
        <v>261</v>
      </c>
      <c r="B73" s="14" t="s">
        <v>219</v>
      </c>
      <c r="C73" s="14" t="s">
        <v>227</v>
      </c>
      <c r="D73" s="14" t="s">
        <v>221</v>
      </c>
      <c r="E73" s="14" t="str">
        <f>"0,6046"</f>
        <v>0,6046</v>
      </c>
      <c r="F73" s="14" t="s">
        <v>222</v>
      </c>
      <c r="G73" s="24" t="s">
        <v>161</v>
      </c>
      <c r="H73" s="24" t="s">
        <v>193</v>
      </c>
      <c r="I73" s="15"/>
      <c r="J73" s="15"/>
      <c r="K73" s="15" t="str">
        <f>"180,0"</f>
        <v>180,0</v>
      </c>
      <c r="L73" s="15" t="str">
        <f>"121,2344"</f>
        <v>121,2344</v>
      </c>
      <c r="M73" s="14" t="s">
        <v>175</v>
      </c>
    </row>
    <row r="74" spans="1:13">
      <c r="B74" s="5" t="s">
        <v>12</v>
      </c>
    </row>
    <row r="75" spans="1:13" ht="16">
      <c r="A75" s="39" t="s">
        <v>228</v>
      </c>
      <c r="B75" s="39"/>
      <c r="C75" s="40"/>
      <c r="D75" s="40"/>
      <c r="E75" s="40"/>
      <c r="F75" s="40"/>
      <c r="G75" s="40"/>
      <c r="H75" s="40"/>
      <c r="I75" s="40"/>
      <c r="J75" s="40"/>
    </row>
    <row r="76" spans="1:13">
      <c r="A76" s="11" t="s">
        <v>261</v>
      </c>
      <c r="B76" s="10" t="s">
        <v>229</v>
      </c>
      <c r="C76" s="10" t="s">
        <v>230</v>
      </c>
      <c r="D76" s="10" t="s">
        <v>231</v>
      </c>
      <c r="E76" s="10" t="str">
        <f>"0,5853"</f>
        <v>0,5853</v>
      </c>
      <c r="F76" s="10" t="s">
        <v>232</v>
      </c>
      <c r="G76" s="25" t="s">
        <v>233</v>
      </c>
      <c r="H76" s="22" t="s">
        <v>234</v>
      </c>
      <c r="I76" s="25" t="s">
        <v>235</v>
      </c>
      <c r="J76" s="11"/>
      <c r="K76" s="11" t="str">
        <f>"220,0"</f>
        <v>220,0</v>
      </c>
      <c r="L76" s="11" t="str">
        <f>"128,7660"</f>
        <v>128,7660</v>
      </c>
      <c r="M76" s="10" t="s">
        <v>175</v>
      </c>
    </row>
    <row r="77" spans="1:13">
      <c r="A77" s="15" t="s">
        <v>262</v>
      </c>
      <c r="B77" s="14" t="s">
        <v>236</v>
      </c>
      <c r="C77" s="14" t="s">
        <v>237</v>
      </c>
      <c r="D77" s="14" t="s">
        <v>238</v>
      </c>
      <c r="E77" s="14" t="str">
        <f>"0,5866"</f>
        <v>0,5866</v>
      </c>
      <c r="F77" s="14" t="s">
        <v>20</v>
      </c>
      <c r="G77" s="24" t="s">
        <v>148</v>
      </c>
      <c r="H77" s="24" t="s">
        <v>165</v>
      </c>
      <c r="I77" s="24" t="s">
        <v>159</v>
      </c>
      <c r="J77" s="15"/>
      <c r="K77" s="15" t="str">
        <f>"160,0"</f>
        <v>160,0</v>
      </c>
      <c r="L77" s="15" t="str">
        <f>"93,8560"</f>
        <v>93,8560</v>
      </c>
      <c r="M77" s="14" t="s">
        <v>175</v>
      </c>
    </row>
    <row r="78" spans="1:13">
      <c r="B78" s="5" t="s">
        <v>12</v>
      </c>
    </row>
    <row r="79" spans="1:13">
      <c r="B79" s="5" t="s">
        <v>12</v>
      </c>
    </row>
    <row r="80" spans="1:13">
      <c r="B80" s="5" t="s">
        <v>12</v>
      </c>
    </row>
    <row r="81" spans="2:6" ht="18">
      <c r="B81" s="7" t="s">
        <v>10</v>
      </c>
      <c r="C81" s="7"/>
    </row>
    <row r="82" spans="2:6" ht="16">
      <c r="B82" s="16" t="s">
        <v>239</v>
      </c>
      <c r="C82" s="16"/>
    </row>
    <row r="83" spans="2:6" ht="14">
      <c r="B83" s="17"/>
      <c r="C83" s="18" t="s">
        <v>245</v>
      </c>
    </row>
    <row r="84" spans="2:6" ht="14">
      <c r="B84" s="19" t="s">
        <v>240</v>
      </c>
      <c r="C84" s="19" t="s">
        <v>241</v>
      </c>
      <c r="D84" s="19" t="s">
        <v>461</v>
      </c>
      <c r="E84" s="19" t="s">
        <v>242</v>
      </c>
      <c r="F84" s="19" t="s">
        <v>243</v>
      </c>
    </row>
    <row r="85" spans="2:6">
      <c r="B85" s="5" t="s">
        <v>78</v>
      </c>
      <c r="C85" s="5" t="s">
        <v>245</v>
      </c>
      <c r="D85" s="6" t="s">
        <v>244</v>
      </c>
      <c r="E85" s="6" t="s">
        <v>83</v>
      </c>
      <c r="F85" s="6" t="s">
        <v>246</v>
      </c>
    </row>
    <row r="86" spans="2:6">
      <c r="B86" s="5" t="s">
        <v>26</v>
      </c>
      <c r="C86" s="5" t="s">
        <v>245</v>
      </c>
      <c r="D86" s="6" t="s">
        <v>247</v>
      </c>
      <c r="E86" s="6" t="s">
        <v>32</v>
      </c>
      <c r="F86" s="6" t="s">
        <v>248</v>
      </c>
    </row>
    <row r="87" spans="2:6">
      <c r="B87" s="5" t="s">
        <v>68</v>
      </c>
      <c r="C87" s="5" t="s">
        <v>245</v>
      </c>
      <c r="D87" s="6" t="s">
        <v>249</v>
      </c>
      <c r="E87" s="6" t="s">
        <v>71</v>
      </c>
      <c r="F87" s="6" t="s">
        <v>250</v>
      </c>
    </row>
    <row r="89" spans="2:6" ht="16">
      <c r="B89" s="16" t="s">
        <v>252</v>
      </c>
      <c r="C89" s="16"/>
    </row>
    <row r="90" spans="2:6" ht="14">
      <c r="B90" s="17"/>
      <c r="C90" s="18" t="s">
        <v>245</v>
      </c>
    </row>
    <row r="91" spans="2:6" ht="14">
      <c r="B91" s="19" t="s">
        <v>240</v>
      </c>
      <c r="C91" s="19" t="s">
        <v>241</v>
      </c>
      <c r="D91" s="19" t="s">
        <v>461</v>
      </c>
      <c r="E91" s="19" t="s">
        <v>242</v>
      </c>
      <c r="F91" s="19" t="s">
        <v>243</v>
      </c>
    </row>
    <row r="92" spans="2:6">
      <c r="B92" s="5" t="s">
        <v>150</v>
      </c>
      <c r="C92" s="5" t="s">
        <v>245</v>
      </c>
      <c r="D92" s="6" t="s">
        <v>255</v>
      </c>
      <c r="E92" s="6" t="s">
        <v>155</v>
      </c>
      <c r="F92" s="6" t="s">
        <v>256</v>
      </c>
    </row>
    <row r="93" spans="2:6">
      <c r="B93" s="5" t="s">
        <v>229</v>
      </c>
      <c r="C93" s="5" t="s">
        <v>245</v>
      </c>
      <c r="D93" s="6" t="s">
        <v>257</v>
      </c>
      <c r="E93" s="6" t="s">
        <v>234</v>
      </c>
      <c r="F93" s="6" t="s">
        <v>258</v>
      </c>
    </row>
    <row r="94" spans="2:6">
      <c r="B94" s="5" t="s">
        <v>190</v>
      </c>
      <c r="C94" s="5" t="s">
        <v>245</v>
      </c>
      <c r="D94" s="6" t="s">
        <v>259</v>
      </c>
      <c r="E94" s="6" t="s">
        <v>153</v>
      </c>
      <c r="F94" s="6" t="s">
        <v>260</v>
      </c>
    </row>
  </sheetData>
  <mergeCells count="25">
    <mergeCell ref="A75:J75"/>
    <mergeCell ref="B3:B4"/>
    <mergeCell ref="A31:J31"/>
    <mergeCell ref="A36:J36"/>
    <mergeCell ref="A42:J42"/>
    <mergeCell ref="A49:J49"/>
    <mergeCell ref="A60:J60"/>
    <mergeCell ref="A67:J67"/>
    <mergeCell ref="A8:J8"/>
    <mergeCell ref="A13:J13"/>
    <mergeCell ref="A18:J18"/>
    <mergeCell ref="A21:J21"/>
    <mergeCell ref="A24:J24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EBF2-06BC-456F-B7DC-3143369F2E29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51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44" t="s">
        <v>466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267</v>
      </c>
      <c r="F3" s="30" t="s">
        <v>5</v>
      </c>
      <c r="G3" s="30" t="s">
        <v>15</v>
      </c>
      <c r="H3" s="30"/>
      <c r="I3" s="30"/>
      <c r="J3" s="30"/>
      <c r="K3" s="58" t="s">
        <v>11</v>
      </c>
      <c r="L3" s="30" t="s">
        <v>2</v>
      </c>
      <c r="M3" s="32" t="s">
        <v>1</v>
      </c>
    </row>
    <row r="4" spans="1:13" s="1" customFormat="1" ht="21" customHeight="1" thickBot="1">
      <c r="A4" s="37"/>
      <c r="B4" s="42"/>
      <c r="C4" s="31"/>
      <c r="D4" s="31"/>
      <c r="E4" s="31"/>
      <c r="F4" s="31"/>
      <c r="G4" s="4">
        <v>1</v>
      </c>
      <c r="H4" s="4">
        <v>2</v>
      </c>
      <c r="I4" s="4">
        <v>3</v>
      </c>
      <c r="J4" s="4" t="s">
        <v>3</v>
      </c>
      <c r="K4" s="59"/>
      <c r="L4" s="31"/>
      <c r="M4" s="33"/>
    </row>
    <row r="5" spans="1:13" ht="16">
      <c r="A5" s="34" t="s">
        <v>125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274</v>
      </c>
      <c r="B6" s="8" t="s">
        <v>268</v>
      </c>
      <c r="C6" s="8" t="s">
        <v>269</v>
      </c>
      <c r="D6" s="8" t="s">
        <v>270</v>
      </c>
      <c r="E6" s="8" t="str">
        <f>"0,6508"</f>
        <v>0,6508</v>
      </c>
      <c r="F6" s="8" t="s">
        <v>20</v>
      </c>
      <c r="G6" s="20" t="s">
        <v>271</v>
      </c>
      <c r="H6" s="20" t="s">
        <v>233</v>
      </c>
      <c r="I6" s="20" t="s">
        <v>234</v>
      </c>
      <c r="J6" s="9"/>
      <c r="K6" s="50">
        <v>0</v>
      </c>
      <c r="L6" s="9" t="str">
        <f>"0,0000"</f>
        <v>0,0000</v>
      </c>
      <c r="M6" s="8" t="s">
        <v>175</v>
      </c>
    </row>
    <row r="7" spans="1:13">
      <c r="B7" s="5" t="s">
        <v>12</v>
      </c>
    </row>
    <row r="8" spans="1:13" ht="16">
      <c r="A8" s="39" t="s">
        <v>149</v>
      </c>
      <c r="B8" s="39"/>
      <c r="C8" s="40"/>
      <c r="D8" s="40"/>
      <c r="E8" s="40"/>
      <c r="F8" s="40"/>
      <c r="G8" s="40"/>
      <c r="H8" s="40"/>
      <c r="I8" s="40"/>
      <c r="J8" s="40"/>
    </row>
    <row r="9" spans="1:13">
      <c r="A9" s="9" t="s">
        <v>261</v>
      </c>
      <c r="B9" s="8" t="s">
        <v>172</v>
      </c>
      <c r="C9" s="8" t="s">
        <v>173</v>
      </c>
      <c r="D9" s="8" t="s">
        <v>272</v>
      </c>
      <c r="E9" s="8" t="str">
        <f>"0,6385"</f>
        <v>0,6385</v>
      </c>
      <c r="F9" s="8" t="s">
        <v>144</v>
      </c>
      <c r="G9" s="21" t="s">
        <v>155</v>
      </c>
      <c r="H9" s="21" t="s">
        <v>234</v>
      </c>
      <c r="I9" s="9"/>
      <c r="J9" s="9"/>
      <c r="K9" s="50" t="str">
        <f>"220,0"</f>
        <v>220,0</v>
      </c>
      <c r="L9" s="9" t="str">
        <f>"140,4590"</f>
        <v>140,4590</v>
      </c>
      <c r="M9" s="8" t="s">
        <v>175</v>
      </c>
    </row>
    <row r="10" spans="1:13">
      <c r="B10" s="5" t="s">
        <v>12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785E-984A-4E54-A741-D72B4188EB94}">
  <dimension ref="A1:M17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4.6640625" style="5" bestFit="1" customWidth="1"/>
    <col min="14" max="16384" width="9.1640625" style="3"/>
  </cols>
  <sheetData>
    <row r="1" spans="1:13" s="2" customFormat="1" ht="29" customHeight="1">
      <c r="A1" s="44" t="s">
        <v>465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267</v>
      </c>
      <c r="F3" s="30" t="s">
        <v>5</v>
      </c>
      <c r="G3" s="30" t="s">
        <v>15</v>
      </c>
      <c r="H3" s="30"/>
      <c r="I3" s="30"/>
      <c r="J3" s="30"/>
      <c r="K3" s="30" t="s">
        <v>11</v>
      </c>
      <c r="L3" s="30" t="s">
        <v>2</v>
      </c>
      <c r="M3" s="32" t="s">
        <v>1</v>
      </c>
    </row>
    <row r="4" spans="1:13" s="1" customFormat="1" ht="21" customHeight="1" thickBot="1">
      <c r="A4" s="37"/>
      <c r="B4" s="42"/>
      <c r="C4" s="31"/>
      <c r="D4" s="31"/>
      <c r="E4" s="31"/>
      <c r="F4" s="31"/>
      <c r="G4" s="4">
        <v>1</v>
      </c>
      <c r="H4" s="4">
        <v>2</v>
      </c>
      <c r="I4" s="4">
        <v>3</v>
      </c>
      <c r="J4" s="4" t="s">
        <v>3</v>
      </c>
      <c r="K4" s="31"/>
      <c r="L4" s="31"/>
      <c r="M4" s="33"/>
    </row>
    <row r="5" spans="1:13" ht="16">
      <c r="A5" s="34" t="s">
        <v>67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261</v>
      </c>
      <c r="B6" s="8" t="s">
        <v>384</v>
      </c>
      <c r="C6" s="8" t="s">
        <v>385</v>
      </c>
      <c r="D6" s="8" t="s">
        <v>386</v>
      </c>
      <c r="E6" s="8" t="str">
        <f>"0,8510"</f>
        <v>0,8510</v>
      </c>
      <c r="F6" s="8" t="s">
        <v>20</v>
      </c>
      <c r="G6" s="21" t="s">
        <v>30</v>
      </c>
      <c r="H6" s="21" t="s">
        <v>71</v>
      </c>
      <c r="I6" s="21" t="s">
        <v>184</v>
      </c>
      <c r="J6" s="9"/>
      <c r="K6" s="9" t="str">
        <f>"70,0"</f>
        <v>70,0</v>
      </c>
      <c r="L6" s="9" t="str">
        <f>"59,5665"</f>
        <v>59,5665</v>
      </c>
      <c r="M6" s="8" t="s">
        <v>387</v>
      </c>
    </row>
    <row r="7" spans="1:13">
      <c r="B7" s="5" t="s">
        <v>12</v>
      </c>
    </row>
    <row r="8" spans="1:13" ht="16">
      <c r="A8" s="39" t="s">
        <v>85</v>
      </c>
      <c r="B8" s="39"/>
      <c r="C8" s="40"/>
      <c r="D8" s="40"/>
      <c r="E8" s="40"/>
      <c r="F8" s="40"/>
      <c r="G8" s="40"/>
      <c r="H8" s="40"/>
      <c r="I8" s="40"/>
      <c r="J8" s="40"/>
    </row>
    <row r="9" spans="1:13">
      <c r="A9" s="9" t="s">
        <v>261</v>
      </c>
      <c r="B9" s="8" t="s">
        <v>388</v>
      </c>
      <c r="C9" s="8" t="s">
        <v>389</v>
      </c>
      <c r="D9" s="8" t="s">
        <v>390</v>
      </c>
      <c r="E9" s="8" t="str">
        <f>"0,7383"</f>
        <v>0,7383</v>
      </c>
      <c r="F9" s="8" t="s">
        <v>20</v>
      </c>
      <c r="G9" s="21" t="s">
        <v>391</v>
      </c>
      <c r="H9" s="21" t="s">
        <v>31</v>
      </c>
      <c r="I9" s="21" t="s">
        <v>184</v>
      </c>
      <c r="J9" s="9"/>
      <c r="K9" s="9" t="str">
        <f>"70,0"</f>
        <v>70,0</v>
      </c>
      <c r="L9" s="9" t="str">
        <f>"51,6845"</f>
        <v>51,6845</v>
      </c>
      <c r="M9" s="8" t="s">
        <v>387</v>
      </c>
    </row>
    <row r="10" spans="1:13">
      <c r="B10" s="5" t="s">
        <v>12</v>
      </c>
    </row>
    <row r="11" spans="1:13" ht="16">
      <c r="A11" s="39" t="s">
        <v>125</v>
      </c>
      <c r="B11" s="39"/>
      <c r="C11" s="40"/>
      <c r="D11" s="40"/>
      <c r="E11" s="40"/>
      <c r="F11" s="40"/>
      <c r="G11" s="40"/>
      <c r="H11" s="40"/>
      <c r="I11" s="40"/>
      <c r="J11" s="40"/>
    </row>
    <row r="12" spans="1:13">
      <c r="A12" s="9" t="s">
        <v>261</v>
      </c>
      <c r="B12" s="8" t="s">
        <v>392</v>
      </c>
      <c r="C12" s="8" t="s">
        <v>393</v>
      </c>
      <c r="D12" s="8" t="s">
        <v>394</v>
      </c>
      <c r="E12" s="8" t="str">
        <f>"0,6816"</f>
        <v>0,6816</v>
      </c>
      <c r="F12" s="8" t="s">
        <v>395</v>
      </c>
      <c r="G12" s="21" t="s">
        <v>99</v>
      </c>
      <c r="H12" s="21" t="s">
        <v>93</v>
      </c>
      <c r="I12" s="20" t="s">
        <v>94</v>
      </c>
      <c r="J12" s="9"/>
      <c r="K12" s="9" t="str">
        <f>"100,0"</f>
        <v>100,0</v>
      </c>
      <c r="L12" s="9" t="str">
        <f>"68,1575"</f>
        <v>68,1575</v>
      </c>
      <c r="M12" s="8" t="s">
        <v>175</v>
      </c>
    </row>
    <row r="13" spans="1:13">
      <c r="B13" s="5" t="s">
        <v>12</v>
      </c>
    </row>
    <row r="14" spans="1:13" ht="16">
      <c r="A14" s="39" t="s">
        <v>149</v>
      </c>
      <c r="B14" s="39"/>
      <c r="C14" s="40"/>
      <c r="D14" s="40"/>
      <c r="E14" s="40"/>
      <c r="F14" s="40"/>
      <c r="G14" s="40"/>
      <c r="H14" s="40"/>
      <c r="I14" s="40"/>
      <c r="J14" s="40"/>
    </row>
    <row r="15" spans="1:13">
      <c r="A15" s="9" t="s">
        <v>261</v>
      </c>
      <c r="B15" s="8" t="s">
        <v>396</v>
      </c>
      <c r="C15" s="8" t="s">
        <v>397</v>
      </c>
      <c r="D15" s="8" t="s">
        <v>398</v>
      </c>
      <c r="E15" s="8" t="str">
        <f>"0,6224"</f>
        <v>0,6224</v>
      </c>
      <c r="F15" s="8" t="s">
        <v>20</v>
      </c>
      <c r="G15" s="20" t="s">
        <v>121</v>
      </c>
      <c r="H15" s="21" t="s">
        <v>129</v>
      </c>
      <c r="I15" s="21" t="s">
        <v>115</v>
      </c>
      <c r="J15" s="9"/>
      <c r="K15" s="9" t="str">
        <f>"120,0"</f>
        <v>120,0</v>
      </c>
      <c r="L15" s="9" t="str">
        <f>"74,6850"</f>
        <v>74,6850</v>
      </c>
      <c r="M15" s="8" t="s">
        <v>387</v>
      </c>
    </row>
    <row r="16" spans="1:13">
      <c r="B16" s="5" t="s">
        <v>12</v>
      </c>
    </row>
    <row r="17" spans="2:2">
      <c r="B17" s="5" t="s">
        <v>12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6EFB-1D51-4486-AD97-50D87756FCC9}">
  <dimension ref="A1:K38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5" style="5" bestFit="1" customWidth="1"/>
    <col min="7" max="7" width="11.5" style="6" customWidth="1"/>
    <col min="8" max="8" width="10.5" style="54" customWidth="1"/>
    <col min="9" max="9" width="7.83203125" style="6" bestFit="1" customWidth="1"/>
    <col min="10" max="10" width="9.5" style="6" bestFit="1" customWidth="1"/>
    <col min="11" max="11" width="22.1640625" style="5" customWidth="1"/>
    <col min="12" max="16384" width="9.1640625" style="3"/>
  </cols>
  <sheetData>
    <row r="1" spans="1:11" s="2" customFormat="1" ht="29" customHeight="1">
      <c r="A1" s="44" t="s">
        <v>464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267</v>
      </c>
      <c r="F3" s="30" t="s">
        <v>5</v>
      </c>
      <c r="G3" s="30" t="s">
        <v>337</v>
      </c>
      <c r="H3" s="30"/>
      <c r="I3" s="30" t="s">
        <v>374</v>
      </c>
      <c r="J3" s="30" t="s">
        <v>2</v>
      </c>
      <c r="K3" s="32" t="s">
        <v>1</v>
      </c>
    </row>
    <row r="4" spans="1:11" s="1" customFormat="1" ht="21" customHeight="1" thickBot="1">
      <c r="A4" s="37"/>
      <c r="B4" s="42"/>
      <c r="C4" s="31"/>
      <c r="D4" s="31"/>
      <c r="E4" s="31"/>
      <c r="F4" s="31"/>
      <c r="G4" s="4" t="s">
        <v>6</v>
      </c>
      <c r="H4" s="52" t="s">
        <v>7</v>
      </c>
      <c r="I4" s="31"/>
      <c r="J4" s="31"/>
      <c r="K4" s="33"/>
    </row>
    <row r="5" spans="1:11" ht="16">
      <c r="A5" s="34" t="s">
        <v>73</v>
      </c>
      <c r="B5" s="34"/>
      <c r="C5" s="35"/>
      <c r="D5" s="35"/>
      <c r="E5" s="35"/>
      <c r="F5" s="35"/>
      <c r="G5" s="35"/>
      <c r="H5" s="35"/>
    </row>
    <row r="6" spans="1:11">
      <c r="A6" s="9" t="s">
        <v>261</v>
      </c>
      <c r="B6" s="8" t="s">
        <v>78</v>
      </c>
      <c r="C6" s="8" t="s">
        <v>79</v>
      </c>
      <c r="D6" s="8" t="s">
        <v>80</v>
      </c>
      <c r="E6" s="8" t="str">
        <f>"0,9000"</f>
        <v>0,9000</v>
      </c>
      <c r="F6" s="8" t="s">
        <v>20</v>
      </c>
      <c r="G6" s="9" t="s">
        <v>72</v>
      </c>
      <c r="H6" s="53">
        <v>12</v>
      </c>
      <c r="I6" s="9" t="str">
        <f>"810,0"</f>
        <v>810,0</v>
      </c>
      <c r="J6" s="9" t="str">
        <f>"728,9595"</f>
        <v>728,9595</v>
      </c>
      <c r="K6" s="8" t="s">
        <v>84</v>
      </c>
    </row>
    <row r="7" spans="1:11">
      <c r="B7" s="5" t="s">
        <v>12</v>
      </c>
    </row>
    <row r="8" spans="1:11" ht="16">
      <c r="A8" s="39" t="s">
        <v>73</v>
      </c>
      <c r="B8" s="39"/>
      <c r="C8" s="40"/>
      <c r="D8" s="40"/>
      <c r="E8" s="40"/>
      <c r="F8" s="40"/>
      <c r="G8" s="40"/>
      <c r="H8" s="40"/>
    </row>
    <row r="9" spans="1:11">
      <c r="A9" s="11" t="s">
        <v>261</v>
      </c>
      <c r="B9" s="10" t="s">
        <v>101</v>
      </c>
      <c r="C9" s="10" t="s">
        <v>338</v>
      </c>
      <c r="D9" s="10" t="s">
        <v>103</v>
      </c>
      <c r="E9" s="10" t="str">
        <f>"0,7786"</f>
        <v>0,7786</v>
      </c>
      <c r="F9" s="10" t="s">
        <v>20</v>
      </c>
      <c r="G9" s="11" t="s">
        <v>71</v>
      </c>
      <c r="H9" s="55">
        <v>34</v>
      </c>
      <c r="I9" s="11" t="str">
        <f>"2210,0"</f>
        <v>2210,0</v>
      </c>
      <c r="J9" s="11" t="str">
        <f>"1720,7060"</f>
        <v>1720,7060</v>
      </c>
      <c r="K9" s="10" t="s">
        <v>24</v>
      </c>
    </row>
    <row r="10" spans="1:11">
      <c r="A10" s="13" t="s">
        <v>262</v>
      </c>
      <c r="B10" s="12" t="s">
        <v>339</v>
      </c>
      <c r="C10" s="12" t="s">
        <v>340</v>
      </c>
      <c r="D10" s="12" t="s">
        <v>341</v>
      </c>
      <c r="E10" s="12" t="str">
        <f>"0,7749"</f>
        <v>0,7749</v>
      </c>
      <c r="F10" s="12" t="s">
        <v>20</v>
      </c>
      <c r="G10" s="13" t="s">
        <v>71</v>
      </c>
      <c r="H10" s="57">
        <v>24</v>
      </c>
      <c r="I10" s="13" t="str">
        <f>"1560,0"</f>
        <v>1560,0</v>
      </c>
      <c r="J10" s="13" t="str">
        <f>"1208,7660"</f>
        <v>1208,7660</v>
      </c>
      <c r="K10" s="12" t="s">
        <v>175</v>
      </c>
    </row>
    <row r="11" spans="1:11">
      <c r="A11" s="15" t="s">
        <v>261</v>
      </c>
      <c r="B11" s="14" t="s">
        <v>101</v>
      </c>
      <c r="C11" s="14" t="s">
        <v>102</v>
      </c>
      <c r="D11" s="14" t="s">
        <v>103</v>
      </c>
      <c r="E11" s="14" t="str">
        <f>"0,7786"</f>
        <v>0,7786</v>
      </c>
      <c r="F11" s="14" t="s">
        <v>20</v>
      </c>
      <c r="G11" s="15" t="s">
        <v>71</v>
      </c>
      <c r="H11" s="56">
        <v>34</v>
      </c>
      <c r="I11" s="15" t="str">
        <f>"2210,0"</f>
        <v>2210,0</v>
      </c>
      <c r="J11" s="15" t="str">
        <f>"2037,3158"</f>
        <v>2037,3158</v>
      </c>
      <c r="K11" s="14" t="s">
        <v>24</v>
      </c>
    </row>
    <row r="12" spans="1:11">
      <c r="B12" s="5" t="s">
        <v>12</v>
      </c>
    </row>
    <row r="13" spans="1:11" ht="16">
      <c r="A13" s="39" t="s">
        <v>125</v>
      </c>
      <c r="B13" s="39"/>
      <c r="C13" s="40"/>
      <c r="D13" s="40"/>
      <c r="E13" s="40"/>
      <c r="F13" s="40"/>
      <c r="G13" s="40"/>
      <c r="H13" s="40"/>
    </row>
    <row r="14" spans="1:11">
      <c r="A14" s="11" t="s">
        <v>261</v>
      </c>
      <c r="B14" s="10" t="s">
        <v>342</v>
      </c>
      <c r="C14" s="10" t="s">
        <v>343</v>
      </c>
      <c r="D14" s="10" t="s">
        <v>344</v>
      </c>
      <c r="E14" s="10" t="str">
        <f>"0,6446"</f>
        <v>0,6446</v>
      </c>
      <c r="F14" s="10" t="s">
        <v>20</v>
      </c>
      <c r="G14" s="11" t="s">
        <v>82</v>
      </c>
      <c r="H14" s="55">
        <v>50</v>
      </c>
      <c r="I14" s="11" t="str">
        <f>"4125,0"</f>
        <v>4125,0</v>
      </c>
      <c r="J14" s="11" t="str">
        <f>"2658,9749"</f>
        <v>2658,9749</v>
      </c>
      <c r="K14" s="10" t="s">
        <v>323</v>
      </c>
    </row>
    <row r="15" spans="1:11">
      <c r="A15" s="13" t="s">
        <v>262</v>
      </c>
      <c r="B15" s="12" t="s">
        <v>345</v>
      </c>
      <c r="C15" s="12" t="s">
        <v>346</v>
      </c>
      <c r="D15" s="12" t="s">
        <v>347</v>
      </c>
      <c r="E15" s="12" t="str">
        <f>"0,6658"</f>
        <v>0,6658</v>
      </c>
      <c r="F15" s="12" t="s">
        <v>20</v>
      </c>
      <c r="G15" s="13" t="s">
        <v>81</v>
      </c>
      <c r="H15" s="57">
        <v>42</v>
      </c>
      <c r="I15" s="13" t="str">
        <f>"3360,0"</f>
        <v>3360,0</v>
      </c>
      <c r="J15" s="13" t="str">
        <f>"2237,2559"</f>
        <v>2237,2559</v>
      </c>
      <c r="K15" s="12" t="s">
        <v>175</v>
      </c>
    </row>
    <row r="16" spans="1:11">
      <c r="A16" s="13" t="s">
        <v>263</v>
      </c>
      <c r="B16" s="12" t="s">
        <v>136</v>
      </c>
      <c r="C16" s="12" t="s">
        <v>137</v>
      </c>
      <c r="D16" s="12" t="s">
        <v>138</v>
      </c>
      <c r="E16" s="12" t="str">
        <f>"0,6706"</f>
        <v>0,6706</v>
      </c>
      <c r="F16" s="12" t="s">
        <v>20</v>
      </c>
      <c r="G16" s="13" t="s">
        <v>81</v>
      </c>
      <c r="H16" s="57">
        <v>29</v>
      </c>
      <c r="I16" s="13" t="str">
        <f>"2320,0"</f>
        <v>2320,0</v>
      </c>
      <c r="J16" s="13" t="str">
        <f>"1555,7920"</f>
        <v>1555,7920</v>
      </c>
      <c r="K16" s="12" t="s">
        <v>175</v>
      </c>
    </row>
    <row r="17" spans="1:11">
      <c r="A17" s="13" t="s">
        <v>264</v>
      </c>
      <c r="B17" s="12" t="s">
        <v>348</v>
      </c>
      <c r="C17" s="12" t="s">
        <v>349</v>
      </c>
      <c r="D17" s="12" t="s">
        <v>128</v>
      </c>
      <c r="E17" s="12" t="str">
        <f>"0,6540"</f>
        <v>0,6540</v>
      </c>
      <c r="F17" s="12" t="s">
        <v>20</v>
      </c>
      <c r="G17" s="13" t="s">
        <v>82</v>
      </c>
      <c r="H17" s="57">
        <v>23</v>
      </c>
      <c r="I17" s="13" t="str">
        <f>"1897,5"</f>
        <v>1897,5</v>
      </c>
      <c r="J17" s="13" t="str">
        <f>"1240,9650"</f>
        <v>1240,9650</v>
      </c>
      <c r="K17" s="12" t="s">
        <v>175</v>
      </c>
    </row>
    <row r="18" spans="1:11">
      <c r="A18" s="13" t="s">
        <v>265</v>
      </c>
      <c r="B18" s="12" t="s">
        <v>350</v>
      </c>
      <c r="C18" s="12" t="s">
        <v>351</v>
      </c>
      <c r="D18" s="12" t="s">
        <v>352</v>
      </c>
      <c r="E18" s="12" t="str">
        <f>"0,6561"</f>
        <v>0,6561</v>
      </c>
      <c r="F18" s="12" t="s">
        <v>20</v>
      </c>
      <c r="G18" s="13" t="s">
        <v>82</v>
      </c>
      <c r="H18" s="57">
        <v>22</v>
      </c>
      <c r="I18" s="13" t="str">
        <f>"1815,0"</f>
        <v>1815,0</v>
      </c>
      <c r="J18" s="13" t="str">
        <f>"1190,9122"</f>
        <v>1190,9122</v>
      </c>
      <c r="K18" s="12" t="s">
        <v>175</v>
      </c>
    </row>
    <row r="19" spans="1:11">
      <c r="A19" s="15" t="s">
        <v>266</v>
      </c>
      <c r="B19" s="14" t="s">
        <v>353</v>
      </c>
      <c r="C19" s="14" t="s">
        <v>354</v>
      </c>
      <c r="D19" s="14" t="s">
        <v>355</v>
      </c>
      <c r="E19" s="14" t="str">
        <f>"0,6623"</f>
        <v>0,6623</v>
      </c>
      <c r="F19" s="14" t="s">
        <v>20</v>
      </c>
      <c r="G19" s="15" t="s">
        <v>81</v>
      </c>
      <c r="H19" s="56">
        <v>17</v>
      </c>
      <c r="I19" s="15" t="str">
        <f>"1360,0"</f>
        <v>1360,0</v>
      </c>
      <c r="J19" s="15" t="str">
        <f>"900,7960"</f>
        <v>900,7960</v>
      </c>
      <c r="K19" s="14" t="s">
        <v>175</v>
      </c>
    </row>
    <row r="20" spans="1:11">
      <c r="B20" s="5" t="s">
        <v>12</v>
      </c>
    </row>
    <row r="21" spans="1:11" ht="16">
      <c r="A21" s="39" t="s">
        <v>149</v>
      </c>
      <c r="B21" s="39"/>
      <c r="C21" s="40"/>
      <c r="D21" s="40"/>
      <c r="E21" s="40"/>
      <c r="F21" s="40"/>
      <c r="G21" s="40"/>
      <c r="H21" s="40"/>
    </row>
    <row r="22" spans="1:11">
      <c r="A22" s="11" t="s">
        <v>261</v>
      </c>
      <c r="B22" s="10" t="s">
        <v>356</v>
      </c>
      <c r="C22" s="10" t="s">
        <v>357</v>
      </c>
      <c r="D22" s="10" t="s">
        <v>358</v>
      </c>
      <c r="E22" s="10" t="str">
        <f>"0,6179"</f>
        <v>0,6179</v>
      </c>
      <c r="F22" s="10" t="s">
        <v>359</v>
      </c>
      <c r="G22" s="11" t="s">
        <v>110</v>
      </c>
      <c r="H22" s="55">
        <v>33</v>
      </c>
      <c r="I22" s="11" t="str">
        <f>"2970,0"</f>
        <v>2970,0</v>
      </c>
      <c r="J22" s="11" t="str">
        <f>"1835,1630"</f>
        <v>1835,1630</v>
      </c>
      <c r="K22" s="10" t="s">
        <v>175</v>
      </c>
    </row>
    <row r="23" spans="1:11">
      <c r="A23" s="13" t="s">
        <v>262</v>
      </c>
      <c r="B23" s="12" t="s">
        <v>172</v>
      </c>
      <c r="C23" s="12" t="s">
        <v>173</v>
      </c>
      <c r="D23" s="12" t="s">
        <v>272</v>
      </c>
      <c r="E23" s="12" t="str">
        <f>"0,6385"</f>
        <v>0,6385</v>
      </c>
      <c r="F23" s="12" t="s">
        <v>144</v>
      </c>
      <c r="G23" s="13" t="s">
        <v>83</v>
      </c>
      <c r="H23" s="57">
        <v>25</v>
      </c>
      <c r="I23" s="13" t="str">
        <f>"2125,0"</f>
        <v>2125,0</v>
      </c>
      <c r="J23" s="13" t="str">
        <f>"1356,7063"</f>
        <v>1356,7063</v>
      </c>
      <c r="K23" s="12" t="s">
        <v>175</v>
      </c>
    </row>
    <row r="24" spans="1:11">
      <c r="A24" s="15" t="s">
        <v>261</v>
      </c>
      <c r="B24" s="14" t="s">
        <v>361</v>
      </c>
      <c r="C24" s="14" t="s">
        <v>456</v>
      </c>
      <c r="D24" s="14" t="s">
        <v>362</v>
      </c>
      <c r="E24" s="14" t="str">
        <f>"0,6247"</f>
        <v>0,6247</v>
      </c>
      <c r="F24" s="14" t="s">
        <v>20</v>
      </c>
      <c r="G24" s="15" t="s">
        <v>363</v>
      </c>
      <c r="H24" s="56">
        <v>20</v>
      </c>
      <c r="I24" s="15" t="str">
        <f>"1750,0"</f>
        <v>1750,0</v>
      </c>
      <c r="J24" s="15" t="str">
        <f>"1153,2601"</f>
        <v>1153,2601</v>
      </c>
      <c r="K24" s="14" t="s">
        <v>175</v>
      </c>
    </row>
    <row r="25" spans="1:11">
      <c r="B25" s="5" t="s">
        <v>12</v>
      </c>
    </row>
    <row r="26" spans="1:11" ht="16">
      <c r="A26" s="39" t="s">
        <v>208</v>
      </c>
      <c r="B26" s="39"/>
      <c r="C26" s="40"/>
      <c r="D26" s="40"/>
      <c r="E26" s="40"/>
      <c r="F26" s="40"/>
      <c r="G26" s="40"/>
      <c r="H26" s="40"/>
    </row>
    <row r="27" spans="1:11">
      <c r="A27" s="9" t="s">
        <v>261</v>
      </c>
      <c r="B27" s="8" t="s">
        <v>365</v>
      </c>
      <c r="C27" s="8" t="s">
        <v>366</v>
      </c>
      <c r="D27" s="8" t="s">
        <v>367</v>
      </c>
      <c r="E27" s="8" t="str">
        <f>"0,5764"</f>
        <v>0,5764</v>
      </c>
      <c r="F27" s="8" t="s">
        <v>20</v>
      </c>
      <c r="G27" s="9" t="s">
        <v>94</v>
      </c>
      <c r="H27" s="53">
        <v>35</v>
      </c>
      <c r="I27" s="9" t="str">
        <f>"3587,5"</f>
        <v>3587,5</v>
      </c>
      <c r="J27" s="9" t="str">
        <f>"2067,8349"</f>
        <v>2067,8349</v>
      </c>
      <c r="K27" s="8" t="s">
        <v>175</v>
      </c>
    </row>
    <row r="28" spans="1:11">
      <c r="B28" s="5" t="s">
        <v>12</v>
      </c>
    </row>
    <row r="29" spans="1:11">
      <c r="B29" s="5" t="s">
        <v>12</v>
      </c>
    </row>
    <row r="30" spans="1:11">
      <c r="B30" s="5" t="s">
        <v>12</v>
      </c>
    </row>
    <row r="31" spans="1:11" ht="18">
      <c r="B31" s="7" t="s">
        <v>10</v>
      </c>
      <c r="C31" s="7"/>
    </row>
    <row r="32" spans="1:11" ht="16">
      <c r="B32" s="16" t="s">
        <v>252</v>
      </c>
      <c r="C32" s="16"/>
    </row>
    <row r="33" spans="2:6" ht="14">
      <c r="B33" s="17"/>
      <c r="C33" s="18" t="s">
        <v>245</v>
      </c>
    </row>
    <row r="34" spans="2:6" ht="14">
      <c r="B34" s="19" t="s">
        <v>240</v>
      </c>
      <c r="C34" s="19" t="s">
        <v>241</v>
      </c>
      <c r="D34" s="19" t="s">
        <v>461</v>
      </c>
      <c r="E34" s="19" t="s">
        <v>374</v>
      </c>
      <c r="F34" s="19" t="s">
        <v>273</v>
      </c>
    </row>
    <row r="35" spans="2:6">
      <c r="B35" s="5" t="s">
        <v>342</v>
      </c>
      <c r="C35" s="5" t="s">
        <v>245</v>
      </c>
      <c r="D35" s="6" t="s">
        <v>254</v>
      </c>
      <c r="E35" s="6" t="s">
        <v>368</v>
      </c>
      <c r="F35" s="6" t="s">
        <v>369</v>
      </c>
    </row>
    <row r="36" spans="2:6">
      <c r="B36" s="5" t="s">
        <v>345</v>
      </c>
      <c r="C36" s="5" t="s">
        <v>245</v>
      </c>
      <c r="D36" s="6" t="s">
        <v>254</v>
      </c>
      <c r="E36" s="6" t="s">
        <v>370</v>
      </c>
      <c r="F36" s="6" t="s">
        <v>371</v>
      </c>
    </row>
    <row r="37" spans="2:6">
      <c r="B37" s="5" t="s">
        <v>365</v>
      </c>
      <c r="C37" s="5" t="s">
        <v>245</v>
      </c>
      <c r="D37" s="6" t="s">
        <v>253</v>
      </c>
      <c r="E37" s="6" t="s">
        <v>372</v>
      </c>
      <c r="F37" s="6" t="s">
        <v>373</v>
      </c>
    </row>
    <row r="38" spans="2:6">
      <c r="B38" s="5" t="s">
        <v>12</v>
      </c>
    </row>
  </sheetData>
  <mergeCells count="16">
    <mergeCell ref="A8:H8"/>
    <mergeCell ref="A13:H13"/>
    <mergeCell ref="A21:H21"/>
    <mergeCell ref="A26:H26"/>
    <mergeCell ref="B3:B4"/>
    <mergeCell ref="G3:H3"/>
    <mergeCell ref="A1:K2"/>
    <mergeCell ref="I3:I4"/>
    <mergeCell ref="J3:J4"/>
    <mergeCell ref="K3:K4"/>
    <mergeCell ref="A5:H5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54E1-0586-410C-B5AA-4DEDCF0CD49C}">
  <dimension ref="A1:K14"/>
  <sheetViews>
    <sheetView workbookViewId="0">
      <selection sqref="A1:K2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3.83203125" style="5" customWidth="1"/>
    <col min="7" max="7" width="10.1640625" style="6" customWidth="1"/>
    <col min="8" max="8" width="10.5" style="54" customWidth="1"/>
    <col min="9" max="9" width="7.83203125" style="6" bestFit="1" customWidth="1"/>
    <col min="10" max="10" width="9.5" style="6" bestFit="1" customWidth="1"/>
    <col min="11" max="11" width="21.1640625" style="5" customWidth="1"/>
    <col min="12" max="16384" width="9.1640625" style="3"/>
  </cols>
  <sheetData>
    <row r="1" spans="1:11" s="2" customFormat="1" ht="29" customHeight="1">
      <c r="A1" s="44" t="s">
        <v>463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267</v>
      </c>
      <c r="F3" s="30" t="s">
        <v>5</v>
      </c>
      <c r="G3" s="30" t="s">
        <v>337</v>
      </c>
      <c r="H3" s="30"/>
      <c r="I3" s="30" t="s">
        <v>374</v>
      </c>
      <c r="J3" s="30" t="s">
        <v>2</v>
      </c>
      <c r="K3" s="32" t="s">
        <v>1</v>
      </c>
    </row>
    <row r="4" spans="1:11" s="1" customFormat="1" ht="21" customHeight="1" thickBot="1">
      <c r="A4" s="37"/>
      <c r="B4" s="42"/>
      <c r="C4" s="31"/>
      <c r="D4" s="31"/>
      <c r="E4" s="31"/>
      <c r="F4" s="31"/>
      <c r="G4" s="4" t="s">
        <v>6</v>
      </c>
      <c r="H4" s="52" t="s">
        <v>7</v>
      </c>
      <c r="I4" s="31"/>
      <c r="J4" s="31"/>
      <c r="K4" s="33"/>
    </row>
    <row r="5" spans="1:11" ht="16">
      <c r="A5" s="34" t="s">
        <v>16</v>
      </c>
      <c r="B5" s="34"/>
      <c r="C5" s="35"/>
      <c r="D5" s="35"/>
      <c r="E5" s="35"/>
      <c r="F5" s="35"/>
      <c r="G5" s="35"/>
      <c r="H5" s="35"/>
    </row>
    <row r="6" spans="1:11">
      <c r="A6" s="9" t="s">
        <v>261</v>
      </c>
      <c r="B6" s="8" t="s">
        <v>17</v>
      </c>
      <c r="C6" s="8" t="s">
        <v>457</v>
      </c>
      <c r="D6" s="8" t="s">
        <v>19</v>
      </c>
      <c r="E6" s="8" t="str">
        <f>"1,2736"</f>
        <v>1,2736</v>
      </c>
      <c r="F6" s="8" t="s">
        <v>20</v>
      </c>
      <c r="G6" s="9" t="s">
        <v>375</v>
      </c>
      <c r="H6" s="53">
        <v>31</v>
      </c>
      <c r="I6" s="9" t="str">
        <f>"697,5"</f>
        <v>697,5</v>
      </c>
      <c r="J6" s="9" t="str">
        <f>"888,3360"</f>
        <v>888,3360</v>
      </c>
      <c r="K6" s="8" t="s">
        <v>24</v>
      </c>
    </row>
    <row r="7" spans="1:11">
      <c r="B7" s="5" t="s">
        <v>12</v>
      </c>
    </row>
    <row r="8" spans="1:11" ht="16">
      <c r="A8" s="39" t="s">
        <v>125</v>
      </c>
      <c r="B8" s="39"/>
      <c r="C8" s="40"/>
      <c r="D8" s="40"/>
      <c r="E8" s="40"/>
      <c r="F8" s="40"/>
      <c r="G8" s="40"/>
      <c r="H8" s="40"/>
    </row>
    <row r="9" spans="1:11">
      <c r="A9" s="9" t="s">
        <v>261</v>
      </c>
      <c r="B9" s="8" t="s">
        <v>376</v>
      </c>
      <c r="C9" s="8" t="s">
        <v>377</v>
      </c>
      <c r="D9" s="8" t="s">
        <v>378</v>
      </c>
      <c r="E9" s="8" t="str">
        <f>"0,6621"</f>
        <v>0,6621</v>
      </c>
      <c r="F9" s="8" t="s">
        <v>20</v>
      </c>
      <c r="G9" s="9" t="s">
        <v>23</v>
      </c>
      <c r="H9" s="53">
        <v>22</v>
      </c>
      <c r="I9" s="9" t="str">
        <f>"880,0"</f>
        <v>880,0</v>
      </c>
      <c r="J9" s="9" t="str">
        <f>"862,2539"</f>
        <v>862,2539</v>
      </c>
      <c r="K9" s="8" t="s">
        <v>175</v>
      </c>
    </row>
    <row r="10" spans="1:11">
      <c r="B10" s="5" t="s">
        <v>12</v>
      </c>
    </row>
    <row r="11" spans="1:11" ht="16">
      <c r="A11" s="39" t="s">
        <v>149</v>
      </c>
      <c r="B11" s="39"/>
      <c r="C11" s="40"/>
      <c r="D11" s="40"/>
      <c r="E11" s="40"/>
      <c r="F11" s="40"/>
      <c r="G11" s="40"/>
      <c r="H11" s="40"/>
    </row>
    <row r="12" spans="1:11">
      <c r="A12" s="11" t="s">
        <v>261</v>
      </c>
      <c r="B12" s="10" t="s">
        <v>379</v>
      </c>
      <c r="C12" s="10" t="s">
        <v>380</v>
      </c>
      <c r="D12" s="10" t="s">
        <v>381</v>
      </c>
      <c r="E12" s="10" t="str">
        <f>"0,6162"</f>
        <v>0,6162</v>
      </c>
      <c r="F12" s="10" t="s">
        <v>20</v>
      </c>
      <c r="G12" s="11" t="s">
        <v>65</v>
      </c>
      <c r="H12" s="55">
        <v>58</v>
      </c>
      <c r="I12" s="11" t="str">
        <f>"2610,0"</f>
        <v>2610,0</v>
      </c>
      <c r="J12" s="11" t="str">
        <f>"2430,3112"</f>
        <v>2430,3112</v>
      </c>
      <c r="K12" s="10" t="s">
        <v>175</v>
      </c>
    </row>
    <row r="13" spans="1:11">
      <c r="A13" s="15" t="s">
        <v>262</v>
      </c>
      <c r="B13" s="14" t="s">
        <v>186</v>
      </c>
      <c r="C13" s="14" t="s">
        <v>382</v>
      </c>
      <c r="D13" s="14" t="s">
        <v>383</v>
      </c>
      <c r="E13" s="14" t="str">
        <f>"0,6120"</f>
        <v>0,6120</v>
      </c>
      <c r="F13" s="14" t="s">
        <v>20</v>
      </c>
      <c r="G13" s="15" t="s">
        <v>65</v>
      </c>
      <c r="H13" s="56">
        <v>45</v>
      </c>
      <c r="I13" s="15" t="str">
        <f>"2025,0"</f>
        <v>2025,0</v>
      </c>
      <c r="J13" s="15" t="str">
        <f>"2224,7252"</f>
        <v>2224,7252</v>
      </c>
      <c r="K13" s="14" t="s">
        <v>175</v>
      </c>
    </row>
    <row r="14" spans="1:11">
      <c r="B14" s="5" t="s">
        <v>12</v>
      </c>
    </row>
  </sheetData>
  <mergeCells count="14">
    <mergeCell ref="A8:H8"/>
    <mergeCell ref="A11:H11"/>
    <mergeCell ref="B3:B4"/>
    <mergeCell ref="G3:H3"/>
    <mergeCell ref="I3:I4"/>
    <mergeCell ref="A1:K2"/>
    <mergeCell ref="J3:J4"/>
    <mergeCell ref="K3:K4"/>
    <mergeCell ref="A5:H5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9C33-E066-4D77-977C-A5C7990E3920}">
  <dimension ref="A1:M5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" style="5" customWidth="1"/>
    <col min="14" max="16384" width="9.1640625" style="3"/>
  </cols>
  <sheetData>
    <row r="1" spans="1:13" s="2" customFormat="1" ht="29" customHeight="1">
      <c r="A1" s="44" t="s">
        <v>462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14</v>
      </c>
      <c r="F3" s="30" t="s">
        <v>5</v>
      </c>
      <c r="G3" s="30" t="s">
        <v>275</v>
      </c>
      <c r="H3" s="30"/>
      <c r="I3" s="30"/>
      <c r="J3" s="30"/>
      <c r="K3" s="30" t="s">
        <v>11</v>
      </c>
      <c r="L3" s="30" t="s">
        <v>2</v>
      </c>
      <c r="M3" s="32" t="s">
        <v>1</v>
      </c>
    </row>
    <row r="4" spans="1:13" s="1" customFormat="1" ht="21" customHeight="1" thickBot="1">
      <c r="A4" s="37"/>
      <c r="B4" s="42"/>
      <c r="C4" s="31"/>
      <c r="D4" s="31"/>
      <c r="E4" s="31"/>
      <c r="F4" s="31"/>
      <c r="G4" s="4">
        <v>1</v>
      </c>
      <c r="H4" s="4">
        <v>2</v>
      </c>
      <c r="I4" s="4">
        <v>3</v>
      </c>
      <c r="J4" s="4" t="s">
        <v>3</v>
      </c>
      <c r="K4" s="31"/>
      <c r="L4" s="31"/>
      <c r="M4" s="33"/>
    </row>
    <row r="5" spans="1:13" ht="16">
      <c r="A5" s="34" t="s">
        <v>25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11" t="s">
        <v>261</v>
      </c>
      <c r="B6" s="10" t="s">
        <v>276</v>
      </c>
      <c r="C6" s="10" t="s">
        <v>277</v>
      </c>
      <c r="D6" s="10" t="s">
        <v>278</v>
      </c>
      <c r="E6" s="10" t="str">
        <f>"1,4936"</f>
        <v>1,4936</v>
      </c>
      <c r="F6" s="10" t="s">
        <v>29</v>
      </c>
      <c r="G6" s="22" t="s">
        <v>207</v>
      </c>
      <c r="H6" s="22" t="s">
        <v>279</v>
      </c>
      <c r="I6" s="22" t="s">
        <v>117</v>
      </c>
      <c r="J6" s="11"/>
      <c r="K6" s="11" t="str">
        <f>"130,0"</f>
        <v>130,0</v>
      </c>
      <c r="L6" s="11" t="str">
        <f>"194,1680"</f>
        <v>194,1680</v>
      </c>
      <c r="M6" s="10" t="s">
        <v>33</v>
      </c>
    </row>
    <row r="7" spans="1:13">
      <c r="A7" s="15" t="s">
        <v>262</v>
      </c>
      <c r="B7" s="14" t="s">
        <v>41</v>
      </c>
      <c r="C7" s="14" t="s">
        <v>42</v>
      </c>
      <c r="D7" s="14" t="s">
        <v>36</v>
      </c>
      <c r="E7" s="14" t="str">
        <f>"1,3326"</f>
        <v>1,3326</v>
      </c>
      <c r="F7" s="14" t="s">
        <v>43</v>
      </c>
      <c r="G7" s="24" t="s">
        <v>185</v>
      </c>
      <c r="H7" s="24" t="s">
        <v>81</v>
      </c>
      <c r="I7" s="24" t="s">
        <v>82</v>
      </c>
      <c r="J7" s="15"/>
      <c r="K7" s="15" t="str">
        <f>"82,5"</f>
        <v>82,5</v>
      </c>
      <c r="L7" s="15" t="str">
        <f>"109,9395"</f>
        <v>109,9395</v>
      </c>
      <c r="M7" s="14" t="s">
        <v>44</v>
      </c>
    </row>
    <row r="8" spans="1:13">
      <c r="B8" s="5" t="s">
        <v>12</v>
      </c>
    </row>
    <row r="9" spans="1:13" ht="16">
      <c r="A9" s="39" t="s">
        <v>67</v>
      </c>
      <c r="B9" s="39"/>
      <c r="C9" s="40"/>
      <c r="D9" s="40"/>
      <c r="E9" s="40"/>
      <c r="F9" s="40"/>
      <c r="G9" s="40"/>
      <c r="H9" s="40"/>
      <c r="I9" s="40"/>
      <c r="J9" s="40"/>
    </row>
    <row r="10" spans="1:13">
      <c r="A10" s="9" t="s">
        <v>261</v>
      </c>
      <c r="B10" s="8" t="s">
        <v>280</v>
      </c>
      <c r="C10" s="8" t="s">
        <v>281</v>
      </c>
      <c r="D10" s="8" t="s">
        <v>282</v>
      </c>
      <c r="E10" s="8" t="str">
        <f>"1,1494"</f>
        <v>1,1494</v>
      </c>
      <c r="F10" s="8" t="s">
        <v>20</v>
      </c>
      <c r="G10" s="21" t="s">
        <v>105</v>
      </c>
      <c r="H10" s="21" t="s">
        <v>115</v>
      </c>
      <c r="I10" s="20" t="s">
        <v>279</v>
      </c>
      <c r="J10" s="9"/>
      <c r="K10" s="9" t="str">
        <f>"120,0"</f>
        <v>120,0</v>
      </c>
      <c r="L10" s="9" t="str">
        <f>"137,9280"</f>
        <v>137,9280</v>
      </c>
      <c r="M10" s="8" t="s">
        <v>283</v>
      </c>
    </row>
    <row r="11" spans="1:13">
      <c r="B11" s="5" t="s">
        <v>12</v>
      </c>
    </row>
    <row r="12" spans="1:13" ht="16">
      <c r="A12" s="39" t="s">
        <v>73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3">
      <c r="A13" s="9" t="s">
        <v>261</v>
      </c>
      <c r="B13" s="8" t="s">
        <v>284</v>
      </c>
      <c r="C13" s="8" t="s">
        <v>285</v>
      </c>
      <c r="D13" s="8" t="s">
        <v>286</v>
      </c>
      <c r="E13" s="8" t="str">
        <f>"1,0239"</f>
        <v>1,0239</v>
      </c>
      <c r="F13" s="8" t="s">
        <v>20</v>
      </c>
      <c r="G13" s="21" t="s">
        <v>105</v>
      </c>
      <c r="H13" s="21" t="s">
        <v>207</v>
      </c>
      <c r="I13" s="21" t="s">
        <v>115</v>
      </c>
      <c r="J13" s="9"/>
      <c r="K13" s="9" t="str">
        <f>"120,0"</f>
        <v>120,0</v>
      </c>
      <c r="L13" s="9" t="str">
        <f>"136,8750"</f>
        <v>136,8750</v>
      </c>
      <c r="M13" s="8" t="s">
        <v>287</v>
      </c>
    </row>
    <row r="14" spans="1:13">
      <c r="B14" s="5" t="s">
        <v>12</v>
      </c>
    </row>
    <row r="15" spans="1:13" ht="16">
      <c r="A15" s="39" t="s">
        <v>288</v>
      </c>
      <c r="B15" s="39"/>
      <c r="C15" s="40"/>
      <c r="D15" s="40"/>
      <c r="E15" s="40"/>
      <c r="F15" s="40"/>
      <c r="G15" s="40"/>
      <c r="H15" s="40"/>
      <c r="I15" s="40"/>
      <c r="J15" s="40"/>
    </row>
    <row r="16" spans="1:13">
      <c r="A16" s="9" t="s">
        <v>261</v>
      </c>
      <c r="B16" s="8" t="s">
        <v>289</v>
      </c>
      <c r="C16" s="8" t="s">
        <v>290</v>
      </c>
      <c r="D16" s="8" t="s">
        <v>192</v>
      </c>
      <c r="E16" s="8" t="str">
        <f>"0,8410"</f>
        <v>0,8410</v>
      </c>
      <c r="F16" s="8" t="s">
        <v>20</v>
      </c>
      <c r="G16" s="21" t="s">
        <v>140</v>
      </c>
      <c r="H16" s="21" t="s">
        <v>148</v>
      </c>
      <c r="I16" s="21" t="s">
        <v>170</v>
      </c>
      <c r="J16" s="9"/>
      <c r="K16" s="9" t="str">
        <f>"150,0"</f>
        <v>150,0</v>
      </c>
      <c r="L16" s="9" t="str">
        <f>"135,9897"</f>
        <v>135,9897</v>
      </c>
      <c r="M16" s="8" t="s">
        <v>291</v>
      </c>
    </row>
    <row r="17" spans="1:13">
      <c r="B17" s="5" t="s">
        <v>12</v>
      </c>
    </row>
    <row r="18" spans="1:13" ht="16">
      <c r="A18" s="39" t="s">
        <v>45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3">
      <c r="A19" s="9" t="s">
        <v>261</v>
      </c>
      <c r="B19" s="8" t="s">
        <v>292</v>
      </c>
      <c r="C19" s="8" t="s">
        <v>293</v>
      </c>
      <c r="D19" s="8" t="s">
        <v>294</v>
      </c>
      <c r="E19" s="8" t="str">
        <f>"1,1209"</f>
        <v>1,1209</v>
      </c>
      <c r="F19" s="8" t="s">
        <v>109</v>
      </c>
      <c r="G19" s="21" t="s">
        <v>83</v>
      </c>
      <c r="H19" s="21" t="s">
        <v>99</v>
      </c>
      <c r="I19" s="21" t="s">
        <v>93</v>
      </c>
      <c r="J19" s="9"/>
      <c r="K19" s="9" t="str">
        <f>"100,0"</f>
        <v>100,0</v>
      </c>
      <c r="L19" s="9" t="str">
        <f>"112,0900"</f>
        <v>112,0900</v>
      </c>
      <c r="M19" s="8" t="s">
        <v>111</v>
      </c>
    </row>
    <row r="20" spans="1:13">
      <c r="B20" s="5" t="s">
        <v>12</v>
      </c>
    </row>
    <row r="21" spans="1:13" ht="16">
      <c r="A21" s="39" t="s">
        <v>67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3">
      <c r="A22" s="9" t="s">
        <v>261</v>
      </c>
      <c r="B22" s="8" t="s">
        <v>295</v>
      </c>
      <c r="C22" s="8" t="s">
        <v>296</v>
      </c>
      <c r="D22" s="8" t="s">
        <v>297</v>
      </c>
      <c r="E22" s="8" t="str">
        <f>"0,8802"</f>
        <v>0,8802</v>
      </c>
      <c r="F22" s="8" t="s">
        <v>109</v>
      </c>
      <c r="G22" s="21" t="s">
        <v>115</v>
      </c>
      <c r="H22" s="21" t="s">
        <v>117</v>
      </c>
      <c r="I22" s="21" t="s">
        <v>139</v>
      </c>
      <c r="J22" s="9"/>
      <c r="K22" s="9" t="str">
        <f>"135,0"</f>
        <v>135,0</v>
      </c>
      <c r="L22" s="9" t="str">
        <f>"118,8270"</f>
        <v>118,8270</v>
      </c>
      <c r="M22" s="8" t="s">
        <v>111</v>
      </c>
    </row>
    <row r="23" spans="1:13">
      <c r="B23" s="5" t="s">
        <v>12</v>
      </c>
    </row>
    <row r="24" spans="1:13" ht="16">
      <c r="A24" s="39" t="s">
        <v>73</v>
      </c>
      <c r="B24" s="39"/>
      <c r="C24" s="40"/>
      <c r="D24" s="40"/>
      <c r="E24" s="40"/>
      <c r="F24" s="40"/>
      <c r="G24" s="40"/>
      <c r="H24" s="40"/>
      <c r="I24" s="40"/>
      <c r="J24" s="40"/>
    </row>
    <row r="25" spans="1:13">
      <c r="A25" s="9" t="s">
        <v>261</v>
      </c>
      <c r="B25" s="8" t="s">
        <v>298</v>
      </c>
      <c r="C25" s="8" t="s">
        <v>299</v>
      </c>
      <c r="D25" s="8" t="s">
        <v>300</v>
      </c>
      <c r="E25" s="8" t="str">
        <f>"0,7852"</f>
        <v>0,7852</v>
      </c>
      <c r="F25" s="8" t="s">
        <v>20</v>
      </c>
      <c r="G25" s="21" t="s">
        <v>116</v>
      </c>
      <c r="H25" s="21" t="s">
        <v>139</v>
      </c>
      <c r="I25" s="21" t="s">
        <v>140</v>
      </c>
      <c r="J25" s="9"/>
      <c r="K25" s="9" t="str">
        <f>"140,0"</f>
        <v>140,0</v>
      </c>
      <c r="L25" s="9" t="str">
        <f>"109,9280"</f>
        <v>109,9280</v>
      </c>
      <c r="M25" s="8" t="s">
        <v>301</v>
      </c>
    </row>
    <row r="26" spans="1:13">
      <c r="B26" s="5" t="s">
        <v>12</v>
      </c>
    </row>
    <row r="27" spans="1:13" ht="16">
      <c r="A27" s="39" t="s">
        <v>85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3">
      <c r="A28" s="11" t="s">
        <v>261</v>
      </c>
      <c r="B28" s="10" t="s">
        <v>302</v>
      </c>
      <c r="C28" s="10" t="s">
        <v>303</v>
      </c>
      <c r="D28" s="10" t="s">
        <v>304</v>
      </c>
      <c r="E28" s="10" t="str">
        <f>"0,7228"</f>
        <v>0,7228</v>
      </c>
      <c r="F28" s="10" t="s">
        <v>20</v>
      </c>
      <c r="G28" s="25" t="s">
        <v>116</v>
      </c>
      <c r="H28" s="22" t="s">
        <v>116</v>
      </c>
      <c r="I28" s="25" t="s">
        <v>117</v>
      </c>
      <c r="J28" s="11"/>
      <c r="K28" s="11" t="str">
        <f>"125,0"</f>
        <v>125,0</v>
      </c>
      <c r="L28" s="11" t="str">
        <f>"90,3500"</f>
        <v>90,3500</v>
      </c>
      <c r="M28" s="10" t="s">
        <v>301</v>
      </c>
    </row>
    <row r="29" spans="1:13">
      <c r="A29" s="13" t="s">
        <v>261</v>
      </c>
      <c r="B29" s="12" t="s">
        <v>305</v>
      </c>
      <c r="C29" s="12" t="s">
        <v>306</v>
      </c>
      <c r="D29" s="12" t="s">
        <v>120</v>
      </c>
      <c r="E29" s="12" t="str">
        <f>"0,7139"</f>
        <v>0,7139</v>
      </c>
      <c r="F29" s="12" t="s">
        <v>232</v>
      </c>
      <c r="G29" s="23" t="s">
        <v>154</v>
      </c>
      <c r="H29" s="23" t="s">
        <v>233</v>
      </c>
      <c r="I29" s="23" t="s">
        <v>307</v>
      </c>
      <c r="J29" s="13"/>
      <c r="K29" s="13" t="str">
        <f>"222,5"</f>
        <v>222,5</v>
      </c>
      <c r="L29" s="13" t="str">
        <f>"158,8428"</f>
        <v>158,8428</v>
      </c>
      <c r="M29" s="12" t="s">
        <v>175</v>
      </c>
    </row>
    <row r="30" spans="1:13">
      <c r="A30" s="13" t="s">
        <v>262</v>
      </c>
      <c r="B30" s="12" t="s">
        <v>308</v>
      </c>
      <c r="C30" s="12" t="s">
        <v>309</v>
      </c>
      <c r="D30" s="12" t="s">
        <v>310</v>
      </c>
      <c r="E30" s="12" t="str">
        <f>"0,7152"</f>
        <v>0,7152</v>
      </c>
      <c r="F30" s="12" t="s">
        <v>20</v>
      </c>
      <c r="G30" s="23" t="s">
        <v>154</v>
      </c>
      <c r="H30" s="23" t="s">
        <v>233</v>
      </c>
      <c r="I30" s="23" t="s">
        <v>234</v>
      </c>
      <c r="J30" s="13"/>
      <c r="K30" s="13" t="str">
        <f>"220,0"</f>
        <v>220,0</v>
      </c>
      <c r="L30" s="13" t="str">
        <f>"157,3440"</f>
        <v>157,3440</v>
      </c>
      <c r="M30" s="12" t="s">
        <v>311</v>
      </c>
    </row>
    <row r="31" spans="1:13">
      <c r="A31" s="15" t="s">
        <v>263</v>
      </c>
      <c r="B31" s="14" t="s">
        <v>312</v>
      </c>
      <c r="C31" s="14" t="s">
        <v>313</v>
      </c>
      <c r="D31" s="14" t="s">
        <v>314</v>
      </c>
      <c r="E31" s="14" t="str">
        <f>"0,7494"</f>
        <v>0,7494</v>
      </c>
      <c r="F31" s="14" t="s">
        <v>43</v>
      </c>
      <c r="G31" s="24" t="s">
        <v>155</v>
      </c>
      <c r="H31" s="24" t="s">
        <v>315</v>
      </c>
      <c r="I31" s="27" t="s">
        <v>316</v>
      </c>
      <c r="J31" s="15"/>
      <c r="K31" s="15" t="str">
        <f>"212,5"</f>
        <v>212,5</v>
      </c>
      <c r="L31" s="15" t="str">
        <f>"159,2475"</f>
        <v>159,2475</v>
      </c>
      <c r="M31" s="14" t="s">
        <v>175</v>
      </c>
    </row>
    <row r="32" spans="1:13">
      <c r="B32" s="5" t="s">
        <v>12</v>
      </c>
    </row>
    <row r="33" spans="1:13" ht="16">
      <c r="A33" s="39" t="s">
        <v>125</v>
      </c>
      <c r="B33" s="39"/>
      <c r="C33" s="40"/>
      <c r="D33" s="40"/>
      <c r="E33" s="40"/>
      <c r="F33" s="40"/>
      <c r="G33" s="40"/>
      <c r="H33" s="40"/>
      <c r="I33" s="40"/>
      <c r="J33" s="40"/>
    </row>
    <row r="34" spans="1:13">
      <c r="A34" s="11" t="s">
        <v>261</v>
      </c>
      <c r="B34" s="10" t="s">
        <v>317</v>
      </c>
      <c r="C34" s="10" t="s">
        <v>318</v>
      </c>
      <c r="D34" s="10" t="s">
        <v>319</v>
      </c>
      <c r="E34" s="10" t="str">
        <f>"0,6806"</f>
        <v>0,6806</v>
      </c>
      <c r="F34" s="10" t="s">
        <v>109</v>
      </c>
      <c r="G34" s="22" t="s">
        <v>193</v>
      </c>
      <c r="H34" s="22" t="s">
        <v>153</v>
      </c>
      <c r="I34" s="22" t="s">
        <v>194</v>
      </c>
      <c r="J34" s="11"/>
      <c r="K34" s="11" t="str">
        <f>"190,0"</f>
        <v>190,0</v>
      </c>
      <c r="L34" s="11" t="str">
        <f>"129,3140"</f>
        <v>129,3140</v>
      </c>
      <c r="M34" s="10" t="s">
        <v>111</v>
      </c>
    </row>
    <row r="35" spans="1:13">
      <c r="A35" s="15" t="s">
        <v>261</v>
      </c>
      <c r="B35" s="14" t="s">
        <v>320</v>
      </c>
      <c r="C35" s="14" t="s">
        <v>321</v>
      </c>
      <c r="D35" s="14" t="s">
        <v>322</v>
      </c>
      <c r="E35" s="14" t="str">
        <f>"0,6779"</f>
        <v>0,6779</v>
      </c>
      <c r="F35" s="14" t="s">
        <v>20</v>
      </c>
      <c r="G35" s="24" t="s">
        <v>161</v>
      </c>
      <c r="H35" s="24" t="s">
        <v>193</v>
      </c>
      <c r="I35" s="24" t="s">
        <v>194</v>
      </c>
      <c r="J35" s="15"/>
      <c r="K35" s="15" t="str">
        <f>"190,0"</f>
        <v>190,0</v>
      </c>
      <c r="L35" s="15" t="str">
        <f>"167,0549"</f>
        <v>167,0549</v>
      </c>
      <c r="M35" s="14" t="s">
        <v>323</v>
      </c>
    </row>
    <row r="36" spans="1:13">
      <c r="B36" s="5" t="s">
        <v>12</v>
      </c>
    </row>
    <row r="37" spans="1:13" ht="16">
      <c r="A37" s="39" t="s">
        <v>149</v>
      </c>
      <c r="B37" s="39"/>
      <c r="C37" s="40"/>
      <c r="D37" s="40"/>
      <c r="E37" s="40"/>
      <c r="F37" s="40"/>
      <c r="G37" s="40"/>
      <c r="H37" s="40"/>
      <c r="I37" s="40"/>
      <c r="J37" s="40"/>
    </row>
    <row r="38" spans="1:13">
      <c r="A38" s="11" t="s">
        <v>261</v>
      </c>
      <c r="B38" s="10" t="s">
        <v>150</v>
      </c>
      <c r="C38" s="10" t="s">
        <v>151</v>
      </c>
      <c r="D38" s="10" t="s">
        <v>152</v>
      </c>
      <c r="E38" s="10" t="str">
        <f>"0,6459"</f>
        <v>0,6459</v>
      </c>
      <c r="F38" s="10" t="s">
        <v>144</v>
      </c>
      <c r="G38" s="22" t="s">
        <v>324</v>
      </c>
      <c r="H38" s="22" t="s">
        <v>325</v>
      </c>
      <c r="I38" s="25" t="s">
        <v>326</v>
      </c>
      <c r="J38" s="11"/>
      <c r="K38" s="11" t="str">
        <f>"275,0"</f>
        <v>275,0</v>
      </c>
      <c r="L38" s="11" t="str">
        <f>"177,6225"</f>
        <v>177,6225</v>
      </c>
      <c r="M38" s="10" t="s">
        <v>175</v>
      </c>
    </row>
    <row r="39" spans="1:13">
      <c r="A39" s="13" t="s">
        <v>262</v>
      </c>
      <c r="B39" s="12" t="s">
        <v>172</v>
      </c>
      <c r="C39" s="12" t="s">
        <v>173</v>
      </c>
      <c r="D39" s="12" t="s">
        <v>174</v>
      </c>
      <c r="E39" s="12" t="str">
        <f>"0,6637"</f>
        <v>0,6637</v>
      </c>
      <c r="F39" s="12" t="s">
        <v>144</v>
      </c>
      <c r="G39" s="23" t="s">
        <v>159</v>
      </c>
      <c r="H39" s="23" t="s">
        <v>193</v>
      </c>
      <c r="I39" s="23" t="s">
        <v>194</v>
      </c>
      <c r="J39" s="13"/>
      <c r="K39" s="13" t="str">
        <f>"190,0"</f>
        <v>190,0</v>
      </c>
      <c r="L39" s="13" t="str">
        <f>"126,1030"</f>
        <v>126,1030</v>
      </c>
      <c r="M39" s="12" t="s">
        <v>175</v>
      </c>
    </row>
    <row r="40" spans="1:13">
      <c r="A40" s="15" t="s">
        <v>261</v>
      </c>
      <c r="B40" s="14" t="s">
        <v>186</v>
      </c>
      <c r="C40" s="14" t="s">
        <v>187</v>
      </c>
      <c r="D40" s="14" t="s">
        <v>188</v>
      </c>
      <c r="E40" s="14" t="str">
        <f>"0,6384"</f>
        <v>0,6384</v>
      </c>
      <c r="F40" s="14" t="s">
        <v>20</v>
      </c>
      <c r="G40" s="24" t="s">
        <v>93</v>
      </c>
      <c r="H40" s="24" t="s">
        <v>105</v>
      </c>
      <c r="I40" s="24" t="s">
        <v>115</v>
      </c>
      <c r="J40" s="15"/>
      <c r="K40" s="15" t="str">
        <f>"120,0"</f>
        <v>120,0</v>
      </c>
      <c r="L40" s="15" t="str">
        <f>"142,4909"</f>
        <v>142,4909</v>
      </c>
      <c r="M40" s="14" t="s">
        <v>175</v>
      </c>
    </row>
    <row r="41" spans="1:13">
      <c r="B41" s="5" t="s">
        <v>12</v>
      </c>
    </row>
    <row r="42" spans="1:13" ht="16">
      <c r="A42" s="39" t="s">
        <v>189</v>
      </c>
      <c r="B42" s="39"/>
      <c r="C42" s="40"/>
      <c r="D42" s="40"/>
      <c r="E42" s="40"/>
      <c r="F42" s="40"/>
      <c r="G42" s="40"/>
      <c r="H42" s="40"/>
      <c r="I42" s="40"/>
      <c r="J42" s="40"/>
    </row>
    <row r="43" spans="1:13">
      <c r="A43" s="9" t="s">
        <v>261</v>
      </c>
      <c r="B43" s="8" t="s">
        <v>198</v>
      </c>
      <c r="C43" s="8" t="s">
        <v>199</v>
      </c>
      <c r="D43" s="8" t="s">
        <v>200</v>
      </c>
      <c r="E43" s="8" t="str">
        <f>"0,6155"</f>
        <v>0,6155</v>
      </c>
      <c r="F43" s="8" t="s">
        <v>20</v>
      </c>
      <c r="G43" s="21" t="s">
        <v>234</v>
      </c>
      <c r="H43" s="21" t="s">
        <v>327</v>
      </c>
      <c r="I43" s="21" t="s">
        <v>235</v>
      </c>
      <c r="J43" s="9"/>
      <c r="K43" s="9" t="str">
        <f>"240,0"</f>
        <v>240,0</v>
      </c>
      <c r="L43" s="9" t="str">
        <f>"147,7200"</f>
        <v>147,7200</v>
      </c>
      <c r="M43" s="8" t="s">
        <v>175</v>
      </c>
    </row>
    <row r="44" spans="1:13">
      <c r="B44" s="5" t="s">
        <v>12</v>
      </c>
    </row>
    <row r="45" spans="1:13" ht="16">
      <c r="A45" s="39" t="s">
        <v>208</v>
      </c>
      <c r="B45" s="39"/>
      <c r="C45" s="40"/>
      <c r="D45" s="40"/>
      <c r="E45" s="40"/>
      <c r="F45" s="40"/>
      <c r="G45" s="40"/>
      <c r="H45" s="40"/>
      <c r="I45" s="40"/>
      <c r="J45" s="40"/>
    </row>
    <row r="46" spans="1:13">
      <c r="A46" s="9" t="s">
        <v>261</v>
      </c>
      <c r="B46" s="8" t="s">
        <v>328</v>
      </c>
      <c r="C46" s="8" t="s">
        <v>329</v>
      </c>
      <c r="D46" s="8" t="s">
        <v>330</v>
      </c>
      <c r="E46" s="8" t="str">
        <f>"0,5939"</f>
        <v>0,5939</v>
      </c>
      <c r="F46" s="8" t="s">
        <v>20</v>
      </c>
      <c r="G46" s="21" t="s">
        <v>331</v>
      </c>
      <c r="H46" s="21" t="s">
        <v>332</v>
      </c>
      <c r="I46" s="20" t="s">
        <v>333</v>
      </c>
      <c r="J46" s="9"/>
      <c r="K46" s="9" t="str">
        <f>"265,0"</f>
        <v>265,0</v>
      </c>
      <c r="L46" s="9" t="str">
        <f>"157,3835"</f>
        <v>157,3835</v>
      </c>
      <c r="M46" s="8" t="s">
        <v>175</v>
      </c>
    </row>
    <row r="47" spans="1:13">
      <c r="B47" s="5" t="s">
        <v>12</v>
      </c>
    </row>
    <row r="48" spans="1:13" ht="16">
      <c r="A48" s="39" t="s">
        <v>228</v>
      </c>
      <c r="B48" s="39"/>
      <c r="C48" s="40"/>
      <c r="D48" s="40"/>
      <c r="E48" s="40"/>
      <c r="F48" s="40"/>
      <c r="G48" s="40"/>
      <c r="H48" s="40"/>
      <c r="I48" s="40"/>
      <c r="J48" s="40"/>
    </row>
    <row r="49" spans="1:13">
      <c r="A49" s="9" t="s">
        <v>261</v>
      </c>
      <c r="B49" s="8" t="s">
        <v>236</v>
      </c>
      <c r="C49" s="8" t="s">
        <v>237</v>
      </c>
      <c r="D49" s="8" t="s">
        <v>238</v>
      </c>
      <c r="E49" s="8" t="str">
        <f>"0,5866"</f>
        <v>0,5866</v>
      </c>
      <c r="F49" s="8" t="s">
        <v>20</v>
      </c>
      <c r="G49" s="21" t="s">
        <v>155</v>
      </c>
      <c r="H49" s="21" t="s">
        <v>233</v>
      </c>
      <c r="I49" s="9"/>
      <c r="J49" s="9"/>
      <c r="K49" s="9" t="str">
        <f>"210,0"</f>
        <v>210,0</v>
      </c>
      <c r="L49" s="9" t="str">
        <f>"123,1860"</f>
        <v>123,1860</v>
      </c>
      <c r="M49" s="8" t="s">
        <v>175</v>
      </c>
    </row>
    <row r="50" spans="1:13">
      <c r="B50" s="5" t="s">
        <v>12</v>
      </c>
    </row>
    <row r="51" spans="1:13">
      <c r="B51" s="5" t="s">
        <v>12</v>
      </c>
    </row>
    <row r="52" spans="1:13">
      <c r="B52" s="5" t="s">
        <v>12</v>
      </c>
    </row>
    <row r="53" spans="1:13" ht="18">
      <c r="B53" s="7" t="s">
        <v>10</v>
      </c>
      <c r="C53" s="7"/>
    </row>
    <row r="54" spans="1:13" ht="16">
      <c r="B54" s="16" t="s">
        <v>252</v>
      </c>
      <c r="C54" s="16"/>
    </row>
    <row r="55" spans="1:13" ht="14">
      <c r="B55" s="17"/>
      <c r="C55" s="18" t="s">
        <v>245</v>
      </c>
    </row>
    <row r="56" spans="1:13" ht="14">
      <c r="B56" s="19" t="s">
        <v>240</v>
      </c>
      <c r="C56" s="19" t="s">
        <v>241</v>
      </c>
      <c r="D56" s="19" t="s">
        <v>461</v>
      </c>
      <c r="E56" s="19" t="s">
        <v>242</v>
      </c>
      <c r="F56" s="19" t="s">
        <v>243</v>
      </c>
    </row>
    <row r="57" spans="1:13">
      <c r="B57" s="5" t="s">
        <v>150</v>
      </c>
      <c r="C57" s="5" t="s">
        <v>245</v>
      </c>
      <c r="D57" s="6" t="s">
        <v>255</v>
      </c>
      <c r="E57" s="6" t="s">
        <v>325</v>
      </c>
      <c r="F57" s="6" t="s">
        <v>334</v>
      </c>
    </row>
    <row r="58" spans="1:13">
      <c r="B58" s="5" t="s">
        <v>312</v>
      </c>
      <c r="C58" s="5" t="s">
        <v>245</v>
      </c>
      <c r="D58" s="6" t="s">
        <v>251</v>
      </c>
      <c r="E58" s="6" t="s">
        <v>315</v>
      </c>
      <c r="F58" s="6" t="s">
        <v>335</v>
      </c>
    </row>
    <row r="59" spans="1:13">
      <c r="B59" s="5" t="s">
        <v>305</v>
      </c>
      <c r="C59" s="5" t="s">
        <v>245</v>
      </c>
      <c r="D59" s="6" t="s">
        <v>251</v>
      </c>
      <c r="E59" s="6" t="s">
        <v>307</v>
      </c>
      <c r="F59" s="6" t="s">
        <v>336</v>
      </c>
    </row>
  </sheetData>
  <mergeCells count="24">
    <mergeCell ref="A5:J5"/>
    <mergeCell ref="B3:B4"/>
    <mergeCell ref="A48:J48"/>
    <mergeCell ref="A9:J9"/>
    <mergeCell ref="A12:J12"/>
    <mergeCell ref="A15:J15"/>
    <mergeCell ref="A18:J18"/>
    <mergeCell ref="A21:J21"/>
    <mergeCell ref="A24:J24"/>
    <mergeCell ref="A27:J27"/>
    <mergeCell ref="A33:J33"/>
    <mergeCell ref="A37:J37"/>
    <mergeCell ref="A42:J42"/>
    <mergeCell ref="A45:J45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401D-617C-4F6A-82D1-967EC5D43093}">
  <dimension ref="A1:M4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4" t="s">
        <v>455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36" t="s">
        <v>13</v>
      </c>
      <c r="B3" s="41" t="s">
        <v>0</v>
      </c>
      <c r="C3" s="38" t="s">
        <v>4</v>
      </c>
      <c r="D3" s="38" t="s">
        <v>8</v>
      </c>
      <c r="E3" s="30" t="s">
        <v>267</v>
      </c>
      <c r="F3" s="30" t="s">
        <v>5</v>
      </c>
      <c r="G3" s="30" t="s">
        <v>399</v>
      </c>
      <c r="H3" s="30"/>
      <c r="I3" s="30"/>
      <c r="J3" s="30"/>
      <c r="K3" s="30" t="s">
        <v>11</v>
      </c>
      <c r="L3" s="30" t="s">
        <v>2</v>
      </c>
      <c r="M3" s="32" t="s">
        <v>1</v>
      </c>
    </row>
    <row r="4" spans="1:13" s="1" customFormat="1" ht="21" customHeight="1" thickBot="1">
      <c r="A4" s="37"/>
      <c r="B4" s="42"/>
      <c r="C4" s="31"/>
      <c r="D4" s="31"/>
      <c r="E4" s="31"/>
      <c r="F4" s="31"/>
      <c r="G4" s="4">
        <v>1</v>
      </c>
      <c r="H4" s="4">
        <v>2</v>
      </c>
      <c r="I4" s="4">
        <v>3</v>
      </c>
      <c r="J4" s="4" t="s">
        <v>3</v>
      </c>
      <c r="K4" s="31"/>
      <c r="L4" s="31"/>
      <c r="M4" s="33"/>
    </row>
    <row r="5" spans="1:13" ht="16">
      <c r="A5" s="34" t="s">
        <v>61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261</v>
      </c>
      <c r="B6" s="8" t="s">
        <v>400</v>
      </c>
      <c r="C6" s="8" t="s">
        <v>458</v>
      </c>
      <c r="D6" s="8" t="s">
        <v>401</v>
      </c>
      <c r="E6" s="8" t="str">
        <f>"1,0545"</f>
        <v>1,0545</v>
      </c>
      <c r="F6" s="8" t="s">
        <v>20</v>
      </c>
      <c r="G6" s="21" t="s">
        <v>364</v>
      </c>
      <c r="H6" s="21" t="s">
        <v>375</v>
      </c>
      <c r="I6" s="20" t="s">
        <v>360</v>
      </c>
      <c r="J6" s="9"/>
      <c r="K6" s="9" t="str">
        <f>"22,5"</f>
        <v>22,5</v>
      </c>
      <c r="L6" s="9" t="str">
        <f>"23,7262"</f>
        <v>23,7262</v>
      </c>
      <c r="M6" s="8" t="s">
        <v>402</v>
      </c>
    </row>
    <row r="7" spans="1:13">
      <c r="B7" s="5" t="s">
        <v>12</v>
      </c>
    </row>
    <row r="8" spans="1:13" ht="16">
      <c r="A8" s="39" t="s">
        <v>73</v>
      </c>
      <c r="B8" s="39"/>
      <c r="C8" s="40"/>
      <c r="D8" s="40"/>
      <c r="E8" s="40"/>
      <c r="F8" s="40"/>
      <c r="G8" s="40"/>
      <c r="H8" s="40"/>
      <c r="I8" s="40"/>
      <c r="J8" s="40"/>
    </row>
    <row r="9" spans="1:13">
      <c r="A9" s="11" t="s">
        <v>261</v>
      </c>
      <c r="B9" s="10" t="s">
        <v>403</v>
      </c>
      <c r="C9" s="10" t="s">
        <v>404</v>
      </c>
      <c r="D9" s="10" t="s">
        <v>405</v>
      </c>
      <c r="E9" s="10" t="str">
        <f>"0,7585"</f>
        <v>0,7585</v>
      </c>
      <c r="F9" s="10" t="s">
        <v>20</v>
      </c>
      <c r="G9" s="25" t="s">
        <v>391</v>
      </c>
      <c r="H9" s="22" t="s">
        <v>391</v>
      </c>
      <c r="I9" s="22" t="s">
        <v>31</v>
      </c>
      <c r="J9" s="11"/>
      <c r="K9" s="11" t="str">
        <f>"60,0"</f>
        <v>60,0</v>
      </c>
      <c r="L9" s="11" t="str">
        <f>"45,5112"</f>
        <v>45,5112</v>
      </c>
      <c r="M9" s="10" t="s">
        <v>175</v>
      </c>
    </row>
    <row r="10" spans="1:13">
      <c r="A10" s="15" t="s">
        <v>262</v>
      </c>
      <c r="B10" s="14" t="s">
        <v>339</v>
      </c>
      <c r="C10" s="14" t="s">
        <v>340</v>
      </c>
      <c r="D10" s="14" t="s">
        <v>341</v>
      </c>
      <c r="E10" s="14" t="str">
        <f>"0,7749"</f>
        <v>0,7749</v>
      </c>
      <c r="F10" s="14" t="s">
        <v>20</v>
      </c>
      <c r="G10" s="24" t="s">
        <v>38</v>
      </c>
      <c r="H10" s="24" t="s">
        <v>391</v>
      </c>
      <c r="I10" s="27" t="s">
        <v>31</v>
      </c>
      <c r="J10" s="15"/>
      <c r="K10" s="15" t="str">
        <f>"55,0"</f>
        <v>55,0</v>
      </c>
      <c r="L10" s="15" t="str">
        <f>"42,6168"</f>
        <v>42,6168</v>
      </c>
      <c r="M10" s="14" t="s">
        <v>175</v>
      </c>
    </row>
    <row r="11" spans="1:13">
      <c r="B11" s="5" t="s">
        <v>12</v>
      </c>
    </row>
    <row r="12" spans="1:13" ht="16">
      <c r="A12" s="39" t="s">
        <v>85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3">
      <c r="A13" s="11" t="s">
        <v>261</v>
      </c>
      <c r="B13" s="10" t="s">
        <v>406</v>
      </c>
      <c r="C13" s="10" t="s">
        <v>459</v>
      </c>
      <c r="D13" s="10" t="s">
        <v>407</v>
      </c>
      <c r="E13" s="10" t="str">
        <f>"0,7001"</f>
        <v>0,7001</v>
      </c>
      <c r="F13" s="10" t="s">
        <v>20</v>
      </c>
      <c r="G13" s="22" t="s">
        <v>59</v>
      </c>
      <c r="H13" s="22" t="s">
        <v>37</v>
      </c>
      <c r="I13" s="22" t="s">
        <v>38</v>
      </c>
      <c r="J13" s="11"/>
      <c r="K13" s="11" t="str">
        <f>"50,0"</f>
        <v>50,0</v>
      </c>
      <c r="L13" s="11" t="str">
        <f>"35,0050"</f>
        <v>35,0050</v>
      </c>
      <c r="M13" s="10" t="s">
        <v>408</v>
      </c>
    </row>
    <row r="14" spans="1:13">
      <c r="A14" s="15" t="s">
        <v>261</v>
      </c>
      <c r="B14" s="14" t="s">
        <v>409</v>
      </c>
      <c r="C14" s="14" t="s">
        <v>410</v>
      </c>
      <c r="D14" s="14" t="s">
        <v>411</v>
      </c>
      <c r="E14" s="14" t="str">
        <f>"0,7056"</f>
        <v>0,7056</v>
      </c>
      <c r="F14" s="14" t="s">
        <v>20</v>
      </c>
      <c r="G14" s="24" t="s">
        <v>65</v>
      </c>
      <c r="H14" s="24" t="s">
        <v>37</v>
      </c>
      <c r="I14" s="27" t="s">
        <v>38</v>
      </c>
      <c r="J14" s="15"/>
      <c r="K14" s="15" t="str">
        <f>"47,5"</f>
        <v>47,5</v>
      </c>
      <c r="L14" s="15" t="str">
        <f>"33,5184"</f>
        <v>33,5184</v>
      </c>
      <c r="M14" s="14" t="s">
        <v>412</v>
      </c>
    </row>
    <row r="15" spans="1:13">
      <c r="B15" s="5" t="s">
        <v>12</v>
      </c>
    </row>
    <row r="16" spans="1:13" ht="16">
      <c r="A16" s="39" t="s">
        <v>125</v>
      </c>
      <c r="B16" s="39"/>
      <c r="C16" s="40"/>
      <c r="D16" s="40"/>
      <c r="E16" s="40"/>
      <c r="F16" s="40"/>
      <c r="G16" s="40"/>
      <c r="H16" s="40"/>
      <c r="I16" s="40"/>
      <c r="J16" s="40"/>
    </row>
    <row r="17" spans="1:13">
      <c r="A17" s="11" t="s">
        <v>261</v>
      </c>
      <c r="B17" s="10" t="s">
        <v>350</v>
      </c>
      <c r="C17" s="10" t="s">
        <v>351</v>
      </c>
      <c r="D17" s="10" t="s">
        <v>352</v>
      </c>
      <c r="E17" s="10" t="str">
        <f>"0,6561"</f>
        <v>0,6561</v>
      </c>
      <c r="F17" s="10" t="s">
        <v>20</v>
      </c>
      <c r="G17" s="25" t="s">
        <v>38</v>
      </c>
      <c r="H17" s="22" t="s">
        <v>391</v>
      </c>
      <c r="I17" s="22" t="s">
        <v>31</v>
      </c>
      <c r="J17" s="11"/>
      <c r="K17" s="11" t="str">
        <f>"60,0"</f>
        <v>60,0</v>
      </c>
      <c r="L17" s="11" t="str">
        <f>"39,3690"</f>
        <v>39,3690</v>
      </c>
      <c r="M17" s="10" t="s">
        <v>175</v>
      </c>
    </row>
    <row r="18" spans="1:13">
      <c r="A18" s="13" t="s">
        <v>262</v>
      </c>
      <c r="B18" s="12" t="s">
        <v>413</v>
      </c>
      <c r="C18" s="12" t="s">
        <v>414</v>
      </c>
      <c r="D18" s="12" t="s">
        <v>415</v>
      </c>
      <c r="E18" s="12" t="str">
        <f>"0,6638"</f>
        <v>0,6638</v>
      </c>
      <c r="F18" s="12" t="s">
        <v>20</v>
      </c>
      <c r="G18" s="26" t="s">
        <v>38</v>
      </c>
      <c r="H18" s="26" t="s">
        <v>391</v>
      </c>
      <c r="I18" s="23" t="s">
        <v>391</v>
      </c>
      <c r="J18" s="13"/>
      <c r="K18" s="13" t="str">
        <f>"55,0"</f>
        <v>55,0</v>
      </c>
      <c r="L18" s="13" t="str">
        <f>"36,5090"</f>
        <v>36,5090</v>
      </c>
      <c r="M18" s="12" t="s">
        <v>416</v>
      </c>
    </row>
    <row r="19" spans="1:13">
      <c r="A19" s="15" t="s">
        <v>263</v>
      </c>
      <c r="B19" s="14" t="s">
        <v>141</v>
      </c>
      <c r="C19" s="14" t="s">
        <v>142</v>
      </c>
      <c r="D19" s="14" t="s">
        <v>143</v>
      </c>
      <c r="E19" s="14" t="str">
        <f>"0,6513"</f>
        <v>0,6513</v>
      </c>
      <c r="F19" s="14" t="s">
        <v>144</v>
      </c>
      <c r="G19" s="24" t="s">
        <v>38</v>
      </c>
      <c r="H19" s="27" t="s">
        <v>391</v>
      </c>
      <c r="I19" s="24" t="s">
        <v>391</v>
      </c>
      <c r="J19" s="15"/>
      <c r="K19" s="15" t="str">
        <f>"55,0"</f>
        <v>55,0</v>
      </c>
      <c r="L19" s="15" t="str">
        <f>"35,8215"</f>
        <v>35,8215</v>
      </c>
      <c r="M19" s="14" t="s">
        <v>175</v>
      </c>
    </row>
    <row r="20" spans="1:13">
      <c r="B20" s="5" t="s">
        <v>12</v>
      </c>
    </row>
    <row r="21" spans="1:13" ht="16">
      <c r="A21" s="39" t="s">
        <v>149</v>
      </c>
      <c r="B21" s="39"/>
      <c r="C21" s="40"/>
      <c r="D21" s="40"/>
      <c r="E21" s="40"/>
      <c r="F21" s="40"/>
      <c r="G21" s="40"/>
      <c r="H21" s="40"/>
      <c r="I21" s="40"/>
      <c r="J21" s="40"/>
    </row>
    <row r="22" spans="1:13">
      <c r="A22" s="9" t="s">
        <v>261</v>
      </c>
      <c r="B22" s="8" t="s">
        <v>172</v>
      </c>
      <c r="C22" s="8" t="s">
        <v>173</v>
      </c>
      <c r="D22" s="8" t="s">
        <v>272</v>
      </c>
      <c r="E22" s="8" t="str">
        <f>"0,6385"</f>
        <v>0,6385</v>
      </c>
      <c r="F22" s="8" t="s">
        <v>144</v>
      </c>
      <c r="G22" s="21" t="s">
        <v>38</v>
      </c>
      <c r="H22" s="21" t="s">
        <v>31</v>
      </c>
      <c r="I22" s="20" t="s">
        <v>32</v>
      </c>
      <c r="J22" s="9"/>
      <c r="K22" s="9" t="str">
        <f>"60,0"</f>
        <v>60,0</v>
      </c>
      <c r="L22" s="9" t="str">
        <f>"38,3070"</f>
        <v>38,3070</v>
      </c>
      <c r="M22" s="8" t="s">
        <v>175</v>
      </c>
    </row>
    <row r="23" spans="1:13">
      <c r="B23" s="5" t="s">
        <v>12</v>
      </c>
    </row>
    <row r="24" spans="1:13" ht="16">
      <c r="A24" s="39" t="s">
        <v>189</v>
      </c>
      <c r="B24" s="39"/>
      <c r="C24" s="40"/>
      <c r="D24" s="40"/>
      <c r="E24" s="40"/>
      <c r="F24" s="40"/>
      <c r="G24" s="40"/>
      <c r="H24" s="40"/>
      <c r="I24" s="40"/>
      <c r="J24" s="40"/>
    </row>
    <row r="25" spans="1:13">
      <c r="A25" s="9" t="s">
        <v>261</v>
      </c>
      <c r="B25" s="8" t="s">
        <v>417</v>
      </c>
      <c r="C25" s="8" t="s">
        <v>418</v>
      </c>
      <c r="D25" s="8" t="s">
        <v>419</v>
      </c>
      <c r="E25" s="8" t="str">
        <f>"0,5852"</f>
        <v>0,5852</v>
      </c>
      <c r="F25" s="8" t="s">
        <v>20</v>
      </c>
      <c r="G25" s="20" t="s">
        <v>72</v>
      </c>
      <c r="H25" s="21" t="s">
        <v>72</v>
      </c>
      <c r="I25" s="20" t="s">
        <v>420</v>
      </c>
      <c r="J25" s="9"/>
      <c r="K25" s="9" t="str">
        <f>"67,5"</f>
        <v>67,5</v>
      </c>
      <c r="L25" s="9" t="str">
        <f>"39,5010"</f>
        <v>39,5010</v>
      </c>
      <c r="M25" s="8" t="s">
        <v>175</v>
      </c>
    </row>
    <row r="26" spans="1:13">
      <c r="B26" s="5" t="s">
        <v>12</v>
      </c>
    </row>
    <row r="27" spans="1:13" ht="16">
      <c r="A27" s="39" t="s">
        <v>208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3">
      <c r="A28" s="11" t="s">
        <v>261</v>
      </c>
      <c r="B28" s="10" t="s">
        <v>421</v>
      </c>
      <c r="C28" s="10" t="s">
        <v>459</v>
      </c>
      <c r="D28" s="10" t="s">
        <v>422</v>
      </c>
      <c r="E28" s="10" t="str">
        <f>"0,5700"</f>
        <v>0,5700</v>
      </c>
      <c r="F28" s="10" t="s">
        <v>20</v>
      </c>
      <c r="G28" s="22" t="s">
        <v>31</v>
      </c>
      <c r="H28" s="22" t="s">
        <v>72</v>
      </c>
      <c r="I28" s="22" t="s">
        <v>184</v>
      </c>
      <c r="J28" s="11"/>
      <c r="K28" s="11" t="str">
        <f>"70,0"</f>
        <v>70,0</v>
      </c>
      <c r="L28" s="11" t="str">
        <f>"39,9018"</f>
        <v>39,9018</v>
      </c>
      <c r="M28" s="10" t="s">
        <v>175</v>
      </c>
    </row>
    <row r="29" spans="1:13">
      <c r="A29" s="13" t="s">
        <v>261</v>
      </c>
      <c r="B29" s="12" t="s">
        <v>212</v>
      </c>
      <c r="C29" s="12" t="s">
        <v>213</v>
      </c>
      <c r="D29" s="12" t="s">
        <v>214</v>
      </c>
      <c r="E29" s="12" t="str">
        <f>"0,5659"</f>
        <v>0,5659</v>
      </c>
      <c r="F29" s="12" t="s">
        <v>20</v>
      </c>
      <c r="G29" s="23" t="s">
        <v>391</v>
      </c>
      <c r="H29" s="23" t="s">
        <v>71</v>
      </c>
      <c r="I29" s="23" t="s">
        <v>184</v>
      </c>
      <c r="J29" s="13"/>
      <c r="K29" s="13" t="str">
        <f>"70,0"</f>
        <v>70,0</v>
      </c>
      <c r="L29" s="13" t="str">
        <f>"39,6165"</f>
        <v>39,6165</v>
      </c>
      <c r="M29" s="12" t="s">
        <v>175</v>
      </c>
    </row>
    <row r="30" spans="1:13">
      <c r="A30" s="13" t="s">
        <v>262</v>
      </c>
      <c r="B30" s="12" t="s">
        <v>423</v>
      </c>
      <c r="C30" s="12" t="s">
        <v>424</v>
      </c>
      <c r="D30" s="12" t="s">
        <v>425</v>
      </c>
      <c r="E30" s="12" t="str">
        <f>"0,5781"</f>
        <v>0,5781</v>
      </c>
      <c r="F30" s="12" t="s">
        <v>20</v>
      </c>
      <c r="G30" s="26" t="s">
        <v>38</v>
      </c>
      <c r="H30" s="23" t="s">
        <v>391</v>
      </c>
      <c r="I30" s="26" t="s">
        <v>72</v>
      </c>
      <c r="J30" s="13"/>
      <c r="K30" s="13" t="str">
        <f>"55,0"</f>
        <v>55,0</v>
      </c>
      <c r="L30" s="13" t="str">
        <f>"31,7928"</f>
        <v>31,7928</v>
      </c>
      <c r="M30" s="12" t="s">
        <v>175</v>
      </c>
    </row>
    <row r="31" spans="1:13">
      <c r="A31" s="15" t="s">
        <v>261</v>
      </c>
      <c r="B31" s="14" t="s">
        <v>426</v>
      </c>
      <c r="C31" s="14" t="s">
        <v>460</v>
      </c>
      <c r="D31" s="14" t="s">
        <v>427</v>
      </c>
      <c r="E31" s="14" t="str">
        <f>"0,5625"</f>
        <v>0,5625</v>
      </c>
      <c r="F31" s="14" t="s">
        <v>20</v>
      </c>
      <c r="G31" s="24" t="s">
        <v>185</v>
      </c>
      <c r="H31" s="27" t="s">
        <v>420</v>
      </c>
      <c r="I31" s="27" t="s">
        <v>420</v>
      </c>
      <c r="J31" s="15"/>
      <c r="K31" s="15" t="str">
        <f>"72,5"</f>
        <v>72,5</v>
      </c>
      <c r="L31" s="15" t="str">
        <f>"42,0455"</f>
        <v>42,0455</v>
      </c>
      <c r="M31" s="14" t="s">
        <v>175</v>
      </c>
    </row>
    <row r="32" spans="1:13">
      <c r="B32" s="5" t="s">
        <v>12</v>
      </c>
    </row>
    <row r="33" spans="1:13" ht="16">
      <c r="A33" s="39" t="s">
        <v>228</v>
      </c>
      <c r="B33" s="39"/>
      <c r="C33" s="40"/>
      <c r="D33" s="40"/>
      <c r="E33" s="40"/>
      <c r="F33" s="40"/>
      <c r="G33" s="40"/>
      <c r="H33" s="40"/>
      <c r="I33" s="40"/>
      <c r="J33" s="40"/>
    </row>
    <row r="34" spans="1:13">
      <c r="A34" s="9" t="s">
        <v>261</v>
      </c>
      <c r="B34" s="8" t="s">
        <v>428</v>
      </c>
      <c r="C34" s="8" t="s">
        <v>429</v>
      </c>
      <c r="D34" s="8" t="s">
        <v>430</v>
      </c>
      <c r="E34" s="8" t="str">
        <f>"0,5606"</f>
        <v>0,5606</v>
      </c>
      <c r="F34" s="8" t="s">
        <v>20</v>
      </c>
      <c r="G34" s="21" t="s">
        <v>31</v>
      </c>
      <c r="H34" s="20" t="s">
        <v>32</v>
      </c>
      <c r="I34" s="20" t="s">
        <v>32</v>
      </c>
      <c r="J34" s="9"/>
      <c r="K34" s="9" t="str">
        <f>"60,0"</f>
        <v>60,0</v>
      </c>
      <c r="L34" s="9" t="str">
        <f>"33,6390"</f>
        <v>33,6390</v>
      </c>
      <c r="M34" s="8" t="s">
        <v>175</v>
      </c>
    </row>
    <row r="35" spans="1:13">
      <c r="B35" s="5" t="s">
        <v>12</v>
      </c>
    </row>
    <row r="36" spans="1:13">
      <c r="B36" s="5" t="s">
        <v>12</v>
      </c>
    </row>
    <row r="37" spans="1:13">
      <c r="B37" s="5" t="s">
        <v>12</v>
      </c>
    </row>
    <row r="38" spans="1:13" ht="18">
      <c r="B38" s="7" t="s">
        <v>10</v>
      </c>
      <c r="C38" s="7"/>
    </row>
    <row r="39" spans="1:13" ht="16">
      <c r="B39" s="16" t="s">
        <v>252</v>
      </c>
      <c r="C39" s="16"/>
    </row>
    <row r="40" spans="1:13" ht="14">
      <c r="B40" s="17"/>
      <c r="C40" s="18" t="s">
        <v>245</v>
      </c>
    </row>
    <row r="41" spans="1:13" ht="14">
      <c r="B41" s="19" t="s">
        <v>240</v>
      </c>
      <c r="C41" s="19" t="s">
        <v>241</v>
      </c>
      <c r="D41" s="19" t="s">
        <v>461</v>
      </c>
      <c r="E41" s="19" t="s">
        <v>242</v>
      </c>
      <c r="F41" s="19" t="s">
        <v>273</v>
      </c>
    </row>
    <row r="42" spans="1:13">
      <c r="B42" s="5" t="s">
        <v>403</v>
      </c>
      <c r="C42" s="5" t="s">
        <v>245</v>
      </c>
      <c r="D42" s="6" t="s">
        <v>244</v>
      </c>
      <c r="E42" s="6" t="s">
        <v>31</v>
      </c>
      <c r="F42" s="6" t="s">
        <v>431</v>
      </c>
    </row>
    <row r="43" spans="1:13">
      <c r="B43" s="5" t="s">
        <v>339</v>
      </c>
      <c r="C43" s="5" t="s">
        <v>245</v>
      </c>
      <c r="D43" s="6" t="s">
        <v>244</v>
      </c>
      <c r="E43" s="6" t="s">
        <v>391</v>
      </c>
      <c r="F43" s="6" t="s">
        <v>432</v>
      </c>
    </row>
    <row r="44" spans="1:13">
      <c r="B44" s="5" t="s">
        <v>212</v>
      </c>
      <c r="C44" s="5" t="s">
        <v>245</v>
      </c>
      <c r="D44" s="6" t="s">
        <v>253</v>
      </c>
      <c r="E44" s="6" t="s">
        <v>184</v>
      </c>
      <c r="F44" s="6" t="s">
        <v>433</v>
      </c>
    </row>
  </sheetData>
  <mergeCells count="19">
    <mergeCell ref="A33:J33"/>
    <mergeCell ref="B3:B4"/>
    <mergeCell ref="A8:J8"/>
    <mergeCell ref="A12:J12"/>
    <mergeCell ref="A16:J16"/>
    <mergeCell ref="A21:J21"/>
    <mergeCell ref="A24:J24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BEA5-AF05-4BFE-BC8C-D8B289D1532F}">
  <dimension ref="A1:B7"/>
  <sheetViews>
    <sheetView workbookViewId="0">
      <selection sqref="A1:B2"/>
    </sheetView>
  </sheetViews>
  <sheetFormatPr baseColWidth="10" defaultColWidth="8.83203125" defaultRowHeight="13"/>
  <cols>
    <col min="1" max="1" width="27.5" customWidth="1"/>
    <col min="2" max="2" width="35.5" customWidth="1"/>
  </cols>
  <sheetData>
    <row r="1" spans="1:2" ht="26.25" customHeight="1">
      <c r="A1" s="43" t="s">
        <v>447</v>
      </c>
      <c r="B1" s="43"/>
    </row>
    <row r="2" spans="1:2" ht="48" customHeight="1">
      <c r="A2" s="43"/>
      <c r="B2" s="43"/>
    </row>
    <row r="3" spans="1:2">
      <c r="B3" s="29"/>
    </row>
    <row r="4" spans="1:2">
      <c r="A4" s="28" t="s">
        <v>434</v>
      </c>
      <c r="B4" s="28" t="s">
        <v>449</v>
      </c>
    </row>
    <row r="5" spans="1:2">
      <c r="A5" s="28" t="s">
        <v>435</v>
      </c>
      <c r="B5" s="28" t="s">
        <v>451</v>
      </c>
    </row>
    <row r="6" spans="1:2">
      <c r="A6" s="28" t="s">
        <v>436</v>
      </c>
      <c r="B6" s="28" t="s">
        <v>452</v>
      </c>
    </row>
    <row r="7" spans="1:2">
      <c r="A7" s="28" t="s">
        <v>448</v>
      </c>
      <c r="B7" s="28" t="s">
        <v>450</v>
      </c>
    </row>
  </sheetData>
  <mergeCells count="1">
    <mergeCell ref="A1:B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B2EB-D72C-4DC8-9EBA-0B3C722DC84C}">
  <dimension ref="A1:B11"/>
  <sheetViews>
    <sheetView workbookViewId="0">
      <selection sqref="A1:B2"/>
    </sheetView>
  </sheetViews>
  <sheetFormatPr baseColWidth="10" defaultColWidth="8.83203125" defaultRowHeight="13"/>
  <cols>
    <col min="1" max="2" width="31.5" customWidth="1"/>
  </cols>
  <sheetData>
    <row r="1" spans="1:2" ht="26.25" customHeight="1">
      <c r="A1" s="43" t="s">
        <v>453</v>
      </c>
      <c r="B1" s="43"/>
    </row>
    <row r="2" spans="1:2" ht="40.5" customHeight="1">
      <c r="A2" s="43"/>
      <c r="B2" s="43"/>
    </row>
    <row r="4" spans="1:2">
      <c r="A4" t="s">
        <v>437</v>
      </c>
      <c r="B4" t="s">
        <v>454</v>
      </c>
    </row>
    <row r="5" spans="1:2">
      <c r="A5" t="s">
        <v>438</v>
      </c>
      <c r="B5" t="s">
        <v>439</v>
      </c>
    </row>
    <row r="6" spans="1:2">
      <c r="A6" t="s">
        <v>9</v>
      </c>
      <c r="B6" t="s">
        <v>440</v>
      </c>
    </row>
    <row r="7" spans="1:2">
      <c r="A7" t="s">
        <v>441</v>
      </c>
      <c r="B7" t="s">
        <v>442</v>
      </c>
    </row>
    <row r="8" spans="1:2">
      <c r="B8" t="s">
        <v>443</v>
      </c>
    </row>
    <row r="9" spans="1:2">
      <c r="B9" t="s">
        <v>444</v>
      </c>
    </row>
    <row r="10" spans="1:2">
      <c r="B10" t="s">
        <v>445</v>
      </c>
    </row>
    <row r="11" spans="1:2">
      <c r="B11" t="s">
        <v>446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Жим лежа без экип</vt:lpstr>
      <vt:lpstr>WEPF Жим софт многопетельная</vt:lpstr>
      <vt:lpstr>WRPF Жим СФО</vt:lpstr>
      <vt:lpstr>WRPF Народный 1 вес</vt:lpstr>
      <vt:lpstr>WRPF Народный 1_2 веса</vt:lpstr>
      <vt:lpstr>WRPF Тяга без экипировки</vt:lpstr>
      <vt:lpstr>WRPF Подъем на бицепс</vt:lpstr>
      <vt:lpstr>Командное первенство</vt:lpstr>
      <vt:lpstr>Судейская коллегия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2020-12-14T20:48:00Z</dcterms:modified>
</cp:coreProperties>
</file>