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426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976eed6205bb37f0/Desktop/"/>
    </mc:Choice>
  </mc:AlternateContent>
  <xr:revisionPtr revIDLastSave="30" documentId="11_99E61324BCB92B8A21562134BF408E3F1E47BDD1" xr6:coauthVersionLast="45" xr6:coauthVersionMax="45" xr10:uidLastSave="{E25A2159-0DC4-4A4F-8E8C-6D79A938BB80}"/>
  <bookViews>
    <workbookView xWindow="2205" yWindow="1275" windowWidth="31230" windowHeight="11700" tabRatio="938" activeTab="1" xr2:uid="{00000000-000D-0000-FFFF-FFFF00000000}"/>
  </bookViews>
  <sheets>
    <sheet name="AWPC raw PL" sheetId="16" r:id="rId1"/>
    <sheet name="AWPC Classic RAW PL" sheetId="17" r:id="rId2"/>
    <sheet name="AWPC s.ply PL" sheetId="18" r:id="rId3"/>
    <sheet name="WPC raw PL" sheetId="7" r:id="rId4"/>
    <sheet name="WPC Classic RAW PL" sheetId="8" r:id="rId5"/>
    <sheet name="WPC s.ply PL" sheetId="9" r:id="rId6"/>
    <sheet name="AWPC raw BP" sheetId="20" r:id="rId7"/>
    <sheet name="AWPC s.ply BP" sheetId="23" r:id="rId8"/>
    <sheet name="AWPC MP soft eq. BP" sheetId="25" r:id="rId9"/>
    <sheet name="WPC s.ply BP" sheetId="12" r:id="rId10"/>
    <sheet name="WPC m.ply BP" sheetId="13" r:id="rId11"/>
    <sheet name="WPC raw BP" sheetId="11" r:id="rId12"/>
    <sheet name="WPC soft eq. BP" sheetId="14" r:id="rId13"/>
    <sheet name="WPC SC" sheetId="34" r:id="rId14"/>
    <sheet name="AWPC SC" sheetId="33" r:id="rId15"/>
    <sheet name="AWPC s.ply DL" sheetId="31" r:id="rId16"/>
    <sheet name="AWPC raw DL" sheetId="30" r:id="rId17"/>
    <sheet name="WPC s.ply DL" sheetId="28" r:id="rId18"/>
    <sheet name="WPC raw DL" sheetId="27" r:id="rId19"/>
  </sheets>
  <calcPr calcId="191029" refMode="R1C1"/>
</workbook>
</file>

<file path=xl/calcChain.xml><?xml version="1.0" encoding="utf-8"?>
<calcChain xmlns="http://schemas.openxmlformats.org/spreadsheetml/2006/main">
  <c r="J11" i="34" l="1"/>
  <c r="I11" i="34"/>
  <c r="J8" i="34"/>
  <c r="I8" i="34"/>
  <c r="J7" i="34"/>
  <c r="I7" i="34"/>
  <c r="J4" i="34"/>
  <c r="I4" i="34"/>
  <c r="J31" i="33"/>
  <c r="I31" i="33"/>
  <c r="J28" i="33"/>
  <c r="I28" i="33"/>
  <c r="J27" i="33"/>
  <c r="I27" i="33"/>
  <c r="J24" i="33"/>
  <c r="I24" i="33"/>
  <c r="J21" i="33"/>
  <c r="I21" i="33"/>
  <c r="J20" i="33"/>
  <c r="I20" i="33"/>
  <c r="J19" i="33"/>
  <c r="I19" i="33"/>
  <c r="J18" i="33"/>
  <c r="I18" i="33"/>
  <c r="J15" i="33"/>
  <c r="I15" i="33"/>
  <c r="J12" i="33"/>
  <c r="I12" i="33"/>
  <c r="J11" i="33"/>
  <c r="I11" i="33"/>
  <c r="J10" i="33"/>
  <c r="I10" i="33"/>
  <c r="J7" i="33"/>
  <c r="I7" i="33"/>
  <c r="J4" i="33"/>
  <c r="I4" i="33"/>
  <c r="J4" i="31"/>
  <c r="I4" i="31"/>
  <c r="J42" i="30"/>
  <c r="I42" i="30"/>
  <c r="J39" i="30"/>
  <c r="I39" i="30"/>
  <c r="J38" i="30"/>
  <c r="I38" i="30"/>
  <c r="J35" i="30"/>
  <c r="I35" i="30"/>
  <c r="J34" i="30"/>
  <c r="I34" i="30"/>
  <c r="J31" i="30"/>
  <c r="I31" i="30"/>
  <c r="J30" i="30"/>
  <c r="I30" i="30"/>
  <c r="J29" i="30"/>
  <c r="I29" i="30"/>
  <c r="J28" i="30"/>
  <c r="I28" i="30"/>
  <c r="J25" i="30"/>
  <c r="I25" i="30"/>
  <c r="J24" i="30"/>
  <c r="I24" i="30"/>
  <c r="J23" i="30"/>
  <c r="I23" i="30"/>
  <c r="J22" i="30"/>
  <c r="I22" i="30"/>
  <c r="J19" i="30"/>
  <c r="I19" i="30"/>
  <c r="J16" i="30"/>
  <c r="I16" i="30"/>
  <c r="J13" i="30"/>
  <c r="I13" i="30"/>
  <c r="J10" i="30"/>
  <c r="I10" i="30"/>
  <c r="J7" i="30"/>
  <c r="I7" i="30"/>
  <c r="J6" i="30"/>
  <c r="I6" i="30"/>
  <c r="J5" i="30"/>
  <c r="I5" i="30"/>
  <c r="J4" i="30"/>
  <c r="I4" i="30"/>
  <c r="J5" i="28"/>
  <c r="I5" i="28"/>
  <c r="J4" i="28"/>
  <c r="I4" i="28"/>
  <c r="J30" i="27"/>
  <c r="I30" i="27"/>
  <c r="J29" i="27"/>
  <c r="I29" i="27"/>
  <c r="J26" i="27"/>
  <c r="I26" i="27"/>
  <c r="J23" i="27"/>
  <c r="I23" i="27"/>
  <c r="J22" i="27"/>
  <c r="I22" i="27"/>
  <c r="J19" i="27"/>
  <c r="I19" i="27"/>
  <c r="J16" i="27"/>
  <c r="I16" i="27"/>
  <c r="J13" i="27"/>
  <c r="I13" i="27"/>
  <c r="J10" i="27"/>
  <c r="I10" i="27"/>
  <c r="J7" i="27"/>
  <c r="I7" i="27"/>
  <c r="J4" i="27"/>
  <c r="I4" i="27"/>
  <c r="J26" i="25"/>
  <c r="I26" i="25"/>
  <c r="J25" i="25"/>
  <c r="I25" i="25"/>
  <c r="J22" i="25"/>
  <c r="I22" i="25"/>
  <c r="J21" i="25"/>
  <c r="I21" i="25"/>
  <c r="J20" i="25"/>
  <c r="I20" i="25"/>
  <c r="J19" i="25"/>
  <c r="I19" i="25"/>
  <c r="J16" i="25"/>
  <c r="I16" i="25"/>
  <c r="J15" i="25"/>
  <c r="I15" i="25"/>
  <c r="J12" i="25"/>
  <c r="I12" i="25"/>
  <c r="J9" i="25"/>
  <c r="I9" i="25"/>
  <c r="J8" i="25"/>
  <c r="I8" i="25"/>
  <c r="J7" i="25"/>
  <c r="I7" i="25"/>
  <c r="J4" i="25"/>
  <c r="I4" i="25"/>
  <c r="I7" i="23"/>
  <c r="H7" i="23"/>
  <c r="I4" i="23"/>
  <c r="H4" i="23"/>
  <c r="J89" i="20"/>
  <c r="I89" i="20"/>
  <c r="J86" i="20"/>
  <c r="I86" i="20"/>
  <c r="J85" i="20"/>
  <c r="I85" i="20"/>
  <c r="J84" i="20"/>
  <c r="I84" i="20"/>
  <c r="J83" i="20"/>
  <c r="I83" i="20"/>
  <c r="J80" i="20"/>
  <c r="I80" i="20"/>
  <c r="J79" i="20"/>
  <c r="I79" i="20"/>
  <c r="J78" i="20"/>
  <c r="I78" i="20"/>
  <c r="J75" i="20"/>
  <c r="I75" i="20"/>
  <c r="J74" i="20"/>
  <c r="I74" i="20"/>
  <c r="J73" i="20"/>
  <c r="I73" i="20"/>
  <c r="J72" i="20"/>
  <c r="I72" i="20"/>
  <c r="J71" i="20"/>
  <c r="I71" i="20"/>
  <c r="J70" i="20"/>
  <c r="I70" i="20"/>
  <c r="J69" i="20"/>
  <c r="I69" i="20"/>
  <c r="J68" i="20"/>
  <c r="I68" i="20"/>
  <c r="J67" i="20"/>
  <c r="I67" i="20"/>
  <c r="J64" i="20"/>
  <c r="I64" i="20"/>
  <c r="J63" i="20"/>
  <c r="I63" i="20"/>
  <c r="J62" i="20"/>
  <c r="I62" i="20"/>
  <c r="J61" i="20"/>
  <c r="I61" i="20"/>
  <c r="J60" i="20"/>
  <c r="I60" i="20"/>
  <c r="J59" i="20"/>
  <c r="I59" i="20"/>
  <c r="J58" i="20"/>
  <c r="I58" i="20"/>
  <c r="J57" i="20"/>
  <c r="I57" i="20"/>
  <c r="J54" i="20"/>
  <c r="I54" i="20"/>
  <c r="J53" i="20"/>
  <c r="I53" i="20"/>
  <c r="J52" i="20"/>
  <c r="I52" i="20"/>
  <c r="J51" i="20"/>
  <c r="I51" i="20"/>
  <c r="J50" i="20"/>
  <c r="I50" i="20"/>
  <c r="J47" i="20"/>
  <c r="I47" i="20"/>
  <c r="J46" i="20"/>
  <c r="I46" i="20"/>
  <c r="J45" i="20"/>
  <c r="I45" i="20"/>
  <c r="J44" i="20"/>
  <c r="I44" i="20"/>
  <c r="J43" i="20"/>
  <c r="I43" i="20"/>
  <c r="J42" i="20"/>
  <c r="I42" i="20"/>
  <c r="J41" i="20"/>
  <c r="I41" i="20"/>
  <c r="J40" i="20"/>
  <c r="I40" i="20"/>
  <c r="J39" i="20"/>
  <c r="I39" i="20"/>
  <c r="J38" i="20"/>
  <c r="I38" i="20"/>
  <c r="J37" i="20"/>
  <c r="I37" i="20"/>
  <c r="J34" i="20"/>
  <c r="I34" i="20"/>
  <c r="J33" i="20"/>
  <c r="I33" i="20"/>
  <c r="J32" i="20"/>
  <c r="I32" i="20"/>
  <c r="J29" i="20"/>
  <c r="I29" i="20"/>
  <c r="J26" i="20"/>
  <c r="I26" i="20"/>
  <c r="J23" i="20"/>
  <c r="I23" i="20"/>
  <c r="J20" i="20"/>
  <c r="I20" i="20"/>
  <c r="J19" i="20"/>
  <c r="I19" i="20"/>
  <c r="J16" i="20"/>
  <c r="I16" i="20"/>
  <c r="J13" i="20"/>
  <c r="I13" i="20"/>
  <c r="J12" i="20"/>
  <c r="I12" i="20"/>
  <c r="J9" i="20"/>
  <c r="I9" i="20"/>
  <c r="J8" i="20"/>
  <c r="I8" i="20"/>
  <c r="J5" i="20"/>
  <c r="I5" i="20"/>
  <c r="J4" i="20"/>
  <c r="I4" i="20"/>
  <c r="R4" i="18"/>
  <c r="Q4" i="18"/>
  <c r="R29" i="17"/>
  <c r="Q29" i="17"/>
  <c r="R26" i="17"/>
  <c r="Q26" i="17"/>
  <c r="R25" i="17"/>
  <c r="Q25" i="17"/>
  <c r="R22" i="17"/>
  <c r="Q22" i="17"/>
  <c r="R19" i="17"/>
  <c r="Q19" i="17"/>
  <c r="R16" i="17"/>
  <c r="Q16" i="17"/>
  <c r="R13" i="17"/>
  <c r="Q13" i="17"/>
  <c r="Q12" i="17"/>
  <c r="R11" i="17"/>
  <c r="Q11" i="17"/>
  <c r="R8" i="17"/>
  <c r="Q8" i="17"/>
  <c r="R7" i="17"/>
  <c r="Q7" i="17"/>
  <c r="R4" i="17"/>
  <c r="Q4" i="17"/>
  <c r="R50" i="16"/>
  <c r="Q50" i="16"/>
  <c r="R47" i="16"/>
  <c r="Q47" i="16"/>
  <c r="R46" i="16"/>
  <c r="Q46" i="16"/>
  <c r="R45" i="16"/>
  <c r="Q45" i="16"/>
  <c r="R42" i="16"/>
  <c r="Q42" i="16"/>
  <c r="R41" i="16"/>
  <c r="Q41" i="16"/>
  <c r="R40" i="16"/>
  <c r="Q40" i="16"/>
  <c r="R37" i="16"/>
  <c r="Q37" i="16"/>
  <c r="R36" i="16"/>
  <c r="Q36" i="16"/>
  <c r="R35" i="16"/>
  <c r="Q35" i="16"/>
  <c r="R34" i="16"/>
  <c r="Q34" i="16"/>
  <c r="R33" i="16"/>
  <c r="Q33" i="16"/>
  <c r="R30" i="16"/>
  <c r="Q30" i="16"/>
  <c r="R29" i="16"/>
  <c r="Q29" i="16"/>
  <c r="R28" i="16"/>
  <c r="Q28" i="16"/>
  <c r="R25" i="16"/>
  <c r="Q25" i="16"/>
  <c r="R24" i="16"/>
  <c r="Q24" i="16"/>
  <c r="R21" i="16"/>
  <c r="Q21" i="16"/>
  <c r="R18" i="16"/>
  <c r="Q18" i="16"/>
  <c r="R15" i="16"/>
  <c r="Q15" i="16"/>
  <c r="R12" i="16"/>
  <c r="Q12" i="16"/>
  <c r="R11" i="16"/>
  <c r="Q11" i="16"/>
  <c r="R10" i="16"/>
  <c r="Q10" i="16"/>
  <c r="R7" i="16"/>
  <c r="Q7" i="16"/>
  <c r="R4" i="16"/>
  <c r="Q4" i="16"/>
  <c r="J12" i="14"/>
  <c r="I12" i="14"/>
  <c r="J9" i="14"/>
  <c r="I9" i="14"/>
  <c r="J8" i="14"/>
  <c r="I8" i="14"/>
  <c r="J7" i="14"/>
  <c r="I7" i="14"/>
  <c r="J4" i="14"/>
  <c r="I4" i="14"/>
  <c r="J4" i="13"/>
  <c r="I4" i="13"/>
  <c r="J5" i="12"/>
  <c r="I5" i="12"/>
  <c r="J4" i="12"/>
  <c r="I4" i="12"/>
  <c r="J25" i="11"/>
  <c r="I25" i="11"/>
  <c r="J22" i="11"/>
  <c r="I22" i="11"/>
  <c r="J21" i="11"/>
  <c r="I21" i="11"/>
  <c r="J18" i="11"/>
  <c r="I18" i="11"/>
  <c r="J17" i="11"/>
  <c r="I17" i="11"/>
  <c r="J16" i="11"/>
  <c r="I16" i="11"/>
  <c r="J15" i="11"/>
  <c r="I15" i="11"/>
  <c r="J12" i="11"/>
  <c r="I12" i="11"/>
  <c r="J9" i="11"/>
  <c r="I9" i="11"/>
  <c r="J8" i="11"/>
  <c r="I8" i="11"/>
  <c r="J7" i="11"/>
  <c r="I7" i="11"/>
  <c r="J4" i="11"/>
  <c r="I4" i="11"/>
  <c r="R5" i="9"/>
  <c r="Q5" i="9"/>
  <c r="R4" i="9"/>
  <c r="Q4" i="9"/>
  <c r="R15" i="8"/>
  <c r="Q15" i="8"/>
  <c r="R12" i="8"/>
  <c r="Q12" i="8"/>
  <c r="R9" i="8"/>
  <c r="Q9" i="8"/>
  <c r="R8" i="8"/>
  <c r="Q8" i="8"/>
  <c r="R7" i="8"/>
  <c r="Q7" i="8"/>
  <c r="R4" i="8"/>
  <c r="Q4" i="8"/>
  <c r="R19" i="7"/>
  <c r="Q19" i="7"/>
  <c r="R16" i="7"/>
  <c r="Q16" i="7"/>
  <c r="R13" i="7"/>
  <c r="Q13" i="7"/>
  <c r="R10" i="7"/>
  <c r="Q10" i="7"/>
  <c r="R7" i="7"/>
  <c r="Q7" i="7"/>
  <c r="R4" i="7"/>
  <c r="Q4" i="7"/>
</calcChain>
</file>

<file path=xl/sharedStrings.xml><?xml version="1.0" encoding="utf-8"?>
<sst xmlns="http://schemas.openxmlformats.org/spreadsheetml/2006/main" count="1962" uniqueCount="659">
  <si>
    <t>Name</t>
  </si>
  <si>
    <t>Coach</t>
  </si>
  <si>
    <t>Pts</t>
  </si>
  <si>
    <t>Rec</t>
  </si>
  <si>
    <t>Body
weight</t>
  </si>
  <si>
    <t>Total</t>
  </si>
  <si>
    <t>Age Class
Bith date/Age</t>
  </si>
  <si>
    <t>Town/Country</t>
  </si>
  <si>
    <t>Squat</t>
  </si>
  <si>
    <t>Benchpress</t>
  </si>
  <si>
    <t>Deadlift</t>
  </si>
  <si>
    <t>Body Weight Category  60</t>
  </si>
  <si>
    <t>1. Bondarchuk Elena</t>
  </si>
  <si>
    <t>Masters 40-44 (18.06.1980)/40</t>
  </si>
  <si>
    <t>60,00</t>
  </si>
  <si>
    <t>132,5</t>
  </si>
  <si>
    <t>137,5</t>
  </si>
  <si>
    <t>142,5</t>
  </si>
  <si>
    <t>92,5</t>
  </si>
  <si>
    <t>97,5</t>
  </si>
  <si>
    <t>155,0</t>
  </si>
  <si>
    <t>167,5</t>
  </si>
  <si>
    <t>175,0</t>
  </si>
  <si>
    <t>Body Weight Category  75</t>
  </si>
  <si>
    <t>1. Doga Victoriya</t>
  </si>
  <si>
    <t>Open (04.09.1982)/38</t>
  </si>
  <si>
    <t>74,90</t>
  </si>
  <si>
    <t>145,0</t>
  </si>
  <si>
    <t>162,5</t>
  </si>
  <si>
    <t>107,5</t>
  </si>
  <si>
    <t>115,0</t>
  </si>
  <si>
    <t>117,5</t>
  </si>
  <si>
    <t>190,0</t>
  </si>
  <si>
    <t>202,5</t>
  </si>
  <si>
    <t>207,5</t>
  </si>
  <si>
    <t>Taranukhin G.Yu.</t>
  </si>
  <si>
    <t>1. Chigarev Ruslan</t>
  </si>
  <si>
    <t>Teen 16-17 (10.08.2003)/17</t>
  </si>
  <si>
    <t>69,00</t>
  </si>
  <si>
    <t>130,0</t>
  </si>
  <si>
    <t>140,0</t>
  </si>
  <si>
    <t>150,0</t>
  </si>
  <si>
    <t>75,0</t>
  </si>
  <si>
    <t>85,0</t>
  </si>
  <si>
    <t>160,0</t>
  </si>
  <si>
    <t>185,0</t>
  </si>
  <si>
    <t>Body Weight Category  90</t>
  </si>
  <si>
    <t>1. Uryupin Vladislav</t>
  </si>
  <si>
    <t>Open (30.04.1996)/24</t>
  </si>
  <si>
    <t>89,30</t>
  </si>
  <si>
    <t>165,0</t>
  </si>
  <si>
    <t>215,0</t>
  </si>
  <si>
    <t>220,0</t>
  </si>
  <si>
    <t>Body Weight Category  110</t>
  </si>
  <si>
    <t>1. Yakushev Oleg</t>
  </si>
  <si>
    <t>Open (28.07.1989)/31</t>
  </si>
  <si>
    <t>106,00</t>
  </si>
  <si>
    <t>180,0</t>
  </si>
  <si>
    <t>195,0</t>
  </si>
  <si>
    <t>210,0</t>
  </si>
  <si>
    <t>240,0</t>
  </si>
  <si>
    <t>260,0</t>
  </si>
  <si>
    <t>280,0</t>
  </si>
  <si>
    <t>Broshkin Sergey</t>
  </si>
  <si>
    <t>Body Weight Category  125</t>
  </si>
  <si>
    <t>1. Zaytsev Aleksandr</t>
  </si>
  <si>
    <t>Masters 40-44 (06.04.1980)/40</t>
  </si>
  <si>
    <t>117,10</t>
  </si>
  <si>
    <t>300,0</t>
  </si>
  <si>
    <t>200,0</t>
  </si>
  <si>
    <t>320,0</t>
  </si>
  <si>
    <t>Body Weight Category  82.5</t>
  </si>
  <si>
    <t>1. Scherbina Victor</t>
  </si>
  <si>
    <t>Open (01.11.1986)/34</t>
  </si>
  <si>
    <t>81,90</t>
  </si>
  <si>
    <t>100,0</t>
  </si>
  <si>
    <t>65,0</t>
  </si>
  <si>
    <t>70,0</t>
  </si>
  <si>
    <t>95,0</t>
  </si>
  <si>
    <t>105,0</t>
  </si>
  <si>
    <t>1. Mohamed Rabie</t>
  </si>
  <si>
    <t>Open (10.05.1995)/25</t>
  </si>
  <si>
    <t>88,50</t>
  </si>
  <si>
    <t>275,0</t>
  </si>
  <si>
    <t>250,0</t>
  </si>
  <si>
    <t>270,0</t>
  </si>
  <si>
    <t>290,0</t>
  </si>
  <si>
    <t>2. Vasin Mikhail</t>
  </si>
  <si>
    <t>Open (16.10.1994)/26</t>
  </si>
  <si>
    <t>88,70</t>
  </si>
  <si>
    <t>227,5</t>
  </si>
  <si>
    <t>235,0</t>
  </si>
  <si>
    <t>147,5</t>
  </si>
  <si>
    <t>255,0</t>
  </si>
  <si>
    <t>1. Mohamed Samir</t>
  </si>
  <si>
    <t>Masters 40-44 (28.09.1977)/43</t>
  </si>
  <si>
    <t>88,10</t>
  </si>
  <si>
    <t>Body Weight Category  100</t>
  </si>
  <si>
    <t>1. Cheremisin Denis</t>
  </si>
  <si>
    <t>Open (15.08.1991)/29</t>
  </si>
  <si>
    <t>99,20</t>
  </si>
  <si>
    <t>265,0</t>
  </si>
  <si>
    <t>-. Semlev Vladimir</t>
  </si>
  <si>
    <t>Open (12.10.1981)/39</t>
  </si>
  <si>
    <t>108,40</t>
  </si>
  <si>
    <t>170,0</t>
  </si>
  <si>
    <t>282,5</t>
  </si>
  <si>
    <t>1. Bukhantseva Irina</t>
  </si>
  <si>
    <t>Masters 45-49 (24.11.1971)/49</t>
  </si>
  <si>
    <t>59,10</t>
  </si>
  <si>
    <t>50,0</t>
  </si>
  <si>
    <t>52,5</t>
  </si>
  <si>
    <t>55,0</t>
  </si>
  <si>
    <t>Body Weight Category  67.5</t>
  </si>
  <si>
    <t>1. Lyalyakicheva Tatyana</t>
  </si>
  <si>
    <t>Open (21.03.1978)/42</t>
  </si>
  <si>
    <t>67,50</t>
  </si>
  <si>
    <t>87,5</t>
  </si>
  <si>
    <t>2. Kotenko Alena</t>
  </si>
  <si>
    <t>Open (07.04.1989)/31</t>
  </si>
  <si>
    <t>67,00</t>
  </si>
  <si>
    <t>77,5</t>
  </si>
  <si>
    <t>80,0</t>
  </si>
  <si>
    <t>1. Zhiltsova Kira</t>
  </si>
  <si>
    <t>Masters 75-79 (24.04.1944)/76</t>
  </si>
  <si>
    <t>65,90</t>
  </si>
  <si>
    <t>35,0</t>
  </si>
  <si>
    <t>40,5</t>
  </si>
  <si>
    <t>Petrov Aleksandr</t>
  </si>
  <si>
    <t>1. Raspopov Yuriy</t>
  </si>
  <si>
    <t>Open (16.12.1992)/27</t>
  </si>
  <si>
    <t>79,50</t>
  </si>
  <si>
    <t>192,5</t>
  </si>
  <si>
    <t>197,5</t>
  </si>
  <si>
    <t>1. Mischenko Artem</t>
  </si>
  <si>
    <t>Open (26.06.1984)/36</t>
  </si>
  <si>
    <t>187,5</t>
  </si>
  <si>
    <t>2. Pankov Boris</t>
  </si>
  <si>
    <t>Open (26.04.1993)/27</t>
  </si>
  <si>
    <t>89,00</t>
  </si>
  <si>
    <t>1. Sklyarov Yuriy</t>
  </si>
  <si>
    <t>Masters 40-44 (17.07.1978)/42</t>
  </si>
  <si>
    <t>90,00</t>
  </si>
  <si>
    <t>172,5</t>
  </si>
  <si>
    <t>1. Vetrov Vladimir</t>
  </si>
  <si>
    <t>Masters 55-59 (02.09.1964)/56</t>
  </si>
  <si>
    <t>86,50</t>
  </si>
  <si>
    <t>120,0</t>
  </si>
  <si>
    <t>125,0</t>
  </si>
  <si>
    <t>Petrov A.I.</t>
  </si>
  <si>
    <t>1. Baydyuk Sergey</t>
  </si>
  <si>
    <t>Open (07.04.1993)/27</t>
  </si>
  <si>
    <t>96,20</t>
  </si>
  <si>
    <t>1. Petrov Aleksandr</t>
  </si>
  <si>
    <t>Masters 60-64 (17.07.1960)/60</t>
  </si>
  <si>
    <t>95,00</t>
  </si>
  <si>
    <t>Body Weight Category  140</t>
  </si>
  <si>
    <t>1. Zhiltsov Igor</t>
  </si>
  <si>
    <t>Masters 50-54 (14.08.1970)/50</t>
  </si>
  <si>
    <t>133,20</t>
  </si>
  <si>
    <t>40,0</t>
  </si>
  <si>
    <t>Result</t>
  </si>
  <si>
    <t>Open (28.09.1977)/43</t>
  </si>
  <si>
    <t>245,0</t>
  </si>
  <si>
    <t>1. Tukaev Anton</t>
  </si>
  <si>
    <t>Open (03.07.1990)/30</t>
  </si>
  <si>
    <t>205,0</t>
  </si>
  <si>
    <t>230,0</t>
  </si>
  <si>
    <t>2. Ermolaev Vyacheslav</t>
  </si>
  <si>
    <t>Masters 40-44 (21.09.1980)/40</t>
  </si>
  <si>
    <t>88,90</t>
  </si>
  <si>
    <t>225,0</t>
  </si>
  <si>
    <t>1. Nikiforov Victor</t>
  </si>
  <si>
    <t>Open (24.08.1983)/37</t>
  </si>
  <si>
    <t>97,40</t>
  </si>
  <si>
    <t>272,5</t>
  </si>
  <si>
    <t>Body Weight Category  48</t>
  </si>
  <si>
    <t>1. Korelina Ekaterina</t>
  </si>
  <si>
    <t>Juniors 20-23 (03.12.1998)/22</t>
  </si>
  <si>
    <t>47,20</t>
  </si>
  <si>
    <t>45,0</t>
  </si>
  <si>
    <t>90,0</t>
  </si>
  <si>
    <t>Body Weight Category  56</t>
  </si>
  <si>
    <t>1. Kochetova Elena</t>
  </si>
  <si>
    <t>Open (03.06.1987)/33</t>
  </si>
  <si>
    <t>54,60</t>
  </si>
  <si>
    <t>110,0</t>
  </si>
  <si>
    <t>Dosaliyev Vladislav</t>
  </si>
  <si>
    <t>1. Palkina Anastasiya</t>
  </si>
  <si>
    <t>Open (03.06.1992)/28</t>
  </si>
  <si>
    <t>65,40</t>
  </si>
  <si>
    <t>102,5</t>
  </si>
  <si>
    <t>62,5</t>
  </si>
  <si>
    <t>112,5</t>
  </si>
  <si>
    <t>2. Chuprakova Ekaterina</t>
  </si>
  <si>
    <t>Open (11.05.1982)/38</t>
  </si>
  <si>
    <t>66,30</t>
  </si>
  <si>
    <t>60,0</t>
  </si>
  <si>
    <t>127,5</t>
  </si>
  <si>
    <t>3. Gusachenko Violetta</t>
  </si>
  <si>
    <t>Open (11.10.1996)/24</t>
  </si>
  <si>
    <t>66,50</t>
  </si>
  <si>
    <t>1. Fedorova Vera</t>
  </si>
  <si>
    <t>Open (20.08.1988)/32</t>
  </si>
  <si>
    <t>76,10</t>
  </si>
  <si>
    <t>1. Sleptsov Sergey</t>
  </si>
  <si>
    <t>Open (15.02.1993)/27</t>
  </si>
  <si>
    <t>58,80</t>
  </si>
  <si>
    <t>152,5</t>
  </si>
  <si>
    <t>1. Kulikov Dmitriy</t>
  </si>
  <si>
    <t>Open (18.04.1988)/32</t>
  </si>
  <si>
    <t>66,70</t>
  </si>
  <si>
    <t>1. Tomchak Andrey</t>
  </si>
  <si>
    <t>Teen 16-17 (01.03.2003)/17</t>
  </si>
  <si>
    <t>69,10</t>
  </si>
  <si>
    <t>1. Gladkov Anatoliy</t>
  </si>
  <si>
    <t>Open (12.09.1981)/39</t>
  </si>
  <si>
    <t>75,00</t>
  </si>
  <si>
    <t>232,5</t>
  </si>
  <si>
    <t>1. Drozdov Nikita</t>
  </si>
  <si>
    <t>Open (18.01.1987)/33</t>
  </si>
  <si>
    <t>82,20</t>
  </si>
  <si>
    <t>182,5</t>
  </si>
  <si>
    <t>222,5</t>
  </si>
  <si>
    <t>1. Sobolev Aleksey</t>
  </si>
  <si>
    <t>Masters 40-44 (10.09.1979)/41</t>
  </si>
  <si>
    <t>80,60</t>
  </si>
  <si>
    <t>1. Stegantsev Andrey</t>
  </si>
  <si>
    <t>Masters 55-59 (27.06.1963)/57</t>
  </si>
  <si>
    <t>78,70</t>
  </si>
  <si>
    <t>135,0</t>
  </si>
  <si>
    <t>Smirnov Dmitriy</t>
  </si>
  <si>
    <t>1. Gerchoglo Pavel</t>
  </si>
  <si>
    <t>Open (10.08.1989)/31</t>
  </si>
  <si>
    <t>2. Zmunchile Mikhail</t>
  </si>
  <si>
    <t>Open (25.05.1983)/37</t>
  </si>
  <si>
    <t>88,80</t>
  </si>
  <si>
    <t>242,5</t>
  </si>
  <si>
    <t>247,5</t>
  </si>
  <si>
    <t>3. Tabanakov Oleg</t>
  </si>
  <si>
    <t>Open (29.04.1989)/31</t>
  </si>
  <si>
    <t>85,30</t>
  </si>
  <si>
    <t>4. Pavlenko Roman</t>
  </si>
  <si>
    <t>Open (27.06.1990)/30</t>
  </si>
  <si>
    <t>85,40</t>
  </si>
  <si>
    <t>1. Galiullin Evgeniy</t>
  </si>
  <si>
    <t>Masters 40-44 (16.12.1978)/41</t>
  </si>
  <si>
    <t>1. Kaminskiy Evgeniy</t>
  </si>
  <si>
    <t>Open (07.06.1991)/29</t>
  </si>
  <si>
    <t>2. Morozov Igor</t>
  </si>
  <si>
    <t>Open (17.04.1986)/34</t>
  </si>
  <si>
    <t>94,60</t>
  </si>
  <si>
    <t>1. Shulga Denis</t>
  </si>
  <si>
    <t>Masters 40-44 (23.01.1978)/42</t>
  </si>
  <si>
    <t>96,60</t>
  </si>
  <si>
    <t>1. Mulikhov Aleksandr</t>
  </si>
  <si>
    <t>Open (12.08.1988)/32</t>
  </si>
  <si>
    <t>108,70</t>
  </si>
  <si>
    <t>2. Ivanov Vladimir</t>
  </si>
  <si>
    <t>Open (19.01.1988)/32</t>
  </si>
  <si>
    <t>107,60</t>
  </si>
  <si>
    <t>1. Makarov Andrey</t>
  </si>
  <si>
    <t>Masters 40-44 (18.09.1979)/41</t>
  </si>
  <si>
    <t>104,60</t>
  </si>
  <si>
    <t>Yakusheva Svetlana</t>
  </si>
  <si>
    <t>1. Korochkov Vasiliy</t>
  </si>
  <si>
    <t>Masters 45-49 (07.08.1975)/45</t>
  </si>
  <si>
    <t>137,80</t>
  </si>
  <si>
    <t>1. Grigoreva Nataliya</t>
  </si>
  <si>
    <t>Open (01.02.1983)/37</t>
  </si>
  <si>
    <t>47,5</t>
  </si>
  <si>
    <t>122,5</t>
  </si>
  <si>
    <t>1. Korobeynikova Elena</t>
  </si>
  <si>
    <t>Juniors 20-23 (10.12.1996)/23</t>
  </si>
  <si>
    <t>60,30</t>
  </si>
  <si>
    <t>57,5</t>
  </si>
  <si>
    <t>1. Lukyanova Marina</t>
  </si>
  <si>
    <t>Open (09.02.1972)/48</t>
  </si>
  <si>
    <t>65,00</t>
  </si>
  <si>
    <t>1. Kotova Nataliya</t>
  </si>
  <si>
    <t>Open (17.09.1993)/27</t>
  </si>
  <si>
    <t>70,40</t>
  </si>
  <si>
    <t>-. Stepanenkova Evgeniya</t>
  </si>
  <si>
    <t>Open (01.07.1980)/40</t>
  </si>
  <si>
    <t>71,80</t>
  </si>
  <si>
    <t>1. Shuvalova Tatyana</t>
  </si>
  <si>
    <t>Masters 45-49 (05.01.1975)/45</t>
  </si>
  <si>
    <t>73,10</t>
  </si>
  <si>
    <t>1. Kurdyukova Ekaterina</t>
  </si>
  <si>
    <t>Open (07.10.1981)/39</t>
  </si>
  <si>
    <t>157,5</t>
  </si>
  <si>
    <t>Tulyakov Nikita</t>
  </si>
  <si>
    <t>1. Smetankin Aleksey</t>
  </si>
  <si>
    <t>Teen 13-15 (26.09.2008)/12</t>
  </si>
  <si>
    <t>72,70</t>
  </si>
  <si>
    <t>1. Gorodnichev Artem</t>
  </si>
  <si>
    <t>Teen 16-17 (04.01.2004)/16</t>
  </si>
  <si>
    <t>75,50</t>
  </si>
  <si>
    <t>1. Grodzitskiy Anton</t>
  </si>
  <si>
    <t>Open (02.09.1990)/30</t>
  </si>
  <si>
    <t>1. Voyno Aleksandr</t>
  </si>
  <si>
    <t>Masters 40-44 (23.11.1980)/40</t>
  </si>
  <si>
    <t>83,30</t>
  </si>
  <si>
    <t>1. Privezentsev Artem</t>
  </si>
  <si>
    <t>Open (14.11.1992)/28</t>
  </si>
  <si>
    <t>98,30</t>
  </si>
  <si>
    <t>237,5</t>
  </si>
  <si>
    <t>1. Kulibaev Arman</t>
  </si>
  <si>
    <t>Open (18.01.1983)/37</t>
  </si>
  <si>
    <t>74,20</t>
  </si>
  <si>
    <t>1. Mochalova Nadezhda</t>
  </si>
  <si>
    <t>Teen 13-15 (22.02.2007)/13</t>
  </si>
  <si>
    <t>72,5</t>
  </si>
  <si>
    <t>Body Weight Category  52</t>
  </si>
  <si>
    <t>1. Urzhakhanova Luiza</t>
  </si>
  <si>
    <t>Teen 16-17 (26.08.2003)/17</t>
  </si>
  <si>
    <t>50,40</t>
  </si>
  <si>
    <t>-. Alekseeva Oksana</t>
  </si>
  <si>
    <t>Open (07.10.1991)/29</t>
  </si>
  <si>
    <t>50,80</t>
  </si>
  <si>
    <t>2. Feklisova Yuliya</t>
  </si>
  <si>
    <t>Open (20.05.1982)/38</t>
  </si>
  <si>
    <t>53,20</t>
  </si>
  <si>
    <t>1. Kalegina Ekaterina</t>
  </si>
  <si>
    <t>Teen 16-17 (29.09.2004)/16</t>
  </si>
  <si>
    <t>1. Batalova Tatyana</t>
  </si>
  <si>
    <t>Juniors 20-23 (20.05.1997)/23</t>
  </si>
  <si>
    <t>63,70</t>
  </si>
  <si>
    <t>1. Moskvicheva Ludmila</t>
  </si>
  <si>
    <t>Open (09.01.1991)/29</t>
  </si>
  <si>
    <t>63,90</t>
  </si>
  <si>
    <t>1. Yakovleva Irina</t>
  </si>
  <si>
    <t>Masters 50-54 (08.01.1970)/50</t>
  </si>
  <si>
    <t>79,00</t>
  </si>
  <si>
    <t>1. Smetankina Vera</t>
  </si>
  <si>
    <t>Masters 40-44 (30.06.1978)/42</t>
  </si>
  <si>
    <t>1. Selyanin Dmitriy</t>
  </si>
  <si>
    <t>Teen 13-15 (10.11.2005)/15</t>
  </si>
  <si>
    <t>55,60</t>
  </si>
  <si>
    <t>93,0</t>
  </si>
  <si>
    <t>Sufiyanov A.R.</t>
  </si>
  <si>
    <t>1. Fokin Nikolay</t>
  </si>
  <si>
    <t>Juniors 20-23 (26.06.1998)/22</t>
  </si>
  <si>
    <t>59,60</t>
  </si>
  <si>
    <t>1. Rogachev Artur</t>
  </si>
  <si>
    <t>Open (22.08.1993)/27</t>
  </si>
  <si>
    <t>59,80</t>
  </si>
  <si>
    <t>2. Sleptsov Sergey</t>
  </si>
  <si>
    <t>1. Balyabin Ilya</t>
  </si>
  <si>
    <t>Teen 13-15 (08.02.2005)/15</t>
  </si>
  <si>
    <t>71,70</t>
  </si>
  <si>
    <t>1. Aslakhov Ural</t>
  </si>
  <si>
    <t>Teen 16-17 (07.01.2004)/16</t>
  </si>
  <si>
    <t>1. Bogdanov Maksim</t>
  </si>
  <si>
    <t>Open (12.12.1992)/27</t>
  </si>
  <si>
    <t>72,30</t>
  </si>
  <si>
    <t>2. Gritsan Aleksey</t>
  </si>
  <si>
    <t>Open (02.04.1992)/28</t>
  </si>
  <si>
    <t>Slyusari Maksim</t>
  </si>
  <si>
    <t>3. Nekrasov Sergey</t>
  </si>
  <si>
    <t>Open (30.12.1965)/54</t>
  </si>
  <si>
    <t>73,20</t>
  </si>
  <si>
    <t>4. Balugin Nikolay</t>
  </si>
  <si>
    <t>Open (24.07.1987)/33</t>
  </si>
  <si>
    <t>73,90</t>
  </si>
  <si>
    <t>5. Avdyunin Aleksey</t>
  </si>
  <si>
    <t>Open (23.04.1987)/33</t>
  </si>
  <si>
    <t>73,40</t>
  </si>
  <si>
    <t>6. Chernikov Oleg</t>
  </si>
  <si>
    <t>Open (11.04.1992)/28</t>
  </si>
  <si>
    <t>73,50</t>
  </si>
  <si>
    <t>7. Khokhlov Stanislav</t>
  </si>
  <si>
    <t>Open (24.02.1983)/37</t>
  </si>
  <si>
    <t>8. Sokolov Igor</t>
  </si>
  <si>
    <t>Open (01.11.1988)/32</t>
  </si>
  <si>
    <t>1. Bolshakov Sergey</t>
  </si>
  <si>
    <t>Masters 55-59 (25.05.1964)/56</t>
  </si>
  <si>
    <t>72,50</t>
  </si>
  <si>
    <t>1. Belov Mikhail</t>
  </si>
  <si>
    <t>Open (09.12.1991)/28</t>
  </si>
  <si>
    <t>82,50</t>
  </si>
  <si>
    <t>2. Platonov Maksim</t>
  </si>
  <si>
    <t>Open (07.04.1995)/25</t>
  </si>
  <si>
    <t>3. Izmaylov Renat</t>
  </si>
  <si>
    <t>Open (01.12.1993)/27</t>
  </si>
  <si>
    <t>81,60</t>
  </si>
  <si>
    <t>4. Gorda Artur</t>
  </si>
  <si>
    <t>Open (18.11.1985)/35</t>
  </si>
  <si>
    <t>1. Krikunov Yuriy</t>
  </si>
  <si>
    <t>Masters 60-64 (25.05.1957)/63</t>
  </si>
  <si>
    <t>76,20</t>
  </si>
  <si>
    <t>1. Anzharini Yazan</t>
  </si>
  <si>
    <t>Teen 16-17 (06.09.2004)/16</t>
  </si>
  <si>
    <t>89,60</t>
  </si>
  <si>
    <t>1. Lebedev Aleksandr</t>
  </si>
  <si>
    <t>Open (05.08.1986)/34</t>
  </si>
  <si>
    <t>89,70</t>
  </si>
  <si>
    <t>2. Galichevskiy Ivan</t>
  </si>
  <si>
    <t>Open (21.11.1989)/31</t>
  </si>
  <si>
    <t>3. Chub Igor</t>
  </si>
  <si>
    <t>Open (19.06.1996)/24</t>
  </si>
  <si>
    <t>88,20</t>
  </si>
  <si>
    <t>4. Melnikov Ivan</t>
  </si>
  <si>
    <t>Open (28.01.1996)/24</t>
  </si>
  <si>
    <t>89,40</t>
  </si>
  <si>
    <t>157,0</t>
  </si>
  <si>
    <t>5. Radzhabov Bakhtier</t>
  </si>
  <si>
    <t>Open (23.08.1996)/24</t>
  </si>
  <si>
    <t>89,50</t>
  </si>
  <si>
    <t>6. Sotskov Anton</t>
  </si>
  <si>
    <t>Open (01.12.1987)/33</t>
  </si>
  <si>
    <t>87,90</t>
  </si>
  <si>
    <t>-. Seferov Rafat</t>
  </si>
  <si>
    <t>Open (10.01.1995)/25</t>
  </si>
  <si>
    <t>89,10</t>
  </si>
  <si>
    <t>1. Kanakov Kirill</t>
  </si>
  <si>
    <t>Open (15.02.1996)/24</t>
  </si>
  <si>
    <t>95,30</t>
  </si>
  <si>
    <t>2. Vasilev Vladislav</t>
  </si>
  <si>
    <t>Open (30.06.1990)/30</t>
  </si>
  <si>
    <t>97,10</t>
  </si>
  <si>
    <t>3. Moiseev Yuriy</t>
  </si>
  <si>
    <t>Open (16.04.1985)/35</t>
  </si>
  <si>
    <t>98,10</t>
  </si>
  <si>
    <t>4. Migulev Alexey</t>
  </si>
  <si>
    <t>Open (20.10.1987)/33</t>
  </si>
  <si>
    <t>98,50</t>
  </si>
  <si>
    <t>5. Dyachenko Dmitriy</t>
  </si>
  <si>
    <t>Open (03.09.1989)/31</t>
  </si>
  <si>
    <t>97,70</t>
  </si>
  <si>
    <t>1. Makarkin Andrey</t>
  </si>
  <si>
    <t>Masters 40-44 (20.02.1980)/40</t>
  </si>
  <si>
    <t>99,30</t>
  </si>
  <si>
    <t>2. Skoblikov Aleksandr</t>
  </si>
  <si>
    <t>Masters 40-44 (09.05.1977)/43</t>
  </si>
  <si>
    <t>98,40</t>
  </si>
  <si>
    <t>1. Volkov Vyacheslav</t>
  </si>
  <si>
    <t>Masters 45-49 (13.11.1971)/49</t>
  </si>
  <si>
    <t>97,50</t>
  </si>
  <si>
    <t>2. Medvedev Vladimir</t>
  </si>
  <si>
    <t>Masters 45-49 (15.02.1975)/45</t>
  </si>
  <si>
    <t>95,20</t>
  </si>
  <si>
    <t>2. Namazov Ruslan</t>
  </si>
  <si>
    <t>Open (07.01.1994)/26</t>
  </si>
  <si>
    <t>108,20</t>
  </si>
  <si>
    <t>177,5</t>
  </si>
  <si>
    <t>1. Alimov Aleksey</t>
  </si>
  <si>
    <t>Masters 40-44 (05.02.1978)/42</t>
  </si>
  <si>
    <t>104,10</t>
  </si>
  <si>
    <t>1. Komissarov Ivan</t>
  </si>
  <si>
    <t>Open (11.01.1991)/29</t>
  </si>
  <si>
    <t>112,90</t>
  </si>
  <si>
    <t>1. Ilin Andrey</t>
  </si>
  <si>
    <t>Masters 40-44 (28.06.1976)/44</t>
  </si>
  <si>
    <t>118,00</t>
  </si>
  <si>
    <t>1. Bichkov Igor</t>
  </si>
  <si>
    <t>Masters 50-54 (18.06.1970)/50</t>
  </si>
  <si>
    <t>114,20</t>
  </si>
  <si>
    <t>1. Lykyanov Sergey</t>
  </si>
  <si>
    <t>Masters 65-69 (25.10.1955)/65</t>
  </si>
  <si>
    <t>124,00</t>
  </si>
  <si>
    <t>Body Weight Category  140+</t>
  </si>
  <si>
    <t>1. Bezrukov Dmitriy</t>
  </si>
  <si>
    <t>Open (02.10.1981)/39</t>
  </si>
  <si>
    <t>153,40</t>
  </si>
  <si>
    <t>1. Shaysitdikov Nazar</t>
  </si>
  <si>
    <t>Teen 13-15 (17.06.2005)/15</t>
  </si>
  <si>
    <t>1. Bardakov Matvey</t>
  </si>
  <si>
    <t>Teen 16-17 (24.10.2003)/17</t>
  </si>
  <si>
    <t>1. Sergeev Dmitriy</t>
  </si>
  <si>
    <t>Open (12.02.1987)/33</t>
  </si>
  <si>
    <t>1. Kharkov Vladislav</t>
  </si>
  <si>
    <t>Masters 45-49 (15.03.1975)/45</t>
  </si>
  <si>
    <t>80,50</t>
  </si>
  <si>
    <t>1. Sokolov Evgeniy</t>
  </si>
  <si>
    <t>Open (11.02.1988)/32</t>
  </si>
  <si>
    <t>1. Golenkov Oleg</t>
  </si>
  <si>
    <t>Open (29.08.1983)/37</t>
  </si>
  <si>
    <t>98,80</t>
  </si>
  <si>
    <t>252,5</t>
  </si>
  <si>
    <t>1. Verzilov Sergey</t>
  </si>
  <si>
    <t>Open (15.10.1986)/34</t>
  </si>
  <si>
    <t>105,60</t>
  </si>
  <si>
    <t>2. Prudnikov Sergey</t>
  </si>
  <si>
    <t>Open (31.03.1981)/39</t>
  </si>
  <si>
    <t>110,00</t>
  </si>
  <si>
    <t>3. Gamaev Aleksandr</t>
  </si>
  <si>
    <t>Open (06.02.1983)/37</t>
  </si>
  <si>
    <t>212,5</t>
  </si>
  <si>
    <t>4. Fritsler Andrey</t>
  </si>
  <si>
    <t>Open (11.04.1984)/36</t>
  </si>
  <si>
    <t>108,90</t>
  </si>
  <si>
    <t>Open (28.06.1976)/44</t>
  </si>
  <si>
    <t>1. Sviridova Svetlana</t>
  </si>
  <si>
    <t>Masters 50-54 (22.07.1969)/51</t>
  </si>
  <si>
    <t>52,60</t>
  </si>
  <si>
    <t>1. Karpina Yuliya</t>
  </si>
  <si>
    <t>Open (05.09.1986)/34</t>
  </si>
  <si>
    <t>57,50</t>
  </si>
  <si>
    <t>1. Maksimova Ekaterina</t>
  </si>
  <si>
    <t>Open (12.09.1984)/36</t>
  </si>
  <si>
    <t>67,40</t>
  </si>
  <si>
    <t>Body Weight Category  90+</t>
  </si>
  <si>
    <t>1. Kolganova Elena</t>
  </si>
  <si>
    <t>Masters 40-44 (29.01.1978)/42</t>
  </si>
  <si>
    <t>93,90</t>
  </si>
  <si>
    <t>1. Piklyaev Ivan</t>
  </si>
  <si>
    <t>Teen 13-15 (12.08.2007)/13</t>
  </si>
  <si>
    <t>49,60</t>
  </si>
  <si>
    <t>1. Zhdanov Evgeniy</t>
  </si>
  <si>
    <t>Open (11.10.1991)/29</t>
  </si>
  <si>
    <t>94,70</t>
  </si>
  <si>
    <t>1. Nefedov Sergey</t>
  </si>
  <si>
    <t>Open (14.06.1980)/40</t>
  </si>
  <si>
    <t>102,40</t>
  </si>
  <si>
    <t>Masters 40-44 (14.06.1980)/40</t>
  </si>
  <si>
    <t>1. Lysichenkova Diana</t>
  </si>
  <si>
    <t>Juniors 20-23 (03.01.2000)/20</t>
  </si>
  <si>
    <t>55,00</t>
  </si>
  <si>
    <t>2. Anisimova Kristina</t>
  </si>
  <si>
    <t>Open (19.02.1992)/28</t>
  </si>
  <si>
    <t>54,90</t>
  </si>
  <si>
    <t>3. Zvezdilina Kseniya</t>
  </si>
  <si>
    <t>Open (06.02.1991)/29</t>
  </si>
  <si>
    <t>1. Yakovleva Elena</t>
  </si>
  <si>
    <t>Open (04.12.1983)/37</t>
  </si>
  <si>
    <t>58,20</t>
  </si>
  <si>
    <t>1. Vyshinskiy Nikita</t>
  </si>
  <si>
    <t>Teen 13-15 (30.11.2007)/13</t>
  </si>
  <si>
    <t>49,40</t>
  </si>
  <si>
    <t>1. Scherbakov Dmirtiy</t>
  </si>
  <si>
    <t>Open (27.04.1984)/36</t>
  </si>
  <si>
    <t>62,10</t>
  </si>
  <si>
    <t>1. Romanov Aleksey</t>
  </si>
  <si>
    <t>Open (05.02.1986)/34</t>
  </si>
  <si>
    <t>74,30</t>
  </si>
  <si>
    <t>260,5</t>
  </si>
  <si>
    <t>2. Khokhlov Stanislav</t>
  </si>
  <si>
    <t>-. Gladkov Anatoliy</t>
  </si>
  <si>
    <t>1. Elkhin Egor</t>
  </si>
  <si>
    <t>Teen 16-17 (15.03.2003)/17</t>
  </si>
  <si>
    <t>81,20</t>
  </si>
  <si>
    <t>1. Sokolov Artem</t>
  </si>
  <si>
    <t>Juniors 20-23 (12.05.2000)/20</t>
  </si>
  <si>
    <t>80,70</t>
  </si>
  <si>
    <t>1. Davtyan David</t>
  </si>
  <si>
    <t>Open (12.09.1986)/34</t>
  </si>
  <si>
    <t>80,30</t>
  </si>
  <si>
    <t>1. Skokin Victor</t>
  </si>
  <si>
    <t>Masters 60-64 (20.06.1957)/63</t>
  </si>
  <si>
    <t>1. Lisenko Vyacheslav</t>
  </si>
  <si>
    <t>Open (16.10.1990)/30</t>
  </si>
  <si>
    <t>2. Khlopkov Aleksandr</t>
  </si>
  <si>
    <t>Open (08.06.1992)/28</t>
  </si>
  <si>
    <t>88,30</t>
  </si>
  <si>
    <t>1. Gorbunov Sergey</t>
  </si>
  <si>
    <t>Open (13.11.1991)/29</t>
  </si>
  <si>
    <t>96,90</t>
  </si>
  <si>
    <t>1. Snezhikin Vladimir</t>
  </si>
  <si>
    <t>Masters 40-44 (23.05.1979)/41</t>
  </si>
  <si>
    <t>Lisitskiy Vladimir</t>
  </si>
  <si>
    <t>1. Gusev Sergey</t>
  </si>
  <si>
    <t>Masters 40-44 (19.09.1976)/44</t>
  </si>
  <si>
    <t>72,10</t>
  </si>
  <si>
    <t>Biceps curl</t>
  </si>
  <si>
    <t>25,0</t>
  </si>
  <si>
    <t>30,0</t>
  </si>
  <si>
    <t>-. Ilchenko Vasiliy</t>
  </si>
  <si>
    <t>Masters 55-59 (13.05.1963)/57</t>
  </si>
  <si>
    <t>1. Karpov Ivan</t>
  </si>
  <si>
    <t>Open (09.12.1987)/32</t>
  </si>
  <si>
    <t>-. Shigapov Maksim</t>
  </si>
  <si>
    <t>Open (11.10.1988)/32</t>
  </si>
  <si>
    <t>68,60</t>
  </si>
  <si>
    <t>1. Ilchenko Maksim</t>
  </si>
  <si>
    <t>Open (13.12.1989)/30</t>
  </si>
  <si>
    <t>80,10</t>
  </si>
  <si>
    <t>1. Petrichenko Maksim</t>
  </si>
  <si>
    <t>Open (31.05.1987)/33</t>
  </si>
  <si>
    <t>84,70</t>
  </si>
  <si>
    <t>67,5</t>
  </si>
  <si>
    <t>2. Mushinskiy Sergey</t>
  </si>
  <si>
    <t>Open (14.03.1991)/29</t>
  </si>
  <si>
    <t>85,20</t>
  </si>
  <si>
    <t>3. Bodrenkov Victor</t>
  </si>
  <si>
    <t>Open (10.06.1990)/30</t>
  </si>
  <si>
    <t>86,20</t>
  </si>
  <si>
    <t>Masters 45-49 (20.12.1972)/47</t>
  </si>
  <si>
    <t>86,30</t>
  </si>
  <si>
    <t>1. Vasilev Vladislav</t>
  </si>
  <si>
    <t>1. Konev Artem</t>
  </si>
  <si>
    <t>Open (04.03.1994)/26</t>
  </si>
  <si>
    <t>103,50</t>
  </si>
  <si>
    <t>1. Frank Vyacheslav</t>
  </si>
  <si>
    <t>Masters 55-59 (03.03.1962)/58</t>
  </si>
  <si>
    <t>104,40</t>
  </si>
  <si>
    <t>1. Chernov Eduard</t>
  </si>
  <si>
    <t>Open (19.06.1982)/38</t>
  </si>
  <si>
    <t>112,00</t>
  </si>
  <si>
    <t>1. Sergeeva Victoriya</t>
  </si>
  <si>
    <t>Open (08.12.1982)/37</t>
  </si>
  <si>
    <t>66,40</t>
  </si>
  <si>
    <t>20,0</t>
  </si>
  <si>
    <t>22,5</t>
  </si>
  <si>
    <t>1. Berlizov Maksim</t>
  </si>
  <si>
    <t>Open (26.03.1991)/29</t>
  </si>
  <si>
    <t>101,90</t>
  </si>
  <si>
    <t>Москва</t>
  </si>
  <si>
    <t>Одинцово</t>
  </si>
  <si>
    <t>Якутск</t>
  </si>
  <si>
    <t>Руза</t>
  </si>
  <si>
    <t>Среднеколымск</t>
  </si>
  <si>
    <t>Дзержинск</t>
  </si>
  <si>
    <t>Пущино</t>
  </si>
  <si>
    <t>Пермь</t>
  </si>
  <si>
    <t>Видное</t>
  </si>
  <si>
    <t>Новороссийск</t>
  </si>
  <si>
    <t>Санкт-Петербург</t>
  </si>
  <si>
    <t>Ставрополь</t>
  </si>
  <si>
    <t>Тюмень</t>
  </si>
  <si>
    <t>EGY</t>
  </si>
  <si>
    <t xml:space="preserve">Шатура </t>
  </si>
  <si>
    <t>Чехов</t>
  </si>
  <si>
    <t>Нефтекамск</t>
  </si>
  <si>
    <t>Солнечногорск</t>
  </si>
  <si>
    <t>Краснознаменск</t>
  </si>
  <si>
    <t>Зеленоград</t>
  </si>
  <si>
    <t>Смоленск</t>
  </si>
  <si>
    <t>Красногорск</t>
  </si>
  <si>
    <t>Владивосток</t>
  </si>
  <si>
    <t>Щелково</t>
  </si>
  <si>
    <t>Магадан</t>
  </si>
  <si>
    <t>Нахабино</t>
  </si>
  <si>
    <t>Подольск</t>
  </si>
  <si>
    <t>Московский</t>
  </si>
  <si>
    <t>Люберцы</t>
  </si>
  <si>
    <t>Балахна</t>
  </si>
  <si>
    <t>Химки</t>
  </si>
  <si>
    <t>Калининград</t>
  </si>
  <si>
    <t>Домодедово</t>
  </si>
  <si>
    <t>Серпухов</t>
  </si>
  <si>
    <t>Тула</t>
  </si>
  <si>
    <t>Новый Уренгой</t>
  </si>
  <si>
    <t>Донской</t>
  </si>
  <si>
    <t>Надым</t>
  </si>
  <si>
    <t>Мирный</t>
  </si>
  <si>
    <t>Новокузнецк</t>
  </si>
  <si>
    <t>Ванино</t>
  </si>
  <si>
    <t>Рязань</t>
  </si>
  <si>
    <t>Раменское</t>
  </si>
  <si>
    <t>Павлово</t>
  </si>
  <si>
    <t>Реутов</t>
  </si>
  <si>
    <t>Волжский</t>
  </si>
  <si>
    <t>Дмитров</t>
  </si>
  <si>
    <t>Воскресенск</t>
  </si>
  <si>
    <t>Липецк</t>
  </si>
  <si>
    <t>Дрезна</t>
  </si>
  <si>
    <t>Балашиха</t>
  </si>
  <si>
    <t>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</si>
</sst>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0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i/>
      <sz val="12"/>
      <name val="Arial Cyr"/>
      <charset val="204"/>
    </font>
    <font>
      <strike/>
      <sz val="10"/>
      <name val="Arial Cyr"/>
      <charset val="204"/>
    </font>
    <font>
      <sz val="11"/>
      <name val="Arial Cyr"/>
    </font>
    <font>
      <sz val="10"/>
      <name val="Arial Cy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2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left"/>
    </xf>
    <xf numFmtId="49" fontId="0" fillId="0" borderId="0" xfId="0" applyNumberFormat="1" applyFont="1" applyFill="1" applyBorder="1" applyAlignment="1">
      <alignment horizontal="center"/>
    </xf>
    <xf numFmtId="49" fontId="2" fillId="0" borderId="2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left"/>
    </xf>
    <xf numFmtId="49" fontId="1" fillId="0" borderId="0" xfId="0" applyNumberFormat="1" applyFont="1" applyFill="1" applyBorder="1" applyAlignment="1">
      <alignment horizontal="center"/>
    </xf>
    <xf numFmtId="49" fontId="0" fillId="0" borderId="8" xfId="0" applyNumberFormat="1" applyFont="1" applyFill="1" applyBorder="1" applyAlignment="1">
      <alignment horizontal="left"/>
    </xf>
    <xf numFmtId="49" fontId="0" fillId="0" borderId="8" xfId="0" applyNumberFormat="1" applyFont="1" applyFill="1" applyBorder="1" applyAlignment="1">
      <alignment horizontal="center"/>
    </xf>
    <xf numFmtId="49" fontId="4" fillId="0" borderId="8" xfId="0" applyNumberFormat="1" applyFont="1" applyFill="1" applyBorder="1" applyAlignment="1">
      <alignment horizontal="center"/>
    </xf>
    <xf numFmtId="49" fontId="1" fillId="0" borderId="8" xfId="0" applyNumberFormat="1" applyFont="1" applyFill="1" applyBorder="1" applyAlignment="1">
      <alignment horizontal="left"/>
    </xf>
    <xf numFmtId="49" fontId="1" fillId="0" borderId="8" xfId="0" applyNumberFormat="1" applyFont="1" applyFill="1" applyBorder="1" applyAlignment="1">
      <alignment horizontal="center"/>
    </xf>
    <xf numFmtId="49" fontId="0" fillId="0" borderId="9" xfId="0" applyNumberFormat="1" applyFont="1" applyFill="1" applyBorder="1" applyAlignment="1">
      <alignment horizontal="center"/>
    </xf>
    <xf numFmtId="49" fontId="0" fillId="0" borderId="10" xfId="0" applyNumberFormat="1" applyFont="1" applyFill="1" applyBorder="1" applyAlignment="1">
      <alignment horizontal="center"/>
    </xf>
    <xf numFmtId="49" fontId="0" fillId="0" borderId="5" xfId="0" applyNumberFormat="1" applyFont="1" applyFill="1" applyBorder="1" applyAlignment="1">
      <alignment horizontal="center"/>
    </xf>
    <xf numFmtId="49" fontId="0" fillId="0" borderId="9" xfId="0" applyNumberFormat="1" applyFont="1" applyFill="1" applyBorder="1" applyAlignment="1">
      <alignment horizontal="left"/>
    </xf>
    <xf numFmtId="49" fontId="4" fillId="0" borderId="9" xfId="0" applyNumberFormat="1" applyFont="1" applyFill="1" applyBorder="1" applyAlignment="1">
      <alignment horizontal="center"/>
    </xf>
    <xf numFmtId="49" fontId="1" fillId="0" borderId="9" xfId="0" applyNumberFormat="1" applyFont="1" applyFill="1" applyBorder="1" applyAlignment="1">
      <alignment horizontal="left"/>
    </xf>
    <xf numFmtId="49" fontId="1" fillId="0" borderId="9" xfId="0" applyNumberFormat="1" applyFont="1" applyFill="1" applyBorder="1" applyAlignment="1">
      <alignment horizontal="center"/>
    </xf>
    <xf numFmtId="49" fontId="0" fillId="0" borderId="10" xfId="0" applyNumberFormat="1" applyFont="1" applyFill="1" applyBorder="1" applyAlignment="1">
      <alignment horizontal="left"/>
    </xf>
    <xf numFmtId="49" fontId="4" fillId="0" borderId="10" xfId="0" applyNumberFormat="1" applyFont="1" applyFill="1" applyBorder="1" applyAlignment="1">
      <alignment horizontal="center"/>
    </xf>
    <xf numFmtId="49" fontId="1" fillId="0" borderId="10" xfId="0" applyNumberFormat="1" applyFont="1" applyFill="1" applyBorder="1" applyAlignment="1">
      <alignment horizontal="left"/>
    </xf>
    <xf numFmtId="49" fontId="1" fillId="0" borderId="10" xfId="0" applyNumberFormat="1" applyFont="1" applyFill="1" applyBorder="1" applyAlignment="1">
      <alignment horizontal="center"/>
    </xf>
    <xf numFmtId="49" fontId="0" fillId="0" borderId="5" xfId="0" applyNumberFormat="1" applyFont="1" applyFill="1" applyBorder="1" applyAlignment="1">
      <alignment horizontal="left"/>
    </xf>
    <xf numFmtId="49" fontId="4" fillId="0" borderId="5" xfId="0" applyNumberFormat="1" applyFont="1" applyFill="1" applyBorder="1" applyAlignment="1">
      <alignment horizontal="center"/>
    </xf>
    <xf numFmtId="49" fontId="1" fillId="0" borderId="5" xfId="0" applyNumberFormat="1" applyFont="1" applyFill="1" applyBorder="1" applyAlignment="1">
      <alignment horizontal="left"/>
    </xf>
    <xf numFmtId="49" fontId="1" fillId="0" borderId="5" xfId="0" applyNumberFormat="1" applyFont="1" applyFill="1" applyBorder="1" applyAlignment="1">
      <alignment horizontal="center"/>
    </xf>
    <xf numFmtId="49" fontId="3" fillId="0" borderId="0" xfId="0" applyNumberFormat="1" applyFont="1" applyFill="1" applyBorder="1" applyAlignment="1">
      <alignment horizontal="center"/>
    </xf>
    <xf numFmtId="49" fontId="3" fillId="0" borderId="0" xfId="0" applyNumberFormat="1" applyFont="1" applyAlignment="1">
      <alignment horizontal="center"/>
    </xf>
    <xf numFmtId="49" fontId="2" fillId="0" borderId="5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3" fillId="0" borderId="7" xfId="0" applyNumberFormat="1" applyFont="1" applyFill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49" fontId="2" fillId="0" borderId="4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2" fillId="0" borderId="5" xfId="0" applyNumberFormat="1" applyFont="1" applyFill="1" applyBorder="1" applyAlignment="1">
      <alignment horizontal="center" vertical="center" wrapText="1"/>
    </xf>
    <xf numFmtId="49" fontId="2" fillId="0" borderId="5" xfId="0" applyNumberFormat="1" applyFont="1" applyFill="1" applyBorder="1" applyAlignment="1">
      <alignment horizontal="left" vertical="center" wrapText="1"/>
    </xf>
    <xf numFmtId="49" fontId="2" fillId="0" borderId="2" xfId="0" applyNumberFormat="1" applyFont="1" applyFill="1" applyBorder="1" applyAlignment="1">
      <alignment horizontal="left" vertical="center"/>
    </xf>
    <xf numFmtId="49" fontId="5" fillId="0" borderId="5" xfId="0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/>
    </xf>
    <xf numFmtId="49" fontId="6" fillId="0" borderId="8" xfId="0" applyNumberFormat="1" applyFont="1" applyFill="1" applyBorder="1" applyAlignment="1">
      <alignment horizontal="center"/>
    </xf>
    <xf numFmtId="49" fontId="6" fillId="0" borderId="9" xfId="0" applyNumberFormat="1" applyFont="1" applyFill="1" applyBorder="1" applyAlignment="1">
      <alignment horizontal="center"/>
    </xf>
    <xf numFmtId="49" fontId="6" fillId="0" borderId="10" xfId="0" applyNumberFormat="1" applyFont="1" applyFill="1" applyBorder="1" applyAlignment="1">
      <alignment horizontal="center"/>
    </xf>
    <xf numFmtId="49" fontId="6" fillId="0" borderId="5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S50"/>
  <sheetViews>
    <sheetView workbookViewId="0">
      <selection activeCell="S16" sqref="S16"/>
    </sheetView>
  </sheetViews>
  <sheetFormatPr defaultColWidth="9.140625" defaultRowHeight="12.75"/>
  <cols>
    <col min="1" max="1" width="24.85546875" style="3" bestFit="1" customWidth="1"/>
    <col min="2" max="2" width="26.5703125" style="3" bestFit="1" customWidth="1"/>
    <col min="3" max="3" width="7.5703125" style="4" bestFit="1" customWidth="1"/>
    <col min="4" max="4" width="17.7109375" style="3" bestFit="1" customWidth="1"/>
    <col min="5" max="7" width="5.5703125" style="4" customWidth="1"/>
    <col min="8" max="8" width="4.7109375" style="4" customWidth="1"/>
    <col min="9" max="11" width="5.5703125" style="4" customWidth="1"/>
    <col min="12" max="12" width="4.7109375" style="4" customWidth="1"/>
    <col min="13" max="15" width="5.5703125" style="4" customWidth="1"/>
    <col min="16" max="16" width="4.7109375" style="4" customWidth="1"/>
    <col min="17" max="17" width="5.7109375" style="6" bestFit="1" customWidth="1"/>
    <col min="18" max="18" width="8.5703125" style="43" bestFit="1" customWidth="1"/>
    <col min="19" max="19" width="17.28515625" style="3" bestFit="1" customWidth="1"/>
    <col min="20" max="16384" width="9.140625" style="2"/>
  </cols>
  <sheetData>
    <row r="1" spans="1:19" s="1" customFormat="1" ht="12.75" customHeight="1">
      <c r="A1" s="36" t="s">
        <v>0</v>
      </c>
      <c r="B1" s="39" t="s">
        <v>6</v>
      </c>
      <c r="C1" s="38" t="s">
        <v>4</v>
      </c>
      <c r="D1" s="30" t="s">
        <v>7</v>
      </c>
      <c r="E1" s="30" t="s">
        <v>8</v>
      </c>
      <c r="F1" s="30"/>
      <c r="G1" s="30"/>
      <c r="H1" s="30"/>
      <c r="I1" s="30" t="s">
        <v>9</v>
      </c>
      <c r="J1" s="30"/>
      <c r="K1" s="30"/>
      <c r="L1" s="30"/>
      <c r="M1" s="30" t="s">
        <v>10</v>
      </c>
      <c r="N1" s="30"/>
      <c r="O1" s="30"/>
      <c r="P1" s="30"/>
      <c r="Q1" s="30" t="s">
        <v>5</v>
      </c>
      <c r="R1" s="41" t="s">
        <v>2</v>
      </c>
      <c r="S1" s="32" t="s">
        <v>1</v>
      </c>
    </row>
    <row r="2" spans="1:19" s="1" customFormat="1" ht="23.25" customHeight="1" thickBot="1">
      <c r="A2" s="37"/>
      <c r="B2" s="40"/>
      <c r="C2" s="31"/>
      <c r="D2" s="31"/>
      <c r="E2" s="5">
        <v>1</v>
      </c>
      <c r="F2" s="5">
        <v>2</v>
      </c>
      <c r="G2" s="5">
        <v>3</v>
      </c>
      <c r="H2" s="5" t="s">
        <v>3</v>
      </c>
      <c r="I2" s="5">
        <v>1</v>
      </c>
      <c r="J2" s="5">
        <v>2</v>
      </c>
      <c r="K2" s="5">
        <v>3</v>
      </c>
      <c r="L2" s="5" t="s">
        <v>3</v>
      </c>
      <c r="M2" s="5">
        <v>1</v>
      </c>
      <c r="N2" s="5">
        <v>2</v>
      </c>
      <c r="O2" s="5">
        <v>3</v>
      </c>
      <c r="P2" s="5" t="s">
        <v>3</v>
      </c>
      <c r="Q2" s="31"/>
      <c r="R2" s="42"/>
      <c r="S2" s="33"/>
    </row>
    <row r="3" spans="1:19" s="4" customFormat="1" ht="15">
      <c r="A3" s="34" t="s">
        <v>176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6"/>
      <c r="R3" s="43"/>
      <c r="S3" s="3"/>
    </row>
    <row r="4" spans="1:19" s="4" customFormat="1">
      <c r="A4" s="8" t="s">
        <v>177</v>
      </c>
      <c r="B4" s="8" t="s">
        <v>178</v>
      </c>
      <c r="C4" s="9" t="s">
        <v>179</v>
      </c>
      <c r="D4" s="8" t="s">
        <v>607</v>
      </c>
      <c r="E4" s="10" t="s">
        <v>42</v>
      </c>
      <c r="F4" s="9" t="s">
        <v>121</v>
      </c>
      <c r="G4" s="10" t="s">
        <v>122</v>
      </c>
      <c r="H4" s="10"/>
      <c r="I4" s="9" t="s">
        <v>180</v>
      </c>
      <c r="J4" s="9" t="s">
        <v>110</v>
      </c>
      <c r="K4" s="10" t="s">
        <v>111</v>
      </c>
      <c r="L4" s="10"/>
      <c r="M4" s="9" t="s">
        <v>181</v>
      </c>
      <c r="N4" s="9" t="s">
        <v>18</v>
      </c>
      <c r="O4" s="10" t="s">
        <v>78</v>
      </c>
      <c r="P4" s="10"/>
      <c r="Q4" s="11" t="str">
        <f>"220,0"</f>
        <v>220,0</v>
      </c>
      <c r="R4" s="44" t="str">
        <f>"262,7240"</f>
        <v>262,7240</v>
      </c>
      <c r="S4" s="8"/>
    </row>
    <row r="5" spans="1:19" s="4" customFormat="1">
      <c r="A5" s="3"/>
      <c r="B5" s="3"/>
      <c r="D5" s="3"/>
      <c r="Q5" s="6"/>
      <c r="R5" s="43"/>
      <c r="S5" s="3"/>
    </row>
    <row r="6" spans="1:19" ht="15">
      <c r="A6" s="28" t="s">
        <v>182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</row>
    <row r="7" spans="1:19">
      <c r="A7" s="8" t="s">
        <v>183</v>
      </c>
      <c r="B7" s="8" t="s">
        <v>184</v>
      </c>
      <c r="C7" s="9" t="s">
        <v>185</v>
      </c>
      <c r="D7" s="8" t="s">
        <v>607</v>
      </c>
      <c r="E7" s="9" t="s">
        <v>181</v>
      </c>
      <c r="F7" s="10" t="s">
        <v>78</v>
      </c>
      <c r="G7" s="10" t="s">
        <v>19</v>
      </c>
      <c r="H7" s="10"/>
      <c r="I7" s="9" t="s">
        <v>110</v>
      </c>
      <c r="J7" s="9" t="s">
        <v>111</v>
      </c>
      <c r="K7" s="9" t="s">
        <v>112</v>
      </c>
      <c r="L7" s="10"/>
      <c r="M7" s="9" t="s">
        <v>79</v>
      </c>
      <c r="N7" s="9" t="s">
        <v>29</v>
      </c>
      <c r="O7" s="9" t="s">
        <v>186</v>
      </c>
      <c r="P7" s="10"/>
      <c r="Q7" s="11" t="str">
        <f>"255,0"</f>
        <v>255,0</v>
      </c>
      <c r="R7" s="44" t="str">
        <f>"271,6515"</f>
        <v>271,6515</v>
      </c>
      <c r="S7" s="8" t="s">
        <v>187</v>
      </c>
    </row>
    <row r="9" spans="1:19" ht="15">
      <c r="A9" s="28" t="s">
        <v>113</v>
      </c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</row>
    <row r="10" spans="1:19">
      <c r="A10" s="16" t="s">
        <v>188</v>
      </c>
      <c r="B10" s="16" t="s">
        <v>189</v>
      </c>
      <c r="C10" s="13" t="s">
        <v>190</v>
      </c>
      <c r="D10" s="16" t="s">
        <v>607</v>
      </c>
      <c r="E10" s="13" t="s">
        <v>78</v>
      </c>
      <c r="F10" s="13" t="s">
        <v>191</v>
      </c>
      <c r="G10" s="13" t="s">
        <v>79</v>
      </c>
      <c r="H10" s="17"/>
      <c r="I10" s="13" t="s">
        <v>112</v>
      </c>
      <c r="J10" s="13" t="s">
        <v>192</v>
      </c>
      <c r="K10" s="17" t="s">
        <v>76</v>
      </c>
      <c r="L10" s="17"/>
      <c r="M10" s="13" t="s">
        <v>75</v>
      </c>
      <c r="N10" s="13" t="s">
        <v>193</v>
      </c>
      <c r="O10" s="13" t="s">
        <v>147</v>
      </c>
      <c r="P10" s="17"/>
      <c r="Q10" s="18" t="str">
        <f>"287,5"</f>
        <v>287,5</v>
      </c>
      <c r="R10" s="45" t="str">
        <f>"265,1325"</f>
        <v>265,1325</v>
      </c>
      <c r="S10" s="16"/>
    </row>
    <row r="11" spans="1:19">
      <c r="A11" s="20" t="s">
        <v>194</v>
      </c>
      <c r="B11" s="20" t="s">
        <v>195</v>
      </c>
      <c r="C11" s="14" t="s">
        <v>196</v>
      </c>
      <c r="D11" s="20" t="s">
        <v>607</v>
      </c>
      <c r="E11" s="14" t="s">
        <v>75</v>
      </c>
      <c r="F11" s="14" t="s">
        <v>186</v>
      </c>
      <c r="G11" s="21" t="s">
        <v>147</v>
      </c>
      <c r="H11" s="21"/>
      <c r="I11" s="14" t="s">
        <v>110</v>
      </c>
      <c r="J11" s="14" t="s">
        <v>197</v>
      </c>
      <c r="K11" s="21" t="s">
        <v>192</v>
      </c>
      <c r="L11" s="21"/>
      <c r="M11" s="14" t="s">
        <v>75</v>
      </c>
      <c r="N11" s="14" t="s">
        <v>30</v>
      </c>
      <c r="O11" s="21" t="s">
        <v>198</v>
      </c>
      <c r="P11" s="21"/>
      <c r="Q11" s="22" t="str">
        <f>"285,0"</f>
        <v>285,0</v>
      </c>
      <c r="R11" s="46" t="str">
        <f>"260,0197"</f>
        <v>260,0197</v>
      </c>
      <c r="S11" s="20"/>
    </row>
    <row r="12" spans="1:19">
      <c r="A12" s="24" t="s">
        <v>199</v>
      </c>
      <c r="B12" s="24" t="s">
        <v>200</v>
      </c>
      <c r="C12" s="15" t="s">
        <v>201</v>
      </c>
      <c r="D12" s="24" t="s">
        <v>607</v>
      </c>
      <c r="E12" s="15" t="s">
        <v>42</v>
      </c>
      <c r="F12" s="15" t="s">
        <v>43</v>
      </c>
      <c r="G12" s="25" t="s">
        <v>18</v>
      </c>
      <c r="H12" s="25"/>
      <c r="I12" s="15" t="s">
        <v>180</v>
      </c>
      <c r="J12" s="15" t="s">
        <v>110</v>
      </c>
      <c r="K12" s="25" t="s">
        <v>111</v>
      </c>
      <c r="L12" s="25"/>
      <c r="M12" s="15" t="s">
        <v>122</v>
      </c>
      <c r="N12" s="15" t="s">
        <v>181</v>
      </c>
      <c r="O12" s="15" t="s">
        <v>75</v>
      </c>
      <c r="P12" s="25"/>
      <c r="Q12" s="26" t="str">
        <f>"235,0"</f>
        <v>235,0</v>
      </c>
      <c r="R12" s="47" t="str">
        <f>"213,8970"</f>
        <v>213,8970</v>
      </c>
      <c r="S12" s="24"/>
    </row>
    <row r="14" spans="1:19" ht="15">
      <c r="A14" s="28" t="s">
        <v>71</v>
      </c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</row>
    <row r="15" spans="1:19">
      <c r="A15" s="8" t="s">
        <v>202</v>
      </c>
      <c r="B15" s="8" t="s">
        <v>203</v>
      </c>
      <c r="C15" s="9" t="s">
        <v>204</v>
      </c>
      <c r="D15" s="8" t="s">
        <v>607</v>
      </c>
      <c r="E15" s="10" t="s">
        <v>75</v>
      </c>
      <c r="F15" s="9" t="s">
        <v>79</v>
      </c>
      <c r="G15" s="9" t="s">
        <v>186</v>
      </c>
      <c r="H15" s="10"/>
      <c r="I15" s="9" t="s">
        <v>110</v>
      </c>
      <c r="J15" s="9" t="s">
        <v>112</v>
      </c>
      <c r="K15" s="10" t="s">
        <v>197</v>
      </c>
      <c r="L15" s="10"/>
      <c r="M15" s="10" t="s">
        <v>193</v>
      </c>
      <c r="N15" s="10" t="s">
        <v>31</v>
      </c>
      <c r="O15" s="9" t="s">
        <v>31</v>
      </c>
      <c r="P15" s="10"/>
      <c r="Q15" s="11" t="str">
        <f>"282,5"</f>
        <v>282,5</v>
      </c>
      <c r="R15" s="44" t="str">
        <f>"233,9383"</f>
        <v>233,9383</v>
      </c>
      <c r="S15" s="8"/>
    </row>
    <row r="17" spans="1:19" ht="15">
      <c r="A17" s="28" t="s">
        <v>11</v>
      </c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</row>
    <row r="18" spans="1:19">
      <c r="A18" s="8" t="s">
        <v>205</v>
      </c>
      <c r="B18" s="8" t="s">
        <v>206</v>
      </c>
      <c r="C18" s="9" t="s">
        <v>207</v>
      </c>
      <c r="D18" s="8" t="s">
        <v>611</v>
      </c>
      <c r="E18" s="9" t="s">
        <v>39</v>
      </c>
      <c r="F18" s="9" t="s">
        <v>27</v>
      </c>
      <c r="G18" s="9" t="s">
        <v>208</v>
      </c>
      <c r="H18" s="10"/>
      <c r="I18" s="9" t="s">
        <v>78</v>
      </c>
      <c r="J18" s="9" t="s">
        <v>191</v>
      </c>
      <c r="K18" s="10" t="s">
        <v>29</v>
      </c>
      <c r="L18" s="10"/>
      <c r="M18" s="9" t="s">
        <v>45</v>
      </c>
      <c r="N18" s="9" t="s">
        <v>69</v>
      </c>
      <c r="O18" s="10" t="s">
        <v>34</v>
      </c>
      <c r="P18" s="10"/>
      <c r="Q18" s="11" t="str">
        <f>"455,0"</f>
        <v>455,0</v>
      </c>
      <c r="R18" s="44" t="str">
        <f>"386,5225"</f>
        <v>386,5225</v>
      </c>
      <c r="S18" s="8"/>
    </row>
    <row r="20" spans="1:19" ht="15">
      <c r="A20" s="28" t="s">
        <v>113</v>
      </c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</row>
    <row r="21" spans="1:19">
      <c r="A21" s="8" t="s">
        <v>209</v>
      </c>
      <c r="B21" s="8" t="s">
        <v>210</v>
      </c>
      <c r="C21" s="9" t="s">
        <v>211</v>
      </c>
      <c r="D21" s="8" t="s">
        <v>608</v>
      </c>
      <c r="E21" s="9" t="s">
        <v>40</v>
      </c>
      <c r="F21" s="10" t="s">
        <v>20</v>
      </c>
      <c r="G21" s="10" t="s">
        <v>20</v>
      </c>
      <c r="H21" s="10"/>
      <c r="I21" s="9" t="s">
        <v>75</v>
      </c>
      <c r="J21" s="10" t="s">
        <v>186</v>
      </c>
      <c r="K21" s="10" t="s">
        <v>186</v>
      </c>
      <c r="L21" s="10"/>
      <c r="M21" s="10" t="s">
        <v>44</v>
      </c>
      <c r="N21" s="9" t="s">
        <v>105</v>
      </c>
      <c r="O21" s="9" t="s">
        <v>57</v>
      </c>
      <c r="P21" s="10"/>
      <c r="Q21" s="11" t="str">
        <f>"420,0"</f>
        <v>420,0</v>
      </c>
      <c r="R21" s="44" t="str">
        <f>"317,5620"</f>
        <v>317,5620</v>
      </c>
      <c r="S21" s="8"/>
    </row>
    <row r="23" spans="1:19" ht="15">
      <c r="A23" s="28" t="s">
        <v>23</v>
      </c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</row>
    <row r="24" spans="1:19">
      <c r="A24" s="16" t="s">
        <v>212</v>
      </c>
      <c r="B24" s="16" t="s">
        <v>213</v>
      </c>
      <c r="C24" s="13" t="s">
        <v>214</v>
      </c>
      <c r="D24" s="16" t="s">
        <v>607</v>
      </c>
      <c r="E24" s="17" t="s">
        <v>75</v>
      </c>
      <c r="F24" s="13" t="s">
        <v>30</v>
      </c>
      <c r="G24" s="17" t="s">
        <v>148</v>
      </c>
      <c r="H24" s="17"/>
      <c r="I24" s="13" t="s">
        <v>76</v>
      </c>
      <c r="J24" s="13" t="s">
        <v>77</v>
      </c>
      <c r="K24" s="13" t="s">
        <v>42</v>
      </c>
      <c r="L24" s="17"/>
      <c r="M24" s="17" t="s">
        <v>147</v>
      </c>
      <c r="N24" s="13" t="s">
        <v>39</v>
      </c>
      <c r="O24" s="13" t="s">
        <v>27</v>
      </c>
      <c r="P24" s="17"/>
      <c r="Q24" s="18" t="str">
        <f>"335,0"</f>
        <v>335,0</v>
      </c>
      <c r="R24" s="45" t="str">
        <f>"245,8733"</f>
        <v>245,8733</v>
      </c>
      <c r="S24" s="16"/>
    </row>
    <row r="25" spans="1:19">
      <c r="A25" s="24" t="s">
        <v>215</v>
      </c>
      <c r="B25" s="24" t="s">
        <v>216</v>
      </c>
      <c r="C25" s="15" t="s">
        <v>217</v>
      </c>
      <c r="D25" s="24" t="s">
        <v>609</v>
      </c>
      <c r="E25" s="25" t="s">
        <v>40</v>
      </c>
      <c r="F25" s="15" t="s">
        <v>27</v>
      </c>
      <c r="G25" s="25" t="s">
        <v>41</v>
      </c>
      <c r="H25" s="25"/>
      <c r="I25" s="15" t="s">
        <v>78</v>
      </c>
      <c r="J25" s="25" t="s">
        <v>75</v>
      </c>
      <c r="K25" s="25" t="s">
        <v>75</v>
      </c>
      <c r="L25" s="25"/>
      <c r="M25" s="15" t="s">
        <v>59</v>
      </c>
      <c r="N25" s="15" t="s">
        <v>52</v>
      </c>
      <c r="O25" s="25" t="s">
        <v>218</v>
      </c>
      <c r="P25" s="25"/>
      <c r="Q25" s="26" t="str">
        <f>"460,0"</f>
        <v>460,0</v>
      </c>
      <c r="R25" s="47" t="str">
        <f>"316,7330"</f>
        <v>316,7330</v>
      </c>
      <c r="S25" s="24"/>
    </row>
    <row r="27" spans="1:19" ht="15">
      <c r="A27" s="28" t="s">
        <v>71</v>
      </c>
      <c r="B27" s="29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</row>
    <row r="28" spans="1:19">
      <c r="A28" s="16" t="s">
        <v>219</v>
      </c>
      <c r="B28" s="16" t="s">
        <v>220</v>
      </c>
      <c r="C28" s="13" t="s">
        <v>221</v>
      </c>
      <c r="D28" s="16" t="s">
        <v>607</v>
      </c>
      <c r="E28" s="13" t="s">
        <v>44</v>
      </c>
      <c r="F28" s="13" t="s">
        <v>22</v>
      </c>
      <c r="G28" s="17" t="s">
        <v>222</v>
      </c>
      <c r="H28" s="17"/>
      <c r="I28" s="13" t="s">
        <v>78</v>
      </c>
      <c r="J28" s="13" t="s">
        <v>79</v>
      </c>
      <c r="K28" s="13" t="s">
        <v>193</v>
      </c>
      <c r="L28" s="17"/>
      <c r="M28" s="13" t="s">
        <v>57</v>
      </c>
      <c r="N28" s="13" t="s">
        <v>166</v>
      </c>
      <c r="O28" s="17" t="s">
        <v>223</v>
      </c>
      <c r="P28" s="17"/>
      <c r="Q28" s="18" t="str">
        <f>"492,5"</f>
        <v>492,5</v>
      </c>
      <c r="R28" s="45" t="str">
        <f>"318,2289"</f>
        <v>318,2289</v>
      </c>
      <c r="S28" s="16"/>
    </row>
    <row r="29" spans="1:19">
      <c r="A29" s="20" t="s">
        <v>224</v>
      </c>
      <c r="B29" s="20" t="s">
        <v>225</v>
      </c>
      <c r="C29" s="14" t="s">
        <v>226</v>
      </c>
      <c r="D29" s="20" t="s">
        <v>607</v>
      </c>
      <c r="E29" s="14" t="s">
        <v>41</v>
      </c>
      <c r="F29" s="21" t="s">
        <v>44</v>
      </c>
      <c r="G29" s="21" t="s">
        <v>44</v>
      </c>
      <c r="H29" s="21"/>
      <c r="I29" s="14" t="s">
        <v>186</v>
      </c>
      <c r="J29" s="14" t="s">
        <v>31</v>
      </c>
      <c r="K29" s="21" t="s">
        <v>147</v>
      </c>
      <c r="L29" s="21"/>
      <c r="M29" s="14" t="s">
        <v>105</v>
      </c>
      <c r="N29" s="14" t="s">
        <v>45</v>
      </c>
      <c r="O29" s="14" t="s">
        <v>58</v>
      </c>
      <c r="P29" s="21"/>
      <c r="Q29" s="22" t="str">
        <f>"462,5"</f>
        <v>462,5</v>
      </c>
      <c r="R29" s="46" t="str">
        <f>"305,7333"</f>
        <v>305,7333</v>
      </c>
      <c r="S29" s="20"/>
    </row>
    <row r="30" spans="1:19">
      <c r="A30" s="24" t="s">
        <v>227</v>
      </c>
      <c r="B30" s="24" t="s">
        <v>228</v>
      </c>
      <c r="C30" s="15" t="s">
        <v>229</v>
      </c>
      <c r="D30" s="24" t="s">
        <v>607</v>
      </c>
      <c r="E30" s="15" t="s">
        <v>148</v>
      </c>
      <c r="F30" s="25" t="s">
        <v>230</v>
      </c>
      <c r="G30" s="25" t="s">
        <v>40</v>
      </c>
      <c r="H30" s="25"/>
      <c r="I30" s="15" t="s">
        <v>42</v>
      </c>
      <c r="J30" s="25" t="s">
        <v>43</v>
      </c>
      <c r="K30" s="25" t="s">
        <v>43</v>
      </c>
      <c r="L30" s="25"/>
      <c r="M30" s="15" t="s">
        <v>230</v>
      </c>
      <c r="N30" s="15" t="s">
        <v>27</v>
      </c>
      <c r="O30" s="25" t="s">
        <v>20</v>
      </c>
      <c r="P30" s="25"/>
      <c r="Q30" s="26" t="str">
        <f>"345,0"</f>
        <v>345,0</v>
      </c>
      <c r="R30" s="47" t="str">
        <f>"290,9984"</f>
        <v>290,9984</v>
      </c>
      <c r="S30" s="24" t="s">
        <v>231</v>
      </c>
    </row>
    <row r="32" spans="1:19" ht="15">
      <c r="A32" s="28" t="s">
        <v>46</v>
      </c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</row>
    <row r="33" spans="1:19">
      <c r="A33" s="16" t="s">
        <v>232</v>
      </c>
      <c r="B33" s="16" t="s">
        <v>233</v>
      </c>
      <c r="C33" s="13" t="s">
        <v>139</v>
      </c>
      <c r="D33" s="16" t="s">
        <v>607</v>
      </c>
      <c r="E33" s="13" t="s">
        <v>32</v>
      </c>
      <c r="F33" s="13" t="s">
        <v>59</v>
      </c>
      <c r="G33" s="13" t="s">
        <v>52</v>
      </c>
      <c r="H33" s="17"/>
      <c r="I33" s="13" t="s">
        <v>40</v>
      </c>
      <c r="J33" s="13" t="s">
        <v>20</v>
      </c>
      <c r="K33" s="13" t="s">
        <v>44</v>
      </c>
      <c r="L33" s="17"/>
      <c r="M33" s="13" t="s">
        <v>69</v>
      </c>
      <c r="N33" s="13" t="s">
        <v>52</v>
      </c>
      <c r="O33" s="13" t="s">
        <v>60</v>
      </c>
      <c r="P33" s="17"/>
      <c r="Q33" s="18" t="str">
        <f>"620,0"</f>
        <v>620,0</v>
      </c>
      <c r="R33" s="45" t="str">
        <f>"381,7340"</f>
        <v>381,7340</v>
      </c>
      <c r="S33" s="16"/>
    </row>
    <row r="34" spans="1:19">
      <c r="A34" s="20" t="s">
        <v>234</v>
      </c>
      <c r="B34" s="20" t="s">
        <v>235</v>
      </c>
      <c r="C34" s="14" t="s">
        <v>236</v>
      </c>
      <c r="D34" s="20" t="s">
        <v>607</v>
      </c>
      <c r="E34" s="21" t="s">
        <v>44</v>
      </c>
      <c r="F34" s="14" t="s">
        <v>45</v>
      </c>
      <c r="G34" s="14" t="s">
        <v>132</v>
      </c>
      <c r="H34" s="21"/>
      <c r="I34" s="14" t="s">
        <v>148</v>
      </c>
      <c r="J34" s="14" t="s">
        <v>230</v>
      </c>
      <c r="K34" s="21" t="s">
        <v>17</v>
      </c>
      <c r="L34" s="21"/>
      <c r="M34" s="14" t="s">
        <v>171</v>
      </c>
      <c r="N34" s="14" t="s">
        <v>237</v>
      </c>
      <c r="O34" s="21" t="s">
        <v>238</v>
      </c>
      <c r="P34" s="21"/>
      <c r="Q34" s="22" t="str">
        <f>"570,0"</f>
        <v>570,0</v>
      </c>
      <c r="R34" s="46" t="str">
        <f>"351,3765"</f>
        <v>351,3765</v>
      </c>
      <c r="S34" s="20"/>
    </row>
    <row r="35" spans="1:19">
      <c r="A35" s="20" t="s">
        <v>239</v>
      </c>
      <c r="B35" s="20" t="s">
        <v>240</v>
      </c>
      <c r="C35" s="14" t="s">
        <v>241</v>
      </c>
      <c r="D35" s="20" t="s">
        <v>610</v>
      </c>
      <c r="E35" s="14" t="s">
        <v>41</v>
      </c>
      <c r="F35" s="14" t="s">
        <v>50</v>
      </c>
      <c r="G35" s="14" t="s">
        <v>57</v>
      </c>
      <c r="H35" s="21"/>
      <c r="I35" s="14" t="s">
        <v>147</v>
      </c>
      <c r="J35" s="14" t="s">
        <v>230</v>
      </c>
      <c r="K35" s="14" t="s">
        <v>27</v>
      </c>
      <c r="L35" s="21"/>
      <c r="M35" s="14" t="s">
        <v>44</v>
      </c>
      <c r="N35" s="14" t="s">
        <v>45</v>
      </c>
      <c r="O35" s="21" t="s">
        <v>69</v>
      </c>
      <c r="P35" s="21"/>
      <c r="Q35" s="22" t="str">
        <f>"510,0"</f>
        <v>510,0</v>
      </c>
      <c r="R35" s="46" t="str">
        <f>"321,9375"</f>
        <v>321,9375</v>
      </c>
      <c r="S35" s="20"/>
    </row>
    <row r="36" spans="1:19">
      <c r="A36" s="20" t="s">
        <v>242</v>
      </c>
      <c r="B36" s="20" t="s">
        <v>243</v>
      </c>
      <c r="C36" s="14" t="s">
        <v>244</v>
      </c>
      <c r="D36" s="20" t="s">
        <v>607</v>
      </c>
      <c r="E36" s="21" t="s">
        <v>41</v>
      </c>
      <c r="F36" s="14" t="s">
        <v>44</v>
      </c>
      <c r="G36" s="21" t="s">
        <v>50</v>
      </c>
      <c r="H36" s="21"/>
      <c r="I36" s="14" t="s">
        <v>122</v>
      </c>
      <c r="J36" s="14" t="s">
        <v>181</v>
      </c>
      <c r="K36" s="21" t="s">
        <v>19</v>
      </c>
      <c r="L36" s="21"/>
      <c r="M36" s="14" t="s">
        <v>44</v>
      </c>
      <c r="N36" s="14" t="s">
        <v>45</v>
      </c>
      <c r="O36" s="14" t="s">
        <v>69</v>
      </c>
      <c r="P36" s="21"/>
      <c r="Q36" s="22" t="str">
        <f>"450,0"</f>
        <v>450,0</v>
      </c>
      <c r="R36" s="46" t="str">
        <f>"283,8600"</f>
        <v>283,8600</v>
      </c>
      <c r="S36" s="20"/>
    </row>
    <row r="37" spans="1:19">
      <c r="A37" s="24" t="s">
        <v>245</v>
      </c>
      <c r="B37" s="24" t="s">
        <v>246</v>
      </c>
      <c r="C37" s="15" t="s">
        <v>142</v>
      </c>
      <c r="D37" s="24" t="s">
        <v>607</v>
      </c>
      <c r="E37" s="25" t="s">
        <v>20</v>
      </c>
      <c r="F37" s="25" t="s">
        <v>44</v>
      </c>
      <c r="G37" s="15" t="s">
        <v>50</v>
      </c>
      <c r="H37" s="25"/>
      <c r="I37" s="15" t="s">
        <v>75</v>
      </c>
      <c r="J37" s="15" t="s">
        <v>29</v>
      </c>
      <c r="K37" s="25" t="s">
        <v>30</v>
      </c>
      <c r="L37" s="25"/>
      <c r="M37" s="15" t="s">
        <v>44</v>
      </c>
      <c r="N37" s="15" t="s">
        <v>105</v>
      </c>
      <c r="O37" s="15" t="s">
        <v>22</v>
      </c>
      <c r="P37" s="25"/>
      <c r="Q37" s="26" t="str">
        <f>"447,5"</f>
        <v>447,5</v>
      </c>
      <c r="R37" s="47" t="str">
        <f>"276,5409"</f>
        <v>276,5409</v>
      </c>
      <c r="S37" s="24"/>
    </row>
    <row r="39" spans="1:19" ht="15">
      <c r="A39" s="28" t="s">
        <v>97</v>
      </c>
      <c r="B39" s="29"/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</row>
    <row r="40" spans="1:19">
      <c r="A40" s="16" t="s">
        <v>247</v>
      </c>
      <c r="B40" s="16" t="s">
        <v>248</v>
      </c>
      <c r="C40" s="13" t="s">
        <v>100</v>
      </c>
      <c r="D40" s="16" t="s">
        <v>607</v>
      </c>
      <c r="E40" s="13" t="s">
        <v>59</v>
      </c>
      <c r="F40" s="13" t="s">
        <v>167</v>
      </c>
      <c r="G40" s="13" t="s">
        <v>60</v>
      </c>
      <c r="H40" s="17"/>
      <c r="I40" s="13" t="s">
        <v>40</v>
      </c>
      <c r="J40" s="13" t="s">
        <v>20</v>
      </c>
      <c r="K40" s="13" t="s">
        <v>28</v>
      </c>
      <c r="L40" s="17"/>
      <c r="M40" s="13" t="s">
        <v>61</v>
      </c>
      <c r="N40" s="13" t="s">
        <v>62</v>
      </c>
      <c r="O40" s="13" t="s">
        <v>68</v>
      </c>
      <c r="P40" s="17"/>
      <c r="Q40" s="18" t="str">
        <f>"702,5"</f>
        <v>702,5</v>
      </c>
      <c r="R40" s="45" t="str">
        <f>"409,7682"</f>
        <v>409,7682</v>
      </c>
      <c r="S40" s="16"/>
    </row>
    <row r="41" spans="1:19">
      <c r="A41" s="20" t="s">
        <v>249</v>
      </c>
      <c r="B41" s="20" t="s">
        <v>250</v>
      </c>
      <c r="C41" s="14" t="s">
        <v>251</v>
      </c>
      <c r="D41" s="20" t="s">
        <v>607</v>
      </c>
      <c r="E41" s="14" t="s">
        <v>41</v>
      </c>
      <c r="F41" s="14" t="s">
        <v>44</v>
      </c>
      <c r="G41" s="14" t="s">
        <v>105</v>
      </c>
      <c r="H41" s="21"/>
      <c r="I41" s="14" t="s">
        <v>147</v>
      </c>
      <c r="J41" s="14" t="s">
        <v>39</v>
      </c>
      <c r="K41" s="21" t="s">
        <v>40</v>
      </c>
      <c r="L41" s="21"/>
      <c r="M41" s="14" t="s">
        <v>44</v>
      </c>
      <c r="N41" s="14" t="s">
        <v>57</v>
      </c>
      <c r="O41" s="14" t="s">
        <v>69</v>
      </c>
      <c r="P41" s="21"/>
      <c r="Q41" s="22" t="str">
        <f>"500,0"</f>
        <v>500,0</v>
      </c>
      <c r="R41" s="46" t="str">
        <f>"298,0750"</f>
        <v>298,0750</v>
      </c>
      <c r="S41" s="20"/>
    </row>
    <row r="42" spans="1:19">
      <c r="A42" s="24" t="s">
        <v>252</v>
      </c>
      <c r="B42" s="24" t="s">
        <v>253</v>
      </c>
      <c r="C42" s="15" t="s">
        <v>254</v>
      </c>
      <c r="D42" s="24" t="s">
        <v>607</v>
      </c>
      <c r="E42" s="15" t="s">
        <v>44</v>
      </c>
      <c r="F42" s="15" t="s">
        <v>57</v>
      </c>
      <c r="G42" s="15" t="s">
        <v>45</v>
      </c>
      <c r="H42" s="25"/>
      <c r="I42" s="15" t="s">
        <v>147</v>
      </c>
      <c r="J42" s="15" t="s">
        <v>39</v>
      </c>
      <c r="K42" s="15" t="s">
        <v>15</v>
      </c>
      <c r="L42" s="25"/>
      <c r="M42" s="15" t="s">
        <v>32</v>
      </c>
      <c r="N42" s="15" t="s">
        <v>59</v>
      </c>
      <c r="O42" s="25" t="s">
        <v>52</v>
      </c>
      <c r="P42" s="25"/>
      <c r="Q42" s="26" t="str">
        <f>"527,5"</f>
        <v>527,5</v>
      </c>
      <c r="R42" s="47" t="str">
        <f>"317,5571"</f>
        <v>317,5571</v>
      </c>
      <c r="S42" s="24"/>
    </row>
    <row r="44" spans="1:19" ht="15">
      <c r="A44" s="28" t="s">
        <v>53</v>
      </c>
      <c r="B44" s="29"/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</row>
    <row r="45" spans="1:19">
      <c r="A45" s="16" t="s">
        <v>255</v>
      </c>
      <c r="B45" s="16" t="s">
        <v>256</v>
      </c>
      <c r="C45" s="13" t="s">
        <v>257</v>
      </c>
      <c r="D45" s="16" t="s">
        <v>612</v>
      </c>
      <c r="E45" s="13" t="s">
        <v>57</v>
      </c>
      <c r="F45" s="13" t="s">
        <v>32</v>
      </c>
      <c r="G45" s="13" t="s">
        <v>69</v>
      </c>
      <c r="H45" s="17"/>
      <c r="I45" s="13" t="s">
        <v>44</v>
      </c>
      <c r="J45" s="13" t="s">
        <v>143</v>
      </c>
      <c r="K45" s="17" t="s">
        <v>222</v>
      </c>
      <c r="L45" s="17"/>
      <c r="M45" s="13" t="s">
        <v>69</v>
      </c>
      <c r="N45" s="13" t="s">
        <v>52</v>
      </c>
      <c r="O45" s="13" t="s">
        <v>167</v>
      </c>
      <c r="P45" s="17"/>
      <c r="Q45" s="18" t="str">
        <f>"602,5"</f>
        <v>602,5</v>
      </c>
      <c r="R45" s="45" t="str">
        <f>"340,0510"</f>
        <v>340,0510</v>
      </c>
      <c r="S45" s="16"/>
    </row>
    <row r="46" spans="1:19">
      <c r="A46" s="20" t="s">
        <v>258</v>
      </c>
      <c r="B46" s="20" t="s">
        <v>259</v>
      </c>
      <c r="C46" s="14" t="s">
        <v>260</v>
      </c>
      <c r="D46" s="20" t="s">
        <v>613</v>
      </c>
      <c r="E46" s="14" t="s">
        <v>39</v>
      </c>
      <c r="F46" s="14" t="s">
        <v>40</v>
      </c>
      <c r="G46" s="21" t="s">
        <v>41</v>
      </c>
      <c r="H46" s="21"/>
      <c r="I46" s="14" t="s">
        <v>75</v>
      </c>
      <c r="J46" s="14" t="s">
        <v>186</v>
      </c>
      <c r="K46" s="21" t="s">
        <v>193</v>
      </c>
      <c r="L46" s="21"/>
      <c r="M46" s="14" t="s">
        <v>44</v>
      </c>
      <c r="N46" s="14" t="s">
        <v>22</v>
      </c>
      <c r="O46" s="14" t="s">
        <v>45</v>
      </c>
      <c r="P46" s="21"/>
      <c r="Q46" s="22" t="str">
        <f>"435,0"</f>
        <v>435,0</v>
      </c>
      <c r="R46" s="46" t="str">
        <f>"246,2535"</f>
        <v>246,2535</v>
      </c>
      <c r="S46" s="20"/>
    </row>
    <row r="47" spans="1:19">
      <c r="A47" s="24" t="s">
        <v>261</v>
      </c>
      <c r="B47" s="24" t="s">
        <v>262</v>
      </c>
      <c r="C47" s="15" t="s">
        <v>263</v>
      </c>
      <c r="D47" s="24" t="s">
        <v>607</v>
      </c>
      <c r="E47" s="15" t="s">
        <v>50</v>
      </c>
      <c r="F47" s="15" t="s">
        <v>57</v>
      </c>
      <c r="G47" s="15" t="s">
        <v>32</v>
      </c>
      <c r="H47" s="25"/>
      <c r="I47" s="15" t="s">
        <v>39</v>
      </c>
      <c r="J47" s="15" t="s">
        <v>16</v>
      </c>
      <c r="K47" s="15" t="s">
        <v>27</v>
      </c>
      <c r="L47" s="25"/>
      <c r="M47" s="15" t="s">
        <v>59</v>
      </c>
      <c r="N47" s="15" t="s">
        <v>52</v>
      </c>
      <c r="O47" s="25" t="s">
        <v>91</v>
      </c>
      <c r="P47" s="25"/>
      <c r="Q47" s="26" t="str">
        <f>"555,0"</f>
        <v>555,0</v>
      </c>
      <c r="R47" s="47" t="str">
        <f>"320,2983"</f>
        <v>320,2983</v>
      </c>
      <c r="S47" s="24" t="s">
        <v>264</v>
      </c>
    </row>
    <row r="49" spans="1:19" ht="15">
      <c r="A49" s="28" t="s">
        <v>156</v>
      </c>
      <c r="B49" s="29"/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</row>
    <row r="50" spans="1:19">
      <c r="A50" s="8" t="s">
        <v>265</v>
      </c>
      <c r="B50" s="8" t="s">
        <v>266</v>
      </c>
      <c r="C50" s="9" t="s">
        <v>267</v>
      </c>
      <c r="D50" s="8" t="s">
        <v>614</v>
      </c>
      <c r="E50" s="9" t="s">
        <v>52</v>
      </c>
      <c r="F50" s="9" t="s">
        <v>60</v>
      </c>
      <c r="G50" s="9" t="s">
        <v>61</v>
      </c>
      <c r="H50" s="10"/>
      <c r="I50" s="9" t="s">
        <v>27</v>
      </c>
      <c r="J50" s="9" t="s">
        <v>20</v>
      </c>
      <c r="K50" s="9" t="s">
        <v>50</v>
      </c>
      <c r="L50" s="10"/>
      <c r="M50" s="9" t="s">
        <v>60</v>
      </c>
      <c r="N50" s="9" t="s">
        <v>61</v>
      </c>
      <c r="O50" s="9" t="s">
        <v>85</v>
      </c>
      <c r="P50" s="10"/>
      <c r="Q50" s="11" t="str">
        <f>"695,0"</f>
        <v>695,0</v>
      </c>
      <c r="R50" s="44" t="str">
        <f>"390,8676"</f>
        <v>390,8676</v>
      </c>
      <c r="S50" s="8"/>
    </row>
  </sheetData>
  <mergeCells count="22">
    <mergeCell ref="A1:A2"/>
    <mergeCell ref="B1:B2"/>
    <mergeCell ref="C1:C2"/>
    <mergeCell ref="D1:D2"/>
    <mergeCell ref="E1:H1"/>
    <mergeCell ref="I1:L1"/>
    <mergeCell ref="M1:P1"/>
    <mergeCell ref="A23:P23"/>
    <mergeCell ref="Q1:Q2"/>
    <mergeCell ref="R1:R2"/>
    <mergeCell ref="S1:S2"/>
    <mergeCell ref="A3:P3"/>
    <mergeCell ref="A6:P6"/>
    <mergeCell ref="A9:P9"/>
    <mergeCell ref="A14:P14"/>
    <mergeCell ref="A17:P17"/>
    <mergeCell ref="A20:P20"/>
    <mergeCell ref="A27:P27"/>
    <mergeCell ref="A32:P32"/>
    <mergeCell ref="A39:P39"/>
    <mergeCell ref="A44:P44"/>
    <mergeCell ref="A49:P49"/>
  </mergeCells>
  <pageMargins left="0.7" right="0.7" top="0.75" bottom="0.75" header="0.3" footer="0.3"/>
  <pageSetup orientation="portrait" horizontalDpi="300" verticalDpi="0" copies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K5"/>
  <sheetViews>
    <sheetView workbookViewId="0">
      <selection sqref="A1:A2"/>
    </sheetView>
  </sheetViews>
  <sheetFormatPr defaultColWidth="9.140625" defaultRowHeight="12.75"/>
  <cols>
    <col min="1" max="1" width="24.85546875" style="3" bestFit="1" customWidth="1"/>
    <col min="2" max="2" width="26.5703125" style="4" bestFit="1" customWidth="1"/>
    <col min="3" max="3" width="7.5703125" style="4" bestFit="1" customWidth="1"/>
    <col min="4" max="4" width="14.7109375" style="3" bestFit="1" customWidth="1"/>
    <col min="5" max="6" width="5.5703125" style="4" customWidth="1"/>
    <col min="7" max="7" width="2.140625" style="4" customWidth="1"/>
    <col min="8" max="8" width="4.7109375" style="4" customWidth="1"/>
    <col min="9" max="9" width="5.7109375" style="6" bestFit="1" customWidth="1"/>
    <col min="10" max="10" width="7.5703125" style="7" bestFit="1" customWidth="1"/>
    <col min="11" max="11" width="7.140625" style="3" bestFit="1" customWidth="1"/>
    <col min="12" max="16384" width="9.140625" style="2"/>
  </cols>
  <sheetData>
    <row r="1" spans="1:11" s="1" customFormat="1" ht="12.75" customHeight="1">
      <c r="A1" s="36" t="s">
        <v>0</v>
      </c>
      <c r="B1" s="38" t="s">
        <v>6</v>
      </c>
      <c r="C1" s="38" t="s">
        <v>4</v>
      </c>
      <c r="D1" s="30" t="s">
        <v>7</v>
      </c>
      <c r="E1" s="30" t="s">
        <v>9</v>
      </c>
      <c r="F1" s="30"/>
      <c r="G1" s="30"/>
      <c r="H1" s="30"/>
      <c r="I1" s="30" t="s">
        <v>161</v>
      </c>
      <c r="J1" s="30" t="s">
        <v>2</v>
      </c>
      <c r="K1" s="32" t="s">
        <v>1</v>
      </c>
    </row>
    <row r="2" spans="1:11" s="1" customFormat="1" ht="23.25" customHeight="1" thickBot="1">
      <c r="A2" s="37"/>
      <c r="B2" s="31"/>
      <c r="C2" s="31"/>
      <c r="D2" s="31"/>
      <c r="E2" s="5">
        <v>1</v>
      </c>
      <c r="F2" s="5">
        <v>2</v>
      </c>
      <c r="G2" s="5">
        <v>3</v>
      </c>
      <c r="H2" s="5" t="s">
        <v>3</v>
      </c>
      <c r="I2" s="31"/>
      <c r="J2" s="31"/>
      <c r="K2" s="33"/>
    </row>
    <row r="3" spans="1:11" s="4" customFormat="1" ht="15">
      <c r="A3" s="34" t="s">
        <v>46</v>
      </c>
      <c r="B3" s="35"/>
      <c r="C3" s="35"/>
      <c r="D3" s="35"/>
      <c r="E3" s="35"/>
      <c r="F3" s="35"/>
      <c r="G3" s="35"/>
      <c r="H3" s="35"/>
      <c r="I3" s="6"/>
      <c r="J3" s="7"/>
      <c r="K3" s="3"/>
    </row>
    <row r="4" spans="1:11" s="4" customFormat="1">
      <c r="A4" s="16" t="s">
        <v>94</v>
      </c>
      <c r="B4" s="13" t="s">
        <v>162</v>
      </c>
      <c r="C4" s="13" t="s">
        <v>96</v>
      </c>
      <c r="D4" s="16" t="s">
        <v>620</v>
      </c>
      <c r="E4" s="13" t="s">
        <v>40</v>
      </c>
      <c r="F4" s="17" t="s">
        <v>41</v>
      </c>
      <c r="G4" s="17"/>
      <c r="H4" s="17"/>
      <c r="I4" s="18" t="str">
        <f>"140,0"</f>
        <v>140,0</v>
      </c>
      <c r="J4" s="19" t="str">
        <f>"86,6950"</f>
        <v>86,6950</v>
      </c>
      <c r="K4" s="16"/>
    </row>
    <row r="5" spans="1:11" s="4" customFormat="1">
      <c r="A5" s="24" t="s">
        <v>94</v>
      </c>
      <c r="B5" s="15" t="s">
        <v>95</v>
      </c>
      <c r="C5" s="15" t="s">
        <v>96</v>
      </c>
      <c r="D5" s="24" t="s">
        <v>620</v>
      </c>
      <c r="E5" s="15" t="s">
        <v>40</v>
      </c>
      <c r="F5" s="25" t="s">
        <v>41</v>
      </c>
      <c r="G5" s="25"/>
      <c r="H5" s="25"/>
      <c r="I5" s="26" t="str">
        <f>"140,0"</f>
        <v>140,0</v>
      </c>
      <c r="J5" s="27" t="str">
        <f>"89,3825"</f>
        <v>89,3825</v>
      </c>
      <c r="K5" s="24"/>
    </row>
  </sheetData>
  <mergeCells count="9">
    <mergeCell ref="I1:I2"/>
    <mergeCell ref="J1:J2"/>
    <mergeCell ref="K1:K2"/>
    <mergeCell ref="A3:H3"/>
    <mergeCell ref="A1:A2"/>
    <mergeCell ref="B1:B2"/>
    <mergeCell ref="C1:C2"/>
    <mergeCell ref="D1:D2"/>
    <mergeCell ref="E1:H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K5"/>
  <sheetViews>
    <sheetView workbookViewId="0">
      <selection sqref="A1:A2"/>
    </sheetView>
  </sheetViews>
  <sheetFormatPr defaultColWidth="9.140625" defaultRowHeight="12.75"/>
  <cols>
    <col min="1" max="1" width="24.85546875" style="3" bestFit="1" customWidth="1"/>
    <col min="2" max="2" width="26.5703125" style="4" bestFit="1" customWidth="1"/>
    <col min="3" max="3" width="7.5703125" style="4" bestFit="1" customWidth="1"/>
    <col min="4" max="4" width="15.85546875" style="3" bestFit="1" customWidth="1"/>
    <col min="5" max="7" width="5.5703125" style="4" customWidth="1"/>
    <col min="8" max="8" width="4.7109375" style="4" customWidth="1"/>
    <col min="9" max="9" width="5.7109375" style="6" bestFit="1" customWidth="1"/>
    <col min="10" max="10" width="8.5703125" style="7" bestFit="1" customWidth="1"/>
    <col min="11" max="11" width="7.140625" style="3" bestFit="1" customWidth="1"/>
    <col min="12" max="16384" width="9.140625" style="2"/>
  </cols>
  <sheetData>
    <row r="1" spans="1:11" s="1" customFormat="1" ht="12.75" customHeight="1">
      <c r="A1" s="36" t="s">
        <v>0</v>
      </c>
      <c r="B1" s="38" t="s">
        <v>6</v>
      </c>
      <c r="C1" s="38" t="s">
        <v>4</v>
      </c>
      <c r="D1" s="30" t="s">
        <v>7</v>
      </c>
      <c r="E1" s="30" t="s">
        <v>9</v>
      </c>
      <c r="F1" s="30"/>
      <c r="G1" s="30"/>
      <c r="H1" s="30"/>
      <c r="I1" s="30" t="s">
        <v>161</v>
      </c>
      <c r="J1" s="30" t="s">
        <v>2</v>
      </c>
      <c r="K1" s="32" t="s">
        <v>1</v>
      </c>
    </row>
    <row r="2" spans="1:11" s="1" customFormat="1" ht="23.25" customHeight="1" thickBot="1">
      <c r="A2" s="37"/>
      <c r="B2" s="31"/>
      <c r="C2" s="31"/>
      <c r="D2" s="31"/>
      <c r="E2" s="5">
        <v>1</v>
      </c>
      <c r="F2" s="5">
        <v>2</v>
      </c>
      <c r="G2" s="5">
        <v>3</v>
      </c>
      <c r="H2" s="5" t="s">
        <v>3</v>
      </c>
      <c r="I2" s="31"/>
      <c r="J2" s="31"/>
      <c r="K2" s="33"/>
    </row>
    <row r="3" spans="1:11" s="4" customFormat="1" ht="15">
      <c r="A3" s="34" t="s">
        <v>97</v>
      </c>
      <c r="B3" s="35"/>
      <c r="C3" s="35"/>
      <c r="D3" s="35"/>
      <c r="E3" s="35"/>
      <c r="F3" s="35"/>
      <c r="G3" s="35"/>
      <c r="H3" s="35"/>
      <c r="I3" s="6"/>
      <c r="J3" s="7"/>
      <c r="K3" s="3"/>
    </row>
    <row r="4" spans="1:11" s="4" customFormat="1">
      <c r="A4" s="8" t="s">
        <v>153</v>
      </c>
      <c r="B4" s="9" t="s">
        <v>154</v>
      </c>
      <c r="C4" s="9" t="s">
        <v>155</v>
      </c>
      <c r="D4" s="8" t="s">
        <v>639</v>
      </c>
      <c r="E4" s="10" t="s">
        <v>60</v>
      </c>
      <c r="F4" s="9" t="s">
        <v>60</v>
      </c>
      <c r="G4" s="10" t="s">
        <v>163</v>
      </c>
      <c r="H4" s="10"/>
      <c r="I4" s="11" t="str">
        <f>"240,0"</f>
        <v>240,0</v>
      </c>
      <c r="J4" s="12" t="str">
        <f>"191,3198"</f>
        <v>191,3198</v>
      </c>
      <c r="K4" s="8"/>
    </row>
    <row r="5" spans="1:11" s="4" customFormat="1">
      <c r="A5" s="3"/>
      <c r="D5" s="3"/>
      <c r="I5" s="6"/>
      <c r="J5" s="7"/>
      <c r="K5" s="3"/>
    </row>
  </sheetData>
  <mergeCells count="9">
    <mergeCell ref="I1:I2"/>
    <mergeCell ref="J1:J2"/>
    <mergeCell ref="K1:K2"/>
    <mergeCell ref="A3:H3"/>
    <mergeCell ref="A1:A2"/>
    <mergeCell ref="B1:B2"/>
    <mergeCell ref="C1:C2"/>
    <mergeCell ref="D1:D2"/>
    <mergeCell ref="E1:H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K25"/>
  <sheetViews>
    <sheetView workbookViewId="0">
      <selection sqref="A1:A2"/>
    </sheetView>
  </sheetViews>
  <sheetFormatPr defaultColWidth="9.140625" defaultRowHeight="12.75"/>
  <cols>
    <col min="1" max="1" width="24.85546875" style="3" bestFit="1" customWidth="1"/>
    <col min="2" max="2" width="26.5703125" style="3" bestFit="1" customWidth="1"/>
    <col min="3" max="3" width="7.5703125" style="4" bestFit="1" customWidth="1"/>
    <col min="4" max="4" width="17.85546875" style="3" bestFit="1" customWidth="1"/>
    <col min="5" max="7" width="5.5703125" style="4" customWidth="1"/>
    <col min="8" max="8" width="4.7109375" style="4" customWidth="1"/>
    <col min="9" max="9" width="5.7109375" style="6" bestFit="1" customWidth="1"/>
    <col min="10" max="10" width="8.5703125" style="7" bestFit="1" customWidth="1"/>
    <col min="11" max="11" width="14.7109375" style="3" bestFit="1" customWidth="1"/>
    <col min="12" max="16384" width="9.140625" style="2"/>
  </cols>
  <sheetData>
    <row r="1" spans="1:11" s="1" customFormat="1" ht="12.75" customHeight="1">
      <c r="A1" s="36" t="s">
        <v>0</v>
      </c>
      <c r="B1" s="39" t="s">
        <v>6</v>
      </c>
      <c r="C1" s="38" t="s">
        <v>4</v>
      </c>
      <c r="D1" s="30" t="s">
        <v>7</v>
      </c>
      <c r="E1" s="30" t="s">
        <v>9</v>
      </c>
      <c r="F1" s="30"/>
      <c r="G1" s="30"/>
      <c r="H1" s="30"/>
      <c r="I1" s="30" t="s">
        <v>161</v>
      </c>
      <c r="J1" s="30" t="s">
        <v>2</v>
      </c>
      <c r="K1" s="32" t="s">
        <v>1</v>
      </c>
    </row>
    <row r="2" spans="1:11" s="1" customFormat="1" ht="23.25" customHeight="1" thickBot="1">
      <c r="A2" s="37"/>
      <c r="B2" s="40"/>
      <c r="C2" s="31"/>
      <c r="D2" s="31"/>
      <c r="E2" s="5">
        <v>1</v>
      </c>
      <c r="F2" s="5">
        <v>2</v>
      </c>
      <c r="G2" s="5">
        <v>3</v>
      </c>
      <c r="H2" s="5" t="s">
        <v>3</v>
      </c>
      <c r="I2" s="31"/>
      <c r="J2" s="31"/>
      <c r="K2" s="33"/>
    </row>
    <row r="3" spans="1:11" s="4" customFormat="1" ht="15">
      <c r="A3" s="34" t="s">
        <v>11</v>
      </c>
      <c r="B3" s="35"/>
      <c r="C3" s="35"/>
      <c r="D3" s="35"/>
      <c r="E3" s="35"/>
      <c r="F3" s="35"/>
      <c r="G3" s="35"/>
      <c r="H3" s="35"/>
      <c r="I3" s="6"/>
      <c r="J3" s="7"/>
      <c r="K3" s="3"/>
    </row>
    <row r="4" spans="1:11" s="4" customFormat="1">
      <c r="A4" s="8" t="s">
        <v>107</v>
      </c>
      <c r="B4" s="8" t="s">
        <v>108</v>
      </c>
      <c r="C4" s="9" t="s">
        <v>109</v>
      </c>
      <c r="D4" s="8" t="s">
        <v>607</v>
      </c>
      <c r="E4" s="9" t="s">
        <v>110</v>
      </c>
      <c r="F4" s="9" t="s">
        <v>111</v>
      </c>
      <c r="G4" s="9" t="s">
        <v>112</v>
      </c>
      <c r="H4" s="10"/>
      <c r="I4" s="11" t="str">
        <f>"55,0"</f>
        <v>55,0</v>
      </c>
      <c r="J4" s="12" t="str">
        <f>"61,1966"</f>
        <v>61,1966</v>
      </c>
      <c r="K4" s="8"/>
    </row>
    <row r="5" spans="1:11" s="4" customFormat="1">
      <c r="A5" s="3"/>
      <c r="B5" s="3"/>
      <c r="D5" s="3"/>
      <c r="I5" s="6"/>
      <c r="J5" s="7"/>
      <c r="K5" s="3"/>
    </row>
    <row r="6" spans="1:11" ht="15">
      <c r="A6" s="28" t="s">
        <v>113</v>
      </c>
      <c r="B6" s="29"/>
      <c r="C6" s="29"/>
      <c r="D6" s="29"/>
      <c r="E6" s="29"/>
      <c r="F6" s="29"/>
      <c r="G6" s="29"/>
      <c r="H6" s="29"/>
    </row>
    <row r="7" spans="1:11">
      <c r="A7" s="16" t="s">
        <v>114</v>
      </c>
      <c r="B7" s="16" t="s">
        <v>115</v>
      </c>
      <c r="C7" s="13" t="s">
        <v>116</v>
      </c>
      <c r="D7" s="16" t="s">
        <v>640</v>
      </c>
      <c r="E7" s="13" t="s">
        <v>117</v>
      </c>
      <c r="F7" s="13" t="s">
        <v>18</v>
      </c>
      <c r="G7" s="13" t="s">
        <v>19</v>
      </c>
      <c r="H7" s="17"/>
      <c r="I7" s="18" t="str">
        <f>"97,5"</f>
        <v>97,5</v>
      </c>
      <c r="J7" s="19" t="str">
        <f>"87,7451"</f>
        <v>87,7451</v>
      </c>
      <c r="K7" s="16"/>
    </row>
    <row r="8" spans="1:11">
      <c r="A8" s="20" t="s">
        <v>118</v>
      </c>
      <c r="B8" s="20" t="s">
        <v>119</v>
      </c>
      <c r="C8" s="14" t="s">
        <v>120</v>
      </c>
      <c r="D8" s="20" t="s">
        <v>607</v>
      </c>
      <c r="E8" s="14" t="s">
        <v>42</v>
      </c>
      <c r="F8" s="14" t="s">
        <v>121</v>
      </c>
      <c r="G8" s="21" t="s">
        <v>122</v>
      </c>
      <c r="H8" s="21"/>
      <c r="I8" s="22" t="str">
        <f>"77,5"</f>
        <v>77,5</v>
      </c>
      <c r="J8" s="23" t="str">
        <f>"70,1298"</f>
        <v>70,1298</v>
      </c>
      <c r="K8" s="20"/>
    </row>
    <row r="9" spans="1:11">
      <c r="A9" s="24" t="s">
        <v>123</v>
      </c>
      <c r="B9" s="24" t="s">
        <v>124</v>
      </c>
      <c r="C9" s="15" t="s">
        <v>125</v>
      </c>
      <c r="D9" s="24" t="s">
        <v>639</v>
      </c>
      <c r="E9" s="15" t="s">
        <v>126</v>
      </c>
      <c r="F9" s="25" t="s">
        <v>127</v>
      </c>
      <c r="G9" s="15" t="s">
        <v>127</v>
      </c>
      <c r="H9" s="25"/>
      <c r="I9" s="26" t="str">
        <f>"40,0"</f>
        <v>40,0</v>
      </c>
      <c r="J9" s="27" t="str">
        <f>"68,7854"</f>
        <v>68,7854</v>
      </c>
      <c r="K9" s="24" t="s">
        <v>128</v>
      </c>
    </row>
    <row r="11" spans="1:11" ht="15">
      <c r="A11" s="28" t="s">
        <v>71</v>
      </c>
      <c r="B11" s="29"/>
      <c r="C11" s="29"/>
      <c r="D11" s="29"/>
      <c r="E11" s="29"/>
      <c r="F11" s="29"/>
      <c r="G11" s="29"/>
      <c r="H11" s="29"/>
    </row>
    <row r="12" spans="1:11">
      <c r="A12" s="8" t="s">
        <v>129</v>
      </c>
      <c r="B12" s="8" t="s">
        <v>130</v>
      </c>
      <c r="C12" s="9" t="s">
        <v>131</v>
      </c>
      <c r="D12" s="8" t="s">
        <v>643</v>
      </c>
      <c r="E12" s="9" t="s">
        <v>132</v>
      </c>
      <c r="F12" s="10" t="s">
        <v>133</v>
      </c>
      <c r="G12" s="10" t="s">
        <v>133</v>
      </c>
      <c r="H12" s="10"/>
      <c r="I12" s="11" t="str">
        <f>"192,5"</f>
        <v>192,5</v>
      </c>
      <c r="J12" s="12" t="str">
        <f>"127,1655"</f>
        <v>127,1655</v>
      </c>
      <c r="K12" s="8"/>
    </row>
    <row r="14" spans="1:11" ht="15">
      <c r="A14" s="28" t="s">
        <v>46</v>
      </c>
      <c r="B14" s="29"/>
      <c r="C14" s="29"/>
      <c r="D14" s="29"/>
      <c r="E14" s="29"/>
      <c r="F14" s="29"/>
      <c r="G14" s="29"/>
      <c r="H14" s="29"/>
    </row>
    <row r="15" spans="1:11">
      <c r="A15" s="16" t="s">
        <v>134</v>
      </c>
      <c r="B15" s="16" t="s">
        <v>135</v>
      </c>
      <c r="C15" s="13" t="s">
        <v>89</v>
      </c>
      <c r="D15" s="16" t="s">
        <v>607</v>
      </c>
      <c r="E15" s="17" t="s">
        <v>136</v>
      </c>
      <c r="F15" s="13" t="s">
        <v>136</v>
      </c>
      <c r="G15" s="17" t="s">
        <v>32</v>
      </c>
      <c r="H15" s="17"/>
      <c r="I15" s="18" t="str">
        <f>"187,5"</f>
        <v>187,5</v>
      </c>
      <c r="J15" s="19" t="str">
        <f>"115,6594"</f>
        <v>115,6594</v>
      </c>
      <c r="K15" s="16"/>
    </row>
    <row r="16" spans="1:11">
      <c r="A16" s="20" t="s">
        <v>137</v>
      </c>
      <c r="B16" s="20" t="s">
        <v>138</v>
      </c>
      <c r="C16" s="14" t="s">
        <v>139</v>
      </c>
      <c r="D16" s="20" t="s">
        <v>641</v>
      </c>
      <c r="E16" s="14" t="s">
        <v>44</v>
      </c>
      <c r="F16" s="21" t="s">
        <v>22</v>
      </c>
      <c r="G16" s="21" t="s">
        <v>22</v>
      </c>
      <c r="H16" s="21"/>
      <c r="I16" s="22" t="str">
        <f>"160,0"</f>
        <v>160,0</v>
      </c>
      <c r="J16" s="23" t="str">
        <f>"98,5120"</f>
        <v>98,5120</v>
      </c>
      <c r="K16" s="20"/>
    </row>
    <row r="17" spans="1:11">
      <c r="A17" s="20" t="s">
        <v>140</v>
      </c>
      <c r="B17" s="20" t="s">
        <v>141</v>
      </c>
      <c r="C17" s="14" t="s">
        <v>142</v>
      </c>
      <c r="D17" s="20" t="s">
        <v>642</v>
      </c>
      <c r="E17" s="14" t="s">
        <v>44</v>
      </c>
      <c r="F17" s="14" t="s">
        <v>21</v>
      </c>
      <c r="G17" s="21" t="s">
        <v>143</v>
      </c>
      <c r="H17" s="21"/>
      <c r="I17" s="22" t="str">
        <f>"167,5"</f>
        <v>167,5</v>
      </c>
      <c r="J17" s="23" t="str">
        <f>"104,5346"</f>
        <v>104,5346</v>
      </c>
      <c r="K17" s="20"/>
    </row>
    <row r="18" spans="1:11">
      <c r="A18" s="24" t="s">
        <v>144</v>
      </c>
      <c r="B18" s="24" t="s">
        <v>145</v>
      </c>
      <c r="C18" s="15" t="s">
        <v>146</v>
      </c>
      <c r="D18" s="24" t="s">
        <v>639</v>
      </c>
      <c r="E18" s="15" t="s">
        <v>147</v>
      </c>
      <c r="F18" s="15" t="s">
        <v>148</v>
      </c>
      <c r="G18" s="15" t="s">
        <v>39</v>
      </c>
      <c r="H18" s="25"/>
      <c r="I18" s="26" t="str">
        <f>"130,0"</f>
        <v>130,0</v>
      </c>
      <c r="J18" s="27" t="str">
        <f>"101,3914"</f>
        <v>101,3914</v>
      </c>
      <c r="K18" s="24" t="s">
        <v>149</v>
      </c>
    </row>
    <row r="20" spans="1:11" ht="15">
      <c r="A20" s="28" t="s">
        <v>97</v>
      </c>
      <c r="B20" s="29"/>
      <c r="C20" s="29"/>
      <c r="D20" s="29"/>
      <c r="E20" s="29"/>
      <c r="F20" s="29"/>
      <c r="G20" s="29"/>
      <c r="H20" s="29"/>
    </row>
    <row r="21" spans="1:11">
      <c r="A21" s="16" t="s">
        <v>150</v>
      </c>
      <c r="B21" s="16" t="s">
        <v>151</v>
      </c>
      <c r="C21" s="13" t="s">
        <v>152</v>
      </c>
      <c r="D21" s="16" t="s">
        <v>607</v>
      </c>
      <c r="E21" s="13" t="s">
        <v>105</v>
      </c>
      <c r="F21" s="17" t="s">
        <v>57</v>
      </c>
      <c r="G21" s="17" t="s">
        <v>57</v>
      </c>
      <c r="H21" s="17"/>
      <c r="I21" s="18" t="str">
        <f>"170,0"</f>
        <v>170,0</v>
      </c>
      <c r="J21" s="19" t="str">
        <f>"100,5380"</f>
        <v>100,5380</v>
      </c>
      <c r="K21" s="16"/>
    </row>
    <row r="22" spans="1:11">
      <c r="A22" s="24" t="s">
        <v>153</v>
      </c>
      <c r="B22" s="24" t="s">
        <v>154</v>
      </c>
      <c r="C22" s="15" t="s">
        <v>155</v>
      </c>
      <c r="D22" s="24" t="s">
        <v>639</v>
      </c>
      <c r="E22" s="15" t="s">
        <v>22</v>
      </c>
      <c r="F22" s="15" t="s">
        <v>45</v>
      </c>
      <c r="G22" s="25" t="s">
        <v>32</v>
      </c>
      <c r="H22" s="25"/>
      <c r="I22" s="26" t="str">
        <f>"185,0"</f>
        <v>185,0</v>
      </c>
      <c r="J22" s="27" t="str">
        <f>"147,4757"</f>
        <v>147,4757</v>
      </c>
      <c r="K22" s="24"/>
    </row>
    <row r="24" spans="1:11" ht="15">
      <c r="A24" s="28" t="s">
        <v>156</v>
      </c>
      <c r="B24" s="29"/>
      <c r="C24" s="29"/>
      <c r="D24" s="29"/>
      <c r="E24" s="29"/>
      <c r="F24" s="29"/>
      <c r="G24" s="29"/>
      <c r="H24" s="29"/>
    </row>
    <row r="25" spans="1:11">
      <c r="A25" s="8" t="s">
        <v>157</v>
      </c>
      <c r="B25" s="8" t="s">
        <v>158</v>
      </c>
      <c r="C25" s="9" t="s">
        <v>159</v>
      </c>
      <c r="D25" s="8" t="s">
        <v>639</v>
      </c>
      <c r="E25" s="9" t="s">
        <v>41</v>
      </c>
      <c r="F25" s="9" t="s">
        <v>44</v>
      </c>
      <c r="G25" s="10" t="s">
        <v>28</v>
      </c>
      <c r="H25" s="10"/>
      <c r="I25" s="11" t="str">
        <f>"160,0"</f>
        <v>160,0</v>
      </c>
      <c r="J25" s="12" t="str">
        <f>"97,1258"</f>
        <v>97,1258</v>
      </c>
      <c r="K25" s="8"/>
    </row>
  </sheetData>
  <mergeCells count="14">
    <mergeCell ref="I1:I2"/>
    <mergeCell ref="J1:J2"/>
    <mergeCell ref="K1:K2"/>
    <mergeCell ref="A3:H3"/>
    <mergeCell ref="A1:A2"/>
    <mergeCell ref="B1:B2"/>
    <mergeCell ref="C1:C2"/>
    <mergeCell ref="D1:D2"/>
    <mergeCell ref="E1:H1"/>
    <mergeCell ref="A6:H6"/>
    <mergeCell ref="A11:H11"/>
    <mergeCell ref="A14:H14"/>
    <mergeCell ref="A20:H20"/>
    <mergeCell ref="A24:H24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K12"/>
  <sheetViews>
    <sheetView workbookViewId="0">
      <selection sqref="A1:A2"/>
    </sheetView>
  </sheetViews>
  <sheetFormatPr defaultColWidth="9.140625" defaultRowHeight="12.75"/>
  <cols>
    <col min="1" max="1" width="24.85546875" style="3" bestFit="1" customWidth="1"/>
    <col min="2" max="2" width="26.5703125" style="3" bestFit="1" customWidth="1"/>
    <col min="3" max="3" width="7.5703125" style="4" bestFit="1" customWidth="1"/>
    <col min="4" max="4" width="17.85546875" style="3" bestFit="1" customWidth="1"/>
    <col min="5" max="7" width="5.5703125" style="4" customWidth="1"/>
    <col min="8" max="8" width="4.7109375" style="4" customWidth="1"/>
    <col min="9" max="9" width="5.7109375" style="6" bestFit="1" customWidth="1"/>
    <col min="10" max="10" width="8.5703125" style="7" bestFit="1" customWidth="1"/>
    <col min="11" max="11" width="7.140625" style="3" bestFit="1" customWidth="1"/>
    <col min="12" max="16384" width="9.140625" style="2"/>
  </cols>
  <sheetData>
    <row r="1" spans="1:11" s="1" customFormat="1" ht="12.75" customHeight="1">
      <c r="A1" s="36" t="s">
        <v>0</v>
      </c>
      <c r="B1" s="39" t="s">
        <v>6</v>
      </c>
      <c r="C1" s="38" t="s">
        <v>4</v>
      </c>
      <c r="D1" s="30" t="s">
        <v>7</v>
      </c>
      <c r="E1" s="30" t="s">
        <v>9</v>
      </c>
      <c r="F1" s="30"/>
      <c r="G1" s="30"/>
      <c r="H1" s="30"/>
      <c r="I1" s="30" t="s">
        <v>161</v>
      </c>
      <c r="J1" s="30" t="s">
        <v>2</v>
      </c>
      <c r="K1" s="32" t="s">
        <v>1</v>
      </c>
    </row>
    <row r="2" spans="1:11" s="1" customFormat="1" ht="23.25" customHeight="1" thickBot="1">
      <c r="A2" s="37"/>
      <c r="B2" s="40"/>
      <c r="C2" s="31"/>
      <c r="D2" s="31"/>
      <c r="E2" s="5">
        <v>1</v>
      </c>
      <c r="F2" s="5">
        <v>2</v>
      </c>
      <c r="G2" s="5">
        <v>3</v>
      </c>
      <c r="H2" s="5" t="s">
        <v>3</v>
      </c>
      <c r="I2" s="31"/>
      <c r="J2" s="31"/>
      <c r="K2" s="33"/>
    </row>
    <row r="3" spans="1:11" s="4" customFormat="1" ht="15">
      <c r="A3" s="34" t="s">
        <v>71</v>
      </c>
      <c r="B3" s="35"/>
      <c r="C3" s="35"/>
      <c r="D3" s="35"/>
      <c r="E3" s="35"/>
      <c r="F3" s="35"/>
      <c r="G3" s="35"/>
      <c r="H3" s="35"/>
      <c r="I3" s="6"/>
      <c r="J3" s="7"/>
      <c r="K3" s="3"/>
    </row>
    <row r="4" spans="1:11" s="4" customFormat="1">
      <c r="A4" s="8" t="s">
        <v>164</v>
      </c>
      <c r="B4" s="8" t="s">
        <v>165</v>
      </c>
      <c r="C4" s="9" t="s">
        <v>74</v>
      </c>
      <c r="D4" s="8" t="s">
        <v>607</v>
      </c>
      <c r="E4" s="9" t="s">
        <v>57</v>
      </c>
      <c r="F4" s="9" t="s">
        <v>166</v>
      </c>
      <c r="G4" s="9" t="s">
        <v>34</v>
      </c>
      <c r="H4" s="10"/>
      <c r="I4" s="11" t="str">
        <f>"207,5"</f>
        <v>207,5</v>
      </c>
      <c r="J4" s="12" t="str">
        <f>"134,3874"</f>
        <v>134,3874</v>
      </c>
      <c r="K4" s="8"/>
    </row>
    <row r="5" spans="1:11" s="4" customFormat="1">
      <c r="A5" s="3"/>
      <c r="B5" s="3"/>
      <c r="D5" s="3"/>
      <c r="I5" s="6"/>
      <c r="J5" s="7"/>
      <c r="K5" s="3"/>
    </row>
    <row r="6" spans="1:11" ht="15">
      <c r="A6" s="28" t="s">
        <v>46</v>
      </c>
      <c r="B6" s="29"/>
      <c r="C6" s="29"/>
      <c r="D6" s="29"/>
      <c r="E6" s="29"/>
      <c r="F6" s="29"/>
      <c r="G6" s="29"/>
      <c r="H6" s="29"/>
    </row>
    <row r="7" spans="1:11">
      <c r="A7" s="16" t="s">
        <v>80</v>
      </c>
      <c r="B7" s="16" t="s">
        <v>81</v>
      </c>
      <c r="C7" s="13" t="s">
        <v>82</v>
      </c>
      <c r="D7" s="16" t="s">
        <v>620</v>
      </c>
      <c r="E7" s="13" t="s">
        <v>105</v>
      </c>
      <c r="F7" s="17" t="s">
        <v>45</v>
      </c>
      <c r="G7" s="17" t="s">
        <v>69</v>
      </c>
      <c r="H7" s="17"/>
      <c r="I7" s="18" t="str">
        <f>"170,0"</f>
        <v>170,0</v>
      </c>
      <c r="J7" s="19" t="str">
        <f>"105,0090"</f>
        <v>105,0090</v>
      </c>
      <c r="K7" s="16"/>
    </row>
    <row r="8" spans="1:11">
      <c r="A8" s="20" t="s">
        <v>140</v>
      </c>
      <c r="B8" s="20" t="s">
        <v>141</v>
      </c>
      <c r="C8" s="14" t="s">
        <v>142</v>
      </c>
      <c r="D8" s="20" t="s">
        <v>642</v>
      </c>
      <c r="E8" s="14" t="s">
        <v>52</v>
      </c>
      <c r="F8" s="14" t="s">
        <v>167</v>
      </c>
      <c r="G8" s="21" t="s">
        <v>60</v>
      </c>
      <c r="H8" s="21"/>
      <c r="I8" s="22" t="str">
        <f>"230,0"</f>
        <v>230,0</v>
      </c>
      <c r="J8" s="23" t="str">
        <f>"143,5400"</f>
        <v>143,5400</v>
      </c>
      <c r="K8" s="20"/>
    </row>
    <row r="9" spans="1:11">
      <c r="A9" s="24" t="s">
        <v>168</v>
      </c>
      <c r="B9" s="24" t="s">
        <v>169</v>
      </c>
      <c r="C9" s="15" t="s">
        <v>170</v>
      </c>
      <c r="D9" s="24" t="s">
        <v>607</v>
      </c>
      <c r="E9" s="15" t="s">
        <v>166</v>
      </c>
      <c r="F9" s="15" t="s">
        <v>52</v>
      </c>
      <c r="G9" s="25" t="s">
        <v>171</v>
      </c>
      <c r="H9" s="25"/>
      <c r="I9" s="26" t="str">
        <f>"220,0"</f>
        <v>220,0</v>
      </c>
      <c r="J9" s="27" t="str">
        <f>"135,5310"</f>
        <v>135,5310</v>
      </c>
      <c r="K9" s="24"/>
    </row>
    <row r="11" spans="1:11" ht="15">
      <c r="A11" s="28" t="s">
        <v>97</v>
      </c>
      <c r="B11" s="29"/>
      <c r="C11" s="29"/>
      <c r="D11" s="29"/>
      <c r="E11" s="29"/>
      <c r="F11" s="29"/>
      <c r="G11" s="29"/>
      <c r="H11" s="29"/>
    </row>
    <row r="12" spans="1:11">
      <c r="A12" s="8" t="s">
        <v>172</v>
      </c>
      <c r="B12" s="8" t="s">
        <v>173</v>
      </c>
      <c r="C12" s="9" t="s">
        <v>174</v>
      </c>
      <c r="D12" s="8" t="s">
        <v>607</v>
      </c>
      <c r="E12" s="9" t="s">
        <v>84</v>
      </c>
      <c r="F12" s="10" t="s">
        <v>175</v>
      </c>
      <c r="G12" s="9" t="s">
        <v>175</v>
      </c>
      <c r="H12" s="10"/>
      <c r="I12" s="11" t="str">
        <f>"272,5"</f>
        <v>272,5</v>
      </c>
      <c r="J12" s="12" t="str">
        <f>"160,2300"</f>
        <v>160,2300</v>
      </c>
      <c r="K12" s="8"/>
    </row>
  </sheetData>
  <mergeCells count="11">
    <mergeCell ref="A1:A2"/>
    <mergeCell ref="B1:B2"/>
    <mergeCell ref="C1:C2"/>
    <mergeCell ref="D1:D2"/>
    <mergeCell ref="E1:H1"/>
    <mergeCell ref="A6:H6"/>
    <mergeCell ref="A11:H11"/>
    <mergeCell ref="I1:I2"/>
    <mergeCell ref="J1:J2"/>
    <mergeCell ref="K1:K2"/>
    <mergeCell ref="A3:H3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11"/>
  <sheetViews>
    <sheetView workbookViewId="0">
      <selection activeCell="A9" sqref="A9"/>
    </sheetView>
  </sheetViews>
  <sheetFormatPr defaultColWidth="9.140625" defaultRowHeight="12.75"/>
  <cols>
    <col min="1" max="1" width="24.85546875" style="3" bestFit="1" customWidth="1"/>
    <col min="2" max="2" width="19.140625" style="4" bestFit="1" customWidth="1"/>
    <col min="3" max="3" width="7.5703125" style="4" bestFit="1" customWidth="1"/>
    <col min="4" max="4" width="14.7109375" style="3" bestFit="1" customWidth="1"/>
    <col min="5" max="7" width="4.5703125" style="4" customWidth="1"/>
    <col min="8" max="8" width="4.7109375" style="4" customWidth="1"/>
    <col min="9" max="9" width="5.7109375" style="6" bestFit="1" customWidth="1"/>
    <col min="10" max="10" width="7.5703125" style="7" bestFit="1" customWidth="1"/>
    <col min="11" max="11" width="7.140625" style="3" bestFit="1" customWidth="1"/>
    <col min="12" max="16384" width="9.140625" style="2"/>
  </cols>
  <sheetData>
    <row r="1" spans="1:11" s="1" customFormat="1" ht="12.75" customHeight="1">
      <c r="A1" s="36" t="s">
        <v>0</v>
      </c>
      <c r="B1" s="38" t="s">
        <v>6</v>
      </c>
      <c r="C1" s="38" t="s">
        <v>4</v>
      </c>
      <c r="D1" s="30" t="s">
        <v>7</v>
      </c>
      <c r="E1" s="30" t="s">
        <v>564</v>
      </c>
      <c r="F1" s="30"/>
      <c r="G1" s="30"/>
      <c r="H1" s="30"/>
      <c r="I1" s="30" t="s">
        <v>161</v>
      </c>
      <c r="J1" s="30" t="s">
        <v>2</v>
      </c>
      <c r="K1" s="32" t="s">
        <v>1</v>
      </c>
    </row>
    <row r="2" spans="1:11" s="1" customFormat="1" ht="23.25" customHeight="1" thickBot="1">
      <c r="A2" s="37"/>
      <c r="B2" s="31"/>
      <c r="C2" s="31"/>
      <c r="D2" s="31"/>
      <c r="E2" s="5">
        <v>1</v>
      </c>
      <c r="F2" s="5">
        <v>2</v>
      </c>
      <c r="G2" s="5">
        <v>3</v>
      </c>
      <c r="H2" s="5" t="s">
        <v>3</v>
      </c>
      <c r="I2" s="31"/>
      <c r="J2" s="31"/>
      <c r="K2" s="33"/>
    </row>
    <row r="3" spans="1:11" s="4" customFormat="1" ht="15">
      <c r="A3" s="34" t="s">
        <v>113</v>
      </c>
      <c r="B3" s="35"/>
      <c r="C3" s="35"/>
      <c r="D3" s="35"/>
      <c r="E3" s="35"/>
      <c r="F3" s="35"/>
      <c r="G3" s="35"/>
      <c r="H3" s="35"/>
      <c r="I3" s="6"/>
      <c r="J3" s="7"/>
      <c r="K3" s="3"/>
    </row>
    <row r="4" spans="1:11" s="4" customFormat="1">
      <c r="A4" s="8" t="s">
        <v>599</v>
      </c>
      <c r="B4" s="9" t="s">
        <v>600</v>
      </c>
      <c r="C4" s="9" t="s">
        <v>601</v>
      </c>
      <c r="D4" s="8" t="s">
        <v>644</v>
      </c>
      <c r="E4" s="9" t="s">
        <v>602</v>
      </c>
      <c r="F4" s="9" t="s">
        <v>603</v>
      </c>
      <c r="G4" s="9" t="s">
        <v>565</v>
      </c>
      <c r="H4" s="10"/>
      <c r="I4" s="11" t="str">
        <f>"25,0"</f>
        <v>25,0</v>
      </c>
      <c r="J4" s="12" t="str">
        <f>"22,7825"</f>
        <v>22,7825</v>
      </c>
      <c r="K4" s="8"/>
    </row>
    <row r="5" spans="1:11" s="4" customFormat="1">
      <c r="A5" s="3"/>
      <c r="D5" s="3"/>
      <c r="I5" s="6"/>
      <c r="J5" s="7"/>
      <c r="K5" s="3"/>
    </row>
    <row r="6" spans="1:11" ht="15">
      <c r="A6" s="28" t="s">
        <v>46</v>
      </c>
      <c r="B6" s="29"/>
      <c r="C6" s="29"/>
      <c r="D6" s="29"/>
      <c r="E6" s="29"/>
      <c r="F6" s="29"/>
      <c r="G6" s="29"/>
      <c r="H6" s="29"/>
    </row>
    <row r="7" spans="1:11">
      <c r="A7" s="16" t="s">
        <v>134</v>
      </c>
      <c r="B7" s="13" t="s">
        <v>135</v>
      </c>
      <c r="C7" s="13" t="s">
        <v>89</v>
      </c>
      <c r="D7" s="16" t="s">
        <v>607</v>
      </c>
      <c r="E7" s="13" t="s">
        <v>42</v>
      </c>
      <c r="F7" s="17" t="s">
        <v>122</v>
      </c>
      <c r="G7" s="17" t="s">
        <v>122</v>
      </c>
      <c r="H7" s="17"/>
      <c r="I7" s="18" t="str">
        <f>"75,0"</f>
        <v>75,0</v>
      </c>
      <c r="J7" s="19" t="str">
        <f>"46,2638"</f>
        <v>46,2638</v>
      </c>
      <c r="K7" s="16"/>
    </row>
    <row r="8" spans="1:11">
      <c r="A8" s="24" t="s">
        <v>137</v>
      </c>
      <c r="B8" s="15" t="s">
        <v>138</v>
      </c>
      <c r="C8" s="15" t="s">
        <v>139</v>
      </c>
      <c r="D8" s="24" t="s">
        <v>641</v>
      </c>
      <c r="E8" s="15" t="s">
        <v>197</v>
      </c>
      <c r="F8" s="15" t="s">
        <v>580</v>
      </c>
      <c r="G8" s="25" t="s">
        <v>42</v>
      </c>
      <c r="H8" s="25"/>
      <c r="I8" s="26" t="str">
        <f>"67,5"</f>
        <v>67,5</v>
      </c>
      <c r="J8" s="27" t="str">
        <f>"41,5598"</f>
        <v>41,5598</v>
      </c>
      <c r="K8" s="24"/>
    </row>
    <row r="10" spans="1:11" ht="15">
      <c r="A10" s="28" t="s">
        <v>53</v>
      </c>
      <c r="B10" s="29"/>
      <c r="C10" s="29"/>
      <c r="D10" s="29"/>
      <c r="E10" s="29"/>
      <c r="F10" s="29"/>
      <c r="G10" s="29"/>
      <c r="H10" s="29"/>
    </row>
    <row r="11" spans="1:11">
      <c r="A11" s="8" t="s">
        <v>604</v>
      </c>
      <c r="B11" s="9" t="s">
        <v>605</v>
      </c>
      <c r="C11" s="9" t="s">
        <v>606</v>
      </c>
      <c r="D11" s="8" t="s">
        <v>645</v>
      </c>
      <c r="E11" s="9" t="s">
        <v>197</v>
      </c>
      <c r="F11" s="9" t="s">
        <v>76</v>
      </c>
      <c r="G11" s="10" t="s">
        <v>78</v>
      </c>
      <c r="H11" s="10"/>
      <c r="I11" s="11" t="str">
        <f>"65,0"</f>
        <v>65,0</v>
      </c>
      <c r="J11" s="12" t="str">
        <f>"37,4985"</f>
        <v>37,4985</v>
      </c>
      <c r="K11" s="8"/>
    </row>
  </sheetData>
  <mergeCells count="11">
    <mergeCell ref="A1:A2"/>
    <mergeCell ref="B1:B2"/>
    <mergeCell ref="C1:C2"/>
    <mergeCell ref="D1:D2"/>
    <mergeCell ref="E1:H1"/>
    <mergeCell ref="A6:H6"/>
    <mergeCell ref="A10:H10"/>
    <mergeCell ref="I1:I2"/>
    <mergeCell ref="J1:J2"/>
    <mergeCell ref="K1:K2"/>
    <mergeCell ref="A3:H3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31"/>
  <sheetViews>
    <sheetView workbookViewId="0">
      <selection activeCell="A5" sqref="A5"/>
    </sheetView>
  </sheetViews>
  <sheetFormatPr defaultColWidth="9.140625" defaultRowHeight="12.75"/>
  <cols>
    <col min="1" max="1" width="24.85546875" style="3" bestFit="1" customWidth="1"/>
    <col min="2" max="2" width="26.5703125" style="4" bestFit="1" customWidth="1"/>
    <col min="3" max="3" width="7.5703125" style="4" bestFit="1" customWidth="1"/>
    <col min="4" max="4" width="16.28515625" style="3" bestFit="1" customWidth="1"/>
    <col min="5" max="7" width="4.5703125" style="4" customWidth="1"/>
    <col min="8" max="8" width="4.7109375" style="4" customWidth="1"/>
    <col min="9" max="9" width="5.7109375" style="6" bestFit="1" customWidth="1"/>
    <col min="10" max="10" width="7.5703125" style="7" bestFit="1" customWidth="1"/>
    <col min="11" max="11" width="7.140625" style="3" bestFit="1" customWidth="1"/>
    <col min="12" max="16384" width="9.140625" style="2"/>
  </cols>
  <sheetData>
    <row r="1" spans="1:11" s="1" customFormat="1" ht="12.75" customHeight="1">
      <c r="A1" s="36" t="s">
        <v>0</v>
      </c>
      <c r="B1" s="38" t="s">
        <v>6</v>
      </c>
      <c r="C1" s="38" t="s">
        <v>4</v>
      </c>
      <c r="D1" s="30" t="s">
        <v>7</v>
      </c>
      <c r="E1" s="30" t="s">
        <v>564</v>
      </c>
      <c r="F1" s="30"/>
      <c r="G1" s="30"/>
      <c r="H1" s="30"/>
      <c r="I1" s="30" t="s">
        <v>161</v>
      </c>
      <c r="J1" s="30" t="s">
        <v>2</v>
      </c>
      <c r="K1" s="32" t="s">
        <v>1</v>
      </c>
    </row>
    <row r="2" spans="1:11" s="1" customFormat="1" ht="23.25" customHeight="1" thickBot="1">
      <c r="A2" s="37"/>
      <c r="B2" s="31"/>
      <c r="C2" s="31"/>
      <c r="D2" s="31"/>
      <c r="E2" s="5">
        <v>1</v>
      </c>
      <c r="F2" s="5">
        <v>2</v>
      </c>
      <c r="G2" s="5">
        <v>3</v>
      </c>
      <c r="H2" s="5" t="s">
        <v>3</v>
      </c>
      <c r="I2" s="31"/>
      <c r="J2" s="31"/>
      <c r="K2" s="33"/>
    </row>
    <row r="3" spans="1:11" s="4" customFormat="1" ht="15">
      <c r="A3" s="34" t="s">
        <v>113</v>
      </c>
      <c r="B3" s="35"/>
      <c r="C3" s="35"/>
      <c r="D3" s="35"/>
      <c r="E3" s="35"/>
      <c r="F3" s="35"/>
      <c r="G3" s="35"/>
      <c r="H3" s="35"/>
      <c r="I3" s="6"/>
      <c r="J3" s="7"/>
      <c r="K3" s="3"/>
    </row>
    <row r="4" spans="1:11" s="4" customFormat="1">
      <c r="A4" s="8" t="s">
        <v>328</v>
      </c>
      <c r="B4" s="9" t="s">
        <v>329</v>
      </c>
      <c r="C4" s="9" t="s">
        <v>330</v>
      </c>
      <c r="D4" s="8" t="s">
        <v>615</v>
      </c>
      <c r="E4" s="9" t="s">
        <v>565</v>
      </c>
      <c r="F4" s="9" t="s">
        <v>566</v>
      </c>
      <c r="G4" s="10" t="s">
        <v>126</v>
      </c>
      <c r="H4" s="10"/>
      <c r="I4" s="11" t="str">
        <f>"30,0"</f>
        <v>30,0</v>
      </c>
      <c r="J4" s="12" t="str">
        <f>"28,1760"</f>
        <v>28,1760</v>
      </c>
      <c r="K4" s="8"/>
    </row>
    <row r="5" spans="1:11" s="4" customFormat="1">
      <c r="A5" s="3"/>
      <c r="D5" s="3"/>
      <c r="I5" s="6"/>
      <c r="J5" s="7"/>
      <c r="K5" s="3"/>
    </row>
    <row r="6" spans="1:11" ht="15">
      <c r="A6" s="28" t="s">
        <v>113</v>
      </c>
      <c r="B6" s="29"/>
      <c r="C6" s="29"/>
      <c r="D6" s="29"/>
      <c r="E6" s="29"/>
      <c r="F6" s="29"/>
      <c r="G6" s="29"/>
      <c r="H6" s="29"/>
    </row>
    <row r="7" spans="1:11">
      <c r="A7" s="8" t="s">
        <v>567</v>
      </c>
      <c r="B7" s="9" t="s">
        <v>568</v>
      </c>
      <c r="C7" s="9" t="s">
        <v>501</v>
      </c>
      <c r="D7" s="8" t="s">
        <v>646</v>
      </c>
      <c r="E7" s="10" t="s">
        <v>110</v>
      </c>
      <c r="F7" s="10" t="s">
        <v>111</v>
      </c>
      <c r="G7" s="10" t="s">
        <v>111</v>
      </c>
      <c r="H7" s="10"/>
      <c r="I7" s="11" t="str">
        <f>"0.00"</f>
        <v>0.00</v>
      </c>
      <c r="J7" s="12" t="str">
        <f>"0,0000"</f>
        <v>0,0000</v>
      </c>
      <c r="K7" s="8"/>
    </row>
    <row r="9" spans="1:11" ht="15">
      <c r="A9" s="28" t="s">
        <v>23</v>
      </c>
      <c r="B9" s="29"/>
      <c r="C9" s="29"/>
      <c r="D9" s="29"/>
      <c r="E9" s="29"/>
      <c r="F9" s="29"/>
      <c r="G9" s="29"/>
      <c r="H9" s="29"/>
    </row>
    <row r="10" spans="1:11">
      <c r="A10" s="16" t="s">
        <v>569</v>
      </c>
      <c r="B10" s="13" t="s">
        <v>570</v>
      </c>
      <c r="C10" s="13" t="s">
        <v>370</v>
      </c>
      <c r="D10" s="16" t="s">
        <v>607</v>
      </c>
      <c r="E10" s="13" t="s">
        <v>112</v>
      </c>
      <c r="F10" s="13" t="s">
        <v>275</v>
      </c>
      <c r="G10" s="17" t="s">
        <v>197</v>
      </c>
      <c r="H10" s="17"/>
      <c r="I10" s="18" t="str">
        <f>"57,5"</f>
        <v>57,5</v>
      </c>
      <c r="J10" s="19" t="str">
        <f>"40,1925"</f>
        <v>40,1925</v>
      </c>
      <c r="K10" s="16"/>
    </row>
    <row r="11" spans="1:11">
      <c r="A11" s="20" t="s">
        <v>537</v>
      </c>
      <c r="B11" s="14" t="s">
        <v>372</v>
      </c>
      <c r="C11" s="14" t="s">
        <v>309</v>
      </c>
      <c r="D11" s="20" t="s">
        <v>627</v>
      </c>
      <c r="E11" s="14" t="s">
        <v>110</v>
      </c>
      <c r="F11" s="21" t="s">
        <v>275</v>
      </c>
      <c r="G11" s="21" t="s">
        <v>275</v>
      </c>
      <c r="H11" s="21"/>
      <c r="I11" s="22" t="str">
        <f>"50,0"</f>
        <v>50,0</v>
      </c>
      <c r="J11" s="23" t="str">
        <f>"34,7000"</f>
        <v>34,7000</v>
      </c>
      <c r="K11" s="20"/>
    </row>
    <row r="12" spans="1:11">
      <c r="A12" s="24" t="s">
        <v>571</v>
      </c>
      <c r="B12" s="15" t="s">
        <v>572</v>
      </c>
      <c r="C12" s="15" t="s">
        <v>573</v>
      </c>
      <c r="D12" s="24" t="s">
        <v>647</v>
      </c>
      <c r="E12" s="25" t="s">
        <v>110</v>
      </c>
      <c r="F12" s="25" t="s">
        <v>110</v>
      </c>
      <c r="G12" s="25" t="s">
        <v>110</v>
      </c>
      <c r="H12" s="25"/>
      <c r="I12" s="26" t="str">
        <f>"0.00"</f>
        <v>0.00</v>
      </c>
      <c r="J12" s="27" t="str">
        <f>"0,0000"</f>
        <v>0,0000</v>
      </c>
      <c r="K12" s="24"/>
    </row>
    <row r="14" spans="1:11" ht="15">
      <c r="A14" s="28" t="s">
        <v>71</v>
      </c>
      <c r="B14" s="29"/>
      <c r="C14" s="29"/>
      <c r="D14" s="29"/>
      <c r="E14" s="29"/>
      <c r="F14" s="29"/>
      <c r="G14" s="29"/>
      <c r="H14" s="29"/>
    </row>
    <row r="15" spans="1:11">
      <c r="A15" s="8" t="s">
        <v>574</v>
      </c>
      <c r="B15" s="9" t="s">
        <v>575</v>
      </c>
      <c r="C15" s="9" t="s">
        <v>576</v>
      </c>
      <c r="D15" s="8" t="s">
        <v>646</v>
      </c>
      <c r="E15" s="9" t="s">
        <v>192</v>
      </c>
      <c r="F15" s="9" t="s">
        <v>77</v>
      </c>
      <c r="G15" s="10"/>
      <c r="H15" s="10"/>
      <c r="I15" s="11" t="str">
        <f>"70,0"</f>
        <v>70,0</v>
      </c>
      <c r="J15" s="12" t="str">
        <f>"46,0110"</f>
        <v>46,0110</v>
      </c>
      <c r="K15" s="8"/>
    </row>
    <row r="17" spans="1:11" ht="15">
      <c r="A17" s="28" t="s">
        <v>46</v>
      </c>
      <c r="B17" s="29"/>
      <c r="C17" s="29"/>
      <c r="D17" s="29"/>
      <c r="E17" s="29"/>
      <c r="F17" s="29"/>
      <c r="G17" s="29"/>
      <c r="H17" s="29"/>
    </row>
    <row r="18" spans="1:11">
      <c r="A18" s="16" t="s">
        <v>577</v>
      </c>
      <c r="B18" s="13" t="s">
        <v>578</v>
      </c>
      <c r="C18" s="13" t="s">
        <v>579</v>
      </c>
      <c r="D18" s="16" t="s">
        <v>648</v>
      </c>
      <c r="E18" s="13" t="s">
        <v>197</v>
      </c>
      <c r="F18" s="13" t="s">
        <v>76</v>
      </c>
      <c r="G18" s="17" t="s">
        <v>580</v>
      </c>
      <c r="H18" s="17"/>
      <c r="I18" s="18" t="str">
        <f>"65,0"</f>
        <v>65,0</v>
      </c>
      <c r="J18" s="19" t="str">
        <f>"41,2100"</f>
        <v>41,2100</v>
      </c>
      <c r="K18" s="16"/>
    </row>
    <row r="19" spans="1:11">
      <c r="A19" s="20" t="s">
        <v>581</v>
      </c>
      <c r="B19" s="14" t="s">
        <v>582</v>
      </c>
      <c r="C19" s="14" t="s">
        <v>583</v>
      </c>
      <c r="D19" s="20" t="s">
        <v>649</v>
      </c>
      <c r="E19" s="14" t="s">
        <v>110</v>
      </c>
      <c r="F19" s="14" t="s">
        <v>112</v>
      </c>
      <c r="G19" s="21" t="s">
        <v>197</v>
      </c>
      <c r="H19" s="21"/>
      <c r="I19" s="22" t="str">
        <f>"55,0"</f>
        <v>55,0</v>
      </c>
      <c r="J19" s="23" t="str">
        <f>"34,7435"</f>
        <v>34,7435</v>
      </c>
      <c r="K19" s="20"/>
    </row>
    <row r="20" spans="1:11">
      <c r="A20" s="20" t="s">
        <v>584</v>
      </c>
      <c r="B20" s="14" t="s">
        <v>585</v>
      </c>
      <c r="C20" s="14" t="s">
        <v>586</v>
      </c>
      <c r="D20" s="20" t="s">
        <v>607</v>
      </c>
      <c r="E20" s="14" t="s">
        <v>110</v>
      </c>
      <c r="F20" s="14" t="s">
        <v>112</v>
      </c>
      <c r="G20" s="21" t="s">
        <v>197</v>
      </c>
      <c r="H20" s="21"/>
      <c r="I20" s="22" t="str">
        <f>"55,0"</f>
        <v>55,0</v>
      </c>
      <c r="J20" s="23" t="str">
        <f>"34,4988"</f>
        <v>34,4988</v>
      </c>
      <c r="K20" s="20"/>
    </row>
    <row r="21" spans="1:11">
      <c r="A21" s="24" t="s">
        <v>394</v>
      </c>
      <c r="B21" s="15" t="s">
        <v>587</v>
      </c>
      <c r="C21" s="15" t="s">
        <v>588</v>
      </c>
      <c r="D21" s="24" t="s">
        <v>607</v>
      </c>
      <c r="E21" s="15" t="s">
        <v>180</v>
      </c>
      <c r="F21" s="15" t="s">
        <v>110</v>
      </c>
      <c r="G21" s="15" t="s">
        <v>112</v>
      </c>
      <c r="H21" s="25"/>
      <c r="I21" s="26" t="str">
        <f>"55,0"</f>
        <v>55,0</v>
      </c>
      <c r="J21" s="27" t="str">
        <f>"37,3038"</f>
        <v>37,3038</v>
      </c>
      <c r="K21" s="24"/>
    </row>
    <row r="23" spans="1:11" ht="15">
      <c r="A23" s="28" t="s">
        <v>97</v>
      </c>
      <c r="B23" s="29"/>
      <c r="C23" s="29"/>
      <c r="D23" s="29"/>
      <c r="E23" s="29"/>
      <c r="F23" s="29"/>
      <c r="G23" s="29"/>
      <c r="H23" s="29"/>
    </row>
    <row r="24" spans="1:11">
      <c r="A24" s="8" t="s">
        <v>589</v>
      </c>
      <c r="B24" s="9" t="s">
        <v>419</v>
      </c>
      <c r="C24" s="9" t="s">
        <v>420</v>
      </c>
      <c r="D24" s="8" t="s">
        <v>631</v>
      </c>
      <c r="E24" s="9" t="s">
        <v>76</v>
      </c>
      <c r="F24" s="9" t="s">
        <v>77</v>
      </c>
      <c r="G24" s="10" t="s">
        <v>312</v>
      </c>
      <c r="H24" s="10"/>
      <c r="I24" s="11" t="str">
        <f>"70,0"</f>
        <v>70,0</v>
      </c>
      <c r="J24" s="12" t="str">
        <f>"41,2195"</f>
        <v>41,2195</v>
      </c>
      <c r="K24" s="8"/>
    </row>
    <row r="26" spans="1:11" ht="15">
      <c r="A26" s="28" t="s">
        <v>53</v>
      </c>
      <c r="B26" s="29"/>
      <c r="C26" s="29"/>
      <c r="D26" s="29"/>
      <c r="E26" s="29"/>
      <c r="F26" s="29"/>
      <c r="G26" s="29"/>
      <c r="H26" s="29"/>
    </row>
    <row r="27" spans="1:11">
      <c r="A27" s="16" t="s">
        <v>590</v>
      </c>
      <c r="B27" s="13" t="s">
        <v>591</v>
      </c>
      <c r="C27" s="13" t="s">
        <v>592</v>
      </c>
      <c r="D27" s="16" t="s">
        <v>607</v>
      </c>
      <c r="E27" s="13" t="s">
        <v>192</v>
      </c>
      <c r="F27" s="13" t="s">
        <v>76</v>
      </c>
      <c r="G27" s="17" t="s">
        <v>312</v>
      </c>
      <c r="H27" s="17"/>
      <c r="I27" s="18" t="str">
        <f>"65,0"</f>
        <v>65,0</v>
      </c>
      <c r="J27" s="19" t="str">
        <f>"37,2807"</f>
        <v>37,2807</v>
      </c>
      <c r="K27" s="16"/>
    </row>
    <row r="28" spans="1:11">
      <c r="A28" s="24" t="s">
        <v>593</v>
      </c>
      <c r="B28" s="15" t="s">
        <v>594</v>
      </c>
      <c r="C28" s="15" t="s">
        <v>595</v>
      </c>
      <c r="D28" s="24" t="s">
        <v>650</v>
      </c>
      <c r="E28" s="15" t="s">
        <v>110</v>
      </c>
      <c r="F28" s="25" t="s">
        <v>112</v>
      </c>
      <c r="G28" s="25" t="s">
        <v>112</v>
      </c>
      <c r="H28" s="25"/>
      <c r="I28" s="26" t="str">
        <f>"50,0"</f>
        <v>50,0</v>
      </c>
      <c r="J28" s="27" t="str">
        <f>"36,9097"</f>
        <v>36,9097</v>
      </c>
      <c r="K28" s="24"/>
    </row>
    <row r="30" spans="1:11" ht="15">
      <c r="A30" s="28" t="s">
        <v>64</v>
      </c>
      <c r="B30" s="29"/>
      <c r="C30" s="29"/>
      <c r="D30" s="29"/>
      <c r="E30" s="29"/>
      <c r="F30" s="29"/>
      <c r="G30" s="29"/>
      <c r="H30" s="29"/>
    </row>
    <row r="31" spans="1:11">
      <c r="A31" s="8" t="s">
        <v>596</v>
      </c>
      <c r="B31" s="9" t="s">
        <v>597</v>
      </c>
      <c r="C31" s="9" t="s">
        <v>598</v>
      </c>
      <c r="D31" s="8" t="s">
        <v>650</v>
      </c>
      <c r="E31" s="9" t="s">
        <v>197</v>
      </c>
      <c r="F31" s="9" t="s">
        <v>76</v>
      </c>
      <c r="G31" s="10" t="s">
        <v>77</v>
      </c>
      <c r="H31" s="10"/>
      <c r="I31" s="11" t="str">
        <f>"65,0"</f>
        <v>65,0</v>
      </c>
      <c r="J31" s="12" t="str">
        <f>"36,3838"</f>
        <v>36,3838</v>
      </c>
      <c r="K31" s="8"/>
    </row>
  </sheetData>
  <mergeCells count="16">
    <mergeCell ref="I1:I2"/>
    <mergeCell ref="J1:J2"/>
    <mergeCell ref="K1:K2"/>
    <mergeCell ref="A3:H3"/>
    <mergeCell ref="A1:A2"/>
    <mergeCell ref="B1:B2"/>
    <mergeCell ref="C1:C2"/>
    <mergeCell ref="D1:D2"/>
    <mergeCell ref="E1:H1"/>
    <mergeCell ref="A30:H30"/>
    <mergeCell ref="A6:H6"/>
    <mergeCell ref="A9:H9"/>
    <mergeCell ref="A14:H14"/>
    <mergeCell ref="A17:H17"/>
    <mergeCell ref="A23:H23"/>
    <mergeCell ref="A26:H26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5"/>
  <sheetViews>
    <sheetView workbookViewId="0">
      <selection sqref="A1:A2"/>
    </sheetView>
  </sheetViews>
  <sheetFormatPr defaultColWidth="9.140625" defaultRowHeight="12.75"/>
  <cols>
    <col min="1" max="1" width="24.85546875" style="3" bestFit="1" customWidth="1"/>
    <col min="2" max="2" width="26.5703125" style="4" bestFit="1" customWidth="1"/>
    <col min="3" max="3" width="7.5703125" style="4" bestFit="1" customWidth="1"/>
    <col min="4" max="4" width="18.7109375" style="3" bestFit="1" customWidth="1"/>
    <col min="5" max="7" width="5.5703125" style="4" customWidth="1"/>
    <col min="8" max="8" width="4.7109375" style="4" customWidth="1"/>
    <col min="9" max="9" width="5.7109375" style="6" bestFit="1" customWidth="1"/>
    <col min="10" max="10" width="8.5703125" style="7" bestFit="1" customWidth="1"/>
    <col min="11" max="11" width="7.140625" style="3" bestFit="1" customWidth="1"/>
    <col min="12" max="16384" width="9.140625" style="2"/>
  </cols>
  <sheetData>
    <row r="1" spans="1:11" s="1" customFormat="1" ht="12.75" customHeight="1">
      <c r="A1" s="36" t="s">
        <v>0</v>
      </c>
      <c r="B1" s="38" t="s">
        <v>6</v>
      </c>
      <c r="C1" s="38" t="s">
        <v>4</v>
      </c>
      <c r="D1" s="30" t="s">
        <v>7</v>
      </c>
      <c r="E1" s="30" t="s">
        <v>10</v>
      </c>
      <c r="F1" s="30"/>
      <c r="G1" s="30"/>
      <c r="H1" s="30"/>
      <c r="I1" s="30" t="s">
        <v>161</v>
      </c>
      <c r="J1" s="30" t="s">
        <v>2</v>
      </c>
      <c r="K1" s="32" t="s">
        <v>1</v>
      </c>
    </row>
    <row r="2" spans="1:11" s="1" customFormat="1" ht="23.25" customHeight="1" thickBot="1">
      <c r="A2" s="37"/>
      <c r="B2" s="31"/>
      <c r="C2" s="31"/>
      <c r="D2" s="31"/>
      <c r="E2" s="5">
        <v>1</v>
      </c>
      <c r="F2" s="5">
        <v>2</v>
      </c>
      <c r="G2" s="5">
        <v>3</v>
      </c>
      <c r="H2" s="5" t="s">
        <v>3</v>
      </c>
      <c r="I2" s="31"/>
      <c r="J2" s="31"/>
      <c r="K2" s="33"/>
    </row>
    <row r="3" spans="1:11" s="4" customFormat="1" ht="15">
      <c r="A3" s="34" t="s">
        <v>23</v>
      </c>
      <c r="B3" s="35"/>
      <c r="C3" s="35"/>
      <c r="D3" s="35"/>
      <c r="E3" s="35"/>
      <c r="F3" s="35"/>
      <c r="G3" s="35"/>
      <c r="H3" s="35"/>
      <c r="I3" s="6"/>
      <c r="J3" s="7"/>
      <c r="K3" s="3"/>
    </row>
    <row r="4" spans="1:11" s="4" customFormat="1">
      <c r="A4" s="8" t="s">
        <v>561</v>
      </c>
      <c r="B4" s="9" t="s">
        <v>562</v>
      </c>
      <c r="C4" s="9" t="s">
        <v>563</v>
      </c>
      <c r="D4" s="8" t="s">
        <v>617</v>
      </c>
      <c r="E4" s="9" t="s">
        <v>40</v>
      </c>
      <c r="F4" s="9" t="s">
        <v>44</v>
      </c>
      <c r="G4" s="9" t="s">
        <v>45</v>
      </c>
      <c r="H4" s="10"/>
      <c r="I4" s="11" t="str">
        <f>"185,0"</f>
        <v>185,0</v>
      </c>
      <c r="J4" s="12" t="str">
        <f>"136,8919"</f>
        <v>136,8919</v>
      </c>
      <c r="K4" s="8"/>
    </row>
    <row r="5" spans="1:11" s="4" customFormat="1">
      <c r="A5" s="3"/>
      <c r="D5" s="3"/>
      <c r="I5" s="6"/>
      <c r="J5" s="7"/>
      <c r="K5" s="3"/>
    </row>
  </sheetData>
  <mergeCells count="9">
    <mergeCell ref="I1:I2"/>
    <mergeCell ref="J1:J2"/>
    <mergeCell ref="K1:K2"/>
    <mergeCell ref="A3:H3"/>
    <mergeCell ref="A1:A2"/>
    <mergeCell ref="B1:B2"/>
    <mergeCell ref="C1:C2"/>
    <mergeCell ref="D1:D2"/>
    <mergeCell ref="E1:H1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42"/>
  <sheetViews>
    <sheetView workbookViewId="0">
      <selection activeCell="A3" sqref="A3:H3"/>
    </sheetView>
  </sheetViews>
  <sheetFormatPr defaultColWidth="9.140625" defaultRowHeight="12.75"/>
  <cols>
    <col min="1" max="1" width="24.85546875" style="3" bestFit="1" customWidth="1"/>
    <col min="2" max="2" width="26.5703125" style="3" bestFit="1" customWidth="1"/>
    <col min="3" max="3" width="7.5703125" style="4" bestFit="1" customWidth="1"/>
    <col min="4" max="4" width="17.7109375" style="3" bestFit="1" customWidth="1"/>
    <col min="5" max="7" width="5.5703125" style="4" customWidth="1"/>
    <col min="8" max="8" width="4.7109375" style="4" customWidth="1"/>
    <col min="9" max="9" width="5.7109375" style="6" bestFit="1" customWidth="1"/>
    <col min="10" max="10" width="8.5703125" style="7" bestFit="1" customWidth="1"/>
    <col min="11" max="11" width="16.42578125" style="3" bestFit="1" customWidth="1"/>
    <col min="12" max="16384" width="9.140625" style="2"/>
  </cols>
  <sheetData>
    <row r="1" spans="1:11" s="1" customFormat="1" ht="12.75" customHeight="1">
      <c r="A1" s="36" t="s">
        <v>0</v>
      </c>
      <c r="B1" s="39" t="s">
        <v>6</v>
      </c>
      <c r="C1" s="38" t="s">
        <v>4</v>
      </c>
      <c r="D1" s="30" t="s">
        <v>7</v>
      </c>
      <c r="E1" s="30" t="s">
        <v>10</v>
      </c>
      <c r="F1" s="30"/>
      <c r="G1" s="30"/>
      <c r="H1" s="30"/>
      <c r="I1" s="30" t="s">
        <v>161</v>
      </c>
      <c r="J1" s="30" t="s">
        <v>2</v>
      </c>
      <c r="K1" s="32" t="s">
        <v>1</v>
      </c>
    </row>
    <row r="2" spans="1:11" s="1" customFormat="1" ht="23.25" customHeight="1" thickBot="1">
      <c r="A2" s="37"/>
      <c r="B2" s="40"/>
      <c r="C2" s="31"/>
      <c r="D2" s="31"/>
      <c r="E2" s="5">
        <v>1</v>
      </c>
      <c r="F2" s="5">
        <v>2</v>
      </c>
      <c r="G2" s="5">
        <v>3</v>
      </c>
      <c r="H2" s="5" t="s">
        <v>3</v>
      </c>
      <c r="I2" s="31"/>
      <c r="J2" s="31"/>
      <c r="K2" s="33"/>
    </row>
    <row r="3" spans="1:11" s="4" customFormat="1" ht="15">
      <c r="A3" s="34" t="s">
        <v>182</v>
      </c>
      <c r="B3" s="35"/>
      <c r="C3" s="35"/>
      <c r="D3" s="35"/>
      <c r="E3" s="35"/>
      <c r="F3" s="35"/>
      <c r="G3" s="35"/>
      <c r="H3" s="35"/>
      <c r="I3" s="6"/>
      <c r="J3" s="7"/>
      <c r="K3" s="3"/>
    </row>
    <row r="4" spans="1:11" s="4" customFormat="1">
      <c r="A4" s="16" t="s">
        <v>516</v>
      </c>
      <c r="B4" s="16" t="s">
        <v>517</v>
      </c>
      <c r="C4" s="13" t="s">
        <v>518</v>
      </c>
      <c r="D4" s="16" t="s">
        <v>651</v>
      </c>
      <c r="E4" s="13" t="s">
        <v>78</v>
      </c>
      <c r="F4" s="13" t="s">
        <v>191</v>
      </c>
      <c r="G4" s="13" t="s">
        <v>79</v>
      </c>
      <c r="H4" s="17"/>
      <c r="I4" s="18" t="str">
        <f>"105,0"</f>
        <v>105,0</v>
      </c>
      <c r="J4" s="19" t="str">
        <f>"111,2055"</f>
        <v>111,2055</v>
      </c>
      <c r="K4" s="16"/>
    </row>
    <row r="5" spans="1:11" s="4" customFormat="1">
      <c r="A5" s="20" t="s">
        <v>183</v>
      </c>
      <c r="B5" s="20" t="s">
        <v>184</v>
      </c>
      <c r="C5" s="14" t="s">
        <v>185</v>
      </c>
      <c r="D5" s="20" t="s">
        <v>607</v>
      </c>
      <c r="E5" s="14" t="s">
        <v>79</v>
      </c>
      <c r="F5" s="14" t="s">
        <v>29</v>
      </c>
      <c r="G5" s="14" t="s">
        <v>186</v>
      </c>
      <c r="H5" s="21"/>
      <c r="I5" s="22" t="str">
        <f>"110,0"</f>
        <v>110,0</v>
      </c>
      <c r="J5" s="23" t="str">
        <f>"117,1830"</f>
        <v>117,1830</v>
      </c>
      <c r="K5" s="20" t="s">
        <v>187</v>
      </c>
    </row>
    <row r="6" spans="1:11">
      <c r="A6" s="20" t="s">
        <v>519</v>
      </c>
      <c r="B6" s="20" t="s">
        <v>520</v>
      </c>
      <c r="C6" s="14" t="s">
        <v>521</v>
      </c>
      <c r="D6" s="20" t="s">
        <v>607</v>
      </c>
      <c r="E6" s="14" t="s">
        <v>43</v>
      </c>
      <c r="F6" s="14" t="s">
        <v>78</v>
      </c>
      <c r="G6" s="14" t="s">
        <v>79</v>
      </c>
      <c r="H6" s="21"/>
      <c r="I6" s="22" t="str">
        <f>"105,0"</f>
        <v>105,0</v>
      </c>
      <c r="J6" s="23" t="str">
        <f>"111,3630"</f>
        <v>111,3630</v>
      </c>
      <c r="K6" s="20"/>
    </row>
    <row r="7" spans="1:11">
      <c r="A7" s="24" t="s">
        <v>522</v>
      </c>
      <c r="B7" s="24" t="s">
        <v>523</v>
      </c>
      <c r="C7" s="15" t="s">
        <v>518</v>
      </c>
      <c r="D7" s="24" t="s">
        <v>607</v>
      </c>
      <c r="E7" s="15" t="s">
        <v>122</v>
      </c>
      <c r="F7" s="15" t="s">
        <v>43</v>
      </c>
      <c r="G7" s="15" t="s">
        <v>181</v>
      </c>
      <c r="H7" s="25"/>
      <c r="I7" s="26" t="str">
        <f>"90,0"</f>
        <v>90,0</v>
      </c>
      <c r="J7" s="27" t="str">
        <f>"95,3190"</f>
        <v>95,3190</v>
      </c>
      <c r="K7" s="24"/>
    </row>
    <row r="9" spans="1:11" ht="15">
      <c r="A9" s="28" t="s">
        <v>11</v>
      </c>
      <c r="B9" s="29"/>
      <c r="C9" s="29"/>
      <c r="D9" s="29"/>
      <c r="E9" s="29"/>
      <c r="F9" s="29"/>
      <c r="G9" s="29"/>
      <c r="H9" s="29"/>
    </row>
    <row r="10" spans="1:11">
      <c r="A10" s="8" t="s">
        <v>524</v>
      </c>
      <c r="B10" s="8" t="s">
        <v>525</v>
      </c>
      <c r="C10" s="9" t="s">
        <v>526</v>
      </c>
      <c r="D10" s="8" t="s">
        <v>652</v>
      </c>
      <c r="E10" s="9" t="s">
        <v>75</v>
      </c>
      <c r="F10" s="9" t="s">
        <v>186</v>
      </c>
      <c r="G10" s="9" t="s">
        <v>147</v>
      </c>
      <c r="H10" s="10"/>
      <c r="I10" s="11" t="str">
        <f>"120,0"</f>
        <v>120,0</v>
      </c>
      <c r="J10" s="12" t="str">
        <f>"121,4400"</f>
        <v>121,4400</v>
      </c>
      <c r="K10" s="8"/>
    </row>
    <row r="12" spans="1:11" ht="15">
      <c r="A12" s="28" t="s">
        <v>313</v>
      </c>
      <c r="B12" s="29"/>
      <c r="C12" s="29"/>
      <c r="D12" s="29"/>
      <c r="E12" s="29"/>
      <c r="F12" s="29"/>
      <c r="G12" s="29"/>
      <c r="H12" s="29"/>
    </row>
    <row r="13" spans="1:11">
      <c r="A13" s="8" t="s">
        <v>527</v>
      </c>
      <c r="B13" s="8" t="s">
        <v>528</v>
      </c>
      <c r="C13" s="9" t="s">
        <v>529</v>
      </c>
      <c r="D13" s="8" t="s">
        <v>607</v>
      </c>
      <c r="E13" s="9" t="s">
        <v>76</v>
      </c>
      <c r="F13" s="9" t="s">
        <v>312</v>
      </c>
      <c r="G13" s="9" t="s">
        <v>121</v>
      </c>
      <c r="H13" s="10"/>
      <c r="I13" s="11" t="str">
        <f>"77,5"</f>
        <v>77,5</v>
      </c>
      <c r="J13" s="12" t="str">
        <f>"79,3523"</f>
        <v>79,3523</v>
      </c>
      <c r="K13" s="8"/>
    </row>
    <row r="15" spans="1:11" ht="15">
      <c r="A15" s="28" t="s">
        <v>11</v>
      </c>
      <c r="B15" s="29"/>
      <c r="C15" s="29"/>
      <c r="D15" s="29"/>
      <c r="E15" s="29"/>
      <c r="F15" s="29"/>
      <c r="G15" s="29"/>
      <c r="H15" s="29"/>
    </row>
    <row r="16" spans="1:11">
      <c r="A16" s="8" t="s">
        <v>205</v>
      </c>
      <c r="B16" s="8" t="s">
        <v>206</v>
      </c>
      <c r="C16" s="9" t="s">
        <v>207</v>
      </c>
      <c r="D16" s="8" t="s">
        <v>611</v>
      </c>
      <c r="E16" s="9" t="s">
        <v>45</v>
      </c>
      <c r="F16" s="9" t="s">
        <v>69</v>
      </c>
      <c r="G16" s="10" t="s">
        <v>34</v>
      </c>
      <c r="H16" s="10"/>
      <c r="I16" s="11" t="str">
        <f>"200,0"</f>
        <v>200,0</v>
      </c>
      <c r="J16" s="12" t="str">
        <f>"169,9000"</f>
        <v>169,9000</v>
      </c>
      <c r="K16" s="8"/>
    </row>
    <row r="18" spans="1:11" ht="15">
      <c r="A18" s="28" t="s">
        <v>113</v>
      </c>
      <c r="B18" s="29"/>
      <c r="C18" s="29"/>
      <c r="D18" s="29"/>
      <c r="E18" s="29"/>
      <c r="F18" s="29"/>
      <c r="G18" s="29"/>
      <c r="H18" s="29"/>
    </row>
    <row r="19" spans="1:11">
      <c r="A19" s="8" t="s">
        <v>530</v>
      </c>
      <c r="B19" s="8" t="s">
        <v>531</v>
      </c>
      <c r="C19" s="9" t="s">
        <v>532</v>
      </c>
      <c r="D19" s="8" t="s">
        <v>653</v>
      </c>
      <c r="E19" s="9" t="s">
        <v>58</v>
      </c>
      <c r="F19" s="10" t="s">
        <v>166</v>
      </c>
      <c r="G19" s="10" t="s">
        <v>166</v>
      </c>
      <c r="H19" s="10"/>
      <c r="I19" s="11" t="str">
        <f>"195,0"</f>
        <v>195,0</v>
      </c>
      <c r="J19" s="12" t="str">
        <f>"157,1798"</f>
        <v>157,1798</v>
      </c>
      <c r="K19" s="8"/>
    </row>
    <row r="21" spans="1:11" ht="15">
      <c r="A21" s="28" t="s">
        <v>23</v>
      </c>
      <c r="B21" s="29"/>
      <c r="C21" s="29"/>
      <c r="D21" s="29"/>
      <c r="E21" s="29"/>
      <c r="F21" s="29"/>
      <c r="G21" s="29"/>
      <c r="H21" s="29"/>
    </row>
    <row r="22" spans="1:11">
      <c r="A22" s="16" t="s">
        <v>533</v>
      </c>
      <c r="B22" s="16" t="s">
        <v>534</v>
      </c>
      <c r="C22" s="13" t="s">
        <v>535</v>
      </c>
      <c r="D22" s="16" t="s">
        <v>607</v>
      </c>
      <c r="E22" s="13" t="s">
        <v>84</v>
      </c>
      <c r="F22" s="13" t="s">
        <v>536</v>
      </c>
      <c r="G22" s="17" t="s">
        <v>101</v>
      </c>
      <c r="H22" s="17"/>
      <c r="I22" s="18" t="str">
        <f>"260,0"</f>
        <v>260,0</v>
      </c>
      <c r="J22" s="19" t="str">
        <f>"180,2710"</f>
        <v>180,2710</v>
      </c>
      <c r="K22" s="16"/>
    </row>
    <row r="23" spans="1:11">
      <c r="A23" s="20" t="s">
        <v>537</v>
      </c>
      <c r="B23" s="20" t="s">
        <v>372</v>
      </c>
      <c r="C23" s="14" t="s">
        <v>309</v>
      </c>
      <c r="D23" s="20" t="s">
        <v>627</v>
      </c>
      <c r="E23" s="21" t="s">
        <v>20</v>
      </c>
      <c r="F23" s="21" t="s">
        <v>20</v>
      </c>
      <c r="G23" s="14" t="s">
        <v>20</v>
      </c>
      <c r="H23" s="21"/>
      <c r="I23" s="22" t="str">
        <f>"155,0"</f>
        <v>155,0</v>
      </c>
      <c r="J23" s="23" t="str">
        <f>"107,5700"</f>
        <v>107,5700</v>
      </c>
      <c r="K23" s="20"/>
    </row>
    <row r="24" spans="1:11">
      <c r="A24" s="20" t="s">
        <v>538</v>
      </c>
      <c r="B24" s="20" t="s">
        <v>216</v>
      </c>
      <c r="C24" s="14" t="s">
        <v>217</v>
      </c>
      <c r="D24" s="20" t="s">
        <v>609</v>
      </c>
      <c r="E24" s="21" t="s">
        <v>52</v>
      </c>
      <c r="F24" s="21" t="s">
        <v>52</v>
      </c>
      <c r="G24" s="21" t="s">
        <v>52</v>
      </c>
      <c r="H24" s="21"/>
      <c r="I24" s="22" t="str">
        <f>"0.00"</f>
        <v>0.00</v>
      </c>
      <c r="J24" s="23" t="str">
        <f>"0,0000"</f>
        <v>0,0000</v>
      </c>
      <c r="K24" s="20"/>
    </row>
    <row r="25" spans="1:11">
      <c r="A25" s="24" t="s">
        <v>375</v>
      </c>
      <c r="B25" s="24" t="s">
        <v>376</v>
      </c>
      <c r="C25" s="15" t="s">
        <v>377</v>
      </c>
      <c r="D25" s="24" t="s">
        <v>623</v>
      </c>
      <c r="E25" s="15" t="s">
        <v>186</v>
      </c>
      <c r="F25" s="15" t="s">
        <v>147</v>
      </c>
      <c r="G25" s="15" t="s">
        <v>39</v>
      </c>
      <c r="H25" s="25"/>
      <c r="I25" s="26" t="str">
        <f>"130,0"</f>
        <v>130,0</v>
      </c>
      <c r="J25" s="27" t="str">
        <f>"114,4227"</f>
        <v>114,4227</v>
      </c>
      <c r="K25" s="24"/>
    </row>
    <row r="27" spans="1:11" ht="15">
      <c r="A27" s="28" t="s">
        <v>71</v>
      </c>
      <c r="B27" s="29"/>
      <c r="C27" s="29"/>
      <c r="D27" s="29"/>
      <c r="E27" s="29"/>
      <c r="F27" s="29"/>
      <c r="G27" s="29"/>
      <c r="H27" s="29"/>
    </row>
    <row r="28" spans="1:11">
      <c r="A28" s="16" t="s">
        <v>539</v>
      </c>
      <c r="B28" s="16" t="s">
        <v>540</v>
      </c>
      <c r="C28" s="13" t="s">
        <v>541</v>
      </c>
      <c r="D28" s="16" t="s">
        <v>607</v>
      </c>
      <c r="E28" s="13" t="s">
        <v>271</v>
      </c>
      <c r="F28" s="13" t="s">
        <v>39</v>
      </c>
      <c r="G28" s="17" t="s">
        <v>16</v>
      </c>
      <c r="H28" s="17"/>
      <c r="I28" s="18" t="str">
        <f>"130,0"</f>
        <v>130,0</v>
      </c>
      <c r="J28" s="19" t="str">
        <f>"84,6690"</f>
        <v>84,6690</v>
      </c>
      <c r="K28" s="16"/>
    </row>
    <row r="29" spans="1:11">
      <c r="A29" s="20" t="s">
        <v>542</v>
      </c>
      <c r="B29" s="20" t="s">
        <v>543</v>
      </c>
      <c r="C29" s="14" t="s">
        <v>544</v>
      </c>
      <c r="D29" s="20" t="s">
        <v>610</v>
      </c>
      <c r="E29" s="14" t="s">
        <v>41</v>
      </c>
      <c r="F29" s="14" t="s">
        <v>50</v>
      </c>
      <c r="G29" s="14" t="s">
        <v>105</v>
      </c>
      <c r="H29" s="21"/>
      <c r="I29" s="22" t="str">
        <f>"170,0"</f>
        <v>170,0</v>
      </c>
      <c r="J29" s="23" t="str">
        <f>"111,1800"</f>
        <v>111,1800</v>
      </c>
      <c r="K29" s="20"/>
    </row>
    <row r="30" spans="1:11">
      <c r="A30" s="20" t="s">
        <v>545</v>
      </c>
      <c r="B30" s="20" t="s">
        <v>546</v>
      </c>
      <c r="C30" s="14" t="s">
        <v>547</v>
      </c>
      <c r="D30" s="20" t="s">
        <v>607</v>
      </c>
      <c r="E30" s="14" t="s">
        <v>230</v>
      </c>
      <c r="F30" s="14" t="s">
        <v>41</v>
      </c>
      <c r="G30" s="14" t="s">
        <v>28</v>
      </c>
      <c r="H30" s="21"/>
      <c r="I30" s="22" t="str">
        <f>"162,5"</f>
        <v>162,5</v>
      </c>
      <c r="J30" s="23" t="str">
        <f>"106,6244"</f>
        <v>106,6244</v>
      </c>
      <c r="K30" s="20"/>
    </row>
    <row r="31" spans="1:11">
      <c r="A31" s="24" t="s">
        <v>548</v>
      </c>
      <c r="B31" s="24" t="s">
        <v>549</v>
      </c>
      <c r="C31" s="15" t="s">
        <v>297</v>
      </c>
      <c r="D31" s="24" t="s">
        <v>654</v>
      </c>
      <c r="E31" s="15" t="s">
        <v>69</v>
      </c>
      <c r="F31" s="15" t="s">
        <v>59</v>
      </c>
      <c r="G31" s="15" t="s">
        <v>51</v>
      </c>
      <c r="H31" s="25"/>
      <c r="I31" s="26" t="str">
        <f>"215,0"</f>
        <v>215,0</v>
      </c>
      <c r="J31" s="27" t="str">
        <f>"209,3236"</f>
        <v>209,3236</v>
      </c>
      <c r="K31" s="24"/>
    </row>
    <row r="33" spans="1:11" ht="15">
      <c r="A33" s="28" t="s">
        <v>46</v>
      </c>
      <c r="B33" s="29"/>
      <c r="C33" s="29"/>
      <c r="D33" s="29"/>
      <c r="E33" s="29"/>
      <c r="F33" s="29"/>
      <c r="G33" s="29"/>
      <c r="H33" s="29"/>
    </row>
    <row r="34" spans="1:11">
      <c r="A34" s="16" t="s">
        <v>550</v>
      </c>
      <c r="B34" s="16" t="s">
        <v>551</v>
      </c>
      <c r="C34" s="13" t="s">
        <v>96</v>
      </c>
      <c r="D34" s="16" t="s">
        <v>607</v>
      </c>
      <c r="E34" s="13" t="s">
        <v>69</v>
      </c>
      <c r="F34" s="13" t="s">
        <v>223</v>
      </c>
      <c r="G34" s="17" t="s">
        <v>90</v>
      </c>
      <c r="H34" s="17"/>
      <c r="I34" s="18" t="str">
        <f>"222,5"</f>
        <v>222,5</v>
      </c>
      <c r="J34" s="19" t="str">
        <f>"137,7831"</f>
        <v>137,7831</v>
      </c>
      <c r="K34" s="16"/>
    </row>
    <row r="35" spans="1:11">
      <c r="A35" s="24" t="s">
        <v>552</v>
      </c>
      <c r="B35" s="24" t="s">
        <v>553</v>
      </c>
      <c r="C35" s="15" t="s">
        <v>554</v>
      </c>
      <c r="D35" s="24" t="s">
        <v>655</v>
      </c>
      <c r="E35" s="15" t="s">
        <v>32</v>
      </c>
      <c r="F35" s="15" t="s">
        <v>59</v>
      </c>
      <c r="G35" s="25" t="s">
        <v>223</v>
      </c>
      <c r="H35" s="25"/>
      <c r="I35" s="26" t="str">
        <f>"210,0"</f>
        <v>210,0</v>
      </c>
      <c r="J35" s="27" t="str">
        <f>"129,8745"</f>
        <v>129,8745</v>
      </c>
      <c r="K35" s="24"/>
    </row>
    <row r="37" spans="1:11" ht="15">
      <c r="A37" s="28" t="s">
        <v>97</v>
      </c>
      <c r="B37" s="29"/>
      <c r="C37" s="29"/>
      <c r="D37" s="29"/>
      <c r="E37" s="29"/>
      <c r="F37" s="29"/>
      <c r="G37" s="29"/>
      <c r="H37" s="29"/>
    </row>
    <row r="38" spans="1:11">
      <c r="A38" s="16" t="s">
        <v>555</v>
      </c>
      <c r="B38" s="16" t="s">
        <v>556</v>
      </c>
      <c r="C38" s="13" t="s">
        <v>557</v>
      </c>
      <c r="D38" s="16" t="s">
        <v>656</v>
      </c>
      <c r="E38" s="17" t="s">
        <v>163</v>
      </c>
      <c r="F38" s="13" t="s">
        <v>163</v>
      </c>
      <c r="G38" s="13" t="s">
        <v>61</v>
      </c>
      <c r="H38" s="17"/>
      <c r="I38" s="18" t="str">
        <f>"260,0"</f>
        <v>260,0</v>
      </c>
      <c r="J38" s="19" t="str">
        <f>"153,2440"</f>
        <v>153,2440</v>
      </c>
      <c r="K38" s="16"/>
    </row>
    <row r="39" spans="1:11">
      <c r="A39" s="24" t="s">
        <v>558</v>
      </c>
      <c r="B39" s="24" t="s">
        <v>559</v>
      </c>
      <c r="C39" s="15" t="s">
        <v>152</v>
      </c>
      <c r="D39" s="24" t="s">
        <v>607</v>
      </c>
      <c r="E39" s="15" t="s">
        <v>45</v>
      </c>
      <c r="F39" s="15" t="s">
        <v>58</v>
      </c>
      <c r="G39" s="25" t="s">
        <v>166</v>
      </c>
      <c r="H39" s="25"/>
      <c r="I39" s="26" t="str">
        <f>"195,0"</f>
        <v>195,0</v>
      </c>
      <c r="J39" s="27" t="str">
        <f>"116,4762"</f>
        <v>116,4762</v>
      </c>
      <c r="K39" s="24" t="s">
        <v>560</v>
      </c>
    </row>
    <row r="41" spans="1:11" ht="15">
      <c r="A41" s="28" t="s">
        <v>64</v>
      </c>
      <c r="B41" s="29"/>
      <c r="C41" s="29"/>
      <c r="D41" s="29"/>
      <c r="E41" s="29"/>
      <c r="F41" s="29"/>
      <c r="G41" s="29"/>
      <c r="H41" s="29"/>
    </row>
    <row r="42" spans="1:11">
      <c r="A42" s="8" t="s">
        <v>458</v>
      </c>
      <c r="B42" s="8" t="s">
        <v>459</v>
      </c>
      <c r="C42" s="9" t="s">
        <v>460</v>
      </c>
      <c r="D42" s="8" t="s">
        <v>607</v>
      </c>
      <c r="E42" s="9" t="s">
        <v>57</v>
      </c>
      <c r="F42" s="9" t="s">
        <v>32</v>
      </c>
      <c r="G42" s="9" t="s">
        <v>69</v>
      </c>
      <c r="H42" s="10"/>
      <c r="I42" s="11" t="str">
        <f>"200,0"</f>
        <v>200,0</v>
      </c>
      <c r="J42" s="12" t="str">
        <f>"161,7936"</f>
        <v>161,7936</v>
      </c>
      <c r="K42" s="8"/>
    </row>
  </sheetData>
  <mergeCells count="18">
    <mergeCell ref="I1:I2"/>
    <mergeCell ref="J1:J2"/>
    <mergeCell ref="K1:K2"/>
    <mergeCell ref="A3:H3"/>
    <mergeCell ref="A1:A2"/>
    <mergeCell ref="B1:B2"/>
    <mergeCell ref="C1:C2"/>
    <mergeCell ref="D1:D2"/>
    <mergeCell ref="E1:H1"/>
    <mergeCell ref="A33:H33"/>
    <mergeCell ref="A37:H37"/>
    <mergeCell ref="A41:H41"/>
    <mergeCell ref="A9:H9"/>
    <mergeCell ref="A12:H12"/>
    <mergeCell ref="A15:H15"/>
    <mergeCell ref="A18:H18"/>
    <mergeCell ref="A21:H21"/>
    <mergeCell ref="A27:H27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K5"/>
  <sheetViews>
    <sheetView workbookViewId="0">
      <selection sqref="A1:A2"/>
    </sheetView>
  </sheetViews>
  <sheetFormatPr defaultColWidth="9.140625" defaultRowHeight="12.75"/>
  <cols>
    <col min="1" max="1" width="24.85546875" style="3" bestFit="1" customWidth="1"/>
    <col min="2" max="2" width="26.5703125" style="3" bestFit="1" customWidth="1"/>
    <col min="3" max="3" width="7.5703125" style="4" bestFit="1" customWidth="1"/>
    <col min="4" max="4" width="14.7109375" style="3" bestFit="1" customWidth="1"/>
    <col min="5" max="6" width="5.5703125" style="4" customWidth="1"/>
    <col min="7" max="7" width="2.140625" style="4" customWidth="1"/>
    <col min="8" max="8" width="4.7109375" style="4" customWidth="1"/>
    <col min="9" max="9" width="5.7109375" style="6" bestFit="1" customWidth="1"/>
    <col min="10" max="10" width="8.5703125" style="7" bestFit="1" customWidth="1"/>
    <col min="11" max="11" width="7.140625" style="3" bestFit="1" customWidth="1"/>
    <col min="12" max="16384" width="9.140625" style="2"/>
  </cols>
  <sheetData>
    <row r="1" spans="1:11" s="1" customFormat="1" ht="12.75" customHeight="1">
      <c r="A1" s="36" t="s">
        <v>0</v>
      </c>
      <c r="B1" s="39" t="s">
        <v>6</v>
      </c>
      <c r="C1" s="38" t="s">
        <v>4</v>
      </c>
      <c r="D1" s="30" t="s">
        <v>7</v>
      </c>
      <c r="E1" s="30" t="s">
        <v>10</v>
      </c>
      <c r="F1" s="30"/>
      <c r="G1" s="30"/>
      <c r="H1" s="30"/>
      <c r="I1" s="30" t="s">
        <v>161</v>
      </c>
      <c r="J1" s="30" t="s">
        <v>2</v>
      </c>
      <c r="K1" s="32" t="s">
        <v>1</v>
      </c>
    </row>
    <row r="2" spans="1:11" s="1" customFormat="1" ht="23.25" customHeight="1" thickBot="1">
      <c r="A2" s="37"/>
      <c r="B2" s="40"/>
      <c r="C2" s="31"/>
      <c r="D2" s="31"/>
      <c r="E2" s="5">
        <v>1</v>
      </c>
      <c r="F2" s="5">
        <v>2</v>
      </c>
      <c r="G2" s="5">
        <v>3</v>
      </c>
      <c r="H2" s="5" t="s">
        <v>3</v>
      </c>
      <c r="I2" s="31"/>
      <c r="J2" s="31"/>
      <c r="K2" s="33"/>
    </row>
    <row r="3" spans="1:11" s="4" customFormat="1" ht="15">
      <c r="A3" s="34" t="s">
        <v>46</v>
      </c>
      <c r="B3" s="35"/>
      <c r="C3" s="35"/>
      <c r="D3" s="35"/>
      <c r="E3" s="35"/>
      <c r="F3" s="35"/>
      <c r="G3" s="35"/>
      <c r="H3" s="35"/>
      <c r="I3" s="6"/>
      <c r="J3" s="7"/>
      <c r="K3" s="3"/>
    </row>
    <row r="4" spans="1:11" s="4" customFormat="1">
      <c r="A4" s="16" t="s">
        <v>94</v>
      </c>
      <c r="B4" s="16" t="s">
        <v>162</v>
      </c>
      <c r="C4" s="13" t="s">
        <v>96</v>
      </c>
      <c r="D4" s="16" t="s">
        <v>620</v>
      </c>
      <c r="E4" s="13" t="s">
        <v>69</v>
      </c>
      <c r="F4" s="13" t="s">
        <v>52</v>
      </c>
      <c r="G4" s="17"/>
      <c r="H4" s="17"/>
      <c r="I4" s="18" t="str">
        <f>"220,0"</f>
        <v>220,0</v>
      </c>
      <c r="J4" s="19" t="str">
        <f>"136,2350"</f>
        <v>136,2350</v>
      </c>
      <c r="K4" s="16"/>
    </row>
    <row r="5" spans="1:11" s="4" customFormat="1">
      <c r="A5" s="24" t="s">
        <v>94</v>
      </c>
      <c r="B5" s="24" t="s">
        <v>95</v>
      </c>
      <c r="C5" s="15" t="s">
        <v>96</v>
      </c>
      <c r="D5" s="24" t="s">
        <v>620</v>
      </c>
      <c r="E5" s="15" t="s">
        <v>69</v>
      </c>
      <c r="F5" s="15" t="s">
        <v>52</v>
      </c>
      <c r="G5" s="25"/>
      <c r="H5" s="25"/>
      <c r="I5" s="26" t="str">
        <f>"220,0"</f>
        <v>220,0</v>
      </c>
      <c r="J5" s="27" t="str">
        <f>"140,4583"</f>
        <v>140,4583</v>
      </c>
      <c r="K5" s="24"/>
    </row>
  </sheetData>
  <mergeCells count="9">
    <mergeCell ref="I1:I2"/>
    <mergeCell ref="J1:J2"/>
    <mergeCell ref="K1:K2"/>
    <mergeCell ref="A3:H3"/>
    <mergeCell ref="A1:A2"/>
    <mergeCell ref="B1:B2"/>
    <mergeCell ref="C1:C2"/>
    <mergeCell ref="D1:D2"/>
    <mergeCell ref="E1:H1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K30"/>
  <sheetViews>
    <sheetView workbookViewId="0">
      <selection activeCell="A3" sqref="A3:H3"/>
    </sheetView>
  </sheetViews>
  <sheetFormatPr defaultColWidth="9.140625" defaultRowHeight="12.75"/>
  <cols>
    <col min="1" max="1" width="24.85546875" style="3" bestFit="1" customWidth="1"/>
    <col min="2" max="2" width="26.5703125" style="3" bestFit="1" customWidth="1"/>
    <col min="3" max="3" width="7.5703125" style="4" bestFit="1" customWidth="1"/>
    <col min="4" max="4" width="14.7109375" style="3" bestFit="1" customWidth="1"/>
    <col min="5" max="7" width="5.5703125" style="4" customWidth="1"/>
    <col min="8" max="8" width="4.7109375" style="4" customWidth="1"/>
    <col min="9" max="9" width="7.5703125" style="6" bestFit="1" customWidth="1"/>
    <col min="10" max="10" width="8.5703125" style="7" bestFit="1" customWidth="1"/>
    <col min="11" max="11" width="7.140625" style="3" bestFit="1" customWidth="1"/>
    <col min="12" max="16384" width="9.140625" style="2"/>
  </cols>
  <sheetData>
    <row r="1" spans="1:11" s="1" customFormat="1" ht="12.75" customHeight="1">
      <c r="A1" s="36" t="s">
        <v>0</v>
      </c>
      <c r="B1" s="39" t="s">
        <v>6</v>
      </c>
      <c r="C1" s="38" t="s">
        <v>4</v>
      </c>
      <c r="D1" s="30" t="s">
        <v>7</v>
      </c>
      <c r="E1" s="30" t="s">
        <v>10</v>
      </c>
      <c r="F1" s="30"/>
      <c r="G1" s="30"/>
      <c r="H1" s="30"/>
      <c r="I1" s="30" t="s">
        <v>161</v>
      </c>
      <c r="J1" s="30" t="s">
        <v>2</v>
      </c>
      <c r="K1" s="32" t="s">
        <v>1</v>
      </c>
    </row>
    <row r="2" spans="1:11" s="1" customFormat="1" ht="23.25" customHeight="1" thickBot="1">
      <c r="A2" s="37"/>
      <c r="B2" s="40"/>
      <c r="C2" s="31"/>
      <c r="D2" s="31"/>
      <c r="E2" s="5">
        <v>1</v>
      </c>
      <c r="F2" s="5">
        <v>2</v>
      </c>
      <c r="G2" s="5">
        <v>3</v>
      </c>
      <c r="H2" s="5" t="s">
        <v>3</v>
      </c>
      <c r="I2" s="31"/>
      <c r="J2" s="31"/>
      <c r="K2" s="33"/>
    </row>
    <row r="3" spans="1:11" s="4" customFormat="1" ht="15">
      <c r="A3" s="34" t="s">
        <v>182</v>
      </c>
      <c r="B3" s="35"/>
      <c r="C3" s="35"/>
      <c r="D3" s="35"/>
      <c r="E3" s="35"/>
      <c r="F3" s="35"/>
      <c r="G3" s="35"/>
      <c r="H3" s="35"/>
      <c r="I3" s="6"/>
      <c r="J3" s="7"/>
      <c r="K3" s="3"/>
    </row>
    <row r="4" spans="1:11" s="4" customFormat="1">
      <c r="A4" s="8" t="s">
        <v>493</v>
      </c>
      <c r="B4" s="8" t="s">
        <v>494</v>
      </c>
      <c r="C4" s="9" t="s">
        <v>495</v>
      </c>
      <c r="D4" s="8" t="s">
        <v>607</v>
      </c>
      <c r="E4" s="9" t="s">
        <v>112</v>
      </c>
      <c r="F4" s="9" t="s">
        <v>197</v>
      </c>
      <c r="G4" s="9" t="s">
        <v>76</v>
      </c>
      <c r="H4" s="10"/>
      <c r="I4" s="11" t="str">
        <f>"65,0"</f>
        <v>65,0</v>
      </c>
      <c r="J4" s="12" t="str">
        <f>"81,8241"</f>
        <v>81,8241</v>
      </c>
      <c r="K4" s="8"/>
    </row>
    <row r="5" spans="1:11" s="4" customFormat="1">
      <c r="A5" s="3"/>
      <c r="B5" s="3"/>
      <c r="D5" s="3"/>
      <c r="I5" s="6"/>
      <c r="J5" s="7"/>
      <c r="K5" s="3"/>
    </row>
    <row r="6" spans="1:11" ht="15">
      <c r="A6" s="28" t="s">
        <v>11</v>
      </c>
      <c r="B6" s="29"/>
      <c r="C6" s="29"/>
      <c r="D6" s="29"/>
      <c r="E6" s="29"/>
      <c r="F6" s="29"/>
      <c r="G6" s="29"/>
      <c r="H6" s="29"/>
    </row>
    <row r="7" spans="1:11">
      <c r="A7" s="8" t="s">
        <v>496</v>
      </c>
      <c r="B7" s="8" t="s">
        <v>497</v>
      </c>
      <c r="C7" s="9" t="s">
        <v>498</v>
      </c>
      <c r="D7" s="8" t="s">
        <v>607</v>
      </c>
      <c r="E7" s="9" t="s">
        <v>112</v>
      </c>
      <c r="F7" s="9" t="s">
        <v>192</v>
      </c>
      <c r="G7" s="9" t="s">
        <v>77</v>
      </c>
      <c r="H7" s="10"/>
      <c r="I7" s="11" t="str">
        <f>"70,0"</f>
        <v>70,0</v>
      </c>
      <c r="J7" s="12" t="str">
        <f>"71,5400"</f>
        <v>71,5400</v>
      </c>
      <c r="K7" s="8"/>
    </row>
    <row r="9" spans="1:11" ht="15">
      <c r="A9" s="28" t="s">
        <v>113</v>
      </c>
      <c r="B9" s="29"/>
      <c r="C9" s="29"/>
      <c r="D9" s="29"/>
      <c r="E9" s="29"/>
      <c r="F9" s="29"/>
      <c r="G9" s="29"/>
      <c r="H9" s="29"/>
    </row>
    <row r="10" spans="1:11">
      <c r="A10" s="8" t="s">
        <v>499</v>
      </c>
      <c r="B10" s="8" t="s">
        <v>500</v>
      </c>
      <c r="C10" s="9" t="s">
        <v>501</v>
      </c>
      <c r="D10" s="8" t="s">
        <v>607</v>
      </c>
      <c r="E10" s="9" t="s">
        <v>40</v>
      </c>
      <c r="F10" s="9" t="s">
        <v>41</v>
      </c>
      <c r="G10" s="9" t="s">
        <v>20</v>
      </c>
      <c r="H10" s="10"/>
      <c r="I10" s="11" t="str">
        <f>"155,0"</f>
        <v>155,0</v>
      </c>
      <c r="J10" s="12" t="str">
        <f>"139,6162"</f>
        <v>139,6162</v>
      </c>
      <c r="K10" s="8"/>
    </row>
    <row r="12" spans="1:11" ht="15">
      <c r="A12" s="28" t="s">
        <v>502</v>
      </c>
      <c r="B12" s="29"/>
      <c r="C12" s="29"/>
      <c r="D12" s="29"/>
      <c r="E12" s="29"/>
      <c r="F12" s="29"/>
      <c r="G12" s="29"/>
      <c r="H12" s="29"/>
    </row>
    <row r="13" spans="1:11">
      <c r="A13" s="8" t="s">
        <v>503</v>
      </c>
      <c r="B13" s="8" t="s">
        <v>504</v>
      </c>
      <c r="C13" s="9" t="s">
        <v>505</v>
      </c>
      <c r="D13" s="8" t="s">
        <v>607</v>
      </c>
      <c r="E13" s="9" t="s">
        <v>75</v>
      </c>
      <c r="F13" s="9" t="s">
        <v>186</v>
      </c>
      <c r="G13" s="9" t="s">
        <v>147</v>
      </c>
      <c r="H13" s="10"/>
      <c r="I13" s="11" t="str">
        <f>"120,0"</f>
        <v>120,0</v>
      </c>
      <c r="J13" s="12" t="str">
        <f>"89,8355"</f>
        <v>89,8355</v>
      </c>
      <c r="K13" s="8"/>
    </row>
    <row r="15" spans="1:11" ht="15">
      <c r="A15" s="28" t="s">
        <v>313</v>
      </c>
      <c r="B15" s="29"/>
      <c r="C15" s="29"/>
      <c r="D15" s="29"/>
      <c r="E15" s="29"/>
      <c r="F15" s="29"/>
      <c r="G15" s="29"/>
      <c r="H15" s="29"/>
    </row>
    <row r="16" spans="1:11">
      <c r="A16" s="8" t="s">
        <v>506</v>
      </c>
      <c r="B16" s="8" t="s">
        <v>507</v>
      </c>
      <c r="C16" s="9" t="s">
        <v>508</v>
      </c>
      <c r="D16" s="8" t="s">
        <v>607</v>
      </c>
      <c r="E16" s="9" t="s">
        <v>112</v>
      </c>
      <c r="F16" s="9" t="s">
        <v>197</v>
      </c>
      <c r="G16" s="9" t="s">
        <v>76</v>
      </c>
      <c r="H16" s="10"/>
      <c r="I16" s="11" t="str">
        <f>"65,0"</f>
        <v>65,0</v>
      </c>
      <c r="J16" s="12" t="str">
        <f>"66,2448"</f>
        <v>66,2448</v>
      </c>
      <c r="K16" s="8"/>
    </row>
    <row r="18" spans="1:11" ht="15">
      <c r="A18" s="28" t="s">
        <v>23</v>
      </c>
      <c r="B18" s="29"/>
      <c r="C18" s="29"/>
      <c r="D18" s="29"/>
      <c r="E18" s="29"/>
      <c r="F18" s="29"/>
      <c r="G18" s="29"/>
      <c r="H18" s="29"/>
    </row>
    <row r="19" spans="1:11">
      <c r="A19" s="8" t="s">
        <v>36</v>
      </c>
      <c r="B19" s="8" t="s">
        <v>37</v>
      </c>
      <c r="C19" s="9" t="s">
        <v>38</v>
      </c>
      <c r="D19" s="8" t="s">
        <v>607</v>
      </c>
      <c r="E19" s="9" t="s">
        <v>44</v>
      </c>
      <c r="F19" s="9" t="s">
        <v>22</v>
      </c>
      <c r="G19" s="9" t="s">
        <v>45</v>
      </c>
      <c r="H19" s="10"/>
      <c r="I19" s="11" t="str">
        <f>"185,0"</f>
        <v>185,0</v>
      </c>
      <c r="J19" s="12" t="str">
        <f>"135,9472"</f>
        <v>135,9472</v>
      </c>
      <c r="K19" s="8"/>
    </row>
    <row r="21" spans="1:11" ht="15">
      <c r="A21" s="28" t="s">
        <v>46</v>
      </c>
      <c r="B21" s="29"/>
      <c r="C21" s="29"/>
      <c r="D21" s="29"/>
      <c r="E21" s="29"/>
      <c r="F21" s="29"/>
      <c r="G21" s="29"/>
      <c r="H21" s="29"/>
    </row>
    <row r="22" spans="1:11">
      <c r="A22" s="16" t="s">
        <v>80</v>
      </c>
      <c r="B22" s="16" t="s">
        <v>81</v>
      </c>
      <c r="C22" s="13" t="s">
        <v>82</v>
      </c>
      <c r="D22" s="16" t="s">
        <v>620</v>
      </c>
      <c r="E22" s="13" t="s">
        <v>84</v>
      </c>
      <c r="F22" s="17" t="s">
        <v>106</v>
      </c>
      <c r="G22" s="13" t="s">
        <v>106</v>
      </c>
      <c r="H22" s="17"/>
      <c r="I22" s="18" t="str">
        <f>"282,5"</f>
        <v>282,5</v>
      </c>
      <c r="J22" s="19" t="str">
        <f>"174,5002"</f>
        <v>174,5002</v>
      </c>
      <c r="K22" s="16"/>
    </row>
    <row r="23" spans="1:11">
      <c r="A23" s="24" t="s">
        <v>94</v>
      </c>
      <c r="B23" s="24" t="s">
        <v>95</v>
      </c>
      <c r="C23" s="15" t="s">
        <v>96</v>
      </c>
      <c r="D23" s="24" t="s">
        <v>620</v>
      </c>
      <c r="E23" s="15" t="s">
        <v>69</v>
      </c>
      <c r="F23" s="25"/>
      <c r="G23" s="25"/>
      <c r="H23" s="25"/>
      <c r="I23" s="26" t="str">
        <f>"200,0"</f>
        <v>200,0</v>
      </c>
      <c r="J23" s="27" t="str">
        <f>"127,6893"</f>
        <v>127,6893</v>
      </c>
      <c r="K23" s="24"/>
    </row>
    <row r="25" spans="1:11" ht="15">
      <c r="A25" s="28" t="s">
        <v>97</v>
      </c>
      <c r="B25" s="29"/>
      <c r="C25" s="29"/>
      <c r="D25" s="29"/>
      <c r="E25" s="29"/>
      <c r="F25" s="29"/>
      <c r="G25" s="29"/>
      <c r="H25" s="29"/>
    </row>
    <row r="26" spans="1:11">
      <c r="A26" s="8" t="s">
        <v>509</v>
      </c>
      <c r="B26" s="8" t="s">
        <v>510</v>
      </c>
      <c r="C26" s="9" t="s">
        <v>511</v>
      </c>
      <c r="D26" s="8" t="s">
        <v>630</v>
      </c>
      <c r="E26" s="9" t="s">
        <v>171</v>
      </c>
      <c r="F26" s="9" t="s">
        <v>60</v>
      </c>
      <c r="G26" s="9" t="s">
        <v>84</v>
      </c>
      <c r="H26" s="10"/>
      <c r="I26" s="11" t="str">
        <f>"250,0"</f>
        <v>250,0</v>
      </c>
      <c r="J26" s="12" t="str">
        <f>"148,9625"</f>
        <v>148,9625</v>
      </c>
      <c r="K26" s="8"/>
    </row>
    <row r="28" spans="1:11" ht="15">
      <c r="A28" s="28" t="s">
        <v>53</v>
      </c>
      <c r="B28" s="29"/>
      <c r="C28" s="29"/>
      <c r="D28" s="29"/>
      <c r="E28" s="29"/>
      <c r="F28" s="29"/>
      <c r="G28" s="29"/>
      <c r="H28" s="29"/>
    </row>
    <row r="29" spans="1:11">
      <c r="A29" s="16" t="s">
        <v>512</v>
      </c>
      <c r="B29" s="16" t="s">
        <v>513</v>
      </c>
      <c r="C29" s="13" t="s">
        <v>514</v>
      </c>
      <c r="D29" s="16" t="s">
        <v>657</v>
      </c>
      <c r="E29" s="13" t="s">
        <v>57</v>
      </c>
      <c r="F29" s="13" t="s">
        <v>59</v>
      </c>
      <c r="G29" s="13" t="s">
        <v>167</v>
      </c>
      <c r="H29" s="17"/>
      <c r="I29" s="18" t="str">
        <f>"230,0"</f>
        <v>230,0</v>
      </c>
      <c r="J29" s="19" t="str">
        <f>"132,4455"</f>
        <v>132,4455</v>
      </c>
      <c r="K29" s="16"/>
    </row>
    <row r="30" spans="1:11">
      <c r="A30" s="24" t="s">
        <v>512</v>
      </c>
      <c r="B30" s="24" t="s">
        <v>515</v>
      </c>
      <c r="C30" s="15" t="s">
        <v>514</v>
      </c>
      <c r="D30" s="16" t="s">
        <v>657</v>
      </c>
      <c r="E30" s="15" t="s">
        <v>57</v>
      </c>
      <c r="F30" s="15" t="s">
        <v>59</v>
      </c>
      <c r="G30" s="15" t="s">
        <v>167</v>
      </c>
      <c r="H30" s="25"/>
      <c r="I30" s="26" t="str">
        <f>"230,0"</f>
        <v>230,0</v>
      </c>
      <c r="J30" s="27" t="str">
        <f>"132,4455"</f>
        <v>132,4455</v>
      </c>
      <c r="K30" s="24"/>
    </row>
  </sheetData>
  <mergeCells count="17">
    <mergeCell ref="I1:I2"/>
    <mergeCell ref="J1:J2"/>
    <mergeCell ref="K1:K2"/>
    <mergeCell ref="A3:H3"/>
    <mergeCell ref="A1:A2"/>
    <mergeCell ref="B1:B2"/>
    <mergeCell ref="C1:C2"/>
    <mergeCell ref="D1:D2"/>
    <mergeCell ref="E1:H1"/>
    <mergeCell ref="A25:H25"/>
    <mergeCell ref="A28:H28"/>
    <mergeCell ref="A6:H6"/>
    <mergeCell ref="A9:H9"/>
    <mergeCell ref="A12:H12"/>
    <mergeCell ref="A15:H15"/>
    <mergeCell ref="A18:H18"/>
    <mergeCell ref="A21:H2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S29"/>
  <sheetViews>
    <sheetView tabSelected="1" workbookViewId="0">
      <selection activeCell="I12" sqref="I12"/>
    </sheetView>
  </sheetViews>
  <sheetFormatPr defaultColWidth="9.140625" defaultRowHeight="12.75"/>
  <cols>
    <col min="1" max="1" width="24.85546875" style="3" bestFit="1" customWidth="1"/>
    <col min="2" max="2" width="26.5703125" style="3" bestFit="1" customWidth="1"/>
    <col min="3" max="3" width="7.5703125" style="4" bestFit="1" customWidth="1"/>
    <col min="4" max="4" width="14.7109375" style="3" bestFit="1" customWidth="1"/>
    <col min="5" max="7" width="5.5703125" style="4" customWidth="1"/>
    <col min="8" max="8" width="4.7109375" style="4" customWidth="1"/>
    <col min="9" max="11" width="5.5703125" style="4" customWidth="1"/>
    <col min="12" max="12" width="4.7109375" style="4" customWidth="1"/>
    <col min="13" max="15" width="5.5703125" style="4" customWidth="1"/>
    <col min="16" max="16" width="4.7109375" style="4" customWidth="1"/>
    <col min="17" max="17" width="5.7109375" style="6" bestFit="1" customWidth="1"/>
    <col min="18" max="18" width="8.5703125" style="43" bestFit="1" customWidth="1"/>
    <col min="19" max="19" width="13.140625" style="3" bestFit="1" customWidth="1"/>
    <col min="20" max="16384" width="9.140625" style="2"/>
  </cols>
  <sheetData>
    <row r="1" spans="1:19" s="1" customFormat="1" ht="12.75" customHeight="1">
      <c r="A1" s="36" t="s">
        <v>0</v>
      </c>
      <c r="B1" s="39" t="s">
        <v>6</v>
      </c>
      <c r="C1" s="38" t="s">
        <v>4</v>
      </c>
      <c r="D1" s="30" t="s">
        <v>7</v>
      </c>
      <c r="E1" s="30" t="s">
        <v>8</v>
      </c>
      <c r="F1" s="30"/>
      <c r="G1" s="30"/>
      <c r="H1" s="30"/>
      <c r="I1" s="30" t="s">
        <v>9</v>
      </c>
      <c r="J1" s="30"/>
      <c r="K1" s="30"/>
      <c r="L1" s="30"/>
      <c r="M1" s="30" t="s">
        <v>10</v>
      </c>
      <c r="N1" s="30"/>
      <c r="O1" s="30"/>
      <c r="P1" s="30"/>
      <c r="Q1" s="30" t="s">
        <v>5</v>
      </c>
      <c r="R1" s="41" t="s">
        <v>2</v>
      </c>
      <c r="S1" s="32" t="s">
        <v>1</v>
      </c>
    </row>
    <row r="2" spans="1:19" s="1" customFormat="1" ht="23.25" customHeight="1" thickBot="1">
      <c r="A2" s="37"/>
      <c r="B2" s="40"/>
      <c r="C2" s="31"/>
      <c r="D2" s="31"/>
      <c r="E2" s="5">
        <v>1</v>
      </c>
      <c r="F2" s="5">
        <v>2</v>
      </c>
      <c r="G2" s="5">
        <v>3</v>
      </c>
      <c r="H2" s="5" t="s">
        <v>3</v>
      </c>
      <c r="I2" s="5">
        <v>1</v>
      </c>
      <c r="J2" s="5">
        <v>2</v>
      </c>
      <c r="K2" s="5">
        <v>3</v>
      </c>
      <c r="L2" s="5" t="s">
        <v>3</v>
      </c>
      <c r="M2" s="5">
        <v>1</v>
      </c>
      <c r="N2" s="5">
        <v>2</v>
      </c>
      <c r="O2" s="5">
        <v>3</v>
      </c>
      <c r="P2" s="5" t="s">
        <v>3</v>
      </c>
      <c r="Q2" s="31"/>
      <c r="R2" s="42"/>
      <c r="S2" s="33"/>
    </row>
    <row r="3" spans="1:19" s="4" customFormat="1" ht="15">
      <c r="A3" s="34" t="s">
        <v>11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6"/>
      <c r="R3" s="43"/>
      <c r="S3" s="3"/>
    </row>
    <row r="4" spans="1:19" s="4" customFormat="1">
      <c r="A4" s="8" t="s">
        <v>268</v>
      </c>
      <c r="B4" s="8" t="s">
        <v>269</v>
      </c>
      <c r="C4" s="9" t="s">
        <v>109</v>
      </c>
      <c r="D4" s="8" t="s">
        <v>615</v>
      </c>
      <c r="E4" s="9" t="s">
        <v>181</v>
      </c>
      <c r="F4" s="9" t="s">
        <v>75</v>
      </c>
      <c r="G4" s="9" t="s">
        <v>186</v>
      </c>
      <c r="H4" s="10"/>
      <c r="I4" s="9" t="s">
        <v>160</v>
      </c>
      <c r="J4" s="9" t="s">
        <v>270</v>
      </c>
      <c r="K4" s="10" t="s">
        <v>111</v>
      </c>
      <c r="L4" s="10"/>
      <c r="M4" s="9" t="s">
        <v>75</v>
      </c>
      <c r="N4" s="9" t="s">
        <v>193</v>
      </c>
      <c r="O4" s="9" t="s">
        <v>271</v>
      </c>
      <c r="P4" s="10"/>
      <c r="Q4" s="11" t="str">
        <f>"280,0"</f>
        <v>280,0</v>
      </c>
      <c r="R4" s="44" t="str">
        <f>"279,9160"</f>
        <v>279,9160</v>
      </c>
      <c r="S4" s="8"/>
    </row>
    <row r="5" spans="1:19" s="4" customFormat="1">
      <c r="A5" s="3"/>
      <c r="B5" s="3"/>
      <c r="D5" s="3"/>
      <c r="Q5" s="6"/>
      <c r="R5" s="43"/>
      <c r="S5" s="3"/>
    </row>
    <row r="6" spans="1:19" ht="15">
      <c r="A6" s="28" t="s">
        <v>113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</row>
    <row r="7" spans="1:19">
      <c r="A7" s="16" t="s">
        <v>272</v>
      </c>
      <c r="B7" s="16" t="s">
        <v>273</v>
      </c>
      <c r="C7" s="13" t="s">
        <v>274</v>
      </c>
      <c r="D7" s="16" t="s">
        <v>607</v>
      </c>
      <c r="E7" s="13" t="s">
        <v>122</v>
      </c>
      <c r="F7" s="13" t="s">
        <v>181</v>
      </c>
      <c r="G7" s="13" t="s">
        <v>75</v>
      </c>
      <c r="H7" s="17"/>
      <c r="I7" s="13" t="s">
        <v>180</v>
      </c>
      <c r="J7" s="13" t="s">
        <v>111</v>
      </c>
      <c r="K7" s="13" t="s">
        <v>275</v>
      </c>
      <c r="L7" s="17"/>
      <c r="M7" s="13" t="s">
        <v>78</v>
      </c>
      <c r="N7" s="13" t="s">
        <v>79</v>
      </c>
      <c r="O7" s="13" t="s">
        <v>193</v>
      </c>
      <c r="P7" s="17"/>
      <c r="Q7" s="18" t="str">
        <f>"270,0"</f>
        <v>270,0</v>
      </c>
      <c r="R7" s="45" t="str">
        <f>"265,5990"</f>
        <v>265,5990</v>
      </c>
      <c r="S7" s="16"/>
    </row>
    <row r="8" spans="1:19">
      <c r="A8" s="24" t="s">
        <v>276</v>
      </c>
      <c r="B8" s="24" t="s">
        <v>277</v>
      </c>
      <c r="C8" s="15" t="s">
        <v>278</v>
      </c>
      <c r="D8" s="24" t="s">
        <v>615</v>
      </c>
      <c r="E8" s="15" t="s">
        <v>186</v>
      </c>
      <c r="F8" s="15" t="s">
        <v>147</v>
      </c>
      <c r="G8" s="15" t="s">
        <v>148</v>
      </c>
      <c r="H8" s="25"/>
      <c r="I8" s="15" t="s">
        <v>18</v>
      </c>
      <c r="J8" s="15" t="s">
        <v>78</v>
      </c>
      <c r="K8" s="15" t="s">
        <v>19</v>
      </c>
      <c r="L8" s="25"/>
      <c r="M8" s="15" t="s">
        <v>186</v>
      </c>
      <c r="N8" s="15" t="s">
        <v>147</v>
      </c>
      <c r="O8" s="15" t="s">
        <v>148</v>
      </c>
      <c r="P8" s="25"/>
      <c r="Q8" s="26" t="str">
        <f>"347,5"</f>
        <v>347,5</v>
      </c>
      <c r="R8" s="47" t="str">
        <f>"322,0109"</f>
        <v>322,0109</v>
      </c>
      <c r="S8" s="24"/>
    </row>
    <row r="10" spans="1:19" ht="15">
      <c r="A10" s="28" t="s">
        <v>23</v>
      </c>
      <c r="B10" s="29"/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</row>
    <row r="11" spans="1:19">
      <c r="A11" s="16" t="s">
        <v>279</v>
      </c>
      <c r="B11" s="16" t="s">
        <v>280</v>
      </c>
      <c r="C11" s="13" t="s">
        <v>281</v>
      </c>
      <c r="D11" s="16" t="s">
        <v>607</v>
      </c>
      <c r="E11" s="13" t="s">
        <v>122</v>
      </c>
      <c r="F11" s="13" t="s">
        <v>18</v>
      </c>
      <c r="G11" s="13" t="s">
        <v>75</v>
      </c>
      <c r="H11" s="17"/>
      <c r="I11" s="13" t="s">
        <v>180</v>
      </c>
      <c r="J11" s="13" t="s">
        <v>110</v>
      </c>
      <c r="K11" s="17" t="s">
        <v>111</v>
      </c>
      <c r="L11" s="17"/>
      <c r="M11" s="13" t="s">
        <v>181</v>
      </c>
      <c r="N11" s="13" t="s">
        <v>75</v>
      </c>
      <c r="O11" s="17" t="s">
        <v>29</v>
      </c>
      <c r="P11" s="17"/>
      <c r="Q11" s="18" t="str">
        <f>"250,0"</f>
        <v>250,0</v>
      </c>
      <c r="R11" s="45" t="str">
        <f>"218,2500"</f>
        <v>218,2500</v>
      </c>
      <c r="S11" s="16"/>
    </row>
    <row r="12" spans="1:19">
      <c r="A12" s="20" t="s">
        <v>282</v>
      </c>
      <c r="B12" s="20" t="s">
        <v>283</v>
      </c>
      <c r="C12" s="14" t="s">
        <v>284</v>
      </c>
      <c r="D12" s="20" t="s">
        <v>607</v>
      </c>
      <c r="E12" s="21" t="s">
        <v>79</v>
      </c>
      <c r="F12" s="21" t="s">
        <v>193</v>
      </c>
      <c r="G12" s="21" t="s">
        <v>193</v>
      </c>
      <c r="H12" s="21"/>
      <c r="I12" s="21" t="s">
        <v>658</v>
      </c>
      <c r="J12" s="21"/>
      <c r="K12" s="21"/>
      <c r="L12" s="21"/>
      <c r="M12" s="21"/>
      <c r="N12" s="21"/>
      <c r="O12" s="21"/>
      <c r="P12" s="21"/>
      <c r="Q12" s="22" t="str">
        <f>"0.00"</f>
        <v>0.00</v>
      </c>
      <c r="R12" s="46"/>
      <c r="S12" s="20"/>
    </row>
    <row r="13" spans="1:19">
      <c r="A13" s="24" t="s">
        <v>285</v>
      </c>
      <c r="B13" s="24" t="s">
        <v>286</v>
      </c>
      <c r="C13" s="15" t="s">
        <v>287</v>
      </c>
      <c r="D13" s="24" t="s">
        <v>607</v>
      </c>
      <c r="E13" s="15" t="s">
        <v>42</v>
      </c>
      <c r="F13" s="15" t="s">
        <v>122</v>
      </c>
      <c r="G13" s="15" t="s">
        <v>43</v>
      </c>
      <c r="H13" s="25"/>
      <c r="I13" s="15" t="s">
        <v>110</v>
      </c>
      <c r="J13" s="25" t="s">
        <v>111</v>
      </c>
      <c r="K13" s="25" t="s">
        <v>111</v>
      </c>
      <c r="L13" s="25"/>
      <c r="M13" s="15" t="s">
        <v>18</v>
      </c>
      <c r="N13" s="15" t="s">
        <v>75</v>
      </c>
      <c r="O13" s="15" t="s">
        <v>79</v>
      </c>
      <c r="P13" s="25"/>
      <c r="Q13" s="26" t="str">
        <f>"240,0"</f>
        <v>240,0</v>
      </c>
      <c r="R13" s="47" t="str">
        <f>"215,3972"</f>
        <v>215,3972</v>
      </c>
      <c r="S13" s="24"/>
    </row>
    <row r="15" spans="1:19" ht="15">
      <c r="A15" s="28" t="s">
        <v>46</v>
      </c>
      <c r="B15" s="29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</row>
    <row r="16" spans="1:19">
      <c r="A16" s="8" t="s">
        <v>288</v>
      </c>
      <c r="B16" s="8" t="s">
        <v>289</v>
      </c>
      <c r="C16" s="9" t="s">
        <v>82</v>
      </c>
      <c r="D16" s="8" t="s">
        <v>607</v>
      </c>
      <c r="E16" s="9" t="s">
        <v>17</v>
      </c>
      <c r="F16" s="9" t="s">
        <v>41</v>
      </c>
      <c r="G16" s="10"/>
      <c r="H16" s="10"/>
      <c r="I16" s="9" t="s">
        <v>76</v>
      </c>
      <c r="J16" s="9" t="s">
        <v>77</v>
      </c>
      <c r="K16" s="10"/>
      <c r="L16" s="10"/>
      <c r="M16" s="9" t="s">
        <v>290</v>
      </c>
      <c r="N16" s="9" t="s">
        <v>50</v>
      </c>
      <c r="O16" s="10"/>
      <c r="P16" s="10"/>
      <c r="Q16" s="11" t="str">
        <f>"385,0"</f>
        <v>385,0</v>
      </c>
      <c r="R16" s="44" t="str">
        <f>"290,4825"</f>
        <v>290,4825</v>
      </c>
      <c r="S16" s="8" t="s">
        <v>291</v>
      </c>
    </row>
    <row r="18" spans="1:19" ht="15">
      <c r="A18" s="28" t="s">
        <v>23</v>
      </c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</row>
    <row r="19" spans="1:19">
      <c r="A19" s="8" t="s">
        <v>292</v>
      </c>
      <c r="B19" s="8" t="s">
        <v>293</v>
      </c>
      <c r="C19" s="9" t="s">
        <v>294</v>
      </c>
      <c r="D19" s="8" t="s">
        <v>607</v>
      </c>
      <c r="E19" s="9" t="s">
        <v>77</v>
      </c>
      <c r="F19" s="9" t="s">
        <v>42</v>
      </c>
      <c r="G19" s="9" t="s">
        <v>122</v>
      </c>
      <c r="H19" s="10"/>
      <c r="I19" s="9" t="s">
        <v>110</v>
      </c>
      <c r="J19" s="9" t="s">
        <v>197</v>
      </c>
      <c r="K19" s="9" t="s">
        <v>192</v>
      </c>
      <c r="L19" s="10"/>
      <c r="M19" s="9" t="s">
        <v>43</v>
      </c>
      <c r="N19" s="9" t="s">
        <v>181</v>
      </c>
      <c r="O19" s="9" t="s">
        <v>78</v>
      </c>
      <c r="P19" s="10"/>
      <c r="Q19" s="11" t="str">
        <f>"237,5"</f>
        <v>237,5</v>
      </c>
      <c r="R19" s="44" t="str">
        <f>"167,4019"</f>
        <v>167,4019</v>
      </c>
      <c r="S19" s="8"/>
    </row>
    <row r="21" spans="1:19" ht="15">
      <c r="A21" s="28" t="s">
        <v>71</v>
      </c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</row>
    <row r="22" spans="1:19">
      <c r="A22" s="8" t="s">
        <v>295</v>
      </c>
      <c r="B22" s="8" t="s">
        <v>296</v>
      </c>
      <c r="C22" s="9" t="s">
        <v>297</v>
      </c>
      <c r="D22" s="8" t="s">
        <v>607</v>
      </c>
      <c r="E22" s="9" t="s">
        <v>30</v>
      </c>
      <c r="F22" s="9" t="s">
        <v>147</v>
      </c>
      <c r="G22" s="9" t="s">
        <v>148</v>
      </c>
      <c r="H22" s="10"/>
      <c r="I22" s="9" t="s">
        <v>77</v>
      </c>
      <c r="J22" s="9" t="s">
        <v>42</v>
      </c>
      <c r="K22" s="10" t="s">
        <v>122</v>
      </c>
      <c r="L22" s="10"/>
      <c r="M22" s="9" t="s">
        <v>30</v>
      </c>
      <c r="N22" s="9" t="s">
        <v>147</v>
      </c>
      <c r="O22" s="9" t="s">
        <v>148</v>
      </c>
      <c r="P22" s="10"/>
      <c r="Q22" s="11" t="str">
        <f>"325,0"</f>
        <v>325,0</v>
      </c>
      <c r="R22" s="44" t="str">
        <f>"222,6738"</f>
        <v>222,6738</v>
      </c>
      <c r="S22" s="8"/>
    </row>
    <row r="24" spans="1:19" ht="15">
      <c r="A24" s="28" t="s">
        <v>46</v>
      </c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</row>
    <row r="25" spans="1:19">
      <c r="A25" s="16" t="s">
        <v>298</v>
      </c>
      <c r="B25" s="16" t="s">
        <v>299</v>
      </c>
      <c r="C25" s="13" t="s">
        <v>241</v>
      </c>
      <c r="D25" s="16" t="s">
        <v>607</v>
      </c>
      <c r="E25" s="13" t="s">
        <v>41</v>
      </c>
      <c r="F25" s="13" t="s">
        <v>50</v>
      </c>
      <c r="G25" s="13" t="s">
        <v>22</v>
      </c>
      <c r="H25" s="17"/>
      <c r="I25" s="13" t="s">
        <v>147</v>
      </c>
      <c r="J25" s="13" t="s">
        <v>39</v>
      </c>
      <c r="K25" s="17" t="s">
        <v>40</v>
      </c>
      <c r="L25" s="17"/>
      <c r="M25" s="13" t="s">
        <v>44</v>
      </c>
      <c r="N25" s="17" t="s">
        <v>57</v>
      </c>
      <c r="O25" s="13" t="s">
        <v>57</v>
      </c>
      <c r="P25" s="17"/>
      <c r="Q25" s="18" t="str">
        <f>"485,0"</f>
        <v>485,0</v>
      </c>
      <c r="R25" s="45" t="str">
        <f>"306,1563"</f>
        <v>306,1563</v>
      </c>
      <c r="S25" s="16"/>
    </row>
    <row r="26" spans="1:19">
      <c r="A26" s="24" t="s">
        <v>300</v>
      </c>
      <c r="B26" s="24" t="s">
        <v>301</v>
      </c>
      <c r="C26" s="15" t="s">
        <v>302</v>
      </c>
      <c r="D26" s="24" t="s">
        <v>607</v>
      </c>
      <c r="E26" s="15" t="s">
        <v>41</v>
      </c>
      <c r="F26" s="15" t="s">
        <v>44</v>
      </c>
      <c r="G26" s="15" t="s">
        <v>50</v>
      </c>
      <c r="H26" s="25"/>
      <c r="I26" s="15" t="s">
        <v>43</v>
      </c>
      <c r="J26" s="15" t="s">
        <v>78</v>
      </c>
      <c r="K26" s="15" t="s">
        <v>79</v>
      </c>
      <c r="L26" s="25"/>
      <c r="M26" s="15" t="s">
        <v>57</v>
      </c>
      <c r="N26" s="25" t="s">
        <v>45</v>
      </c>
      <c r="O26" s="25" t="s">
        <v>45</v>
      </c>
      <c r="P26" s="25"/>
      <c r="Q26" s="26" t="str">
        <f>"450,0"</f>
        <v>450,0</v>
      </c>
      <c r="R26" s="47" t="str">
        <f>"288,2925"</f>
        <v>288,2925</v>
      </c>
      <c r="S26" s="24"/>
    </row>
    <row r="28" spans="1:19" ht="15">
      <c r="A28" s="28" t="s">
        <v>97</v>
      </c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</row>
    <row r="29" spans="1:19">
      <c r="A29" s="8" t="s">
        <v>303</v>
      </c>
      <c r="B29" s="8" t="s">
        <v>304</v>
      </c>
      <c r="C29" s="9" t="s">
        <v>305</v>
      </c>
      <c r="D29" s="8" t="s">
        <v>607</v>
      </c>
      <c r="E29" s="9" t="s">
        <v>22</v>
      </c>
      <c r="F29" s="9" t="s">
        <v>45</v>
      </c>
      <c r="G29" s="9" t="s">
        <v>69</v>
      </c>
      <c r="H29" s="10"/>
      <c r="I29" s="9" t="s">
        <v>79</v>
      </c>
      <c r="J29" s="10" t="s">
        <v>193</v>
      </c>
      <c r="K29" s="10" t="s">
        <v>193</v>
      </c>
      <c r="L29" s="10"/>
      <c r="M29" s="9" t="s">
        <v>45</v>
      </c>
      <c r="N29" s="10" t="s">
        <v>58</v>
      </c>
      <c r="O29" s="9" t="s">
        <v>58</v>
      </c>
      <c r="P29" s="10"/>
      <c r="Q29" s="11" t="str">
        <f>"500,0"</f>
        <v>500,0</v>
      </c>
      <c r="R29" s="44" t="str">
        <f>"292,8000"</f>
        <v>292,8000</v>
      </c>
      <c r="S29" s="8"/>
    </row>
  </sheetData>
  <mergeCells count="18">
    <mergeCell ref="Q1:Q2"/>
    <mergeCell ref="R1:R2"/>
    <mergeCell ref="S1:S2"/>
    <mergeCell ref="A3:P3"/>
    <mergeCell ref="A1:A2"/>
    <mergeCell ref="B1:B2"/>
    <mergeCell ref="C1:C2"/>
    <mergeCell ref="D1:D2"/>
    <mergeCell ref="E1:H1"/>
    <mergeCell ref="I1:L1"/>
    <mergeCell ref="M1:P1"/>
    <mergeCell ref="A28:P28"/>
    <mergeCell ref="A6:P6"/>
    <mergeCell ref="A10:P10"/>
    <mergeCell ref="A15:P15"/>
    <mergeCell ref="A18:P18"/>
    <mergeCell ref="A21:P21"/>
    <mergeCell ref="A24:P2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S5"/>
  <sheetViews>
    <sheetView workbookViewId="0">
      <selection sqref="A1:A2"/>
    </sheetView>
  </sheetViews>
  <sheetFormatPr defaultColWidth="9.140625" defaultRowHeight="12.75"/>
  <cols>
    <col min="1" max="1" width="24.85546875" style="3" bestFit="1" customWidth="1"/>
    <col min="2" max="2" width="19.140625" style="4" bestFit="1" customWidth="1"/>
    <col min="3" max="3" width="7.5703125" style="4" bestFit="1" customWidth="1"/>
    <col min="4" max="4" width="16" style="3" bestFit="1" customWidth="1"/>
    <col min="5" max="6" width="5.5703125" style="4" customWidth="1"/>
    <col min="7" max="7" width="5.28515625" style="4" customWidth="1"/>
    <col min="8" max="8" width="4.7109375" style="4" customWidth="1"/>
    <col min="9" max="11" width="5.5703125" style="4" customWidth="1"/>
    <col min="12" max="12" width="4.7109375" style="4" customWidth="1"/>
    <col min="13" max="15" width="5.5703125" style="4" customWidth="1"/>
    <col min="16" max="16" width="4.7109375" style="4" customWidth="1"/>
    <col min="17" max="17" width="5.7109375" style="6" bestFit="1" customWidth="1"/>
    <col min="18" max="18" width="8.5703125" style="7" bestFit="1" customWidth="1"/>
    <col min="19" max="19" width="7.140625" style="3" bestFit="1" customWidth="1"/>
    <col min="20" max="16384" width="9.140625" style="2"/>
  </cols>
  <sheetData>
    <row r="1" spans="1:19" s="1" customFormat="1" ht="12.75" customHeight="1">
      <c r="A1" s="36" t="s">
        <v>0</v>
      </c>
      <c r="B1" s="38" t="s">
        <v>6</v>
      </c>
      <c r="C1" s="38" t="s">
        <v>4</v>
      </c>
      <c r="D1" s="30" t="s">
        <v>7</v>
      </c>
      <c r="E1" s="30" t="s">
        <v>8</v>
      </c>
      <c r="F1" s="30"/>
      <c r="G1" s="30"/>
      <c r="H1" s="30"/>
      <c r="I1" s="30" t="s">
        <v>9</v>
      </c>
      <c r="J1" s="30"/>
      <c r="K1" s="30"/>
      <c r="L1" s="30"/>
      <c r="M1" s="30" t="s">
        <v>10</v>
      </c>
      <c r="N1" s="30"/>
      <c r="O1" s="30"/>
      <c r="P1" s="30"/>
      <c r="Q1" s="30" t="s">
        <v>5</v>
      </c>
      <c r="R1" s="30" t="s">
        <v>2</v>
      </c>
      <c r="S1" s="32" t="s">
        <v>1</v>
      </c>
    </row>
    <row r="2" spans="1:19" s="1" customFormat="1" ht="23.25" customHeight="1" thickBot="1">
      <c r="A2" s="37"/>
      <c r="B2" s="31"/>
      <c r="C2" s="31"/>
      <c r="D2" s="31"/>
      <c r="E2" s="5">
        <v>1</v>
      </c>
      <c r="F2" s="5">
        <v>2</v>
      </c>
      <c r="G2" s="5">
        <v>3</v>
      </c>
      <c r="H2" s="5" t="s">
        <v>3</v>
      </c>
      <c r="I2" s="5">
        <v>1</v>
      </c>
      <c r="J2" s="5">
        <v>2</v>
      </c>
      <c r="K2" s="5">
        <v>3</v>
      </c>
      <c r="L2" s="5" t="s">
        <v>3</v>
      </c>
      <c r="M2" s="5">
        <v>1</v>
      </c>
      <c r="N2" s="5">
        <v>2</v>
      </c>
      <c r="O2" s="5">
        <v>3</v>
      </c>
      <c r="P2" s="5" t="s">
        <v>3</v>
      </c>
      <c r="Q2" s="31"/>
      <c r="R2" s="31"/>
      <c r="S2" s="33"/>
    </row>
    <row r="3" spans="1:19" s="4" customFormat="1" ht="15">
      <c r="A3" s="34" t="s">
        <v>23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6"/>
      <c r="R3" s="7"/>
      <c r="S3" s="3"/>
    </row>
    <row r="4" spans="1:19" s="4" customFormat="1">
      <c r="A4" s="8" t="s">
        <v>307</v>
      </c>
      <c r="B4" s="9" t="s">
        <v>308</v>
      </c>
      <c r="C4" s="9" t="s">
        <v>309</v>
      </c>
      <c r="D4" s="8" t="s">
        <v>616</v>
      </c>
      <c r="E4" s="9" t="s">
        <v>91</v>
      </c>
      <c r="F4" s="9" t="s">
        <v>84</v>
      </c>
      <c r="G4" s="10"/>
      <c r="H4" s="10"/>
      <c r="I4" s="9" t="s">
        <v>44</v>
      </c>
      <c r="J4" s="9" t="s">
        <v>50</v>
      </c>
      <c r="K4" s="9" t="s">
        <v>105</v>
      </c>
      <c r="L4" s="10"/>
      <c r="M4" s="9" t="s">
        <v>223</v>
      </c>
      <c r="N4" s="9" t="s">
        <v>306</v>
      </c>
      <c r="O4" s="9" t="s">
        <v>163</v>
      </c>
      <c r="P4" s="10"/>
      <c r="Q4" s="11" t="str">
        <f>"665,0"</f>
        <v>665,0</v>
      </c>
      <c r="R4" s="12" t="str">
        <f>"461,5100"</f>
        <v>461,5100</v>
      </c>
      <c r="S4" s="8"/>
    </row>
    <row r="5" spans="1:19" s="4" customFormat="1">
      <c r="A5" s="3"/>
      <c r="D5" s="3"/>
      <c r="Q5" s="6"/>
      <c r="R5" s="7"/>
      <c r="S5" s="3"/>
    </row>
  </sheetData>
  <mergeCells count="11">
    <mergeCell ref="Q1:Q2"/>
    <mergeCell ref="R1:R2"/>
    <mergeCell ref="S1:S2"/>
    <mergeCell ref="A3:P3"/>
    <mergeCell ref="A1:A2"/>
    <mergeCell ref="B1:B2"/>
    <mergeCell ref="C1:C2"/>
    <mergeCell ref="D1:D2"/>
    <mergeCell ref="E1:H1"/>
    <mergeCell ref="I1:L1"/>
    <mergeCell ref="M1:P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S19"/>
  <sheetViews>
    <sheetView workbookViewId="0">
      <selection sqref="A1:A2"/>
    </sheetView>
  </sheetViews>
  <sheetFormatPr defaultColWidth="9.140625" defaultRowHeight="12.75"/>
  <cols>
    <col min="1" max="1" width="24.85546875" style="3" bestFit="1" customWidth="1"/>
    <col min="2" max="2" width="26.5703125" style="4" bestFit="1" customWidth="1"/>
    <col min="3" max="3" width="7.5703125" style="4" bestFit="1" customWidth="1"/>
    <col min="4" max="4" width="18.7109375" style="3" bestFit="1" customWidth="1"/>
    <col min="5" max="7" width="5.5703125" style="4" customWidth="1"/>
    <col min="8" max="8" width="4.7109375" style="4" customWidth="1"/>
    <col min="9" max="11" width="5.5703125" style="4" customWidth="1"/>
    <col min="12" max="12" width="4.7109375" style="4" customWidth="1"/>
    <col min="13" max="15" width="5.5703125" style="4" customWidth="1"/>
    <col min="16" max="16" width="4.7109375" style="4" customWidth="1"/>
    <col min="17" max="17" width="5.7109375" style="6" bestFit="1" customWidth="1"/>
    <col min="18" max="18" width="8.5703125" style="7" bestFit="1" customWidth="1"/>
    <col min="19" max="19" width="15.28515625" style="3" bestFit="1" customWidth="1"/>
    <col min="20" max="16384" width="9.140625" style="2"/>
  </cols>
  <sheetData>
    <row r="1" spans="1:19" s="1" customFormat="1" ht="12.75" customHeight="1">
      <c r="A1" s="36" t="s">
        <v>0</v>
      </c>
      <c r="B1" s="38" t="s">
        <v>6</v>
      </c>
      <c r="C1" s="38" t="s">
        <v>4</v>
      </c>
      <c r="D1" s="30" t="s">
        <v>7</v>
      </c>
      <c r="E1" s="30" t="s">
        <v>8</v>
      </c>
      <c r="F1" s="30"/>
      <c r="G1" s="30"/>
      <c r="H1" s="30"/>
      <c r="I1" s="30" t="s">
        <v>9</v>
      </c>
      <c r="J1" s="30"/>
      <c r="K1" s="30"/>
      <c r="L1" s="30"/>
      <c r="M1" s="30" t="s">
        <v>10</v>
      </c>
      <c r="N1" s="30"/>
      <c r="O1" s="30"/>
      <c r="P1" s="30"/>
      <c r="Q1" s="30" t="s">
        <v>5</v>
      </c>
      <c r="R1" s="30" t="s">
        <v>2</v>
      </c>
      <c r="S1" s="32" t="s">
        <v>1</v>
      </c>
    </row>
    <row r="2" spans="1:19" s="1" customFormat="1" ht="23.25" customHeight="1" thickBot="1">
      <c r="A2" s="37"/>
      <c r="B2" s="31"/>
      <c r="C2" s="31"/>
      <c r="D2" s="31"/>
      <c r="E2" s="5">
        <v>1</v>
      </c>
      <c r="F2" s="5">
        <v>2</v>
      </c>
      <c r="G2" s="5">
        <v>3</v>
      </c>
      <c r="H2" s="5" t="s">
        <v>3</v>
      </c>
      <c r="I2" s="5">
        <v>1</v>
      </c>
      <c r="J2" s="5">
        <v>2</v>
      </c>
      <c r="K2" s="5">
        <v>3</v>
      </c>
      <c r="L2" s="5" t="s">
        <v>3</v>
      </c>
      <c r="M2" s="5">
        <v>1</v>
      </c>
      <c r="N2" s="5">
        <v>2</v>
      </c>
      <c r="O2" s="5">
        <v>3</v>
      </c>
      <c r="P2" s="5" t="s">
        <v>3</v>
      </c>
      <c r="Q2" s="31"/>
      <c r="R2" s="31"/>
      <c r="S2" s="33"/>
    </row>
    <row r="3" spans="1:19" s="4" customFormat="1" ht="15">
      <c r="A3" s="34" t="s">
        <v>11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6"/>
      <c r="R3" s="7"/>
      <c r="S3" s="3"/>
    </row>
    <row r="4" spans="1:19" s="4" customFormat="1">
      <c r="A4" s="8" t="s">
        <v>12</v>
      </c>
      <c r="B4" s="9" t="s">
        <v>13</v>
      </c>
      <c r="C4" s="9" t="s">
        <v>14</v>
      </c>
      <c r="D4" s="8" t="s">
        <v>617</v>
      </c>
      <c r="E4" s="9" t="s">
        <v>15</v>
      </c>
      <c r="F4" s="9" t="s">
        <v>16</v>
      </c>
      <c r="G4" s="9" t="s">
        <v>17</v>
      </c>
      <c r="H4" s="10"/>
      <c r="I4" s="9" t="s">
        <v>18</v>
      </c>
      <c r="J4" s="10" t="s">
        <v>19</v>
      </c>
      <c r="K4" s="10" t="s">
        <v>19</v>
      </c>
      <c r="L4" s="10"/>
      <c r="M4" s="9" t="s">
        <v>20</v>
      </c>
      <c r="N4" s="9" t="s">
        <v>21</v>
      </c>
      <c r="O4" s="10" t="s">
        <v>22</v>
      </c>
      <c r="P4" s="10"/>
      <c r="Q4" s="11" t="str">
        <f>"402,5"</f>
        <v>402,5</v>
      </c>
      <c r="R4" s="12" t="str">
        <f>"397,5090"</f>
        <v>397,5090</v>
      </c>
      <c r="S4" s="8"/>
    </row>
    <row r="5" spans="1:19" s="4" customFormat="1">
      <c r="A5" s="3"/>
      <c r="D5" s="3"/>
      <c r="Q5" s="6"/>
      <c r="R5" s="7"/>
      <c r="S5" s="3"/>
    </row>
    <row r="6" spans="1:19" ht="15">
      <c r="A6" s="28" t="s">
        <v>23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</row>
    <row r="7" spans="1:19">
      <c r="A7" s="8" t="s">
        <v>24</v>
      </c>
      <c r="B7" s="9" t="s">
        <v>25</v>
      </c>
      <c r="C7" s="9" t="s">
        <v>26</v>
      </c>
      <c r="D7" s="8" t="s">
        <v>617</v>
      </c>
      <c r="E7" s="9" t="s">
        <v>27</v>
      </c>
      <c r="F7" s="9" t="s">
        <v>20</v>
      </c>
      <c r="G7" s="9" t="s">
        <v>28</v>
      </c>
      <c r="H7" s="10"/>
      <c r="I7" s="9" t="s">
        <v>29</v>
      </c>
      <c r="J7" s="9" t="s">
        <v>30</v>
      </c>
      <c r="K7" s="9" t="s">
        <v>31</v>
      </c>
      <c r="L7" s="10"/>
      <c r="M7" s="9" t="s">
        <v>32</v>
      </c>
      <c r="N7" s="9" t="s">
        <v>33</v>
      </c>
      <c r="O7" s="10" t="s">
        <v>34</v>
      </c>
      <c r="P7" s="10"/>
      <c r="Q7" s="11" t="str">
        <f>"482,5"</f>
        <v>482,5</v>
      </c>
      <c r="R7" s="12" t="str">
        <f>"403,7801"</f>
        <v>403,7801</v>
      </c>
      <c r="S7" s="8" t="s">
        <v>35</v>
      </c>
    </row>
    <row r="9" spans="1:19" ht="15">
      <c r="A9" s="28" t="s">
        <v>23</v>
      </c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</row>
    <row r="10" spans="1:19">
      <c r="A10" s="8" t="s">
        <v>36</v>
      </c>
      <c r="B10" s="9" t="s">
        <v>37</v>
      </c>
      <c r="C10" s="9" t="s">
        <v>38</v>
      </c>
      <c r="D10" s="8" t="s">
        <v>607</v>
      </c>
      <c r="E10" s="10" t="s">
        <v>39</v>
      </c>
      <c r="F10" s="9" t="s">
        <v>40</v>
      </c>
      <c r="G10" s="9" t="s">
        <v>41</v>
      </c>
      <c r="H10" s="10"/>
      <c r="I10" s="10" t="s">
        <v>42</v>
      </c>
      <c r="J10" s="9" t="s">
        <v>42</v>
      </c>
      <c r="K10" s="9" t="s">
        <v>43</v>
      </c>
      <c r="L10" s="10"/>
      <c r="M10" s="9" t="s">
        <v>44</v>
      </c>
      <c r="N10" s="9" t="s">
        <v>22</v>
      </c>
      <c r="O10" s="9" t="s">
        <v>45</v>
      </c>
      <c r="P10" s="10"/>
      <c r="Q10" s="11" t="str">
        <f>"420,0"</f>
        <v>420,0</v>
      </c>
      <c r="R10" s="12" t="str">
        <f>"308,6370"</f>
        <v>308,6370</v>
      </c>
      <c r="S10" s="8"/>
    </row>
    <row r="12" spans="1:19" ht="15">
      <c r="A12" s="28" t="s">
        <v>46</v>
      </c>
      <c r="B12" s="29"/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</row>
    <row r="13" spans="1:19">
      <c r="A13" s="8" t="s">
        <v>47</v>
      </c>
      <c r="B13" s="9" t="s">
        <v>48</v>
      </c>
      <c r="C13" s="9" t="s">
        <v>49</v>
      </c>
      <c r="D13" s="8" t="s">
        <v>607</v>
      </c>
      <c r="E13" s="9" t="s">
        <v>44</v>
      </c>
      <c r="F13" s="9" t="s">
        <v>50</v>
      </c>
      <c r="G13" s="10" t="s">
        <v>22</v>
      </c>
      <c r="H13" s="10"/>
      <c r="I13" s="9" t="s">
        <v>40</v>
      </c>
      <c r="J13" s="10" t="s">
        <v>27</v>
      </c>
      <c r="K13" s="10" t="s">
        <v>27</v>
      </c>
      <c r="L13" s="10"/>
      <c r="M13" s="9" t="s">
        <v>32</v>
      </c>
      <c r="N13" s="9" t="s">
        <v>51</v>
      </c>
      <c r="O13" s="9" t="s">
        <v>52</v>
      </c>
      <c r="P13" s="10"/>
      <c r="Q13" s="11" t="str">
        <f>"525,0"</f>
        <v>525,0</v>
      </c>
      <c r="R13" s="12" t="str">
        <f>"322,6387"</f>
        <v>322,6387</v>
      </c>
      <c r="S13" s="8"/>
    </row>
    <row r="15" spans="1:19" ht="15">
      <c r="A15" s="28" t="s">
        <v>53</v>
      </c>
      <c r="B15" s="29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</row>
    <row r="16" spans="1:19">
      <c r="A16" s="8" t="s">
        <v>54</v>
      </c>
      <c r="B16" s="9" t="s">
        <v>55</v>
      </c>
      <c r="C16" s="9" t="s">
        <v>56</v>
      </c>
      <c r="D16" s="8" t="s">
        <v>607</v>
      </c>
      <c r="E16" s="9" t="s">
        <v>57</v>
      </c>
      <c r="F16" s="9" t="s">
        <v>58</v>
      </c>
      <c r="G16" s="9" t="s">
        <v>59</v>
      </c>
      <c r="H16" s="10"/>
      <c r="I16" s="9" t="s">
        <v>50</v>
      </c>
      <c r="J16" s="9" t="s">
        <v>22</v>
      </c>
      <c r="K16" s="10" t="s">
        <v>45</v>
      </c>
      <c r="L16" s="10"/>
      <c r="M16" s="9" t="s">
        <v>60</v>
      </c>
      <c r="N16" s="9" t="s">
        <v>61</v>
      </c>
      <c r="O16" s="10" t="s">
        <v>62</v>
      </c>
      <c r="P16" s="10"/>
      <c r="Q16" s="11" t="str">
        <f>"645,0"</f>
        <v>645,0</v>
      </c>
      <c r="R16" s="12" t="str">
        <f>"366,9082"</f>
        <v>366,9082</v>
      </c>
      <c r="S16" s="8" t="s">
        <v>63</v>
      </c>
    </row>
    <row r="18" spans="1:19" ht="15">
      <c r="A18" s="28" t="s">
        <v>64</v>
      </c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</row>
    <row r="19" spans="1:19">
      <c r="A19" s="8" t="s">
        <v>65</v>
      </c>
      <c r="B19" s="9" t="s">
        <v>66</v>
      </c>
      <c r="C19" s="9" t="s">
        <v>67</v>
      </c>
      <c r="D19" s="8" t="s">
        <v>618</v>
      </c>
      <c r="E19" s="9" t="s">
        <v>62</v>
      </c>
      <c r="F19" s="9" t="s">
        <v>68</v>
      </c>
      <c r="G19" s="10"/>
      <c r="H19" s="10"/>
      <c r="I19" s="9" t="s">
        <v>57</v>
      </c>
      <c r="J19" s="9" t="s">
        <v>58</v>
      </c>
      <c r="K19" s="9" t="s">
        <v>69</v>
      </c>
      <c r="L19" s="10"/>
      <c r="M19" s="9" t="s">
        <v>62</v>
      </c>
      <c r="N19" s="9" t="s">
        <v>68</v>
      </c>
      <c r="O19" s="9" t="s">
        <v>70</v>
      </c>
      <c r="P19" s="10"/>
      <c r="Q19" s="11" t="str">
        <f>"820,0"</f>
        <v>820,0</v>
      </c>
      <c r="R19" s="12" t="str">
        <f>"454,2390"</f>
        <v>454,2390</v>
      </c>
      <c r="S19" s="8"/>
    </row>
  </sheetData>
  <mergeCells count="16">
    <mergeCell ref="Q1:Q2"/>
    <mergeCell ref="R1:R2"/>
    <mergeCell ref="S1:S2"/>
    <mergeCell ref="A3:P3"/>
    <mergeCell ref="A1:A2"/>
    <mergeCell ref="B1:B2"/>
    <mergeCell ref="C1:C2"/>
    <mergeCell ref="D1:D2"/>
    <mergeCell ref="E1:H1"/>
    <mergeCell ref="I1:L1"/>
    <mergeCell ref="M1:P1"/>
    <mergeCell ref="A6:P6"/>
    <mergeCell ref="A9:P9"/>
    <mergeCell ref="A12:P12"/>
    <mergeCell ref="A15:P15"/>
    <mergeCell ref="A18:P1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S15"/>
  <sheetViews>
    <sheetView workbookViewId="0">
      <selection sqref="A1:A2"/>
    </sheetView>
  </sheetViews>
  <sheetFormatPr defaultColWidth="9.140625" defaultRowHeight="12.75"/>
  <cols>
    <col min="1" max="1" width="24.85546875" style="3" bestFit="1" customWidth="1"/>
    <col min="2" max="2" width="26.5703125" style="4" bestFit="1" customWidth="1"/>
    <col min="3" max="3" width="7.5703125" style="4" bestFit="1" customWidth="1"/>
    <col min="4" max="4" width="14.7109375" style="3" bestFit="1" customWidth="1"/>
    <col min="5" max="7" width="5.5703125" style="4" customWidth="1"/>
    <col min="8" max="8" width="4.7109375" style="4" customWidth="1"/>
    <col min="9" max="11" width="5.5703125" style="4" customWidth="1"/>
    <col min="12" max="12" width="4.7109375" style="4" customWidth="1"/>
    <col min="13" max="15" width="5.5703125" style="4" customWidth="1"/>
    <col min="16" max="16" width="4.7109375" style="4" customWidth="1"/>
    <col min="17" max="17" width="5.7109375" style="6" bestFit="1" customWidth="1"/>
    <col min="18" max="18" width="8.5703125" style="7" bestFit="1" customWidth="1"/>
    <col min="19" max="19" width="7.140625" style="3" bestFit="1" customWidth="1"/>
    <col min="20" max="16384" width="9.140625" style="2"/>
  </cols>
  <sheetData>
    <row r="1" spans="1:19" s="1" customFormat="1" ht="12.75" customHeight="1">
      <c r="A1" s="36" t="s">
        <v>0</v>
      </c>
      <c r="B1" s="38" t="s">
        <v>6</v>
      </c>
      <c r="C1" s="38" t="s">
        <v>4</v>
      </c>
      <c r="D1" s="30" t="s">
        <v>7</v>
      </c>
      <c r="E1" s="30" t="s">
        <v>8</v>
      </c>
      <c r="F1" s="30"/>
      <c r="G1" s="30"/>
      <c r="H1" s="30"/>
      <c r="I1" s="30" t="s">
        <v>9</v>
      </c>
      <c r="J1" s="30"/>
      <c r="K1" s="30"/>
      <c r="L1" s="30"/>
      <c r="M1" s="30" t="s">
        <v>10</v>
      </c>
      <c r="N1" s="30"/>
      <c r="O1" s="30"/>
      <c r="P1" s="30"/>
      <c r="Q1" s="30" t="s">
        <v>5</v>
      </c>
      <c r="R1" s="30" t="s">
        <v>2</v>
      </c>
      <c r="S1" s="32" t="s">
        <v>1</v>
      </c>
    </row>
    <row r="2" spans="1:19" s="1" customFormat="1" ht="23.25" customHeight="1" thickBot="1">
      <c r="A2" s="37"/>
      <c r="B2" s="31"/>
      <c r="C2" s="31"/>
      <c r="D2" s="31"/>
      <c r="E2" s="5">
        <v>1</v>
      </c>
      <c r="F2" s="5">
        <v>2</v>
      </c>
      <c r="G2" s="5">
        <v>3</v>
      </c>
      <c r="H2" s="5" t="s">
        <v>3</v>
      </c>
      <c r="I2" s="5">
        <v>1</v>
      </c>
      <c r="J2" s="5">
        <v>2</v>
      </c>
      <c r="K2" s="5">
        <v>3</v>
      </c>
      <c r="L2" s="5" t="s">
        <v>3</v>
      </c>
      <c r="M2" s="5">
        <v>1</v>
      </c>
      <c r="N2" s="5">
        <v>2</v>
      </c>
      <c r="O2" s="5">
        <v>3</v>
      </c>
      <c r="P2" s="5" t="s">
        <v>3</v>
      </c>
      <c r="Q2" s="31"/>
      <c r="R2" s="31"/>
      <c r="S2" s="33"/>
    </row>
    <row r="3" spans="1:19" s="4" customFormat="1" ht="15">
      <c r="A3" s="34" t="s">
        <v>71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6"/>
      <c r="R3" s="7"/>
      <c r="S3" s="3"/>
    </row>
    <row r="4" spans="1:19" s="4" customFormat="1">
      <c r="A4" s="8" t="s">
        <v>72</v>
      </c>
      <c r="B4" s="9" t="s">
        <v>73</v>
      </c>
      <c r="C4" s="9" t="s">
        <v>74</v>
      </c>
      <c r="D4" s="8" t="s">
        <v>619</v>
      </c>
      <c r="E4" s="10" t="s">
        <v>75</v>
      </c>
      <c r="F4" s="9" t="s">
        <v>75</v>
      </c>
      <c r="G4" s="10" t="s">
        <v>30</v>
      </c>
      <c r="H4" s="10"/>
      <c r="I4" s="9" t="s">
        <v>76</v>
      </c>
      <c r="J4" s="9" t="s">
        <v>77</v>
      </c>
      <c r="K4" s="10" t="s">
        <v>42</v>
      </c>
      <c r="L4" s="10"/>
      <c r="M4" s="9" t="s">
        <v>78</v>
      </c>
      <c r="N4" s="9" t="s">
        <v>75</v>
      </c>
      <c r="O4" s="9" t="s">
        <v>79</v>
      </c>
      <c r="P4" s="10"/>
      <c r="Q4" s="11" t="str">
        <f>"275,0"</f>
        <v>275,0</v>
      </c>
      <c r="R4" s="12" t="str">
        <f>"178,1038"</f>
        <v>178,1038</v>
      </c>
      <c r="S4" s="8"/>
    </row>
    <row r="5" spans="1:19" s="4" customFormat="1">
      <c r="A5" s="3"/>
      <c r="D5" s="3"/>
      <c r="Q5" s="6"/>
      <c r="R5" s="7"/>
      <c r="S5" s="3"/>
    </row>
    <row r="6" spans="1:19" ht="15">
      <c r="A6" s="28" t="s">
        <v>46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</row>
    <row r="7" spans="1:19">
      <c r="A7" s="16" t="s">
        <v>80</v>
      </c>
      <c r="B7" s="13" t="s">
        <v>81</v>
      </c>
      <c r="C7" s="13" t="s">
        <v>82</v>
      </c>
      <c r="D7" s="16" t="s">
        <v>620</v>
      </c>
      <c r="E7" s="17" t="s">
        <v>60</v>
      </c>
      <c r="F7" s="13" t="s">
        <v>60</v>
      </c>
      <c r="G7" s="17" t="s">
        <v>83</v>
      </c>
      <c r="H7" s="17"/>
      <c r="I7" s="13" t="s">
        <v>39</v>
      </c>
      <c r="J7" s="17"/>
      <c r="K7" s="17"/>
      <c r="L7" s="17"/>
      <c r="M7" s="13" t="s">
        <v>84</v>
      </c>
      <c r="N7" s="13" t="s">
        <v>85</v>
      </c>
      <c r="O7" s="17" t="s">
        <v>86</v>
      </c>
      <c r="P7" s="17"/>
      <c r="Q7" s="18" t="str">
        <f>"640,0"</f>
        <v>640,0</v>
      </c>
      <c r="R7" s="19" t="str">
        <f>"395,3280"</f>
        <v>395,3280</v>
      </c>
      <c r="S7" s="16"/>
    </row>
    <row r="8" spans="1:19">
      <c r="A8" s="20" t="s">
        <v>87</v>
      </c>
      <c r="B8" s="14" t="s">
        <v>88</v>
      </c>
      <c r="C8" s="14" t="s">
        <v>89</v>
      </c>
      <c r="D8" s="20" t="s">
        <v>621</v>
      </c>
      <c r="E8" s="14" t="s">
        <v>51</v>
      </c>
      <c r="F8" s="14" t="s">
        <v>90</v>
      </c>
      <c r="G8" s="21" t="s">
        <v>91</v>
      </c>
      <c r="H8" s="21"/>
      <c r="I8" s="14" t="s">
        <v>40</v>
      </c>
      <c r="J8" s="14" t="s">
        <v>92</v>
      </c>
      <c r="K8" s="14" t="s">
        <v>41</v>
      </c>
      <c r="L8" s="21"/>
      <c r="M8" s="14" t="s">
        <v>60</v>
      </c>
      <c r="N8" s="14" t="s">
        <v>93</v>
      </c>
      <c r="O8" s="21" t="s">
        <v>85</v>
      </c>
      <c r="P8" s="21"/>
      <c r="Q8" s="22" t="str">
        <f>"632,5"</f>
        <v>632,5</v>
      </c>
      <c r="R8" s="23" t="str">
        <f>"390,1576"</f>
        <v>390,1576</v>
      </c>
      <c r="S8" s="20"/>
    </row>
    <row r="9" spans="1:19">
      <c r="A9" s="24" t="s">
        <v>94</v>
      </c>
      <c r="B9" s="15" t="s">
        <v>95</v>
      </c>
      <c r="C9" s="15" t="s">
        <v>96</v>
      </c>
      <c r="D9" s="24" t="s">
        <v>620</v>
      </c>
      <c r="E9" s="25" t="s">
        <v>44</v>
      </c>
      <c r="F9" s="25" t="s">
        <v>44</v>
      </c>
      <c r="G9" s="15" t="s">
        <v>44</v>
      </c>
      <c r="H9" s="25"/>
      <c r="I9" s="15" t="s">
        <v>39</v>
      </c>
      <c r="J9" s="15" t="s">
        <v>40</v>
      </c>
      <c r="K9" s="25"/>
      <c r="L9" s="25"/>
      <c r="M9" s="15" t="s">
        <v>69</v>
      </c>
      <c r="N9" s="25" t="s">
        <v>52</v>
      </c>
      <c r="O9" s="25"/>
      <c r="P9" s="25"/>
      <c r="Q9" s="26" t="str">
        <f>"500,0"</f>
        <v>500,0</v>
      </c>
      <c r="R9" s="27" t="str">
        <f>"319,2234"</f>
        <v>319,2234</v>
      </c>
      <c r="S9" s="24"/>
    </row>
    <row r="11" spans="1:19" ht="15">
      <c r="A11" s="28" t="s">
        <v>97</v>
      </c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</row>
    <row r="12" spans="1:19">
      <c r="A12" s="8" t="s">
        <v>98</v>
      </c>
      <c r="B12" s="9" t="s">
        <v>99</v>
      </c>
      <c r="C12" s="9" t="s">
        <v>100</v>
      </c>
      <c r="D12" s="8" t="s">
        <v>622</v>
      </c>
      <c r="E12" s="10" t="s">
        <v>60</v>
      </c>
      <c r="F12" s="10" t="s">
        <v>84</v>
      </c>
      <c r="G12" s="9" t="s">
        <v>84</v>
      </c>
      <c r="H12" s="10"/>
      <c r="I12" s="9" t="s">
        <v>45</v>
      </c>
      <c r="J12" s="9" t="s">
        <v>32</v>
      </c>
      <c r="K12" s="9" t="s">
        <v>58</v>
      </c>
      <c r="L12" s="10"/>
      <c r="M12" s="9" t="s">
        <v>84</v>
      </c>
      <c r="N12" s="9" t="s">
        <v>101</v>
      </c>
      <c r="O12" s="10" t="s">
        <v>62</v>
      </c>
      <c r="P12" s="10"/>
      <c r="Q12" s="11" t="str">
        <f>"710,0"</f>
        <v>710,0</v>
      </c>
      <c r="R12" s="12" t="str">
        <f>"414,1430"</f>
        <v>414,1430</v>
      </c>
      <c r="S12" s="8"/>
    </row>
    <row r="14" spans="1:19" ht="15">
      <c r="A14" s="28" t="s">
        <v>53</v>
      </c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</row>
    <row r="15" spans="1:19">
      <c r="A15" s="8" t="s">
        <v>102</v>
      </c>
      <c r="B15" s="9" t="s">
        <v>103</v>
      </c>
      <c r="C15" s="9" t="s">
        <v>104</v>
      </c>
      <c r="D15" s="8" t="s">
        <v>607</v>
      </c>
      <c r="E15" s="10" t="s">
        <v>57</v>
      </c>
      <c r="F15" s="9" t="s">
        <v>57</v>
      </c>
      <c r="G15" s="9" t="s">
        <v>45</v>
      </c>
      <c r="H15" s="10"/>
      <c r="I15" s="10" t="s">
        <v>39</v>
      </c>
      <c r="J15" s="10" t="s">
        <v>39</v>
      </c>
      <c r="K15" s="10" t="s">
        <v>39</v>
      </c>
      <c r="L15" s="10"/>
      <c r="M15" s="10" t="s">
        <v>105</v>
      </c>
      <c r="N15" s="10"/>
      <c r="O15" s="10"/>
      <c r="P15" s="10"/>
      <c r="Q15" s="11" t="str">
        <f>"0.00"</f>
        <v>0.00</v>
      </c>
      <c r="R15" s="12" t="str">
        <f>"0,0000"</f>
        <v>0,0000</v>
      </c>
      <c r="S15" s="8"/>
    </row>
  </sheetData>
  <mergeCells count="14">
    <mergeCell ref="S1:S2"/>
    <mergeCell ref="A3:P3"/>
    <mergeCell ref="A1:A2"/>
    <mergeCell ref="B1:B2"/>
    <mergeCell ref="C1:C2"/>
    <mergeCell ref="D1:D2"/>
    <mergeCell ref="E1:H1"/>
    <mergeCell ref="I1:L1"/>
    <mergeCell ref="M1:P1"/>
    <mergeCell ref="A6:P6"/>
    <mergeCell ref="A11:P11"/>
    <mergeCell ref="A14:P14"/>
    <mergeCell ref="Q1:Q2"/>
    <mergeCell ref="R1:R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S5"/>
  <sheetViews>
    <sheetView workbookViewId="0">
      <selection sqref="A1:A2"/>
    </sheetView>
  </sheetViews>
  <sheetFormatPr defaultColWidth="9.140625" defaultRowHeight="12.75"/>
  <cols>
    <col min="1" max="1" width="24.85546875" style="3" bestFit="1" customWidth="1"/>
    <col min="2" max="2" width="26.5703125" style="4" bestFit="1" customWidth="1"/>
    <col min="3" max="3" width="7.5703125" style="4" bestFit="1" customWidth="1"/>
    <col min="4" max="4" width="14.7109375" style="3" bestFit="1" customWidth="1"/>
    <col min="5" max="7" width="5.5703125" style="4" customWidth="1"/>
    <col min="8" max="8" width="4.7109375" style="4" customWidth="1"/>
    <col min="9" max="11" width="5.5703125" style="4" customWidth="1"/>
    <col min="12" max="12" width="4.7109375" style="4" customWidth="1"/>
    <col min="13" max="14" width="5.5703125" style="4" customWidth="1"/>
    <col min="15" max="15" width="2.140625" style="4" customWidth="1"/>
    <col min="16" max="16" width="4.7109375" style="4" customWidth="1"/>
    <col min="17" max="17" width="5.7109375" style="6" bestFit="1" customWidth="1"/>
    <col min="18" max="18" width="8.5703125" style="7" bestFit="1" customWidth="1"/>
    <col min="19" max="19" width="7.140625" style="3" bestFit="1" customWidth="1"/>
    <col min="20" max="16384" width="9.140625" style="2"/>
  </cols>
  <sheetData>
    <row r="1" spans="1:19" s="1" customFormat="1" ht="12.75" customHeight="1">
      <c r="A1" s="36" t="s">
        <v>0</v>
      </c>
      <c r="B1" s="38" t="s">
        <v>6</v>
      </c>
      <c r="C1" s="38" t="s">
        <v>4</v>
      </c>
      <c r="D1" s="30" t="s">
        <v>7</v>
      </c>
      <c r="E1" s="30" t="s">
        <v>8</v>
      </c>
      <c r="F1" s="30"/>
      <c r="G1" s="30"/>
      <c r="H1" s="30"/>
      <c r="I1" s="30" t="s">
        <v>9</v>
      </c>
      <c r="J1" s="30"/>
      <c r="K1" s="30"/>
      <c r="L1" s="30"/>
      <c r="M1" s="30" t="s">
        <v>10</v>
      </c>
      <c r="N1" s="30"/>
      <c r="O1" s="30"/>
      <c r="P1" s="30"/>
      <c r="Q1" s="30" t="s">
        <v>5</v>
      </c>
      <c r="R1" s="30" t="s">
        <v>2</v>
      </c>
      <c r="S1" s="32" t="s">
        <v>1</v>
      </c>
    </row>
    <row r="2" spans="1:19" s="1" customFormat="1" ht="23.25" customHeight="1" thickBot="1">
      <c r="A2" s="37"/>
      <c r="B2" s="31"/>
      <c r="C2" s="31"/>
      <c r="D2" s="31"/>
      <c r="E2" s="5">
        <v>1</v>
      </c>
      <c r="F2" s="5">
        <v>2</v>
      </c>
      <c r="G2" s="5">
        <v>3</v>
      </c>
      <c r="H2" s="5" t="s">
        <v>3</v>
      </c>
      <c r="I2" s="5">
        <v>1</v>
      </c>
      <c r="J2" s="5">
        <v>2</v>
      </c>
      <c r="K2" s="5">
        <v>3</v>
      </c>
      <c r="L2" s="5" t="s">
        <v>3</v>
      </c>
      <c r="M2" s="5">
        <v>1</v>
      </c>
      <c r="N2" s="5">
        <v>2</v>
      </c>
      <c r="O2" s="5">
        <v>3</v>
      </c>
      <c r="P2" s="5" t="s">
        <v>3</v>
      </c>
      <c r="Q2" s="31"/>
      <c r="R2" s="31"/>
      <c r="S2" s="33"/>
    </row>
    <row r="3" spans="1:19" s="4" customFormat="1" ht="15">
      <c r="A3" s="34" t="s">
        <v>46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6"/>
      <c r="R3" s="7"/>
      <c r="S3" s="3"/>
    </row>
    <row r="4" spans="1:19" s="4" customFormat="1">
      <c r="A4" s="16" t="s">
        <v>80</v>
      </c>
      <c r="B4" s="13" t="s">
        <v>81</v>
      </c>
      <c r="C4" s="13" t="s">
        <v>82</v>
      </c>
      <c r="D4" s="16" t="s">
        <v>620</v>
      </c>
      <c r="E4" s="13" t="s">
        <v>61</v>
      </c>
      <c r="F4" s="13" t="s">
        <v>62</v>
      </c>
      <c r="G4" s="13" t="s">
        <v>68</v>
      </c>
      <c r="H4" s="17"/>
      <c r="I4" s="13" t="s">
        <v>39</v>
      </c>
      <c r="J4" s="13" t="s">
        <v>105</v>
      </c>
      <c r="K4" s="17" t="s">
        <v>45</v>
      </c>
      <c r="L4" s="17"/>
      <c r="M4" s="13" t="s">
        <v>84</v>
      </c>
      <c r="N4" s="13" t="s">
        <v>106</v>
      </c>
      <c r="O4" s="17"/>
      <c r="P4" s="17"/>
      <c r="Q4" s="18" t="str">
        <f>"752,5"</f>
        <v>752,5</v>
      </c>
      <c r="R4" s="19" t="str">
        <f>"464,8192"</f>
        <v>464,8192</v>
      </c>
      <c r="S4" s="16"/>
    </row>
    <row r="5" spans="1:19" s="4" customFormat="1">
      <c r="A5" s="24" t="s">
        <v>94</v>
      </c>
      <c r="B5" s="15" t="s">
        <v>95</v>
      </c>
      <c r="C5" s="15" t="s">
        <v>96</v>
      </c>
      <c r="D5" s="24" t="s">
        <v>620</v>
      </c>
      <c r="E5" s="15" t="s">
        <v>44</v>
      </c>
      <c r="F5" s="25" t="s">
        <v>57</v>
      </c>
      <c r="G5" s="15" t="s">
        <v>57</v>
      </c>
      <c r="H5" s="25"/>
      <c r="I5" s="15" t="s">
        <v>40</v>
      </c>
      <c r="J5" s="25" t="s">
        <v>41</v>
      </c>
      <c r="K5" s="25"/>
      <c r="L5" s="25"/>
      <c r="M5" s="15" t="s">
        <v>57</v>
      </c>
      <c r="N5" s="25"/>
      <c r="O5" s="25"/>
      <c r="P5" s="25"/>
      <c r="Q5" s="26" t="str">
        <f>"500,0"</f>
        <v>500,0</v>
      </c>
      <c r="R5" s="27" t="str">
        <f>"319,2234"</f>
        <v>319,2234</v>
      </c>
      <c r="S5" s="24"/>
    </row>
  </sheetData>
  <mergeCells count="11">
    <mergeCell ref="Q1:Q2"/>
    <mergeCell ref="R1:R2"/>
    <mergeCell ref="S1:S2"/>
    <mergeCell ref="A3:P3"/>
    <mergeCell ref="A1:A2"/>
    <mergeCell ref="B1:B2"/>
    <mergeCell ref="C1:C2"/>
    <mergeCell ref="D1:D2"/>
    <mergeCell ref="E1:H1"/>
    <mergeCell ref="I1:L1"/>
    <mergeCell ref="M1:P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K89"/>
  <sheetViews>
    <sheetView workbookViewId="0">
      <selection sqref="A1:A2"/>
    </sheetView>
  </sheetViews>
  <sheetFormatPr defaultColWidth="9.140625" defaultRowHeight="12.75"/>
  <cols>
    <col min="1" max="1" width="24.85546875" style="3" bestFit="1" customWidth="1"/>
    <col min="2" max="2" width="26.5703125" style="4" bestFit="1" customWidth="1"/>
    <col min="3" max="3" width="7.5703125" style="4" bestFit="1" customWidth="1"/>
    <col min="4" max="4" width="19.28515625" style="3" bestFit="1" customWidth="1"/>
    <col min="5" max="7" width="5.5703125" style="4" customWidth="1"/>
    <col min="8" max="8" width="4.7109375" style="4" customWidth="1"/>
    <col min="9" max="9" width="5.7109375" style="6" bestFit="1" customWidth="1"/>
    <col min="10" max="10" width="8.5703125" style="7" bestFit="1" customWidth="1"/>
    <col min="11" max="11" width="16.42578125" style="3" bestFit="1" customWidth="1"/>
    <col min="12" max="16384" width="9.140625" style="2"/>
  </cols>
  <sheetData>
    <row r="1" spans="1:11" s="1" customFormat="1" ht="12.75" customHeight="1">
      <c r="A1" s="36" t="s">
        <v>0</v>
      </c>
      <c r="B1" s="38" t="s">
        <v>6</v>
      </c>
      <c r="C1" s="38" t="s">
        <v>4</v>
      </c>
      <c r="D1" s="30" t="s">
        <v>7</v>
      </c>
      <c r="E1" s="30" t="s">
        <v>9</v>
      </c>
      <c r="F1" s="30"/>
      <c r="G1" s="30"/>
      <c r="H1" s="30"/>
      <c r="I1" s="30" t="s">
        <v>161</v>
      </c>
      <c r="J1" s="30" t="s">
        <v>2</v>
      </c>
      <c r="K1" s="32" t="s">
        <v>1</v>
      </c>
    </row>
    <row r="2" spans="1:11" s="1" customFormat="1" ht="23.25" customHeight="1" thickBot="1">
      <c r="A2" s="37"/>
      <c r="B2" s="31"/>
      <c r="C2" s="31"/>
      <c r="D2" s="31"/>
      <c r="E2" s="5">
        <v>1</v>
      </c>
      <c r="F2" s="5">
        <v>2</v>
      </c>
      <c r="G2" s="5">
        <v>3</v>
      </c>
      <c r="H2" s="5" t="s">
        <v>3</v>
      </c>
      <c r="I2" s="31"/>
      <c r="J2" s="31"/>
      <c r="K2" s="33"/>
    </row>
    <row r="3" spans="1:11" s="4" customFormat="1" ht="15">
      <c r="A3" s="34" t="s">
        <v>176</v>
      </c>
      <c r="B3" s="35"/>
      <c r="C3" s="35"/>
      <c r="D3" s="35"/>
      <c r="E3" s="35"/>
      <c r="F3" s="35"/>
      <c r="G3" s="35"/>
      <c r="H3" s="35"/>
      <c r="I3" s="6"/>
      <c r="J3" s="7"/>
      <c r="K3" s="3"/>
    </row>
    <row r="4" spans="1:11" s="4" customFormat="1">
      <c r="A4" s="16" t="s">
        <v>310</v>
      </c>
      <c r="B4" s="13" t="s">
        <v>311</v>
      </c>
      <c r="C4" s="13" t="s">
        <v>179</v>
      </c>
      <c r="D4" s="16" t="s">
        <v>607</v>
      </c>
      <c r="E4" s="13" t="s">
        <v>76</v>
      </c>
      <c r="F4" s="13" t="s">
        <v>77</v>
      </c>
      <c r="G4" s="17" t="s">
        <v>312</v>
      </c>
      <c r="H4" s="17"/>
      <c r="I4" s="18" t="str">
        <f>"70,0"</f>
        <v>70,0</v>
      </c>
      <c r="J4" s="19" t="str">
        <f>"83,5940"</f>
        <v>83,5940</v>
      </c>
      <c r="K4" s="16"/>
    </row>
    <row r="5" spans="1:11" s="4" customFormat="1">
      <c r="A5" s="24" t="s">
        <v>177</v>
      </c>
      <c r="B5" s="15" t="s">
        <v>178</v>
      </c>
      <c r="C5" s="15" t="s">
        <v>179</v>
      </c>
      <c r="D5" s="24" t="s">
        <v>607</v>
      </c>
      <c r="E5" s="15" t="s">
        <v>180</v>
      </c>
      <c r="F5" s="15" t="s">
        <v>110</v>
      </c>
      <c r="G5" s="25" t="s">
        <v>111</v>
      </c>
      <c r="H5" s="25"/>
      <c r="I5" s="26" t="str">
        <f>"50,0"</f>
        <v>50,0</v>
      </c>
      <c r="J5" s="27" t="str">
        <f>"59,7100"</f>
        <v>59,7100</v>
      </c>
      <c r="K5" s="24"/>
    </row>
    <row r="7" spans="1:11" ht="15">
      <c r="A7" s="28" t="s">
        <v>313</v>
      </c>
      <c r="B7" s="29"/>
      <c r="C7" s="29"/>
      <c r="D7" s="29"/>
      <c r="E7" s="29"/>
      <c r="F7" s="29"/>
      <c r="G7" s="29"/>
      <c r="H7" s="29"/>
    </row>
    <row r="8" spans="1:11">
      <c r="A8" s="16" t="s">
        <v>314</v>
      </c>
      <c r="B8" s="13" t="s">
        <v>315</v>
      </c>
      <c r="C8" s="13" t="s">
        <v>316</v>
      </c>
      <c r="D8" s="16" t="s">
        <v>623</v>
      </c>
      <c r="E8" s="13" t="s">
        <v>270</v>
      </c>
      <c r="F8" s="13" t="s">
        <v>111</v>
      </c>
      <c r="G8" s="17" t="s">
        <v>275</v>
      </c>
      <c r="H8" s="17"/>
      <c r="I8" s="18" t="str">
        <f>"52,5"</f>
        <v>52,5</v>
      </c>
      <c r="J8" s="19" t="str">
        <f>"59,5980"</f>
        <v>59,5980</v>
      </c>
      <c r="K8" s="16"/>
    </row>
    <row r="9" spans="1:11">
      <c r="A9" s="24" t="s">
        <v>317</v>
      </c>
      <c r="B9" s="15" t="s">
        <v>318</v>
      </c>
      <c r="C9" s="15" t="s">
        <v>319</v>
      </c>
      <c r="D9" s="24" t="s">
        <v>624</v>
      </c>
      <c r="E9" s="25" t="s">
        <v>180</v>
      </c>
      <c r="F9" s="25" t="s">
        <v>110</v>
      </c>
      <c r="G9" s="25" t="s">
        <v>110</v>
      </c>
      <c r="H9" s="25"/>
      <c r="I9" s="26" t="str">
        <f>"0.00"</f>
        <v>0.00</v>
      </c>
      <c r="J9" s="27" t="str">
        <f>"0,0000"</f>
        <v>0,0000</v>
      </c>
      <c r="K9" s="24"/>
    </row>
    <row r="11" spans="1:11" ht="15">
      <c r="A11" s="28" t="s">
        <v>182</v>
      </c>
      <c r="B11" s="29"/>
      <c r="C11" s="29"/>
      <c r="D11" s="29"/>
      <c r="E11" s="29"/>
      <c r="F11" s="29"/>
      <c r="G11" s="29"/>
      <c r="H11" s="29"/>
    </row>
    <row r="12" spans="1:11">
      <c r="A12" s="16" t="s">
        <v>183</v>
      </c>
      <c r="B12" s="13" t="s">
        <v>184</v>
      </c>
      <c r="C12" s="13" t="s">
        <v>185</v>
      </c>
      <c r="D12" s="16" t="s">
        <v>607</v>
      </c>
      <c r="E12" s="13" t="s">
        <v>110</v>
      </c>
      <c r="F12" s="13" t="s">
        <v>111</v>
      </c>
      <c r="G12" s="13" t="s">
        <v>112</v>
      </c>
      <c r="H12" s="17"/>
      <c r="I12" s="18" t="str">
        <f>"55,0"</f>
        <v>55,0</v>
      </c>
      <c r="J12" s="19" t="str">
        <f>"58,5915"</f>
        <v>58,5915</v>
      </c>
      <c r="K12" s="16" t="s">
        <v>187</v>
      </c>
    </row>
    <row r="13" spans="1:11">
      <c r="A13" s="24" t="s">
        <v>320</v>
      </c>
      <c r="B13" s="15" t="s">
        <v>321</v>
      </c>
      <c r="C13" s="15" t="s">
        <v>322</v>
      </c>
      <c r="D13" s="24" t="s">
        <v>607</v>
      </c>
      <c r="E13" s="15" t="s">
        <v>110</v>
      </c>
      <c r="F13" s="25" t="s">
        <v>112</v>
      </c>
      <c r="G13" s="25" t="s">
        <v>112</v>
      </c>
      <c r="H13" s="25"/>
      <c r="I13" s="26" t="str">
        <f>"50,0"</f>
        <v>50,0</v>
      </c>
      <c r="J13" s="27" t="str">
        <f>"54,3850"</f>
        <v>54,3850</v>
      </c>
      <c r="K13" s="24"/>
    </row>
    <row r="15" spans="1:11" ht="15">
      <c r="A15" s="28" t="s">
        <v>11</v>
      </c>
      <c r="B15" s="29"/>
      <c r="C15" s="29"/>
      <c r="D15" s="29"/>
      <c r="E15" s="29"/>
      <c r="F15" s="29"/>
      <c r="G15" s="29"/>
      <c r="H15" s="29"/>
    </row>
    <row r="16" spans="1:11">
      <c r="A16" s="8" t="s">
        <v>323</v>
      </c>
      <c r="B16" s="9" t="s">
        <v>324</v>
      </c>
      <c r="C16" s="9" t="s">
        <v>14</v>
      </c>
      <c r="D16" s="8" t="s">
        <v>623</v>
      </c>
      <c r="E16" s="9" t="s">
        <v>110</v>
      </c>
      <c r="F16" s="10" t="s">
        <v>111</v>
      </c>
      <c r="G16" s="9" t="s">
        <v>111</v>
      </c>
      <c r="H16" s="10"/>
      <c r="I16" s="11" t="str">
        <f>"52,5"</f>
        <v>52,5</v>
      </c>
      <c r="J16" s="12" t="str">
        <f>"51,8490"</f>
        <v>51,8490</v>
      </c>
      <c r="K16" s="8"/>
    </row>
    <row r="18" spans="1:11" ht="15">
      <c r="A18" s="28" t="s">
        <v>113</v>
      </c>
      <c r="B18" s="29"/>
      <c r="C18" s="29"/>
      <c r="D18" s="29"/>
      <c r="E18" s="29"/>
      <c r="F18" s="29"/>
      <c r="G18" s="29"/>
      <c r="H18" s="29"/>
    </row>
    <row r="19" spans="1:11">
      <c r="A19" s="16" t="s">
        <v>325</v>
      </c>
      <c r="B19" s="13" t="s">
        <v>326</v>
      </c>
      <c r="C19" s="13" t="s">
        <v>327</v>
      </c>
      <c r="D19" s="16" t="s">
        <v>607</v>
      </c>
      <c r="E19" s="17" t="s">
        <v>77</v>
      </c>
      <c r="F19" s="13" t="s">
        <v>77</v>
      </c>
      <c r="G19" s="17" t="s">
        <v>42</v>
      </c>
      <c r="H19" s="17"/>
      <c r="I19" s="18" t="str">
        <f>"70,0"</f>
        <v>70,0</v>
      </c>
      <c r="J19" s="19" t="str">
        <f>"65,9085"</f>
        <v>65,9085</v>
      </c>
      <c r="K19" s="16"/>
    </row>
    <row r="20" spans="1:11">
      <c r="A20" s="24" t="s">
        <v>328</v>
      </c>
      <c r="B20" s="15" t="s">
        <v>329</v>
      </c>
      <c r="C20" s="15" t="s">
        <v>330</v>
      </c>
      <c r="D20" s="24" t="s">
        <v>615</v>
      </c>
      <c r="E20" s="15" t="s">
        <v>275</v>
      </c>
      <c r="F20" s="25" t="s">
        <v>192</v>
      </c>
      <c r="G20" s="15" t="s">
        <v>192</v>
      </c>
      <c r="H20" s="25"/>
      <c r="I20" s="26" t="str">
        <f>"62,5"</f>
        <v>62,5</v>
      </c>
      <c r="J20" s="27" t="str">
        <f>"58,7000"</f>
        <v>58,7000</v>
      </c>
      <c r="K20" s="24"/>
    </row>
    <row r="22" spans="1:11" ht="15">
      <c r="A22" s="28" t="s">
        <v>71</v>
      </c>
      <c r="B22" s="29"/>
      <c r="C22" s="29"/>
      <c r="D22" s="29"/>
      <c r="E22" s="29"/>
      <c r="F22" s="29"/>
      <c r="G22" s="29"/>
      <c r="H22" s="29"/>
    </row>
    <row r="23" spans="1:11">
      <c r="A23" s="8" t="s">
        <v>331</v>
      </c>
      <c r="B23" s="9" t="s">
        <v>332</v>
      </c>
      <c r="C23" s="9" t="s">
        <v>333</v>
      </c>
      <c r="D23" s="8" t="s">
        <v>624</v>
      </c>
      <c r="E23" s="9" t="s">
        <v>78</v>
      </c>
      <c r="F23" s="9" t="s">
        <v>75</v>
      </c>
      <c r="G23" s="9" t="s">
        <v>191</v>
      </c>
      <c r="H23" s="10"/>
      <c r="I23" s="11" t="str">
        <f>"102,5"</f>
        <v>102,5</v>
      </c>
      <c r="J23" s="12" t="str">
        <f>"93,6098"</f>
        <v>93,6098</v>
      </c>
      <c r="K23" s="8"/>
    </row>
    <row r="25" spans="1:11" ht="15">
      <c r="A25" s="28" t="s">
        <v>46</v>
      </c>
      <c r="B25" s="29"/>
      <c r="C25" s="29"/>
      <c r="D25" s="29"/>
      <c r="E25" s="29"/>
      <c r="F25" s="29"/>
      <c r="G25" s="29"/>
      <c r="H25" s="29"/>
    </row>
    <row r="26" spans="1:11">
      <c r="A26" s="8" t="s">
        <v>334</v>
      </c>
      <c r="B26" s="9" t="s">
        <v>335</v>
      </c>
      <c r="C26" s="9" t="s">
        <v>146</v>
      </c>
      <c r="D26" s="8" t="s">
        <v>607</v>
      </c>
      <c r="E26" s="9" t="s">
        <v>180</v>
      </c>
      <c r="F26" s="10" t="s">
        <v>110</v>
      </c>
      <c r="G26" s="9" t="s">
        <v>110</v>
      </c>
      <c r="H26" s="10"/>
      <c r="I26" s="11" t="str">
        <f>"50,0"</f>
        <v>50,0</v>
      </c>
      <c r="J26" s="12" t="str">
        <f>"38,9895"</f>
        <v>38,9895</v>
      </c>
      <c r="K26" s="8" t="s">
        <v>291</v>
      </c>
    </row>
    <row r="28" spans="1:11" ht="15">
      <c r="A28" s="28" t="s">
        <v>182</v>
      </c>
      <c r="B28" s="29"/>
      <c r="C28" s="29"/>
      <c r="D28" s="29"/>
      <c r="E28" s="29"/>
      <c r="F28" s="29"/>
      <c r="G28" s="29"/>
      <c r="H28" s="29"/>
    </row>
    <row r="29" spans="1:11">
      <c r="A29" s="8" t="s">
        <v>336</v>
      </c>
      <c r="B29" s="9" t="s">
        <v>337</v>
      </c>
      <c r="C29" s="9" t="s">
        <v>338</v>
      </c>
      <c r="D29" s="8" t="s">
        <v>623</v>
      </c>
      <c r="E29" s="9" t="s">
        <v>339</v>
      </c>
      <c r="F29" s="9" t="s">
        <v>19</v>
      </c>
      <c r="G29" s="10" t="s">
        <v>191</v>
      </c>
      <c r="H29" s="10"/>
      <c r="I29" s="11" t="str">
        <f>"97,5"</f>
        <v>97,5</v>
      </c>
      <c r="J29" s="12" t="str">
        <f>"87,6769"</f>
        <v>87,6769</v>
      </c>
      <c r="K29" s="8" t="s">
        <v>340</v>
      </c>
    </row>
    <row r="31" spans="1:11" ht="15">
      <c r="A31" s="28" t="s">
        <v>11</v>
      </c>
      <c r="B31" s="29"/>
      <c r="C31" s="29"/>
      <c r="D31" s="29"/>
      <c r="E31" s="29"/>
      <c r="F31" s="29"/>
      <c r="G31" s="29"/>
      <c r="H31" s="29"/>
    </row>
    <row r="32" spans="1:11">
      <c r="A32" s="16" t="s">
        <v>341</v>
      </c>
      <c r="B32" s="13" t="s">
        <v>342</v>
      </c>
      <c r="C32" s="13" t="s">
        <v>343</v>
      </c>
      <c r="D32" s="16" t="s">
        <v>607</v>
      </c>
      <c r="E32" s="13" t="s">
        <v>181</v>
      </c>
      <c r="F32" s="17" t="s">
        <v>78</v>
      </c>
      <c r="G32" s="17" t="s">
        <v>19</v>
      </c>
      <c r="H32" s="17"/>
      <c r="I32" s="18" t="str">
        <f>"90,0"</f>
        <v>90,0</v>
      </c>
      <c r="J32" s="19" t="str">
        <f>"75,4470"</f>
        <v>75,4470</v>
      </c>
      <c r="K32" s="16"/>
    </row>
    <row r="33" spans="1:11">
      <c r="A33" s="20" t="s">
        <v>344</v>
      </c>
      <c r="B33" s="14" t="s">
        <v>345</v>
      </c>
      <c r="C33" s="14" t="s">
        <v>346</v>
      </c>
      <c r="D33" s="20" t="s">
        <v>625</v>
      </c>
      <c r="E33" s="14" t="s">
        <v>147</v>
      </c>
      <c r="F33" s="21" t="s">
        <v>198</v>
      </c>
      <c r="G33" s="21" t="s">
        <v>198</v>
      </c>
      <c r="H33" s="21"/>
      <c r="I33" s="22" t="str">
        <f>"120,0"</f>
        <v>120,0</v>
      </c>
      <c r="J33" s="23" t="str">
        <f>"100,2660"</f>
        <v>100,2660</v>
      </c>
      <c r="K33" s="20"/>
    </row>
    <row r="34" spans="1:11">
      <c r="A34" s="24" t="s">
        <v>347</v>
      </c>
      <c r="B34" s="15" t="s">
        <v>206</v>
      </c>
      <c r="C34" s="15" t="s">
        <v>207</v>
      </c>
      <c r="D34" s="24" t="s">
        <v>611</v>
      </c>
      <c r="E34" s="15" t="s">
        <v>78</v>
      </c>
      <c r="F34" s="15" t="s">
        <v>191</v>
      </c>
      <c r="G34" s="25" t="s">
        <v>29</v>
      </c>
      <c r="H34" s="25"/>
      <c r="I34" s="26" t="str">
        <f>"102,5"</f>
        <v>102,5</v>
      </c>
      <c r="J34" s="27" t="str">
        <f>"87,0738"</f>
        <v>87,0738</v>
      </c>
      <c r="K34" s="24"/>
    </row>
    <row r="36" spans="1:11" ht="15">
      <c r="A36" s="28" t="s">
        <v>23</v>
      </c>
      <c r="B36" s="29"/>
      <c r="C36" s="29"/>
      <c r="D36" s="29"/>
      <c r="E36" s="29"/>
      <c r="F36" s="29"/>
      <c r="G36" s="29"/>
      <c r="H36" s="29"/>
    </row>
    <row r="37" spans="1:11">
      <c r="A37" s="16" t="s">
        <v>348</v>
      </c>
      <c r="B37" s="13" t="s">
        <v>349</v>
      </c>
      <c r="C37" s="13" t="s">
        <v>350</v>
      </c>
      <c r="D37" s="16" t="s">
        <v>607</v>
      </c>
      <c r="E37" s="13" t="s">
        <v>180</v>
      </c>
      <c r="F37" s="13" t="s">
        <v>110</v>
      </c>
      <c r="G37" s="17" t="s">
        <v>112</v>
      </c>
      <c r="H37" s="17"/>
      <c r="I37" s="18" t="str">
        <f>"50,0"</f>
        <v>50,0</v>
      </c>
      <c r="J37" s="19" t="str">
        <f>"35,6250"</f>
        <v>35,6250</v>
      </c>
      <c r="K37" s="16"/>
    </row>
    <row r="38" spans="1:11">
      <c r="A38" s="20" t="s">
        <v>351</v>
      </c>
      <c r="B38" s="14" t="s">
        <v>352</v>
      </c>
      <c r="C38" s="14" t="s">
        <v>217</v>
      </c>
      <c r="D38" s="20" t="s">
        <v>623</v>
      </c>
      <c r="E38" s="14" t="s">
        <v>193</v>
      </c>
      <c r="F38" s="14" t="s">
        <v>31</v>
      </c>
      <c r="G38" s="21" t="s">
        <v>271</v>
      </c>
      <c r="H38" s="21"/>
      <c r="I38" s="22" t="str">
        <f>"117,5"</f>
        <v>117,5</v>
      </c>
      <c r="J38" s="23" t="str">
        <f>"80,9046"</f>
        <v>80,9046</v>
      </c>
      <c r="K38" s="20"/>
    </row>
    <row r="39" spans="1:11">
      <c r="A39" s="20" t="s">
        <v>353</v>
      </c>
      <c r="B39" s="14" t="s">
        <v>354</v>
      </c>
      <c r="C39" s="14" t="s">
        <v>355</v>
      </c>
      <c r="D39" s="20" t="s">
        <v>607</v>
      </c>
      <c r="E39" s="14" t="s">
        <v>50</v>
      </c>
      <c r="F39" s="14" t="s">
        <v>105</v>
      </c>
      <c r="G39" s="21" t="s">
        <v>22</v>
      </c>
      <c r="H39" s="21"/>
      <c r="I39" s="22" t="str">
        <f>"170,0"</f>
        <v>170,0</v>
      </c>
      <c r="J39" s="23" t="str">
        <f>"120,3430"</f>
        <v>120,3430</v>
      </c>
      <c r="K39" s="20"/>
    </row>
    <row r="40" spans="1:11">
      <c r="A40" s="20" t="s">
        <v>356</v>
      </c>
      <c r="B40" s="14" t="s">
        <v>357</v>
      </c>
      <c r="C40" s="14" t="s">
        <v>309</v>
      </c>
      <c r="D40" s="20" t="s">
        <v>626</v>
      </c>
      <c r="E40" s="14" t="s">
        <v>39</v>
      </c>
      <c r="F40" s="14" t="s">
        <v>230</v>
      </c>
      <c r="G40" s="14" t="s">
        <v>40</v>
      </c>
      <c r="H40" s="21"/>
      <c r="I40" s="22" t="str">
        <f>"140,0"</f>
        <v>140,0</v>
      </c>
      <c r="J40" s="23" t="str">
        <f>"97,1600"</f>
        <v>97,1600</v>
      </c>
      <c r="K40" s="20" t="s">
        <v>358</v>
      </c>
    </row>
    <row r="41" spans="1:11">
      <c r="A41" s="20" t="s">
        <v>359</v>
      </c>
      <c r="B41" s="14" t="s">
        <v>360</v>
      </c>
      <c r="C41" s="14" t="s">
        <v>361</v>
      </c>
      <c r="D41" s="20" t="s">
        <v>607</v>
      </c>
      <c r="E41" s="21" t="s">
        <v>230</v>
      </c>
      <c r="F41" s="14" t="s">
        <v>230</v>
      </c>
      <c r="G41" s="14" t="s">
        <v>16</v>
      </c>
      <c r="H41" s="21"/>
      <c r="I41" s="22" t="str">
        <f>"137,5"</f>
        <v>137,5</v>
      </c>
      <c r="J41" s="23" t="str">
        <f>"96,4081"</f>
        <v>96,4081</v>
      </c>
      <c r="K41" s="20"/>
    </row>
    <row r="42" spans="1:11">
      <c r="A42" s="20" t="s">
        <v>362</v>
      </c>
      <c r="B42" s="14" t="s">
        <v>363</v>
      </c>
      <c r="C42" s="14" t="s">
        <v>364</v>
      </c>
      <c r="D42" s="20" t="s">
        <v>607</v>
      </c>
      <c r="E42" s="14" t="s">
        <v>148</v>
      </c>
      <c r="F42" s="14" t="s">
        <v>39</v>
      </c>
      <c r="G42" s="21" t="s">
        <v>230</v>
      </c>
      <c r="H42" s="21"/>
      <c r="I42" s="22" t="str">
        <f>"130,0"</f>
        <v>130,0</v>
      </c>
      <c r="J42" s="23" t="str">
        <f>"90,4995"</f>
        <v>90,4995</v>
      </c>
      <c r="K42" s="20"/>
    </row>
    <row r="43" spans="1:11">
      <c r="A43" s="20" t="s">
        <v>365</v>
      </c>
      <c r="B43" s="14" t="s">
        <v>366</v>
      </c>
      <c r="C43" s="14" t="s">
        <v>367</v>
      </c>
      <c r="D43" s="20" t="s">
        <v>607</v>
      </c>
      <c r="E43" s="14" t="s">
        <v>271</v>
      </c>
      <c r="F43" s="14" t="s">
        <v>198</v>
      </c>
      <c r="G43" s="21" t="s">
        <v>230</v>
      </c>
      <c r="H43" s="21"/>
      <c r="I43" s="22" t="str">
        <f>"127,5"</f>
        <v>127,5</v>
      </c>
      <c r="J43" s="23" t="str">
        <f>"89,2181"</f>
        <v>89,2181</v>
      </c>
      <c r="K43" s="20"/>
    </row>
    <row r="44" spans="1:11">
      <c r="A44" s="20" t="s">
        <v>368</v>
      </c>
      <c r="B44" s="14" t="s">
        <v>369</v>
      </c>
      <c r="C44" s="14" t="s">
        <v>370</v>
      </c>
      <c r="D44" s="20" t="s">
        <v>607</v>
      </c>
      <c r="E44" s="14" t="s">
        <v>186</v>
      </c>
      <c r="F44" s="14" t="s">
        <v>31</v>
      </c>
      <c r="G44" s="21" t="s">
        <v>147</v>
      </c>
      <c r="H44" s="21"/>
      <c r="I44" s="22" t="str">
        <f>"117,5"</f>
        <v>117,5</v>
      </c>
      <c r="J44" s="23" t="str">
        <f>"82,1325"</f>
        <v>82,1325</v>
      </c>
      <c r="K44" s="20"/>
    </row>
    <row r="45" spans="1:11">
      <c r="A45" s="20" t="s">
        <v>371</v>
      </c>
      <c r="B45" s="14" t="s">
        <v>372</v>
      </c>
      <c r="C45" s="14" t="s">
        <v>309</v>
      </c>
      <c r="D45" s="20" t="s">
        <v>627</v>
      </c>
      <c r="E45" s="14" t="s">
        <v>31</v>
      </c>
      <c r="F45" s="21" t="s">
        <v>198</v>
      </c>
      <c r="G45" s="21" t="s">
        <v>198</v>
      </c>
      <c r="H45" s="21"/>
      <c r="I45" s="22" t="str">
        <f>"117,5"</f>
        <v>117,5</v>
      </c>
      <c r="J45" s="23" t="str">
        <f>"81,5450"</f>
        <v>81,5450</v>
      </c>
      <c r="K45" s="20"/>
    </row>
    <row r="46" spans="1:11">
      <c r="A46" s="20" t="s">
        <v>373</v>
      </c>
      <c r="B46" s="14" t="s">
        <v>374</v>
      </c>
      <c r="C46" s="14" t="s">
        <v>294</v>
      </c>
      <c r="D46" s="20" t="s">
        <v>607</v>
      </c>
      <c r="E46" s="14" t="s">
        <v>186</v>
      </c>
      <c r="F46" s="14" t="s">
        <v>193</v>
      </c>
      <c r="G46" s="21" t="s">
        <v>30</v>
      </c>
      <c r="H46" s="21"/>
      <c r="I46" s="22" t="str">
        <f>"112,5"</f>
        <v>112,5</v>
      </c>
      <c r="J46" s="23" t="str">
        <f>"79,2956"</f>
        <v>79,2956</v>
      </c>
      <c r="K46" s="20"/>
    </row>
    <row r="47" spans="1:11">
      <c r="A47" s="24" t="s">
        <v>375</v>
      </c>
      <c r="B47" s="15" t="s">
        <v>376</v>
      </c>
      <c r="C47" s="15" t="s">
        <v>377</v>
      </c>
      <c r="D47" s="24" t="s">
        <v>623</v>
      </c>
      <c r="E47" s="15" t="s">
        <v>43</v>
      </c>
      <c r="F47" s="15" t="s">
        <v>181</v>
      </c>
      <c r="G47" s="15" t="s">
        <v>78</v>
      </c>
      <c r="H47" s="25"/>
      <c r="I47" s="26" t="str">
        <f>"95,0"</f>
        <v>95,0</v>
      </c>
      <c r="J47" s="27" t="str">
        <f>"83,6166"</f>
        <v>83,6166</v>
      </c>
      <c r="K47" s="24"/>
    </row>
    <row r="49" spans="1:11" ht="15">
      <c r="A49" s="28" t="s">
        <v>71</v>
      </c>
      <c r="B49" s="29"/>
      <c r="C49" s="29"/>
      <c r="D49" s="29"/>
      <c r="E49" s="29"/>
      <c r="F49" s="29"/>
      <c r="G49" s="29"/>
      <c r="H49" s="29"/>
    </row>
    <row r="50" spans="1:11">
      <c r="A50" s="16" t="s">
        <v>378</v>
      </c>
      <c r="B50" s="13" t="s">
        <v>379</v>
      </c>
      <c r="C50" s="13" t="s">
        <v>380</v>
      </c>
      <c r="D50" s="16" t="s">
        <v>607</v>
      </c>
      <c r="E50" s="13" t="s">
        <v>27</v>
      </c>
      <c r="F50" s="17" t="s">
        <v>92</v>
      </c>
      <c r="G50" s="17" t="s">
        <v>92</v>
      </c>
      <c r="H50" s="17"/>
      <c r="I50" s="18" t="str">
        <f>"145,0"</f>
        <v>145,0</v>
      </c>
      <c r="J50" s="19" t="str">
        <f>"93,4670"</f>
        <v>93,4670</v>
      </c>
      <c r="K50" s="16"/>
    </row>
    <row r="51" spans="1:11">
      <c r="A51" s="20" t="s">
        <v>381</v>
      </c>
      <c r="B51" s="14" t="s">
        <v>382</v>
      </c>
      <c r="C51" s="14" t="s">
        <v>131</v>
      </c>
      <c r="D51" s="20" t="s">
        <v>628</v>
      </c>
      <c r="E51" s="21" t="s">
        <v>40</v>
      </c>
      <c r="F51" s="14" t="s">
        <v>40</v>
      </c>
      <c r="G51" s="21" t="s">
        <v>27</v>
      </c>
      <c r="H51" s="21"/>
      <c r="I51" s="22" t="str">
        <f>"140,0"</f>
        <v>140,0</v>
      </c>
      <c r="J51" s="23" t="str">
        <f>"92,4840"</f>
        <v>92,4840</v>
      </c>
      <c r="K51" s="20"/>
    </row>
    <row r="52" spans="1:11">
      <c r="A52" s="20" t="s">
        <v>383</v>
      </c>
      <c r="B52" s="14" t="s">
        <v>384</v>
      </c>
      <c r="C52" s="14" t="s">
        <v>385</v>
      </c>
      <c r="D52" s="20" t="s">
        <v>607</v>
      </c>
      <c r="E52" s="14" t="s">
        <v>230</v>
      </c>
      <c r="F52" s="21" t="s">
        <v>40</v>
      </c>
      <c r="G52" s="14" t="s">
        <v>40</v>
      </c>
      <c r="H52" s="21"/>
      <c r="I52" s="22" t="str">
        <f>"140,0"</f>
        <v>140,0</v>
      </c>
      <c r="J52" s="23" t="str">
        <f>"90,8950"</f>
        <v>90,8950</v>
      </c>
      <c r="K52" s="20"/>
    </row>
    <row r="53" spans="1:11">
      <c r="A53" s="20" t="s">
        <v>386</v>
      </c>
      <c r="B53" s="14" t="s">
        <v>387</v>
      </c>
      <c r="C53" s="14" t="s">
        <v>226</v>
      </c>
      <c r="D53" s="20" t="s">
        <v>607</v>
      </c>
      <c r="E53" s="21" t="s">
        <v>230</v>
      </c>
      <c r="F53" s="21" t="s">
        <v>230</v>
      </c>
      <c r="G53" s="14" t="s">
        <v>230</v>
      </c>
      <c r="H53" s="21"/>
      <c r="I53" s="22" t="str">
        <f>"135,0"</f>
        <v>135,0</v>
      </c>
      <c r="J53" s="23" t="str">
        <f>"88,3575"</f>
        <v>88,3575</v>
      </c>
      <c r="K53" s="20"/>
    </row>
    <row r="54" spans="1:11">
      <c r="A54" s="24" t="s">
        <v>388</v>
      </c>
      <c r="B54" s="15" t="s">
        <v>389</v>
      </c>
      <c r="C54" s="15" t="s">
        <v>390</v>
      </c>
      <c r="D54" s="24" t="s">
        <v>629</v>
      </c>
      <c r="E54" s="15" t="s">
        <v>181</v>
      </c>
      <c r="F54" s="25" t="s">
        <v>78</v>
      </c>
      <c r="G54" s="25"/>
      <c r="H54" s="25"/>
      <c r="I54" s="26" t="str">
        <f>"90,0"</f>
        <v>90,0</v>
      </c>
      <c r="J54" s="27" t="str">
        <f>"87,0355"</f>
        <v>87,0355</v>
      </c>
      <c r="K54" s="24"/>
    </row>
    <row r="56" spans="1:11" ht="15">
      <c r="A56" s="28" t="s">
        <v>46</v>
      </c>
      <c r="B56" s="29"/>
      <c r="C56" s="29"/>
      <c r="D56" s="29"/>
      <c r="E56" s="29"/>
      <c r="F56" s="29"/>
      <c r="G56" s="29"/>
      <c r="H56" s="29"/>
    </row>
    <row r="57" spans="1:11">
      <c r="A57" s="16" t="s">
        <v>391</v>
      </c>
      <c r="B57" s="13" t="s">
        <v>392</v>
      </c>
      <c r="C57" s="13" t="s">
        <v>393</v>
      </c>
      <c r="D57" s="16" t="s">
        <v>607</v>
      </c>
      <c r="E57" s="13" t="s">
        <v>112</v>
      </c>
      <c r="F57" s="13" t="s">
        <v>197</v>
      </c>
      <c r="G57" s="13" t="s">
        <v>76</v>
      </c>
      <c r="H57" s="17"/>
      <c r="I57" s="18" t="str">
        <f>"65,0"</f>
        <v>65,0</v>
      </c>
      <c r="J57" s="19" t="str">
        <f>"39,8677"</f>
        <v>39,8677</v>
      </c>
      <c r="K57" s="16"/>
    </row>
    <row r="58" spans="1:11">
      <c r="A58" s="20" t="s">
        <v>394</v>
      </c>
      <c r="B58" s="14" t="s">
        <v>395</v>
      </c>
      <c r="C58" s="14" t="s">
        <v>396</v>
      </c>
      <c r="D58" s="20" t="s">
        <v>607</v>
      </c>
      <c r="E58" s="14" t="s">
        <v>105</v>
      </c>
      <c r="F58" s="21" t="s">
        <v>22</v>
      </c>
      <c r="G58" s="21" t="s">
        <v>22</v>
      </c>
      <c r="H58" s="21"/>
      <c r="I58" s="22" t="str">
        <f>"170,0"</f>
        <v>170,0</v>
      </c>
      <c r="J58" s="23" t="str">
        <f>"104,2100"</f>
        <v>104,2100</v>
      </c>
      <c r="K58" s="20"/>
    </row>
    <row r="59" spans="1:11">
      <c r="A59" s="20" t="s">
        <v>397</v>
      </c>
      <c r="B59" s="14" t="s">
        <v>398</v>
      </c>
      <c r="C59" s="14" t="s">
        <v>244</v>
      </c>
      <c r="D59" s="20" t="s">
        <v>607</v>
      </c>
      <c r="E59" s="14" t="s">
        <v>27</v>
      </c>
      <c r="F59" s="14" t="s">
        <v>41</v>
      </c>
      <c r="G59" s="14" t="s">
        <v>290</v>
      </c>
      <c r="H59" s="21"/>
      <c r="I59" s="22" t="str">
        <f>"157,5"</f>
        <v>157,5</v>
      </c>
      <c r="J59" s="23" t="str">
        <f>"99,3510"</f>
        <v>99,3510</v>
      </c>
      <c r="K59" s="20"/>
    </row>
    <row r="60" spans="1:11">
      <c r="A60" s="20" t="s">
        <v>399</v>
      </c>
      <c r="B60" s="14" t="s">
        <v>400</v>
      </c>
      <c r="C60" s="14" t="s">
        <v>401</v>
      </c>
      <c r="D60" s="20" t="s">
        <v>622</v>
      </c>
      <c r="E60" s="14" t="s">
        <v>92</v>
      </c>
      <c r="F60" s="14" t="s">
        <v>208</v>
      </c>
      <c r="G60" s="21" t="s">
        <v>20</v>
      </c>
      <c r="H60" s="21"/>
      <c r="I60" s="22" t="str">
        <f>"152,5"</f>
        <v>152,5</v>
      </c>
      <c r="J60" s="23" t="str">
        <f>"94,3746"</f>
        <v>94,3746</v>
      </c>
      <c r="K60" s="20"/>
    </row>
    <row r="61" spans="1:11">
      <c r="A61" s="20" t="s">
        <v>402</v>
      </c>
      <c r="B61" s="14" t="s">
        <v>403</v>
      </c>
      <c r="C61" s="14" t="s">
        <v>404</v>
      </c>
      <c r="D61" s="20" t="s">
        <v>607</v>
      </c>
      <c r="E61" s="14" t="s">
        <v>27</v>
      </c>
      <c r="F61" s="14" t="s">
        <v>208</v>
      </c>
      <c r="G61" s="21" t="s">
        <v>405</v>
      </c>
      <c r="H61" s="21"/>
      <c r="I61" s="22" t="str">
        <f>"152,5"</f>
        <v>152,5</v>
      </c>
      <c r="J61" s="23" t="str">
        <f>"93,6579"</f>
        <v>93,6579</v>
      </c>
      <c r="K61" s="20"/>
    </row>
    <row r="62" spans="1:11">
      <c r="A62" s="20" t="s">
        <v>406</v>
      </c>
      <c r="B62" s="14" t="s">
        <v>407</v>
      </c>
      <c r="C62" s="14" t="s">
        <v>408</v>
      </c>
      <c r="D62" s="20" t="s">
        <v>607</v>
      </c>
      <c r="E62" s="14" t="s">
        <v>15</v>
      </c>
      <c r="F62" s="21" t="s">
        <v>40</v>
      </c>
      <c r="G62" s="21" t="s">
        <v>40</v>
      </c>
      <c r="H62" s="21"/>
      <c r="I62" s="22" t="str">
        <f>"132,5"</f>
        <v>132,5</v>
      </c>
      <c r="J62" s="23" t="str">
        <f>"81,3219"</f>
        <v>81,3219</v>
      </c>
      <c r="K62" s="20"/>
    </row>
    <row r="63" spans="1:11">
      <c r="A63" s="20" t="s">
        <v>409</v>
      </c>
      <c r="B63" s="14" t="s">
        <v>410</v>
      </c>
      <c r="C63" s="14" t="s">
        <v>411</v>
      </c>
      <c r="D63" s="20" t="s">
        <v>630</v>
      </c>
      <c r="E63" s="14" t="s">
        <v>147</v>
      </c>
      <c r="F63" s="14" t="s">
        <v>198</v>
      </c>
      <c r="G63" s="21" t="s">
        <v>15</v>
      </c>
      <c r="H63" s="21"/>
      <c r="I63" s="22" t="str">
        <f>"127,5"</f>
        <v>127,5</v>
      </c>
      <c r="J63" s="23" t="str">
        <f>"79,0628"</f>
        <v>79,0628</v>
      </c>
      <c r="K63" s="20"/>
    </row>
    <row r="64" spans="1:11">
      <c r="A64" s="24" t="s">
        <v>412</v>
      </c>
      <c r="B64" s="15" t="s">
        <v>413</v>
      </c>
      <c r="C64" s="15" t="s">
        <v>414</v>
      </c>
      <c r="D64" s="24" t="s">
        <v>607</v>
      </c>
      <c r="E64" s="25" t="s">
        <v>41</v>
      </c>
      <c r="F64" s="25" t="s">
        <v>44</v>
      </c>
      <c r="G64" s="25" t="s">
        <v>44</v>
      </c>
      <c r="H64" s="25"/>
      <c r="I64" s="26" t="str">
        <f>"0.00"</f>
        <v>0.00</v>
      </c>
      <c r="J64" s="27" t="str">
        <f>"0,0000"</f>
        <v>0,0000</v>
      </c>
      <c r="K64" s="24"/>
    </row>
    <row r="66" spans="1:11" ht="15">
      <c r="A66" s="28" t="s">
        <v>97</v>
      </c>
      <c r="B66" s="29"/>
      <c r="C66" s="29"/>
      <c r="D66" s="29"/>
      <c r="E66" s="29"/>
      <c r="F66" s="29"/>
      <c r="G66" s="29"/>
      <c r="H66" s="29"/>
    </row>
    <row r="67" spans="1:11">
      <c r="A67" s="16" t="s">
        <v>415</v>
      </c>
      <c r="B67" s="13" t="s">
        <v>416</v>
      </c>
      <c r="C67" s="13" t="s">
        <v>417</v>
      </c>
      <c r="D67" s="16" t="s">
        <v>607</v>
      </c>
      <c r="E67" s="17" t="s">
        <v>50</v>
      </c>
      <c r="F67" s="13" t="s">
        <v>50</v>
      </c>
      <c r="G67" s="17" t="s">
        <v>105</v>
      </c>
      <c r="H67" s="17"/>
      <c r="I67" s="18" t="str">
        <f>"165,0"</f>
        <v>165,0</v>
      </c>
      <c r="J67" s="19" t="str">
        <f>"98,0100"</f>
        <v>98,0100</v>
      </c>
      <c r="K67" s="16"/>
    </row>
    <row r="68" spans="1:11">
      <c r="A68" s="20" t="s">
        <v>418</v>
      </c>
      <c r="B68" s="14" t="s">
        <v>419</v>
      </c>
      <c r="C68" s="14" t="s">
        <v>420</v>
      </c>
      <c r="D68" s="20" t="s">
        <v>631</v>
      </c>
      <c r="E68" s="14" t="s">
        <v>50</v>
      </c>
      <c r="F68" s="21" t="s">
        <v>105</v>
      </c>
      <c r="G68" s="21" t="s">
        <v>105</v>
      </c>
      <c r="H68" s="21"/>
      <c r="I68" s="22" t="str">
        <f>"165,0"</f>
        <v>165,0</v>
      </c>
      <c r="J68" s="23" t="str">
        <f>"97,1603"</f>
        <v>97,1603</v>
      </c>
      <c r="K68" s="20"/>
    </row>
    <row r="69" spans="1:11">
      <c r="A69" s="20" t="s">
        <v>421</v>
      </c>
      <c r="B69" s="14" t="s">
        <v>422</v>
      </c>
      <c r="C69" s="14" t="s">
        <v>423</v>
      </c>
      <c r="D69" s="20" t="s">
        <v>607</v>
      </c>
      <c r="E69" s="14" t="s">
        <v>40</v>
      </c>
      <c r="F69" s="14" t="s">
        <v>41</v>
      </c>
      <c r="G69" s="14" t="s">
        <v>44</v>
      </c>
      <c r="H69" s="21"/>
      <c r="I69" s="22" t="str">
        <f>"160,0"</f>
        <v>160,0</v>
      </c>
      <c r="J69" s="23" t="str">
        <f>"93,7840"</f>
        <v>93,7840</v>
      </c>
      <c r="K69" s="20"/>
    </row>
    <row r="70" spans="1:11">
      <c r="A70" s="20" t="s">
        <v>424</v>
      </c>
      <c r="B70" s="14" t="s">
        <v>425</v>
      </c>
      <c r="C70" s="14" t="s">
        <v>426</v>
      </c>
      <c r="D70" s="20" t="s">
        <v>607</v>
      </c>
      <c r="E70" s="14" t="s">
        <v>40</v>
      </c>
      <c r="F70" s="14" t="s">
        <v>41</v>
      </c>
      <c r="G70" s="21" t="s">
        <v>44</v>
      </c>
      <c r="H70" s="21"/>
      <c r="I70" s="22" t="str">
        <f>"150,0"</f>
        <v>150,0</v>
      </c>
      <c r="J70" s="23" t="str">
        <f>"87,7575"</f>
        <v>87,7575</v>
      </c>
      <c r="K70" s="20"/>
    </row>
    <row r="71" spans="1:11">
      <c r="A71" s="20" t="s">
        <v>427</v>
      </c>
      <c r="B71" s="14" t="s">
        <v>428</v>
      </c>
      <c r="C71" s="14" t="s">
        <v>429</v>
      </c>
      <c r="D71" s="20" t="s">
        <v>626</v>
      </c>
      <c r="E71" s="21" t="s">
        <v>230</v>
      </c>
      <c r="F71" s="14" t="s">
        <v>40</v>
      </c>
      <c r="G71" s="21" t="s">
        <v>27</v>
      </c>
      <c r="H71" s="21"/>
      <c r="I71" s="22" t="str">
        <f>"140,0"</f>
        <v>140,0</v>
      </c>
      <c r="J71" s="23" t="str">
        <f>"82,2010"</f>
        <v>82,2010</v>
      </c>
      <c r="K71" s="20"/>
    </row>
    <row r="72" spans="1:11">
      <c r="A72" s="20" t="s">
        <v>430</v>
      </c>
      <c r="B72" s="14" t="s">
        <v>431</v>
      </c>
      <c r="C72" s="14" t="s">
        <v>432</v>
      </c>
      <c r="D72" s="20" t="s">
        <v>634</v>
      </c>
      <c r="E72" s="14" t="s">
        <v>22</v>
      </c>
      <c r="F72" s="14" t="s">
        <v>45</v>
      </c>
      <c r="G72" s="14" t="s">
        <v>32</v>
      </c>
      <c r="H72" s="21"/>
      <c r="I72" s="22" t="str">
        <f>"190,0"</f>
        <v>190,0</v>
      </c>
      <c r="J72" s="23" t="str">
        <f>"110,7795"</f>
        <v>110,7795</v>
      </c>
      <c r="K72" s="20"/>
    </row>
    <row r="73" spans="1:11">
      <c r="A73" s="20" t="s">
        <v>433</v>
      </c>
      <c r="B73" s="14" t="s">
        <v>434</v>
      </c>
      <c r="C73" s="14" t="s">
        <v>435</v>
      </c>
      <c r="D73" s="20" t="s">
        <v>608</v>
      </c>
      <c r="E73" s="14" t="s">
        <v>40</v>
      </c>
      <c r="F73" s="14" t="s">
        <v>41</v>
      </c>
      <c r="G73" s="14" t="s">
        <v>20</v>
      </c>
      <c r="H73" s="21"/>
      <c r="I73" s="22" t="str">
        <f>"155,0"</f>
        <v>155,0</v>
      </c>
      <c r="J73" s="23" t="str">
        <f>"93,5419"</f>
        <v>93,5419</v>
      </c>
      <c r="K73" s="20"/>
    </row>
    <row r="74" spans="1:11">
      <c r="A74" s="20" t="s">
        <v>436</v>
      </c>
      <c r="B74" s="14" t="s">
        <v>437</v>
      </c>
      <c r="C74" s="14" t="s">
        <v>438</v>
      </c>
      <c r="D74" s="20" t="s">
        <v>626</v>
      </c>
      <c r="E74" s="14" t="s">
        <v>57</v>
      </c>
      <c r="F74" s="14" t="s">
        <v>58</v>
      </c>
      <c r="G74" s="21" t="s">
        <v>69</v>
      </c>
      <c r="H74" s="21"/>
      <c r="I74" s="22" t="str">
        <f>"195,0"</f>
        <v>195,0</v>
      </c>
      <c r="J74" s="23" t="str">
        <f>"127,5623"</f>
        <v>127,5623</v>
      </c>
      <c r="K74" s="20"/>
    </row>
    <row r="75" spans="1:11">
      <c r="A75" s="24" t="s">
        <v>439</v>
      </c>
      <c r="B75" s="15" t="s">
        <v>440</v>
      </c>
      <c r="C75" s="15" t="s">
        <v>441</v>
      </c>
      <c r="D75" s="24" t="s">
        <v>632</v>
      </c>
      <c r="E75" s="15" t="s">
        <v>230</v>
      </c>
      <c r="F75" s="25" t="s">
        <v>40</v>
      </c>
      <c r="G75" s="15" t="s">
        <v>40</v>
      </c>
      <c r="H75" s="25"/>
      <c r="I75" s="26" t="str">
        <f>"140,0"</f>
        <v>140,0</v>
      </c>
      <c r="J75" s="27" t="str">
        <f>"87,7781"</f>
        <v>87,7781</v>
      </c>
      <c r="K75" s="24"/>
    </row>
    <row r="77" spans="1:11" ht="15">
      <c r="A77" s="28" t="s">
        <v>53</v>
      </c>
      <c r="B77" s="29"/>
      <c r="C77" s="29"/>
      <c r="D77" s="29"/>
      <c r="E77" s="29"/>
      <c r="F77" s="29"/>
      <c r="G77" s="29"/>
      <c r="H77" s="29"/>
    </row>
    <row r="78" spans="1:11">
      <c r="A78" s="16" t="s">
        <v>255</v>
      </c>
      <c r="B78" s="13" t="s">
        <v>256</v>
      </c>
      <c r="C78" s="13" t="s">
        <v>257</v>
      </c>
      <c r="D78" s="16" t="s">
        <v>612</v>
      </c>
      <c r="E78" s="13" t="s">
        <v>44</v>
      </c>
      <c r="F78" s="13" t="s">
        <v>143</v>
      </c>
      <c r="G78" s="17" t="s">
        <v>222</v>
      </c>
      <c r="H78" s="17"/>
      <c r="I78" s="18" t="str">
        <f>"172,5"</f>
        <v>172,5</v>
      </c>
      <c r="J78" s="19" t="str">
        <f>"97,3590"</f>
        <v>97,3590</v>
      </c>
      <c r="K78" s="16"/>
    </row>
    <row r="79" spans="1:11">
      <c r="A79" s="20" t="s">
        <v>442</v>
      </c>
      <c r="B79" s="14" t="s">
        <v>443</v>
      </c>
      <c r="C79" s="14" t="s">
        <v>444</v>
      </c>
      <c r="D79" s="20" t="s">
        <v>608</v>
      </c>
      <c r="E79" s="14" t="s">
        <v>105</v>
      </c>
      <c r="F79" s="21" t="s">
        <v>445</v>
      </c>
      <c r="G79" s="21" t="s">
        <v>57</v>
      </c>
      <c r="H79" s="21"/>
      <c r="I79" s="22" t="str">
        <f>"170,0"</f>
        <v>170,0</v>
      </c>
      <c r="J79" s="23" t="str">
        <f>"96,0840"</f>
        <v>96,0840</v>
      </c>
      <c r="K79" s="20"/>
    </row>
    <row r="80" spans="1:11">
      <c r="A80" s="24" t="s">
        <v>446</v>
      </c>
      <c r="B80" s="15" t="s">
        <v>447</v>
      </c>
      <c r="C80" s="15" t="s">
        <v>448</v>
      </c>
      <c r="D80" s="24" t="s">
        <v>607</v>
      </c>
      <c r="E80" s="15" t="s">
        <v>105</v>
      </c>
      <c r="F80" s="15" t="s">
        <v>22</v>
      </c>
      <c r="G80" s="25" t="s">
        <v>445</v>
      </c>
      <c r="H80" s="25"/>
      <c r="I80" s="26" t="str">
        <f>"175,0"</f>
        <v>175,0</v>
      </c>
      <c r="J80" s="27" t="str">
        <f>"102,1734"</f>
        <v>102,1734</v>
      </c>
      <c r="K80" s="24"/>
    </row>
    <row r="82" spans="1:11" ht="15">
      <c r="A82" s="28" t="s">
        <v>64</v>
      </c>
      <c r="B82" s="29"/>
      <c r="C82" s="29"/>
      <c r="D82" s="29"/>
      <c r="E82" s="29"/>
      <c r="F82" s="29"/>
      <c r="G82" s="29"/>
      <c r="H82" s="29"/>
    </row>
    <row r="83" spans="1:11">
      <c r="A83" s="16" t="s">
        <v>449</v>
      </c>
      <c r="B83" s="13" t="s">
        <v>450</v>
      </c>
      <c r="C83" s="13" t="s">
        <v>451</v>
      </c>
      <c r="D83" s="16" t="s">
        <v>633</v>
      </c>
      <c r="E83" s="13" t="s">
        <v>22</v>
      </c>
      <c r="F83" s="13" t="s">
        <v>57</v>
      </c>
      <c r="G83" s="13" t="s">
        <v>222</v>
      </c>
      <c r="H83" s="17"/>
      <c r="I83" s="18" t="str">
        <f>"182,5"</f>
        <v>182,5</v>
      </c>
      <c r="J83" s="19" t="str">
        <f>"101,9536"</f>
        <v>101,9536</v>
      </c>
      <c r="K83" s="16"/>
    </row>
    <row r="84" spans="1:11">
      <c r="A84" s="20" t="s">
        <v>452</v>
      </c>
      <c r="B84" s="14" t="s">
        <v>453</v>
      </c>
      <c r="C84" s="14" t="s">
        <v>454</v>
      </c>
      <c r="D84" s="20" t="s">
        <v>615</v>
      </c>
      <c r="E84" s="14" t="s">
        <v>105</v>
      </c>
      <c r="F84" s="14" t="s">
        <v>445</v>
      </c>
      <c r="G84" s="14" t="s">
        <v>45</v>
      </c>
      <c r="H84" s="21"/>
      <c r="I84" s="22" t="str">
        <f>"185,0"</f>
        <v>185,0</v>
      </c>
      <c r="J84" s="23" t="str">
        <f>"106,7041"</f>
        <v>106,7041</v>
      </c>
      <c r="K84" s="20"/>
    </row>
    <row r="85" spans="1:11">
      <c r="A85" s="20" t="s">
        <v>455</v>
      </c>
      <c r="B85" s="14" t="s">
        <v>456</v>
      </c>
      <c r="C85" s="14" t="s">
        <v>457</v>
      </c>
      <c r="D85" s="20" t="s">
        <v>607</v>
      </c>
      <c r="E85" s="14" t="s">
        <v>105</v>
      </c>
      <c r="F85" s="14" t="s">
        <v>143</v>
      </c>
      <c r="G85" s="21" t="s">
        <v>22</v>
      </c>
      <c r="H85" s="21"/>
      <c r="I85" s="22" t="str">
        <f>"172,5"</f>
        <v>172,5</v>
      </c>
      <c r="J85" s="23" t="str">
        <f>"108,5927"</f>
        <v>108,5927</v>
      </c>
      <c r="K85" s="20"/>
    </row>
    <row r="86" spans="1:11">
      <c r="A86" s="24" t="s">
        <v>458</v>
      </c>
      <c r="B86" s="15" t="s">
        <v>459</v>
      </c>
      <c r="C86" s="15" t="s">
        <v>460</v>
      </c>
      <c r="D86" s="24" t="s">
        <v>607</v>
      </c>
      <c r="E86" s="15" t="s">
        <v>186</v>
      </c>
      <c r="F86" s="15" t="s">
        <v>147</v>
      </c>
      <c r="G86" s="25" t="s">
        <v>39</v>
      </c>
      <c r="H86" s="25"/>
      <c r="I86" s="26" t="str">
        <f>"120,0"</f>
        <v>120,0</v>
      </c>
      <c r="J86" s="27" t="str">
        <f>"97,0762"</f>
        <v>97,0762</v>
      </c>
      <c r="K86" s="24"/>
    </row>
    <row r="88" spans="1:11" ht="15">
      <c r="A88" s="28" t="s">
        <v>461</v>
      </c>
      <c r="B88" s="29"/>
      <c r="C88" s="29"/>
      <c r="D88" s="29"/>
      <c r="E88" s="29"/>
      <c r="F88" s="29"/>
      <c r="G88" s="29"/>
      <c r="H88" s="29"/>
    </row>
    <row r="89" spans="1:11">
      <c r="A89" s="8" t="s">
        <v>462</v>
      </c>
      <c r="B89" s="9" t="s">
        <v>463</v>
      </c>
      <c r="C89" s="9" t="s">
        <v>464</v>
      </c>
      <c r="D89" s="8" t="s">
        <v>607</v>
      </c>
      <c r="E89" s="9" t="s">
        <v>32</v>
      </c>
      <c r="F89" s="9" t="s">
        <v>69</v>
      </c>
      <c r="G89" s="9" t="s">
        <v>166</v>
      </c>
      <c r="H89" s="10"/>
      <c r="I89" s="11" t="str">
        <f>"205,0"</f>
        <v>205,0</v>
      </c>
      <c r="J89" s="12" t="str">
        <f>"106,7179"</f>
        <v>106,7179</v>
      </c>
      <c r="K89" s="8"/>
    </row>
  </sheetData>
  <mergeCells count="24">
    <mergeCell ref="A1:A2"/>
    <mergeCell ref="B1:B2"/>
    <mergeCell ref="C1:C2"/>
    <mergeCell ref="D1:D2"/>
    <mergeCell ref="E1:H1"/>
    <mergeCell ref="A25:H25"/>
    <mergeCell ref="I1:I2"/>
    <mergeCell ref="J1:J2"/>
    <mergeCell ref="K1:K2"/>
    <mergeCell ref="A3:H3"/>
    <mergeCell ref="A7:H7"/>
    <mergeCell ref="A11:H11"/>
    <mergeCell ref="A15:H15"/>
    <mergeCell ref="A18:H18"/>
    <mergeCell ref="A22:H22"/>
    <mergeCell ref="A77:H77"/>
    <mergeCell ref="A82:H82"/>
    <mergeCell ref="A88:H88"/>
    <mergeCell ref="A28:H28"/>
    <mergeCell ref="A31:H31"/>
    <mergeCell ref="A36:H36"/>
    <mergeCell ref="A49:H49"/>
    <mergeCell ref="A56:H56"/>
    <mergeCell ref="A66:H6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J7"/>
  <sheetViews>
    <sheetView workbookViewId="0">
      <selection activeCell="A6" sqref="A6:G6"/>
    </sheetView>
  </sheetViews>
  <sheetFormatPr defaultColWidth="9.140625" defaultRowHeight="12.75"/>
  <cols>
    <col min="1" max="1" width="24.85546875" style="3" bestFit="1" customWidth="1"/>
    <col min="2" max="2" width="24.140625" style="4" bestFit="1" customWidth="1"/>
    <col min="3" max="3" width="14.7109375" style="3" bestFit="1" customWidth="1"/>
    <col min="4" max="6" width="5.5703125" style="4" customWidth="1"/>
    <col min="7" max="7" width="4.7109375" style="4" customWidth="1"/>
    <col min="8" max="8" width="5.7109375" style="6" bestFit="1" customWidth="1"/>
    <col min="9" max="9" width="8.5703125" style="7" bestFit="1" customWidth="1"/>
    <col min="10" max="10" width="7.140625" style="3" bestFit="1" customWidth="1"/>
    <col min="11" max="16384" width="9.140625" style="2"/>
  </cols>
  <sheetData>
    <row r="1" spans="1:10" s="1" customFormat="1" ht="12.75" customHeight="1">
      <c r="A1" s="36" t="s">
        <v>0</v>
      </c>
      <c r="B1" s="38" t="s">
        <v>6</v>
      </c>
      <c r="C1" s="30" t="s">
        <v>7</v>
      </c>
      <c r="D1" s="30" t="s">
        <v>9</v>
      </c>
      <c r="E1" s="30"/>
      <c r="F1" s="30"/>
      <c r="G1" s="30"/>
      <c r="H1" s="30" t="s">
        <v>161</v>
      </c>
      <c r="I1" s="30" t="s">
        <v>2</v>
      </c>
      <c r="J1" s="32" t="s">
        <v>1</v>
      </c>
    </row>
    <row r="2" spans="1:10" s="1" customFormat="1" ht="23.25" customHeight="1" thickBot="1">
      <c r="A2" s="37"/>
      <c r="B2" s="31"/>
      <c r="C2" s="31"/>
      <c r="D2" s="5">
        <v>1</v>
      </c>
      <c r="E2" s="5">
        <v>2</v>
      </c>
      <c r="F2" s="5">
        <v>3</v>
      </c>
      <c r="G2" s="5" t="s">
        <v>3</v>
      </c>
      <c r="H2" s="31"/>
      <c r="I2" s="31"/>
      <c r="J2" s="33"/>
    </row>
    <row r="3" spans="1:10" s="4" customFormat="1" ht="15">
      <c r="A3" s="34" t="s">
        <v>113</v>
      </c>
      <c r="B3" s="35"/>
      <c r="C3" s="35"/>
      <c r="D3" s="35"/>
      <c r="E3" s="35"/>
      <c r="F3" s="35"/>
      <c r="G3" s="35"/>
      <c r="H3" s="6"/>
      <c r="I3" s="7"/>
      <c r="J3" s="3"/>
    </row>
    <row r="4" spans="1:10" s="4" customFormat="1">
      <c r="A4" s="8" t="s">
        <v>276</v>
      </c>
      <c r="B4" s="9" t="s">
        <v>277</v>
      </c>
      <c r="C4" s="8" t="s">
        <v>615</v>
      </c>
      <c r="D4" s="10" t="s">
        <v>186</v>
      </c>
      <c r="E4" s="9" t="s">
        <v>186</v>
      </c>
      <c r="F4" s="9" t="s">
        <v>147</v>
      </c>
      <c r="G4" s="10"/>
      <c r="H4" s="11" t="str">
        <f>"120,0"</f>
        <v>120,0</v>
      </c>
      <c r="I4" s="12" t="str">
        <f>"111,1980"</f>
        <v>111,1980</v>
      </c>
      <c r="J4" s="8"/>
    </row>
    <row r="5" spans="1:10" s="4" customFormat="1">
      <c r="A5" s="3"/>
      <c r="C5" s="3"/>
      <c r="H5" s="6"/>
      <c r="I5" s="7"/>
      <c r="J5" s="3"/>
    </row>
    <row r="6" spans="1:10" ht="15">
      <c r="A6" s="28" t="s">
        <v>11</v>
      </c>
      <c r="B6" s="29"/>
      <c r="C6" s="29"/>
      <c r="D6" s="29"/>
      <c r="E6" s="29"/>
      <c r="F6" s="29"/>
      <c r="G6" s="29"/>
    </row>
    <row r="7" spans="1:10">
      <c r="A7" s="8" t="s">
        <v>465</v>
      </c>
      <c r="B7" s="9" t="s">
        <v>466</v>
      </c>
      <c r="C7" s="8" t="s">
        <v>623</v>
      </c>
      <c r="D7" s="9" t="s">
        <v>122</v>
      </c>
      <c r="E7" s="9" t="s">
        <v>43</v>
      </c>
      <c r="F7" s="9" t="s">
        <v>181</v>
      </c>
      <c r="G7" s="9" t="s">
        <v>18</v>
      </c>
      <c r="H7" s="11" t="str">
        <f>"90,0"</f>
        <v>90,0</v>
      </c>
      <c r="I7" s="12" t="str">
        <f>"76,1985"</f>
        <v>76,1985</v>
      </c>
      <c r="J7" s="8"/>
    </row>
  </sheetData>
  <mergeCells count="9">
    <mergeCell ref="A1:A2"/>
    <mergeCell ref="B1:B2"/>
    <mergeCell ref="C1:C2"/>
    <mergeCell ref="D1:G1"/>
    <mergeCell ref="A6:G6"/>
    <mergeCell ref="H1:H2"/>
    <mergeCell ref="I1:I2"/>
    <mergeCell ref="J1:J2"/>
    <mergeCell ref="A3:G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K26"/>
  <sheetViews>
    <sheetView workbookViewId="0">
      <selection activeCell="A3" sqref="A3:H3"/>
    </sheetView>
  </sheetViews>
  <sheetFormatPr defaultColWidth="9.140625" defaultRowHeight="12.75"/>
  <cols>
    <col min="1" max="1" width="24.85546875" style="3" bestFit="1" customWidth="1"/>
    <col min="2" max="2" width="26.5703125" style="4" bestFit="1" customWidth="1"/>
    <col min="3" max="3" width="7.5703125" style="4" bestFit="1" customWidth="1"/>
    <col min="4" max="4" width="14.7109375" style="3" bestFit="1" customWidth="1"/>
    <col min="5" max="7" width="5.5703125" style="4" customWidth="1"/>
    <col min="8" max="8" width="4.7109375" style="4" customWidth="1"/>
    <col min="9" max="9" width="5.7109375" style="6" bestFit="1" customWidth="1"/>
    <col min="10" max="10" width="8.5703125" style="7" bestFit="1" customWidth="1"/>
    <col min="11" max="11" width="13.140625" style="3" bestFit="1" customWidth="1"/>
    <col min="12" max="16384" width="9.140625" style="2"/>
  </cols>
  <sheetData>
    <row r="1" spans="1:11" s="1" customFormat="1" ht="12.75" customHeight="1">
      <c r="A1" s="36" t="s">
        <v>0</v>
      </c>
      <c r="B1" s="38" t="s">
        <v>6</v>
      </c>
      <c r="C1" s="38" t="s">
        <v>4</v>
      </c>
      <c r="D1" s="30" t="s">
        <v>7</v>
      </c>
      <c r="E1" s="30" t="s">
        <v>9</v>
      </c>
      <c r="F1" s="30"/>
      <c r="G1" s="30"/>
      <c r="H1" s="30"/>
      <c r="I1" s="30" t="s">
        <v>161</v>
      </c>
      <c r="J1" s="30" t="s">
        <v>2</v>
      </c>
      <c r="K1" s="32" t="s">
        <v>1</v>
      </c>
    </row>
    <row r="2" spans="1:11" s="1" customFormat="1" ht="23.25" customHeight="1" thickBot="1">
      <c r="A2" s="37"/>
      <c r="B2" s="31"/>
      <c r="C2" s="31"/>
      <c r="D2" s="31"/>
      <c r="E2" s="5">
        <v>1</v>
      </c>
      <c r="F2" s="5">
        <v>2</v>
      </c>
      <c r="G2" s="5">
        <v>3</v>
      </c>
      <c r="H2" s="5" t="s">
        <v>3</v>
      </c>
      <c r="I2" s="31"/>
      <c r="J2" s="31"/>
      <c r="K2" s="33"/>
    </row>
    <row r="3" spans="1:11" s="4" customFormat="1" ht="15">
      <c r="A3" s="34" t="s">
        <v>46</v>
      </c>
      <c r="B3" s="35"/>
      <c r="C3" s="35"/>
      <c r="D3" s="35"/>
      <c r="E3" s="35"/>
      <c r="F3" s="35"/>
      <c r="G3" s="35"/>
      <c r="H3" s="35"/>
      <c r="I3" s="6"/>
      <c r="J3" s="7"/>
      <c r="K3" s="3"/>
    </row>
    <row r="4" spans="1:11" s="4" customFormat="1">
      <c r="A4" s="8" t="s">
        <v>288</v>
      </c>
      <c r="B4" s="9" t="s">
        <v>289</v>
      </c>
      <c r="C4" s="9" t="s">
        <v>82</v>
      </c>
      <c r="D4" s="8" t="s">
        <v>607</v>
      </c>
      <c r="E4" s="10" t="s">
        <v>198</v>
      </c>
      <c r="F4" s="9" t="s">
        <v>198</v>
      </c>
      <c r="G4" s="10"/>
      <c r="H4" s="10"/>
      <c r="I4" s="11" t="str">
        <f>"127,5"</f>
        <v>127,5</v>
      </c>
      <c r="J4" s="12" t="str">
        <f>"96,1987"</f>
        <v>96,1987</v>
      </c>
      <c r="K4" s="8" t="s">
        <v>291</v>
      </c>
    </row>
    <row r="5" spans="1:11" s="4" customFormat="1">
      <c r="A5" s="3"/>
      <c r="D5" s="3"/>
      <c r="I5" s="6"/>
      <c r="J5" s="7"/>
      <c r="K5" s="3"/>
    </row>
    <row r="6" spans="1:11" ht="15">
      <c r="A6" s="28" t="s">
        <v>71</v>
      </c>
      <c r="B6" s="29"/>
      <c r="C6" s="29"/>
      <c r="D6" s="29"/>
      <c r="E6" s="29"/>
      <c r="F6" s="29"/>
      <c r="G6" s="29"/>
      <c r="H6" s="29"/>
    </row>
    <row r="7" spans="1:11">
      <c r="A7" s="16" t="s">
        <v>467</v>
      </c>
      <c r="B7" s="13" t="s">
        <v>468</v>
      </c>
      <c r="C7" s="13" t="s">
        <v>385</v>
      </c>
      <c r="D7" s="16" t="s">
        <v>635</v>
      </c>
      <c r="E7" s="13" t="s">
        <v>143</v>
      </c>
      <c r="F7" s="17" t="s">
        <v>222</v>
      </c>
      <c r="G7" s="17" t="s">
        <v>222</v>
      </c>
      <c r="H7" s="17"/>
      <c r="I7" s="18" t="str">
        <f>"172,5"</f>
        <v>172,5</v>
      </c>
      <c r="J7" s="19" t="str">
        <f>"111,9956"</f>
        <v>111,9956</v>
      </c>
      <c r="K7" s="16"/>
    </row>
    <row r="8" spans="1:11">
      <c r="A8" s="20" t="s">
        <v>469</v>
      </c>
      <c r="B8" s="14" t="s">
        <v>470</v>
      </c>
      <c r="C8" s="14" t="s">
        <v>380</v>
      </c>
      <c r="D8" s="20" t="s">
        <v>607</v>
      </c>
      <c r="E8" s="14" t="s">
        <v>105</v>
      </c>
      <c r="F8" s="14" t="s">
        <v>143</v>
      </c>
      <c r="G8" s="21" t="s">
        <v>22</v>
      </c>
      <c r="H8" s="21"/>
      <c r="I8" s="22" t="str">
        <f>"172,5"</f>
        <v>172,5</v>
      </c>
      <c r="J8" s="23" t="str">
        <f>"111,1935"</f>
        <v>111,1935</v>
      </c>
      <c r="K8" s="20"/>
    </row>
    <row r="9" spans="1:11">
      <c r="A9" s="24" t="s">
        <v>471</v>
      </c>
      <c r="B9" s="15" t="s">
        <v>472</v>
      </c>
      <c r="C9" s="15" t="s">
        <v>473</v>
      </c>
      <c r="D9" s="24" t="s">
        <v>636</v>
      </c>
      <c r="E9" s="15" t="s">
        <v>59</v>
      </c>
      <c r="F9" s="15" t="s">
        <v>218</v>
      </c>
      <c r="G9" s="15" t="s">
        <v>84</v>
      </c>
      <c r="H9" s="25"/>
      <c r="I9" s="26" t="str">
        <f>"250,0"</f>
        <v>250,0</v>
      </c>
      <c r="J9" s="27" t="str">
        <f>"172,7694"</f>
        <v>172,7694</v>
      </c>
      <c r="K9" s="24"/>
    </row>
    <row r="11" spans="1:11" ht="15">
      <c r="A11" s="28" t="s">
        <v>46</v>
      </c>
      <c r="B11" s="29"/>
      <c r="C11" s="29"/>
      <c r="D11" s="29"/>
      <c r="E11" s="29"/>
      <c r="F11" s="29"/>
      <c r="G11" s="29"/>
      <c r="H11" s="29"/>
    </row>
    <row r="12" spans="1:11">
      <c r="A12" s="8" t="s">
        <v>474</v>
      </c>
      <c r="B12" s="9" t="s">
        <v>475</v>
      </c>
      <c r="C12" s="9" t="s">
        <v>139</v>
      </c>
      <c r="D12" s="8" t="s">
        <v>636</v>
      </c>
      <c r="E12" s="9" t="s">
        <v>171</v>
      </c>
      <c r="F12" s="9" t="s">
        <v>238</v>
      </c>
      <c r="G12" s="9" t="s">
        <v>61</v>
      </c>
      <c r="H12" s="10"/>
      <c r="I12" s="11" t="str">
        <f>"260,0"</f>
        <v>260,0</v>
      </c>
      <c r="J12" s="12" t="str">
        <f>"160,0820"</f>
        <v>160,0820</v>
      </c>
      <c r="K12" s="8"/>
    </row>
    <row r="14" spans="1:11" ht="15">
      <c r="A14" s="28" t="s">
        <v>97</v>
      </c>
      <c r="B14" s="29"/>
      <c r="C14" s="29"/>
      <c r="D14" s="29"/>
      <c r="E14" s="29"/>
      <c r="F14" s="29"/>
      <c r="G14" s="29"/>
      <c r="H14" s="29"/>
    </row>
    <row r="15" spans="1:11">
      <c r="A15" s="16" t="s">
        <v>476</v>
      </c>
      <c r="B15" s="13" t="s">
        <v>477</v>
      </c>
      <c r="C15" s="13" t="s">
        <v>478</v>
      </c>
      <c r="D15" s="16" t="s">
        <v>607</v>
      </c>
      <c r="E15" s="13" t="s">
        <v>91</v>
      </c>
      <c r="F15" s="13" t="s">
        <v>163</v>
      </c>
      <c r="G15" s="13" t="s">
        <v>479</v>
      </c>
      <c r="H15" s="17"/>
      <c r="I15" s="18" t="str">
        <f>"252,5"</f>
        <v>252,5</v>
      </c>
      <c r="J15" s="19" t="str">
        <f>"147,5357"</f>
        <v>147,5357</v>
      </c>
      <c r="K15" s="16"/>
    </row>
    <row r="16" spans="1:11">
      <c r="A16" s="24" t="s">
        <v>418</v>
      </c>
      <c r="B16" s="15" t="s">
        <v>419</v>
      </c>
      <c r="C16" s="15" t="s">
        <v>420</v>
      </c>
      <c r="D16" s="24" t="s">
        <v>631</v>
      </c>
      <c r="E16" s="15" t="s">
        <v>52</v>
      </c>
      <c r="F16" s="15" t="s">
        <v>167</v>
      </c>
      <c r="G16" s="15" t="s">
        <v>163</v>
      </c>
      <c r="H16" s="25"/>
      <c r="I16" s="26" t="str">
        <f>"245,0"</f>
        <v>245,0</v>
      </c>
      <c r="J16" s="27" t="str">
        <f>"144,2683"</f>
        <v>144,2683</v>
      </c>
      <c r="K16" s="24"/>
    </row>
    <row r="18" spans="1:11" ht="15">
      <c r="A18" s="28" t="s">
        <v>53</v>
      </c>
      <c r="B18" s="29"/>
      <c r="C18" s="29"/>
      <c r="D18" s="29"/>
      <c r="E18" s="29"/>
      <c r="F18" s="29"/>
      <c r="G18" s="29"/>
      <c r="H18" s="29"/>
    </row>
    <row r="19" spans="1:11">
      <c r="A19" s="16" t="s">
        <v>480</v>
      </c>
      <c r="B19" s="13" t="s">
        <v>481</v>
      </c>
      <c r="C19" s="13" t="s">
        <v>482</v>
      </c>
      <c r="D19" s="16" t="s">
        <v>607</v>
      </c>
      <c r="E19" s="13" t="s">
        <v>60</v>
      </c>
      <c r="F19" s="13" t="s">
        <v>61</v>
      </c>
      <c r="G19" s="13" t="s">
        <v>106</v>
      </c>
      <c r="H19" s="17"/>
      <c r="I19" s="18" t="str">
        <f>"282,5"</f>
        <v>282,5</v>
      </c>
      <c r="J19" s="19" t="str">
        <f>"160,8979"</f>
        <v>160,8979</v>
      </c>
      <c r="K19" s="16"/>
    </row>
    <row r="20" spans="1:11">
      <c r="A20" s="20" t="s">
        <v>483</v>
      </c>
      <c r="B20" s="14" t="s">
        <v>484</v>
      </c>
      <c r="C20" s="14" t="s">
        <v>485</v>
      </c>
      <c r="D20" s="20" t="s">
        <v>637</v>
      </c>
      <c r="E20" s="14" t="s">
        <v>106</v>
      </c>
      <c r="F20" s="21" t="s">
        <v>68</v>
      </c>
      <c r="G20" s="21" t="s">
        <v>68</v>
      </c>
      <c r="H20" s="21"/>
      <c r="I20" s="22" t="str">
        <f>"282,5"</f>
        <v>282,5</v>
      </c>
      <c r="J20" s="23" t="str">
        <f>"158,9063"</f>
        <v>158,9063</v>
      </c>
      <c r="K20" s="20"/>
    </row>
    <row r="21" spans="1:11">
      <c r="A21" s="20" t="s">
        <v>486</v>
      </c>
      <c r="B21" s="14" t="s">
        <v>487</v>
      </c>
      <c r="C21" s="14" t="s">
        <v>263</v>
      </c>
      <c r="D21" s="20" t="s">
        <v>607</v>
      </c>
      <c r="E21" s="14" t="s">
        <v>488</v>
      </c>
      <c r="F21" s="14" t="s">
        <v>52</v>
      </c>
      <c r="G21" s="14" t="s">
        <v>223</v>
      </c>
      <c r="H21" s="21"/>
      <c r="I21" s="22" t="str">
        <f>"222,5"</f>
        <v>222,5</v>
      </c>
      <c r="J21" s="23" t="str">
        <f>"127,1365"</f>
        <v>127,1365</v>
      </c>
      <c r="K21" s="20"/>
    </row>
    <row r="22" spans="1:11">
      <c r="A22" s="24" t="s">
        <v>489</v>
      </c>
      <c r="B22" s="15" t="s">
        <v>490</v>
      </c>
      <c r="C22" s="15" t="s">
        <v>491</v>
      </c>
      <c r="D22" s="24" t="s">
        <v>638</v>
      </c>
      <c r="E22" s="15" t="s">
        <v>69</v>
      </c>
      <c r="F22" s="15" t="s">
        <v>52</v>
      </c>
      <c r="G22" s="25" t="s">
        <v>167</v>
      </c>
      <c r="H22" s="25"/>
      <c r="I22" s="26" t="str">
        <f>"220,0"</f>
        <v>220,0</v>
      </c>
      <c r="J22" s="27" t="str">
        <f>"124,0910"</f>
        <v>124,0910</v>
      </c>
      <c r="K22" s="24"/>
    </row>
    <row r="24" spans="1:11" ht="15">
      <c r="A24" s="28" t="s">
        <v>64</v>
      </c>
      <c r="B24" s="29"/>
      <c r="C24" s="29"/>
      <c r="D24" s="29"/>
      <c r="E24" s="29"/>
      <c r="F24" s="29"/>
      <c r="G24" s="29"/>
      <c r="H24" s="29"/>
    </row>
    <row r="25" spans="1:11">
      <c r="A25" s="16" t="s">
        <v>452</v>
      </c>
      <c r="B25" s="13" t="s">
        <v>492</v>
      </c>
      <c r="C25" s="13" t="s">
        <v>454</v>
      </c>
      <c r="D25" s="16" t="s">
        <v>615</v>
      </c>
      <c r="E25" s="13" t="s">
        <v>167</v>
      </c>
      <c r="F25" s="13" t="s">
        <v>163</v>
      </c>
      <c r="G25" s="13" t="s">
        <v>61</v>
      </c>
      <c r="H25" s="17"/>
      <c r="I25" s="18" t="str">
        <f>"260,0"</f>
        <v>260,0</v>
      </c>
      <c r="J25" s="19" t="str">
        <f>"143,7800"</f>
        <v>143,7800</v>
      </c>
      <c r="K25" s="16"/>
    </row>
    <row r="26" spans="1:11">
      <c r="A26" s="24" t="s">
        <v>452</v>
      </c>
      <c r="B26" s="15" t="s">
        <v>453</v>
      </c>
      <c r="C26" s="15" t="s">
        <v>454</v>
      </c>
      <c r="D26" s="24" t="s">
        <v>615</v>
      </c>
      <c r="E26" s="15" t="s">
        <v>167</v>
      </c>
      <c r="F26" s="15" t="s">
        <v>163</v>
      </c>
      <c r="G26" s="15" t="s">
        <v>61</v>
      </c>
      <c r="H26" s="25"/>
      <c r="I26" s="26" t="str">
        <f>"260,0"</f>
        <v>260,0</v>
      </c>
      <c r="J26" s="27" t="str">
        <f>"149,9625"</f>
        <v>149,9625</v>
      </c>
      <c r="K26" s="24"/>
    </row>
  </sheetData>
  <mergeCells count="14">
    <mergeCell ref="I1:I2"/>
    <mergeCell ref="J1:J2"/>
    <mergeCell ref="K1:K2"/>
    <mergeCell ref="A3:H3"/>
    <mergeCell ref="A1:A2"/>
    <mergeCell ref="B1:B2"/>
    <mergeCell ref="C1:C2"/>
    <mergeCell ref="D1:D2"/>
    <mergeCell ref="E1:H1"/>
    <mergeCell ref="A6:H6"/>
    <mergeCell ref="A11:H11"/>
    <mergeCell ref="A14:H14"/>
    <mergeCell ref="A18:H18"/>
    <mergeCell ref="A24:H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19</vt:i4>
      </vt:variant>
    </vt:vector>
  </HeadingPairs>
  <TitlesOfParts>
    <vt:vector size="19" baseType="lpstr">
      <vt:lpstr>AWPC raw PL</vt:lpstr>
      <vt:lpstr>AWPC Classic RAW PL</vt:lpstr>
      <vt:lpstr>AWPC s.ply PL</vt:lpstr>
      <vt:lpstr>WPC raw PL</vt:lpstr>
      <vt:lpstr>WPC Classic RAW PL</vt:lpstr>
      <vt:lpstr>WPC s.ply PL</vt:lpstr>
      <vt:lpstr>AWPC raw BP</vt:lpstr>
      <vt:lpstr>AWPC s.ply BP</vt:lpstr>
      <vt:lpstr>AWPC MP soft eq. BP</vt:lpstr>
      <vt:lpstr>WPC s.ply BP</vt:lpstr>
      <vt:lpstr>WPC m.ply BP</vt:lpstr>
      <vt:lpstr>WPC raw BP</vt:lpstr>
      <vt:lpstr>WPC soft eq. BP</vt:lpstr>
      <vt:lpstr>WPC SC</vt:lpstr>
      <vt:lpstr>AWPC SC</vt:lpstr>
      <vt:lpstr>AWPC s.ply DL</vt:lpstr>
      <vt:lpstr>AWPC raw DL</vt:lpstr>
      <vt:lpstr>WPC s.ply DL</vt:lpstr>
      <vt:lpstr>WPC raw DL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Tomchin</dc:creator>
  <cp:lastModifiedBy>Pete Kravtsov</cp:lastModifiedBy>
  <cp:lastPrinted>2008-02-22T21:19:54Z</cp:lastPrinted>
  <dcterms:created xsi:type="dcterms:W3CDTF">2002-06-16T13:36:44Z</dcterms:created>
  <dcterms:modified xsi:type="dcterms:W3CDTF">2020-12-30T23:04:33Z</dcterms:modified>
</cp:coreProperties>
</file>