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Февраль/"/>
    </mc:Choice>
  </mc:AlternateContent>
  <xr:revisionPtr revIDLastSave="0" documentId="13_ncr:1_{031AA5B4-33D2-684F-A9DA-87CCBC6890AE}" xr6:coauthVersionLast="45" xr6:coauthVersionMax="45" xr10:uidLastSave="{00000000-0000-0000-0000-000000000000}"/>
  <bookViews>
    <workbookView xWindow="0" yWindow="460" windowWidth="28800" windowHeight="16120" firstSheet="11" activeTab="16" xr2:uid="{00000000-000D-0000-FFFF-FFFF00000000}"/>
  </bookViews>
  <sheets>
    <sheet name="IPL ПЛ без экипировки ДК" sheetId="10" r:id="rId1"/>
    <sheet name="IPL ПЛ без экипировки" sheetId="9" r:id="rId2"/>
    <sheet name="IPL ПЛ в бинтах ДК" sheetId="12" r:id="rId3"/>
    <sheet name="IPL ПЛ в бинтах" sheetId="11" r:id="rId4"/>
    <sheet name="IPL Двоеборье без экип ДК" sheetId="34" r:id="rId5"/>
    <sheet name="IPL Двоеборье без экип" sheetId="33" r:id="rId6"/>
    <sheet name="IPL Присед в бинтах ДК" sheetId="32" r:id="rId7"/>
    <sheet name="IPL Жим без экипировки ДК" sheetId="14" r:id="rId8"/>
    <sheet name="IPL Жим без экипировки" sheetId="13" r:id="rId9"/>
    <sheet name="IPL Жим однослой ДК" sheetId="16" r:id="rId10"/>
    <sheet name="СПР Жим софт однопетельная ДК" sheetId="39" r:id="rId11"/>
    <sheet name="СПР Жим софт однопетельная" sheetId="40" r:id="rId12"/>
    <sheet name="СПР Жим софт многопетельная" sheetId="38" r:id="rId13"/>
    <sheet name="IPL Тяга без экипировки ДК" sheetId="20" r:id="rId14"/>
    <sheet name="IPL Тяга без экипировки" sheetId="19" r:id="rId15"/>
    <sheet name="IPL Тяга однослой ДК" sheetId="24" r:id="rId16"/>
    <sheet name="IPL Тяга однослой" sheetId="23" r:id="rId17"/>
  </sheets>
  <definedNames>
    <definedName name="_FilterDatabase" localSheetId="11" hidden="1">'СПР Жим софт однопетельная'!$A$1:$K$3</definedName>
  </definedNames>
  <calcPr calcId="191029" refMode="R1C1" iterateDelta="1E-4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40" l="1"/>
  <c r="K9" i="40"/>
  <c r="L6" i="40"/>
  <c r="K6" i="40"/>
  <c r="L14" i="39"/>
  <c r="K14" i="39"/>
  <c r="L11" i="39"/>
  <c r="K11" i="39"/>
  <c r="L10" i="39"/>
  <c r="K10" i="39"/>
  <c r="L7" i="39"/>
  <c r="K7" i="39"/>
  <c r="L6" i="39"/>
  <c r="K6" i="39"/>
  <c r="L6" i="38"/>
  <c r="K6" i="38"/>
  <c r="P18" i="34"/>
  <c r="O18" i="34"/>
  <c r="P15" i="34"/>
  <c r="O15" i="34"/>
  <c r="P12" i="34"/>
  <c r="O12" i="34"/>
  <c r="P9" i="34"/>
  <c r="O9" i="34"/>
  <c r="P6" i="34"/>
  <c r="O6" i="34"/>
  <c r="P12" i="33"/>
  <c r="O12" i="33"/>
  <c r="P11" i="33"/>
  <c r="O11" i="33"/>
  <c r="P8" i="33"/>
  <c r="O8" i="33"/>
  <c r="P7" i="33"/>
  <c r="O7" i="33"/>
  <c r="P6" i="33"/>
  <c r="O6" i="33"/>
  <c r="L6" i="32"/>
  <c r="K6" i="32"/>
  <c r="L6" i="24"/>
  <c r="K6" i="24"/>
  <c r="L6" i="23"/>
  <c r="K6" i="23"/>
  <c r="L47" i="20"/>
  <c r="K47" i="20"/>
  <c r="L44" i="20"/>
  <c r="L43" i="20"/>
  <c r="K43" i="20"/>
  <c r="L40" i="20"/>
  <c r="K40" i="20"/>
  <c r="L39" i="20"/>
  <c r="K39" i="20"/>
  <c r="L36" i="20"/>
  <c r="K36" i="20"/>
  <c r="L35" i="20"/>
  <c r="K35" i="20"/>
  <c r="L34" i="20"/>
  <c r="K34" i="20"/>
  <c r="L31" i="20"/>
  <c r="K31" i="20"/>
  <c r="L28" i="20"/>
  <c r="K28" i="20"/>
  <c r="L27" i="20"/>
  <c r="K27" i="20"/>
  <c r="L26" i="20"/>
  <c r="K26" i="20"/>
  <c r="L25" i="20"/>
  <c r="K25" i="20"/>
  <c r="L22" i="20"/>
  <c r="K22" i="20"/>
  <c r="L19" i="20"/>
  <c r="K19" i="20"/>
  <c r="L16" i="20"/>
  <c r="K16" i="20"/>
  <c r="L15" i="20"/>
  <c r="K15" i="20"/>
  <c r="L12" i="20"/>
  <c r="K12" i="20"/>
  <c r="L9" i="20"/>
  <c r="K9" i="20"/>
  <c r="L6" i="20"/>
  <c r="K6" i="20"/>
  <c r="L20" i="19"/>
  <c r="K20" i="19"/>
  <c r="L19" i="19"/>
  <c r="K19" i="19"/>
  <c r="L18" i="19"/>
  <c r="K18" i="19"/>
  <c r="L17" i="19"/>
  <c r="K17" i="19"/>
  <c r="L16" i="19"/>
  <c r="K16" i="19"/>
  <c r="L13" i="19"/>
  <c r="K13" i="19"/>
  <c r="L10" i="19"/>
  <c r="K10" i="19"/>
  <c r="L9" i="19"/>
  <c r="K9" i="19"/>
  <c r="L6" i="19"/>
  <c r="K6" i="19"/>
  <c r="L9" i="16"/>
  <c r="K9" i="16"/>
  <c r="L6" i="16"/>
  <c r="K6" i="16"/>
  <c r="L60" i="14"/>
  <c r="K60" i="14"/>
  <c r="L57" i="14"/>
  <c r="K57" i="14"/>
  <c r="L54" i="14"/>
  <c r="K54" i="14"/>
  <c r="L51" i="14"/>
  <c r="K51" i="14"/>
  <c r="L50" i="14"/>
  <c r="K50" i="14"/>
  <c r="L49" i="14"/>
  <c r="K49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6" i="14"/>
  <c r="K26" i="14"/>
  <c r="L25" i="14"/>
  <c r="K25" i="14"/>
  <c r="L24" i="14"/>
  <c r="K24" i="14"/>
  <c r="L21" i="14"/>
  <c r="K21" i="14"/>
  <c r="L18" i="14"/>
  <c r="K18" i="14"/>
  <c r="L15" i="14"/>
  <c r="K15" i="14"/>
  <c r="L12" i="14"/>
  <c r="K12" i="14"/>
  <c r="L9" i="14"/>
  <c r="K9" i="14"/>
  <c r="L6" i="14"/>
  <c r="K6" i="14"/>
  <c r="L28" i="13"/>
  <c r="K28" i="13"/>
  <c r="L27" i="13"/>
  <c r="K27" i="13"/>
  <c r="L26" i="13"/>
  <c r="K26" i="13"/>
  <c r="L25" i="13"/>
  <c r="K25" i="13"/>
  <c r="L22" i="13"/>
  <c r="K22" i="13"/>
  <c r="L19" i="13"/>
  <c r="K19" i="13"/>
  <c r="L18" i="13"/>
  <c r="K18" i="13"/>
  <c r="L15" i="13"/>
  <c r="K15" i="13"/>
  <c r="L14" i="13"/>
  <c r="K14" i="13"/>
  <c r="L11" i="13"/>
  <c r="K11" i="13"/>
  <c r="L10" i="13"/>
  <c r="K10" i="13"/>
  <c r="L9" i="13"/>
  <c r="K9" i="13"/>
  <c r="L6" i="13"/>
  <c r="K6" i="13"/>
  <c r="T15" i="12"/>
  <c r="S15" i="12"/>
  <c r="T12" i="12"/>
  <c r="S12" i="12"/>
  <c r="T9" i="12"/>
  <c r="S9" i="12"/>
  <c r="T6" i="12"/>
  <c r="S6" i="12"/>
  <c r="T9" i="11"/>
  <c r="S9" i="11"/>
  <c r="T6" i="11"/>
  <c r="S6" i="11"/>
  <c r="T45" i="10"/>
  <c r="S45" i="10"/>
  <c r="T42" i="10"/>
  <c r="S42" i="10"/>
  <c r="T41" i="10"/>
  <c r="S41" i="10"/>
  <c r="T38" i="10"/>
  <c r="S38" i="10"/>
  <c r="T37" i="10"/>
  <c r="S37" i="10"/>
  <c r="T36" i="10"/>
  <c r="S36" i="10"/>
  <c r="T35" i="10"/>
  <c r="S35" i="10"/>
  <c r="T34" i="10"/>
  <c r="S34" i="10"/>
  <c r="T31" i="10"/>
  <c r="S31" i="10"/>
  <c r="T28" i="10"/>
  <c r="S28" i="10"/>
  <c r="T27" i="10"/>
  <c r="S27" i="10"/>
  <c r="T24" i="10"/>
  <c r="S24" i="10"/>
  <c r="T21" i="10"/>
  <c r="S21" i="10"/>
  <c r="T18" i="10"/>
  <c r="S18" i="10"/>
  <c r="T17" i="10"/>
  <c r="S17" i="10"/>
  <c r="T16" i="10"/>
  <c r="S16" i="10"/>
  <c r="T15" i="10"/>
  <c r="S15" i="10"/>
  <c r="T12" i="10"/>
  <c r="S12" i="10"/>
  <c r="T9" i="10"/>
  <c r="S9" i="10"/>
  <c r="T6" i="10"/>
  <c r="S6" i="10"/>
  <c r="T17" i="9"/>
  <c r="S17" i="9"/>
  <c r="T14" i="9"/>
  <c r="S14" i="9"/>
  <c r="T13" i="9"/>
  <c r="S13" i="9"/>
  <c r="T10" i="9"/>
  <c r="S10" i="9"/>
  <c r="T9" i="9"/>
  <c r="S9" i="9"/>
  <c r="T6" i="9"/>
  <c r="S6" i="9"/>
</calcChain>
</file>

<file path=xl/sharedStrings.xml><?xml version="1.0" encoding="utf-8"?>
<sst xmlns="http://schemas.openxmlformats.org/spreadsheetml/2006/main" count="1953" uniqueCount="539">
  <si>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</si>
  <si>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</si>
  <si>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</si>
  <si>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</si>
  <si>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</si>
  <si>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</si>
  <si>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</si>
  <si>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</si>
  <si>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</si>
  <si>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</si>
  <si>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</si>
  <si>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</si>
  <si>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75</t>
  </si>
  <si>
    <t>Шекурова Юлия</t>
  </si>
  <si>
    <t>Открытая (17.09.1998)/22</t>
  </si>
  <si>
    <t>72,60</t>
  </si>
  <si>
    <t>60,0</t>
  </si>
  <si>
    <t>70,0</t>
  </si>
  <si>
    <t>75,0</t>
  </si>
  <si>
    <t>40,0</t>
  </si>
  <si>
    <t>45,0</t>
  </si>
  <si>
    <t>50,0</t>
  </si>
  <si>
    <t>80,0</t>
  </si>
  <si>
    <t>85,0</t>
  </si>
  <si>
    <t>ВЕСОВАЯ КАТЕГОРИЯ   82.5</t>
  </si>
  <si>
    <t>Сытин Константин</t>
  </si>
  <si>
    <t>Юноши 15-19 (28.08.2004)/16</t>
  </si>
  <si>
    <t>76,20</t>
  </si>
  <si>
    <t xml:space="preserve">Арзамас/Нижегородская область </t>
  </si>
  <si>
    <t>145,0</t>
  </si>
  <si>
    <t>150,0</t>
  </si>
  <si>
    <t>157,5</t>
  </si>
  <si>
    <t>90,0</t>
  </si>
  <si>
    <t>95,0</t>
  </si>
  <si>
    <t>100,0</t>
  </si>
  <si>
    <t>160,0</t>
  </si>
  <si>
    <t>172,5</t>
  </si>
  <si>
    <t>Нестерко Сергей</t>
  </si>
  <si>
    <t>Открытая (29.04.1983)/37</t>
  </si>
  <si>
    <t>78,20</t>
  </si>
  <si>
    <t>130,0</t>
  </si>
  <si>
    <t>140,0</t>
  </si>
  <si>
    <t>135,0</t>
  </si>
  <si>
    <t>230,0</t>
  </si>
  <si>
    <t>240,0</t>
  </si>
  <si>
    <t>242,5</t>
  </si>
  <si>
    <t>ВЕСОВАЯ КАТЕГОРИЯ   90</t>
  </si>
  <si>
    <t>Лукьянов Сергей</t>
  </si>
  <si>
    <t>Открытая (02.06.1986)/34</t>
  </si>
  <si>
    <t>86,80</t>
  </si>
  <si>
    <t>225,0</t>
  </si>
  <si>
    <t>250,0</t>
  </si>
  <si>
    <t>280,0</t>
  </si>
  <si>
    <t>300,0</t>
  </si>
  <si>
    <t>310,0</t>
  </si>
  <si>
    <t>Трофимов Алексей</t>
  </si>
  <si>
    <t>Открытая (27.02.1996)/24</t>
  </si>
  <si>
    <t>88,60</t>
  </si>
  <si>
    <t>200,0</t>
  </si>
  <si>
    <t>210,0</t>
  </si>
  <si>
    <t>220,0</t>
  </si>
  <si>
    <t>147,5</t>
  </si>
  <si>
    <t>155,0</t>
  </si>
  <si>
    <t>215,0</t>
  </si>
  <si>
    <t>ВЕСОВАЯ КАТЕГОРИЯ   100</t>
  </si>
  <si>
    <t>237,5</t>
  </si>
  <si>
    <t>167,5</t>
  </si>
  <si>
    <t>ВЕСОВАЯ КАТЕГОРИЯ   125</t>
  </si>
  <si>
    <t>Николаев Андрей</t>
  </si>
  <si>
    <t>111,00</t>
  </si>
  <si>
    <t>170,0</t>
  </si>
  <si>
    <t>180,0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</si>
  <si>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</si>
  <si>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</si>
  <si>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</si>
  <si>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</si>
  <si>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>75</t>
  </si>
  <si>
    <t>205,0</t>
  </si>
  <si>
    <t xml:space="preserve">Мужчины </t>
  </si>
  <si>
    <t>90</t>
  </si>
  <si>
    <t>125</t>
  </si>
  <si>
    <t>1</t>
  </si>
  <si>
    <t>2</t>
  </si>
  <si>
    <t>-</t>
  </si>
  <si>
    <t>ВЕСОВАЯ КАТЕГОРИЯ   52</t>
  </si>
  <si>
    <t>Петрушкина Виктория</t>
  </si>
  <si>
    <t>Девушки 15-19 (26.04.2006)/14</t>
  </si>
  <si>
    <t>49,10</t>
  </si>
  <si>
    <t xml:space="preserve">Ковров/Владимирская область </t>
  </si>
  <si>
    <t>65,0</t>
  </si>
  <si>
    <t>67,5</t>
  </si>
  <si>
    <t>37,5</t>
  </si>
  <si>
    <t>42,5</t>
  </si>
  <si>
    <t>77,5</t>
  </si>
  <si>
    <t>ВЕСОВАЯ КАТЕГОРИЯ   56</t>
  </si>
  <si>
    <t>Кокурина Юлия</t>
  </si>
  <si>
    <t>Открытая (29.04.1982)/38</t>
  </si>
  <si>
    <t>53,10</t>
  </si>
  <si>
    <t>57,5</t>
  </si>
  <si>
    <t>62,5</t>
  </si>
  <si>
    <t>ВЕСОВАЯ КАТЕГОРИЯ   60</t>
  </si>
  <si>
    <t>Синицкая Ольга</t>
  </si>
  <si>
    <t>56,50</t>
  </si>
  <si>
    <t>55,0</t>
  </si>
  <si>
    <t>92,5</t>
  </si>
  <si>
    <t>ВЕСОВАЯ КАТЕГОРИЯ   67.5</t>
  </si>
  <si>
    <t>Хрулева Евгения</t>
  </si>
  <si>
    <t>62,00</t>
  </si>
  <si>
    <t>105,0</t>
  </si>
  <si>
    <t>Косолапова Елена</t>
  </si>
  <si>
    <t>Открытая (19.07.1999)/21</t>
  </si>
  <si>
    <t>65,60</t>
  </si>
  <si>
    <t>110,0</t>
  </si>
  <si>
    <t>120,0</t>
  </si>
  <si>
    <t>125,0</t>
  </si>
  <si>
    <t>Крайнова Светлана</t>
  </si>
  <si>
    <t>Открытая (30.03.1993)/27</t>
  </si>
  <si>
    <t>66,90</t>
  </si>
  <si>
    <t>Ершова Светлана</t>
  </si>
  <si>
    <t>65,80</t>
  </si>
  <si>
    <t>112,5</t>
  </si>
  <si>
    <t>115,0</t>
  </si>
  <si>
    <t>117,5</t>
  </si>
  <si>
    <t>Лашманов Дмитрий</t>
  </si>
  <si>
    <t>Открытая (05.01.1996)/25</t>
  </si>
  <si>
    <t>57,00</t>
  </si>
  <si>
    <t>Соколов Данила</t>
  </si>
  <si>
    <t>Юноши 15-19 (08.03.2007)/13</t>
  </si>
  <si>
    <t>66,50</t>
  </si>
  <si>
    <t>Харченко Иван</t>
  </si>
  <si>
    <t>74,40</t>
  </si>
  <si>
    <t xml:space="preserve">Нижний Новгород/Нижегородская область </t>
  </si>
  <si>
    <t>190,0</t>
  </si>
  <si>
    <t>Мурадов Владислав</t>
  </si>
  <si>
    <t>152,5</t>
  </si>
  <si>
    <t>162,5</t>
  </si>
  <si>
    <t>Рожнов Евгений</t>
  </si>
  <si>
    <t>Открытая (30.06.1990)/30</t>
  </si>
  <si>
    <t>81,30</t>
  </si>
  <si>
    <t>195,0</t>
  </si>
  <si>
    <t>122,5</t>
  </si>
  <si>
    <t>Воробьев Николай</t>
  </si>
  <si>
    <t>Открытая (07.08.1984)/36</t>
  </si>
  <si>
    <t xml:space="preserve">Бор/Нижегородская область </t>
  </si>
  <si>
    <t>232,5</t>
  </si>
  <si>
    <t>270,0</t>
  </si>
  <si>
    <t>277,5</t>
  </si>
  <si>
    <t>Строкин Дмитрий</t>
  </si>
  <si>
    <t>Открытая (30.05.1991)/29</t>
  </si>
  <si>
    <t>85,80</t>
  </si>
  <si>
    <t>165,0</t>
  </si>
  <si>
    <t>175,0</t>
  </si>
  <si>
    <t>185,0</t>
  </si>
  <si>
    <t>132,5</t>
  </si>
  <si>
    <t>235,0</t>
  </si>
  <si>
    <t>Перепёлкин Артем</t>
  </si>
  <si>
    <t>Открытая (12.06.1986)/34</t>
  </si>
  <si>
    <t>86,90</t>
  </si>
  <si>
    <t>Киселев Евгений</t>
  </si>
  <si>
    <t>Открытая (23.08.1988)/32</t>
  </si>
  <si>
    <t>87,60</t>
  </si>
  <si>
    <t>Богдасаров Виталий</t>
  </si>
  <si>
    <t>Открытая (17.11.1992)/28</t>
  </si>
  <si>
    <t>87,20</t>
  </si>
  <si>
    <t>Ляпин Евгений</t>
  </si>
  <si>
    <t>Открытая (03.06.1988)/32</t>
  </si>
  <si>
    <t>95,70</t>
  </si>
  <si>
    <t>260,0</t>
  </si>
  <si>
    <t>Ширшов Михаил</t>
  </si>
  <si>
    <t>Открытая (30.04.1987)/33</t>
  </si>
  <si>
    <t>98,60</t>
  </si>
  <si>
    <t>245,0</t>
  </si>
  <si>
    <t>ВЕСОВАЯ КАТЕГОРИЯ   110</t>
  </si>
  <si>
    <t>Барва Сергей</t>
  </si>
  <si>
    <t>106,70</t>
  </si>
  <si>
    <t>187,5</t>
  </si>
  <si>
    <t>320,0</t>
  </si>
  <si>
    <t>217,5</t>
  </si>
  <si>
    <t>100</t>
  </si>
  <si>
    <t>690,0</t>
  </si>
  <si>
    <t>650,0</t>
  </si>
  <si>
    <t>560,0</t>
  </si>
  <si>
    <t>110</t>
  </si>
  <si>
    <t>3</t>
  </si>
  <si>
    <t>4</t>
  </si>
  <si>
    <t>5</t>
  </si>
  <si>
    <t>Борисов Александр</t>
  </si>
  <si>
    <t>87,00</t>
  </si>
  <si>
    <t>Шишкин Александр</t>
  </si>
  <si>
    <t>Открытая (27.10.1975)/45</t>
  </si>
  <si>
    <t>96,10</t>
  </si>
  <si>
    <t>Гусева Дарья</t>
  </si>
  <si>
    <t>Открытая (27.05.1991)/29</t>
  </si>
  <si>
    <t>63,50</t>
  </si>
  <si>
    <t>107,5</t>
  </si>
  <si>
    <t>52,5</t>
  </si>
  <si>
    <t>Галактионов Дмитрий</t>
  </si>
  <si>
    <t>Открытая (10.01.1983)/38</t>
  </si>
  <si>
    <t>88,40</t>
  </si>
  <si>
    <t>Кулагин Дмитрий</t>
  </si>
  <si>
    <t>Открытая (07.06.1989)/31</t>
  </si>
  <si>
    <t>105,30</t>
  </si>
  <si>
    <t>Тимин Сергей</t>
  </si>
  <si>
    <t>Открытая (19.05.1991)/29</t>
  </si>
  <si>
    <t>118,90</t>
  </si>
  <si>
    <t>265,0</t>
  </si>
  <si>
    <t>192,5</t>
  </si>
  <si>
    <t>Подолецкий Андрей</t>
  </si>
  <si>
    <t>Открытая (18.12.1996)/24</t>
  </si>
  <si>
    <t>55,00</t>
  </si>
  <si>
    <t>Жуков Виталий</t>
  </si>
  <si>
    <t>Юноши 15-19 (21.03.2006)/14</t>
  </si>
  <si>
    <t>68,20</t>
  </si>
  <si>
    <t xml:space="preserve">Чкаловск/Нижегородская область </t>
  </si>
  <si>
    <t>72,5</t>
  </si>
  <si>
    <t>Ткаченко Тимофей</t>
  </si>
  <si>
    <t>Юноши 15-19 (10.11.2006)/14</t>
  </si>
  <si>
    <t>Серов Александр</t>
  </si>
  <si>
    <t>74,20</t>
  </si>
  <si>
    <t>Золотарев Сергей</t>
  </si>
  <si>
    <t>Открытая (12.03.1976)/44</t>
  </si>
  <si>
    <t>79,10</t>
  </si>
  <si>
    <t>Шамраев Григорий</t>
  </si>
  <si>
    <t>Открытая (12.09.1991)/29</t>
  </si>
  <si>
    <t>87,40</t>
  </si>
  <si>
    <t>Курнышов Максим</t>
  </si>
  <si>
    <t>Открытая (22.08.1990)/30</t>
  </si>
  <si>
    <t>85,60</t>
  </si>
  <si>
    <t>142,5</t>
  </si>
  <si>
    <t>Ганин Антон</t>
  </si>
  <si>
    <t>Открытая (26.06.1985)/35</t>
  </si>
  <si>
    <t>108,60</t>
  </si>
  <si>
    <t>Моисеев Александр</t>
  </si>
  <si>
    <t>Открытая (11.11.1972)/48</t>
  </si>
  <si>
    <t>116,10</t>
  </si>
  <si>
    <t xml:space="preserve">Сергиев Посад/Московская область </t>
  </si>
  <si>
    <t>202,5</t>
  </si>
  <si>
    <t>Федякин Денис</t>
  </si>
  <si>
    <t>Открытая (29.06.1982)/38</t>
  </si>
  <si>
    <t>121,70</t>
  </si>
  <si>
    <t>Кустов Максим</t>
  </si>
  <si>
    <t>Открытая (25.03.1985)/35</t>
  </si>
  <si>
    <t>117,50</t>
  </si>
  <si>
    <t xml:space="preserve">Результат </t>
  </si>
  <si>
    <t>Результат</t>
  </si>
  <si>
    <t>ВЕСОВАЯ КАТЕГОРИЯ   48</t>
  </si>
  <si>
    <t>Купрюшина Наталья</t>
  </si>
  <si>
    <t>44,50</t>
  </si>
  <si>
    <t>Лосева Екатерина</t>
  </si>
  <si>
    <t>Девушки 15-19 (08.05.2003)/17</t>
  </si>
  <si>
    <t>49,80</t>
  </si>
  <si>
    <t>Замцалина Ольга</t>
  </si>
  <si>
    <t>Девушки 15-19 (30.04.2001)/19</t>
  </si>
  <si>
    <t>60,00</t>
  </si>
  <si>
    <t>Купрюшин Андрей</t>
  </si>
  <si>
    <t>56,00</t>
  </si>
  <si>
    <t>Медведев Алексей</t>
  </si>
  <si>
    <t>65,00</t>
  </si>
  <si>
    <t>Дедаев Роман</t>
  </si>
  <si>
    <t>Юноши 15-19 (05.09.2003)/17</t>
  </si>
  <si>
    <t>72,30</t>
  </si>
  <si>
    <t xml:space="preserve">Шатки/Нижегородская область </t>
  </si>
  <si>
    <t>Селезнев Александр</t>
  </si>
  <si>
    <t>Открытая (18.05.1975)/45</t>
  </si>
  <si>
    <t>71,90</t>
  </si>
  <si>
    <t>Русаков Андрей</t>
  </si>
  <si>
    <t>Открытая (31.08.1990)/30</t>
  </si>
  <si>
    <t>73,10</t>
  </si>
  <si>
    <t xml:space="preserve">Кохма/Ивановская область </t>
  </si>
  <si>
    <t>Астахов Павел</t>
  </si>
  <si>
    <t>81,10</t>
  </si>
  <si>
    <t>127,5</t>
  </si>
  <si>
    <t>Григорьев Артём</t>
  </si>
  <si>
    <t>Открытая (27.02.1995)/25</t>
  </si>
  <si>
    <t>79,90</t>
  </si>
  <si>
    <t>Ерофеев Алексей</t>
  </si>
  <si>
    <t>Открытая (11.03.1987)/33</t>
  </si>
  <si>
    <t>81,60</t>
  </si>
  <si>
    <t>Булычёв Вадим</t>
  </si>
  <si>
    <t>Открытая (10.10.1973)/47</t>
  </si>
  <si>
    <t>Данилин Григорий</t>
  </si>
  <si>
    <t>Открытая (14.01.1997)/24</t>
  </si>
  <si>
    <t>76,30</t>
  </si>
  <si>
    <t>Макентош Марио</t>
  </si>
  <si>
    <t>77,30</t>
  </si>
  <si>
    <t>Проворов Илья</t>
  </si>
  <si>
    <t>86,30</t>
  </si>
  <si>
    <t>Балясников Денис</t>
  </si>
  <si>
    <t>88,10</t>
  </si>
  <si>
    <t>Морозов Антон</t>
  </si>
  <si>
    <t>Открытая (28.05.1984)/36</t>
  </si>
  <si>
    <t>89,30</t>
  </si>
  <si>
    <t>Ширяев Андрей</t>
  </si>
  <si>
    <t>Открытая (06.06.1997)/23</t>
  </si>
  <si>
    <t>88,80</t>
  </si>
  <si>
    <t>Макартет Иван</t>
  </si>
  <si>
    <t>Открытая (17.09.1987)/33</t>
  </si>
  <si>
    <t>Дойников Алексей</t>
  </si>
  <si>
    <t>Открытая (04.10.1991)/29</t>
  </si>
  <si>
    <t>87,30</t>
  </si>
  <si>
    <t>Пичуганов Альберт</t>
  </si>
  <si>
    <t>Открытая (13.01.1983)/38</t>
  </si>
  <si>
    <t>89,00</t>
  </si>
  <si>
    <t>Лотырев Максим</t>
  </si>
  <si>
    <t>Открытая (25.05.1987)/33</t>
  </si>
  <si>
    <t>88,90</t>
  </si>
  <si>
    <t xml:space="preserve">Заволжье/Нижегородская область </t>
  </si>
  <si>
    <t>Никулин Алексей</t>
  </si>
  <si>
    <t>Воробьев Александр</t>
  </si>
  <si>
    <t>Открытая (01.10.1996)/24</t>
  </si>
  <si>
    <t>95,40</t>
  </si>
  <si>
    <t>Безруков Михаил</t>
  </si>
  <si>
    <t xml:space="preserve">Балахна/Нижегородская область </t>
  </si>
  <si>
    <t>Лябакин Олег</t>
  </si>
  <si>
    <t>99,40</t>
  </si>
  <si>
    <t>Молодцов Алексей</t>
  </si>
  <si>
    <t>103,00</t>
  </si>
  <si>
    <t>Орляков Сергей</t>
  </si>
  <si>
    <t>Открытая (30.03.1983)/37</t>
  </si>
  <si>
    <t>122,10</t>
  </si>
  <si>
    <t>197,5</t>
  </si>
  <si>
    <t>ВЕСОВАЯ КАТЕГОРИЯ   140</t>
  </si>
  <si>
    <t>Гаврилов Сергей</t>
  </si>
  <si>
    <t>Открытая (08.08.1979)/41</t>
  </si>
  <si>
    <t>128,20</t>
  </si>
  <si>
    <t>285,0</t>
  </si>
  <si>
    <t>305,0</t>
  </si>
  <si>
    <t>315,0</t>
  </si>
  <si>
    <t>140</t>
  </si>
  <si>
    <t>6</t>
  </si>
  <si>
    <t>Боровков Владимир</t>
  </si>
  <si>
    <t>Открытая (13.11.1992)/28</t>
  </si>
  <si>
    <t>73,70</t>
  </si>
  <si>
    <t xml:space="preserve">Кстово/Нижегородская область </t>
  </si>
  <si>
    <t>Матвеев Вадим</t>
  </si>
  <si>
    <t>Открытая (10.01.1986)/35</t>
  </si>
  <si>
    <t>100,00</t>
  </si>
  <si>
    <t>Козлова Юлия</t>
  </si>
  <si>
    <t>73,80</t>
  </si>
  <si>
    <t>Баранцев Михаил</t>
  </si>
  <si>
    <t>Открытая (07.10.1984)/36</t>
  </si>
  <si>
    <t>Панкратов Максим</t>
  </si>
  <si>
    <t>Открытая (06.06.1995)/25</t>
  </si>
  <si>
    <t>Киреев Артем</t>
  </si>
  <si>
    <t>Открытая (12.11.1987)/33</t>
  </si>
  <si>
    <t>96,60</t>
  </si>
  <si>
    <t>252,5</t>
  </si>
  <si>
    <t>Васильев Виталий</t>
  </si>
  <si>
    <t>96,00</t>
  </si>
  <si>
    <t>Эсаулов Владимир</t>
  </si>
  <si>
    <t>92,30</t>
  </si>
  <si>
    <t>Романов Валерий</t>
  </si>
  <si>
    <t>99,60</t>
  </si>
  <si>
    <t>Карпов Евгений</t>
  </si>
  <si>
    <t>90,50</t>
  </si>
  <si>
    <t>Бухвалова Арина</t>
  </si>
  <si>
    <t>Девушки 15-19 (19.05.2005)/15</t>
  </si>
  <si>
    <t>50,20</t>
  </si>
  <si>
    <t>102,5</t>
  </si>
  <si>
    <t>Целикова Ольга</t>
  </si>
  <si>
    <t>Открытая (27.01.1985)/36</t>
  </si>
  <si>
    <t>Скуратова Наталья</t>
  </si>
  <si>
    <t>Открытая (24.09.1972)/48</t>
  </si>
  <si>
    <t>Кормушкина Дарья</t>
  </si>
  <si>
    <t>Открытая (22.02.1987)/33</t>
  </si>
  <si>
    <t>70,10</t>
  </si>
  <si>
    <t>Ланцов Дмитрий</t>
  </si>
  <si>
    <t>Открытая (15.05.1988)/32</t>
  </si>
  <si>
    <t>66,20</t>
  </si>
  <si>
    <t>182,5</t>
  </si>
  <si>
    <t>Горюнов Дмитрий</t>
  </si>
  <si>
    <t>69,00</t>
  </si>
  <si>
    <t>207,5</t>
  </si>
  <si>
    <t>Савин Александр</t>
  </si>
  <si>
    <t>Открытая (04.08.1983)/37</t>
  </si>
  <si>
    <t>71,70</t>
  </si>
  <si>
    <t>73,30</t>
  </si>
  <si>
    <t>Барашков Николай</t>
  </si>
  <si>
    <t>Открытая (06.07.1995)/25</t>
  </si>
  <si>
    <t>82,00</t>
  </si>
  <si>
    <t>Карев Сергей</t>
  </si>
  <si>
    <t>88,00</t>
  </si>
  <si>
    <t>Михайловский Алексей</t>
  </si>
  <si>
    <t>Шкуратов Кирилл</t>
  </si>
  <si>
    <t>Открытая (28.08.1981)/39</t>
  </si>
  <si>
    <t>95,00</t>
  </si>
  <si>
    <t>Пахомов Арсений</t>
  </si>
  <si>
    <t>Открытая (13.04.1993)/27</t>
  </si>
  <si>
    <t>104,20</t>
  </si>
  <si>
    <t>247,5</t>
  </si>
  <si>
    <t>Казарина Елена</t>
  </si>
  <si>
    <t>64,00</t>
  </si>
  <si>
    <t xml:space="preserve">Королёв/Московская область </t>
  </si>
  <si>
    <t>Фёдоров Константин</t>
  </si>
  <si>
    <t>58,50</t>
  </si>
  <si>
    <t>Петровичев Дмитрий</t>
  </si>
  <si>
    <t>80,50</t>
  </si>
  <si>
    <t>Момот Вадим</t>
  </si>
  <si>
    <t>Юноши 15-19 (27.02.2002)/18</t>
  </si>
  <si>
    <t>68,90</t>
  </si>
  <si>
    <t>Каякин Дмитрий</t>
  </si>
  <si>
    <t>67,90</t>
  </si>
  <si>
    <t>212,5</t>
  </si>
  <si>
    <t>Пирогов Иван</t>
  </si>
  <si>
    <t>Открытая (17.08.1996)/24</t>
  </si>
  <si>
    <t>Багрецов Павел</t>
  </si>
  <si>
    <t>80,60</t>
  </si>
  <si>
    <t>Силантьев Кирилл</t>
  </si>
  <si>
    <t>81,90</t>
  </si>
  <si>
    <t>Ежова Ангелина</t>
  </si>
  <si>
    <t>Открытая (27.06.1985)/35</t>
  </si>
  <si>
    <t>49,50</t>
  </si>
  <si>
    <t>97,5</t>
  </si>
  <si>
    <t>Бухарев Михаил</t>
  </si>
  <si>
    <t>Открытая (10.09.1988)/32</t>
  </si>
  <si>
    <t>177,5</t>
  </si>
  <si>
    <t>Спиридонов Василий</t>
  </si>
  <si>
    <t>Открытая (06.01.1984)/37</t>
  </si>
  <si>
    <t>136,10</t>
  </si>
  <si>
    <t>290,0</t>
  </si>
  <si>
    <t>Апрелова Надежда</t>
  </si>
  <si>
    <t>Открытая (24.07.1963)/57</t>
  </si>
  <si>
    <t>49,70</t>
  </si>
  <si>
    <t>Тараканов Алексей</t>
  </si>
  <si>
    <t>Открытая (05.04.1985)/35</t>
  </si>
  <si>
    <t>86,50</t>
  </si>
  <si>
    <t>Коптелов Игорь</t>
  </si>
  <si>
    <t>87,70</t>
  </si>
  <si>
    <t>Дроботай Николай</t>
  </si>
  <si>
    <t>Открытая (31.08.1996)/24</t>
  </si>
  <si>
    <t>98,50</t>
  </si>
  <si>
    <t>Тихойс Дмитрийс</t>
  </si>
  <si>
    <t>Открытая (11.05.1981)/39</t>
  </si>
  <si>
    <t>Коптелов И.</t>
  </si>
  <si>
    <t>Хрестин Ф.</t>
  </si>
  <si>
    <t>Нижний Новгород/Нижегородская область</t>
  </si>
  <si>
    <t>Дзержинск/Нижегородская область</t>
  </si>
  <si>
    <t>Москва/ Московская область</t>
  </si>
  <si>
    <t xml:space="preserve">Дзержинск/Нижегородская область </t>
  </si>
  <si>
    <t>Спиридонов В.</t>
  </si>
  <si>
    <t>Гаврилов С.</t>
  </si>
  <si>
    <t>Богдасаров В.</t>
  </si>
  <si>
    <t>Луговой А.</t>
  </si>
  <si>
    <t>Малыгин А.</t>
  </si>
  <si>
    <t>Романов В.</t>
  </si>
  <si>
    <t xml:space="preserve">Первомайск/Нижегородская область </t>
  </si>
  <si>
    <t>Козырев О.</t>
  </si>
  <si>
    <t xml:space="preserve">Марченко В. </t>
  </si>
  <si>
    <t>Пушкин И.</t>
  </si>
  <si>
    <t>Шалаев Е.</t>
  </si>
  <si>
    <t xml:space="preserve">Луговой А. </t>
  </si>
  <si>
    <t>Панкратов М.</t>
  </si>
  <si>
    <t xml:space="preserve">Богдасаров В. </t>
  </si>
  <si>
    <t>ВМТ "Каспийский монстр II" и Кубок Ростислава Алексеева
IPL Пауэрлифтинг без экипировки ДК
Чкаловск/Нижегородская область, 21 февраля 2021 года</t>
  </si>
  <si>
    <t>ВМТ "Каспийский монстр II" и Кубок Ростислава Алексеева
IPL Пауэрлифтинг без экипировки
Чкаловск/Нижегородская область, 21 февраля 2021 года</t>
  </si>
  <si>
    <t>ВМТ "Каспийский монстр II" и Кубок Ростислава Алексеева
IPL Пауэрлифтинг в бинтах ДК
Чкаловск/Нижегородская область, 21 февраля 2021 года</t>
  </si>
  <si>
    <t>ВМТ "Каспийский монстр II" и Кубок Ростислава Алексеева
IPL Пауэрлифтинг в бинтах
Чкаловск/Нижегородская область, 21 февраля 2021 года</t>
  </si>
  <si>
    <t>ВМТ "Каспийский монстр II" и Кубок Ростислава Алексеева
IPL Силовое двоеборье без экипировки ДК
Чкаловск/Нижегородская область, 21 февраля 2021 года</t>
  </si>
  <si>
    <t>ВМТ "Каспийский монстр II" и Кубок Ростислава Алексеева
IPL Силовое двоеборье без экипировки
Чкаловск/Нижегородская область, 21 февраля 2021 года</t>
  </si>
  <si>
    <t>ВМТ "Каспийский монстр II" и Кубок Ростислава Алексеева
IPL Присед в бинтах ДК
Чкаловск/Нижегородская область, 21 февраля 2021 года</t>
  </si>
  <si>
    <t>ВМТ "Каспийский монстр II" и Кубок Ростислава Алексеева
IPL Жим лежа без экипировки ДК
Чкаловск/Нижегородская область, 21 февраля 2021 года</t>
  </si>
  <si>
    <t>ВМТ "Каспийский монстр II" и Кубок Ростислава Алексеева
IPL Жим лежа без экипировки
Чкаловск/Нижегородская область, 21 февраля 2021 года</t>
  </si>
  <si>
    <t>ВМТ "Каспийский монстр II" и Кубок Ростислава Алексеева
IPL Жим лежа в однослойной экипировке ДК
Чкаловск/Нижегородская область, 21 февраля 2021 года</t>
  </si>
  <si>
    <t>ВМТ "Каспийский монстр II" и Кубок Ростислава Алексеева
СПР Жим лежа в однопетельной софт экипировке ДК
Чкаловск/Нижегородская область, 21 февраля 2021 года</t>
  </si>
  <si>
    <t>ВМТ "Каспийский монстр II" и Кубок Ростислава Алексеева
СПР Жим лежа в однопетельной софт экипировке
Чкаловск/Нижегородская область, 21 февраля 2021 года</t>
  </si>
  <si>
    <t>ВМТ "Каспийский монстр II" и Кубок Ростислава Алексеева
СПР Жим лежа в многопетельной софт экипировке
Чкаловск/Нижегородская область, 21 февраля 2021 года</t>
  </si>
  <si>
    <t>ВМТ "Каспийский монстр II" и Кубок Ростислава Алексеева
IPL Становая тяга без экипировки ДК
Чкаловск/Нижегородская область, 21 февраля 2021 года</t>
  </si>
  <si>
    <t>ВМТ "Каспийский монстр II" и Кубок Ростислава Алексеева
IPL Становая тяга без экипировки
Чкаловск/Нижегородская область, 21 февраля 2021 года</t>
  </si>
  <si>
    <t>ВМТ "Каспийский монстр II" и Кубок Ростислава Алексеева
IPL Становая тяга в однослойной экипировке ДК
Чкаловск/Нижегородская область, 21 февраля 2021 года</t>
  </si>
  <si>
    <t>ВМТ "Каспийский монстр II" и Кубок Ростислава Алексеева
IPL Становая тяга в однослойной экипировке
Чкаловск/Нижегородская область, 21 февраля 2021 года</t>
  </si>
  <si>
    <t>Мастера 45-49 (29.06.1975)/45</t>
  </si>
  <si>
    <t>Юниорки 20-23 (28.04.1998)/22</t>
  </si>
  <si>
    <t>Мастера 40-44 (15.01.1980)/41</t>
  </si>
  <si>
    <t>Юниоры 20-23 (02.07.1999)/21</t>
  </si>
  <si>
    <t>Юниоры 20-23 (30.10.1999)/21</t>
  </si>
  <si>
    <t>Мастера 40-44 (25.07.1976)/44</t>
  </si>
  <si>
    <t>Мастера 40-44 (18.07.1977)/43</t>
  </si>
  <si>
    <t>Юниоры 20-23 (03.06.1997)/23</t>
  </si>
  <si>
    <t>Юниоры 20-23 (09.08.2000)/20</t>
  </si>
  <si>
    <t>Юниоры 20-23 (27.04.1999)/21</t>
  </si>
  <si>
    <t>Юниоры 20-23 (24.08.1998)/22</t>
  </si>
  <si>
    <t>Мастера 45-49 (28.02.1971)/49</t>
  </si>
  <si>
    <t>Мастера 45-49 (15.05.1972)/48</t>
  </si>
  <si>
    <t>Юниоры 20-23 (17.05.1997)/23</t>
  </si>
  <si>
    <t>Мастера 40-44 (16.04.1977)/43</t>
  </si>
  <si>
    <t>Юниоры 20-23 (24.11.2000)/20</t>
  </si>
  <si>
    <t>Мастера 45-49 (10.10.1973)/47</t>
  </si>
  <si>
    <t>Мастера 55-59 (17.12.1962)/58</t>
  </si>
  <si>
    <t>Юниоры 20-23 (12.08.1998)/22</t>
  </si>
  <si>
    <t>Юниоры 20-23 (18.06.2000)/20</t>
  </si>
  <si>
    <t>Мастера 45-49 (22.01.1976)/45</t>
  </si>
  <si>
    <t>Мастера 40-44 (02.11.1976)/44</t>
  </si>
  <si>
    <t>Мастера 55-59 (25.07.1964)/56</t>
  </si>
  <si>
    <t>Мастера 45-49 (12.10.1975)/45</t>
  </si>
  <si>
    <t>Юниоры 20-23 (31.03.1997)/23</t>
  </si>
  <si>
    <t>Мастера 45-49 (11.11.1972)/48</t>
  </si>
  <si>
    <t>Мастера 50-59 (24.07.1963)/57</t>
  </si>
  <si>
    <t>Мастера 40-49 (29.01.1973)/48</t>
  </si>
  <si>
    <t>Юниоры 20-23 (30.10.1998)/22</t>
  </si>
  <si>
    <t>Юниоры 20-23 (24.06.1997)/23</t>
  </si>
  <si>
    <t>Мастера 40-44 (20.08.1977)/43</t>
  </si>
  <si>
    <t>Мастера 45-49 (10.08.1974)/46</t>
  </si>
  <si>
    <t>Мастера 45-49 (25.01.1976)/45</t>
  </si>
  <si>
    <t>Мастера 60-64 (22.07.1960)/60</t>
  </si>
  <si>
    <t>Мастера 60-64 (15.02.1960)/61</t>
  </si>
  <si>
    <t>Мастера 60-64 (18.07.1957)/63</t>
  </si>
  <si>
    <t>Юниоры 20-23 (17.12.1999)/21</t>
  </si>
  <si>
    <t>Мастера 40-44 (14.10.1980)/40</t>
  </si>
  <si>
    <t>Весовая категория</t>
  </si>
  <si>
    <t>Петрушкин Р.</t>
  </si>
  <si>
    <t>Лукьянов С.</t>
  </si>
  <si>
    <t>Васев А.</t>
  </si>
  <si>
    <t>Ляпин Е.</t>
  </si>
  <si>
    <t xml:space="preserve">Чебоксары/Республика Чувашия </t>
  </si>
  <si>
    <t>Новиков А.</t>
  </si>
  <si>
    <t>Бурлаков Б.</t>
  </si>
  <si>
    <t>Кулаков А.</t>
  </si>
  <si>
    <t xml:space="preserve">Новиков А. </t>
  </si>
  <si>
    <t>Легошин Д.</t>
  </si>
  <si>
    <t>Поляков А.</t>
  </si>
  <si>
    <t>Волжский А.</t>
  </si>
  <si>
    <t xml:space="preserve">Горюнов Д., Телегин В. </t>
  </si>
  <si>
    <t>Сычёв В.</t>
  </si>
  <si>
    <t>Сычев В.</t>
  </si>
  <si>
    <t xml:space="preserve">Большаков С.. </t>
  </si>
  <si>
    <t>Горюнов Д.</t>
  </si>
  <si>
    <t>Телегин В.</t>
  </si>
  <si>
    <t>Постнов Д.</t>
  </si>
  <si>
    <t>№</t>
  </si>
  <si>
    <t xml:space="preserve"> </t>
  </si>
  <si>
    <t xml:space="preserve">
Дата рождения/Возраст</t>
  </si>
  <si>
    <t>Возрастная группа</t>
  </si>
  <si>
    <t>T</t>
  </si>
  <si>
    <t>O</t>
  </si>
  <si>
    <t>M2</t>
  </si>
  <si>
    <t>J</t>
  </si>
  <si>
    <t>M1</t>
  </si>
  <si>
    <t>M4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</si>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</sst>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15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8D4FB-1EA0-4499-8A5F-0FA25A35AD79}">
  <dimension ref="A1:U55"/>
  <sheetViews>
    <sheetView workbookViewId="0">
      <selection activeCell="E46" sqref="E46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8.83203125" style="5" bestFit="1" customWidth="1"/>
    <col min="4" max="4" width="20.83203125" style="5" bestFit="1" customWidth="1"/>
    <col min="5" max="5" width="10.1640625" style="5" bestFit="1" customWidth="1"/>
    <col min="6" max="6" width="38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8.83203125" style="5" customWidth="1"/>
    <col min="22" max="16384" width="9.1640625" style="3"/>
  </cols>
  <sheetData>
    <row r="1" spans="1:21" s="2" customFormat="1" ht="29" customHeight="1">
      <c r="A1" s="58" t="s">
        <v>453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</row>
    <row r="3" spans="1:21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9</v>
      </c>
      <c r="H3" s="50"/>
      <c r="I3" s="50"/>
      <c r="J3" s="50"/>
      <c r="K3" s="50" t="s">
        <v>10</v>
      </c>
      <c r="L3" s="50"/>
      <c r="M3" s="50"/>
      <c r="N3" s="50"/>
      <c r="O3" s="50" t="s">
        <v>11</v>
      </c>
      <c r="P3" s="50"/>
      <c r="Q3" s="50"/>
      <c r="R3" s="50"/>
      <c r="S3" s="50" t="s">
        <v>1</v>
      </c>
      <c r="T3" s="50" t="s">
        <v>3</v>
      </c>
      <c r="U3" s="52" t="s">
        <v>2</v>
      </c>
    </row>
    <row r="4" spans="1:21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1"/>
      <c r="T4" s="51"/>
      <c r="U4" s="53"/>
    </row>
    <row r="5" spans="1:21" ht="16">
      <c r="A5" s="54" t="s">
        <v>84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1">
      <c r="A6" s="9" t="s">
        <v>81</v>
      </c>
      <c r="B6" s="8" t="s">
        <v>85</v>
      </c>
      <c r="C6" s="8" t="s">
        <v>86</v>
      </c>
      <c r="D6" s="8" t="s">
        <v>87</v>
      </c>
      <c r="E6" s="8" t="s">
        <v>532</v>
      </c>
      <c r="F6" s="8" t="s">
        <v>88</v>
      </c>
      <c r="G6" s="18" t="s">
        <v>16</v>
      </c>
      <c r="H6" s="18" t="s">
        <v>89</v>
      </c>
      <c r="I6" s="18" t="s">
        <v>90</v>
      </c>
      <c r="J6" s="9"/>
      <c r="K6" s="18" t="s">
        <v>91</v>
      </c>
      <c r="L6" s="18" t="s">
        <v>19</v>
      </c>
      <c r="M6" s="18" t="s">
        <v>92</v>
      </c>
      <c r="N6" s="9"/>
      <c r="O6" s="18" t="s">
        <v>17</v>
      </c>
      <c r="P6" s="18" t="s">
        <v>18</v>
      </c>
      <c r="Q6" s="18" t="s">
        <v>93</v>
      </c>
      <c r="R6" s="9"/>
      <c r="S6" s="9" t="str">
        <f>"187,5"</f>
        <v>187,5</v>
      </c>
      <c r="T6" s="9" t="str">
        <f>"244,1812"</f>
        <v>244,1812</v>
      </c>
      <c r="U6" s="8" t="s">
        <v>509</v>
      </c>
    </row>
    <row r="7" spans="1:21">
      <c r="B7" s="5" t="s">
        <v>8</v>
      </c>
    </row>
    <row r="8" spans="1:21" ht="16">
      <c r="A8" s="48" t="s">
        <v>94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>
      <c r="A9" s="9" t="s">
        <v>81</v>
      </c>
      <c r="B9" s="8" t="s">
        <v>95</v>
      </c>
      <c r="C9" s="8" t="s">
        <v>96</v>
      </c>
      <c r="D9" s="8" t="s">
        <v>97</v>
      </c>
      <c r="E9" s="8" t="s">
        <v>533</v>
      </c>
      <c r="F9" s="8" t="s">
        <v>131</v>
      </c>
      <c r="G9" s="18" t="s">
        <v>23</v>
      </c>
      <c r="H9" s="18" t="s">
        <v>32</v>
      </c>
      <c r="I9" s="9"/>
      <c r="J9" s="9"/>
      <c r="K9" s="18" t="s">
        <v>98</v>
      </c>
      <c r="L9" s="19" t="s">
        <v>99</v>
      </c>
      <c r="M9" s="19" t="s">
        <v>99</v>
      </c>
      <c r="N9" s="9"/>
      <c r="O9" s="18" t="s">
        <v>40</v>
      </c>
      <c r="P9" s="19" t="s">
        <v>42</v>
      </c>
      <c r="Q9" s="18" t="s">
        <v>42</v>
      </c>
      <c r="R9" s="9"/>
      <c r="S9" s="9" t="str">
        <f>"282,5"</f>
        <v>282,5</v>
      </c>
      <c r="T9" s="9" t="str">
        <f>"346,5145"</f>
        <v>346,5145</v>
      </c>
      <c r="U9" s="8" t="s">
        <v>434</v>
      </c>
    </row>
    <row r="10" spans="1:21">
      <c r="B10" s="5" t="s">
        <v>8</v>
      </c>
    </row>
    <row r="11" spans="1:21" ht="16">
      <c r="A11" s="48" t="s">
        <v>100</v>
      </c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1">
      <c r="A12" s="9" t="s">
        <v>81</v>
      </c>
      <c r="B12" s="8" t="s">
        <v>101</v>
      </c>
      <c r="C12" s="8" t="s">
        <v>470</v>
      </c>
      <c r="D12" s="8" t="s">
        <v>102</v>
      </c>
      <c r="E12" s="8" t="s">
        <v>534</v>
      </c>
      <c r="F12" s="8" t="s">
        <v>436</v>
      </c>
      <c r="G12" s="18" t="s">
        <v>89</v>
      </c>
      <c r="H12" s="18" t="s">
        <v>17</v>
      </c>
      <c r="I12" s="18" t="s">
        <v>18</v>
      </c>
      <c r="J12" s="9"/>
      <c r="K12" s="19" t="s">
        <v>20</v>
      </c>
      <c r="L12" s="18" t="s">
        <v>21</v>
      </c>
      <c r="M12" s="19" t="s">
        <v>103</v>
      </c>
      <c r="N12" s="9"/>
      <c r="O12" s="18" t="s">
        <v>23</v>
      </c>
      <c r="P12" s="18" t="s">
        <v>104</v>
      </c>
      <c r="Q12" s="19" t="s">
        <v>34</v>
      </c>
      <c r="R12" s="9"/>
      <c r="S12" s="9" t="str">
        <f>"217,5"</f>
        <v>217,5</v>
      </c>
      <c r="T12" s="9" t="str">
        <f>"269,3746"</f>
        <v>269,3746</v>
      </c>
      <c r="U12" s="8" t="s">
        <v>451</v>
      </c>
    </row>
    <row r="13" spans="1:21">
      <c r="B13" s="5" t="s">
        <v>8</v>
      </c>
    </row>
    <row r="14" spans="1:21" ht="16">
      <c r="A14" s="48" t="s">
        <v>105</v>
      </c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21">
      <c r="A15" s="11" t="s">
        <v>81</v>
      </c>
      <c r="B15" s="10" t="s">
        <v>106</v>
      </c>
      <c r="C15" s="10" t="s">
        <v>471</v>
      </c>
      <c r="D15" s="10" t="s">
        <v>107</v>
      </c>
      <c r="E15" s="10" t="s">
        <v>535</v>
      </c>
      <c r="F15" s="10" t="s">
        <v>131</v>
      </c>
      <c r="G15" s="20" t="s">
        <v>99</v>
      </c>
      <c r="H15" s="20" t="s">
        <v>90</v>
      </c>
      <c r="I15" s="23" t="s">
        <v>17</v>
      </c>
      <c r="J15" s="11"/>
      <c r="K15" s="20" t="s">
        <v>21</v>
      </c>
      <c r="L15" s="20" t="s">
        <v>103</v>
      </c>
      <c r="M15" s="23" t="s">
        <v>98</v>
      </c>
      <c r="N15" s="11"/>
      <c r="O15" s="20" t="s">
        <v>104</v>
      </c>
      <c r="P15" s="20" t="s">
        <v>34</v>
      </c>
      <c r="Q15" s="20" t="s">
        <v>108</v>
      </c>
      <c r="R15" s="11"/>
      <c r="S15" s="11" t="str">
        <f>"227,5"</f>
        <v>227,5</v>
      </c>
      <c r="T15" s="11" t="str">
        <f>"247,3153"</f>
        <v>247,3153</v>
      </c>
      <c r="U15" s="10" t="s">
        <v>510</v>
      </c>
    </row>
    <row r="16" spans="1:21">
      <c r="A16" s="25" t="s">
        <v>81</v>
      </c>
      <c r="B16" s="24" t="s">
        <v>109</v>
      </c>
      <c r="C16" s="24" t="s">
        <v>110</v>
      </c>
      <c r="D16" s="24" t="s">
        <v>111</v>
      </c>
      <c r="E16" s="24" t="s">
        <v>533</v>
      </c>
      <c r="F16" s="24" t="s">
        <v>131</v>
      </c>
      <c r="G16" s="26" t="s">
        <v>112</v>
      </c>
      <c r="H16" s="26" t="s">
        <v>113</v>
      </c>
      <c r="I16" s="26" t="s">
        <v>114</v>
      </c>
      <c r="J16" s="25"/>
      <c r="K16" s="26" t="s">
        <v>16</v>
      </c>
      <c r="L16" s="26" t="s">
        <v>89</v>
      </c>
      <c r="M16" s="27" t="s">
        <v>90</v>
      </c>
      <c r="N16" s="25"/>
      <c r="O16" s="26" t="s">
        <v>42</v>
      </c>
      <c r="P16" s="26" t="s">
        <v>41</v>
      </c>
      <c r="Q16" s="25"/>
      <c r="R16" s="25"/>
      <c r="S16" s="25" t="str">
        <f>"330,0"</f>
        <v>330,0</v>
      </c>
      <c r="T16" s="25" t="str">
        <f>"343,8600"</f>
        <v>343,8600</v>
      </c>
      <c r="U16" s="24" t="s">
        <v>529</v>
      </c>
    </row>
    <row r="17" spans="1:21">
      <c r="A17" s="25" t="s">
        <v>82</v>
      </c>
      <c r="B17" s="24" t="s">
        <v>115</v>
      </c>
      <c r="C17" s="24" t="s">
        <v>116</v>
      </c>
      <c r="D17" s="24" t="s">
        <v>117</v>
      </c>
      <c r="E17" s="24" t="s">
        <v>533</v>
      </c>
      <c r="F17" s="24" t="s">
        <v>28</v>
      </c>
      <c r="G17" s="26" t="s">
        <v>34</v>
      </c>
      <c r="H17" s="27" t="s">
        <v>112</v>
      </c>
      <c r="I17" s="27" t="s">
        <v>112</v>
      </c>
      <c r="J17" s="25"/>
      <c r="K17" s="26" t="s">
        <v>21</v>
      </c>
      <c r="L17" s="26" t="s">
        <v>103</v>
      </c>
      <c r="M17" s="27" t="s">
        <v>16</v>
      </c>
      <c r="N17" s="25"/>
      <c r="O17" s="26" t="s">
        <v>113</v>
      </c>
      <c r="P17" s="27" t="s">
        <v>41</v>
      </c>
      <c r="Q17" s="27" t="s">
        <v>41</v>
      </c>
      <c r="R17" s="25"/>
      <c r="S17" s="25" t="str">
        <f>"275,0"</f>
        <v>275,0</v>
      </c>
      <c r="T17" s="25" t="str">
        <f>"282,4800"</f>
        <v>282,4800</v>
      </c>
      <c r="U17" s="24" t="s">
        <v>529</v>
      </c>
    </row>
    <row r="18" spans="1:21">
      <c r="A18" s="13" t="s">
        <v>81</v>
      </c>
      <c r="B18" s="12" t="s">
        <v>118</v>
      </c>
      <c r="C18" s="12" t="s">
        <v>472</v>
      </c>
      <c r="D18" s="12" t="s">
        <v>119</v>
      </c>
      <c r="E18" s="12" t="s">
        <v>536</v>
      </c>
      <c r="F18" s="12" t="s">
        <v>131</v>
      </c>
      <c r="G18" s="21" t="s">
        <v>120</v>
      </c>
      <c r="H18" s="21" t="s">
        <v>121</v>
      </c>
      <c r="I18" s="21" t="s">
        <v>122</v>
      </c>
      <c r="J18" s="13"/>
      <c r="K18" s="21" t="s">
        <v>103</v>
      </c>
      <c r="L18" s="21" t="s">
        <v>98</v>
      </c>
      <c r="M18" s="22" t="s">
        <v>16</v>
      </c>
      <c r="N18" s="13"/>
      <c r="O18" s="21" t="s">
        <v>42</v>
      </c>
      <c r="P18" s="21" t="s">
        <v>41</v>
      </c>
      <c r="Q18" s="21" t="s">
        <v>29</v>
      </c>
      <c r="R18" s="13"/>
      <c r="S18" s="13" t="str">
        <f>"320,0"</f>
        <v>320,0</v>
      </c>
      <c r="T18" s="13" t="str">
        <f>"334,3675"</f>
        <v>334,3675</v>
      </c>
      <c r="U18" s="12" t="s">
        <v>510</v>
      </c>
    </row>
    <row r="19" spans="1:21">
      <c r="B19" s="5" t="s">
        <v>8</v>
      </c>
    </row>
    <row r="20" spans="1:21" ht="16">
      <c r="A20" s="48" t="s">
        <v>100</v>
      </c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21">
      <c r="A21" s="9" t="s">
        <v>81</v>
      </c>
      <c r="B21" s="8" t="s">
        <v>123</v>
      </c>
      <c r="C21" s="8" t="s">
        <v>124</v>
      </c>
      <c r="D21" s="8" t="s">
        <v>125</v>
      </c>
      <c r="E21" s="8" t="s">
        <v>533</v>
      </c>
      <c r="F21" s="8" t="s">
        <v>131</v>
      </c>
      <c r="G21" s="18" t="s">
        <v>34</v>
      </c>
      <c r="H21" s="18" t="s">
        <v>121</v>
      </c>
      <c r="I21" s="19" t="s">
        <v>114</v>
      </c>
      <c r="J21" s="9"/>
      <c r="K21" s="18" t="s">
        <v>17</v>
      </c>
      <c r="L21" s="18" t="s">
        <v>22</v>
      </c>
      <c r="M21" s="19" t="s">
        <v>23</v>
      </c>
      <c r="N21" s="9"/>
      <c r="O21" s="18" t="s">
        <v>40</v>
      </c>
      <c r="P21" s="18" t="s">
        <v>41</v>
      </c>
      <c r="Q21" s="18" t="s">
        <v>30</v>
      </c>
      <c r="R21" s="9"/>
      <c r="S21" s="9" t="str">
        <f>"345,0"</f>
        <v>345,0</v>
      </c>
      <c r="T21" s="9" t="str">
        <f>"308,7405"</f>
        <v>308,7405</v>
      </c>
      <c r="U21" s="8" t="s">
        <v>529</v>
      </c>
    </row>
    <row r="22" spans="1:21">
      <c r="B22" s="5" t="s">
        <v>8</v>
      </c>
    </row>
    <row r="23" spans="1:21" ht="16">
      <c r="A23" s="48" t="s">
        <v>105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21">
      <c r="A24" s="9" t="s">
        <v>81</v>
      </c>
      <c r="B24" s="8" t="s">
        <v>126</v>
      </c>
      <c r="C24" s="8" t="s">
        <v>127</v>
      </c>
      <c r="D24" s="8" t="s">
        <v>128</v>
      </c>
      <c r="E24" s="8" t="s">
        <v>532</v>
      </c>
      <c r="F24" s="8" t="s">
        <v>88</v>
      </c>
      <c r="G24" s="18" t="s">
        <v>40</v>
      </c>
      <c r="H24" s="18" t="s">
        <v>42</v>
      </c>
      <c r="I24" s="18" t="s">
        <v>41</v>
      </c>
      <c r="J24" s="9"/>
      <c r="K24" s="18" t="s">
        <v>99</v>
      </c>
      <c r="L24" s="18" t="s">
        <v>90</v>
      </c>
      <c r="M24" s="19" t="s">
        <v>17</v>
      </c>
      <c r="N24" s="9"/>
      <c r="O24" s="18" t="s">
        <v>114</v>
      </c>
      <c r="P24" s="18" t="s">
        <v>40</v>
      </c>
      <c r="Q24" s="18" t="s">
        <v>42</v>
      </c>
      <c r="R24" s="9"/>
      <c r="S24" s="9" t="str">
        <f>"342,5"</f>
        <v>342,5</v>
      </c>
      <c r="T24" s="9" t="str">
        <f>"267,2870"</f>
        <v>267,2870</v>
      </c>
      <c r="U24" s="8" t="s">
        <v>509</v>
      </c>
    </row>
    <row r="25" spans="1:21">
      <c r="B25" s="5" t="s">
        <v>8</v>
      </c>
    </row>
    <row r="26" spans="1:21" ht="16">
      <c r="A26" s="48" t="s">
        <v>12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21">
      <c r="A27" s="11" t="s">
        <v>81</v>
      </c>
      <c r="B27" s="10" t="s">
        <v>129</v>
      </c>
      <c r="C27" s="10" t="s">
        <v>473</v>
      </c>
      <c r="D27" s="10" t="s">
        <v>130</v>
      </c>
      <c r="E27" s="10" t="s">
        <v>535</v>
      </c>
      <c r="F27" s="10" t="s">
        <v>131</v>
      </c>
      <c r="G27" s="20" t="s">
        <v>30</v>
      </c>
      <c r="H27" s="20" t="s">
        <v>70</v>
      </c>
      <c r="I27" s="23" t="s">
        <v>71</v>
      </c>
      <c r="J27" s="11"/>
      <c r="K27" s="23" t="s">
        <v>121</v>
      </c>
      <c r="L27" s="20" t="s">
        <v>122</v>
      </c>
      <c r="M27" s="20" t="s">
        <v>113</v>
      </c>
      <c r="N27" s="11"/>
      <c r="O27" s="20" t="s">
        <v>70</v>
      </c>
      <c r="P27" s="23" t="s">
        <v>132</v>
      </c>
      <c r="Q27" s="23" t="s">
        <v>132</v>
      </c>
      <c r="R27" s="11"/>
      <c r="S27" s="11" t="str">
        <f>"460,0"</f>
        <v>460,0</v>
      </c>
      <c r="T27" s="11" t="str">
        <f>"329,6360"</f>
        <v>329,6360</v>
      </c>
      <c r="U27" s="10" t="s">
        <v>529</v>
      </c>
    </row>
    <row r="28" spans="1:21">
      <c r="A28" s="13" t="s">
        <v>82</v>
      </c>
      <c r="B28" s="12" t="s">
        <v>133</v>
      </c>
      <c r="C28" s="12" t="s">
        <v>474</v>
      </c>
      <c r="D28" s="12" t="s">
        <v>15</v>
      </c>
      <c r="E28" s="12" t="s">
        <v>535</v>
      </c>
      <c r="F28" s="12" t="s">
        <v>131</v>
      </c>
      <c r="G28" s="21" t="s">
        <v>121</v>
      </c>
      <c r="H28" s="21" t="s">
        <v>113</v>
      </c>
      <c r="I28" s="21" t="s">
        <v>114</v>
      </c>
      <c r="J28" s="13"/>
      <c r="K28" s="21" t="s">
        <v>34</v>
      </c>
      <c r="L28" s="21" t="s">
        <v>108</v>
      </c>
      <c r="M28" s="22" t="s">
        <v>112</v>
      </c>
      <c r="N28" s="13"/>
      <c r="O28" s="21" t="s">
        <v>134</v>
      </c>
      <c r="P28" s="21" t="s">
        <v>135</v>
      </c>
      <c r="Q28" s="21" t="s">
        <v>66</v>
      </c>
      <c r="R28" s="13"/>
      <c r="S28" s="13" t="str">
        <f>"397,5"</f>
        <v>397,5</v>
      </c>
      <c r="T28" s="13" t="str">
        <f>"289,8968"</f>
        <v>289,8968</v>
      </c>
      <c r="U28" s="12" t="s">
        <v>510</v>
      </c>
    </row>
    <row r="29" spans="1:21">
      <c r="B29" s="5" t="s">
        <v>8</v>
      </c>
    </row>
    <row r="30" spans="1:21" ht="16">
      <c r="A30" s="48" t="s">
        <v>24</v>
      </c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21">
      <c r="A31" s="9" t="s">
        <v>81</v>
      </c>
      <c r="B31" s="8" t="s">
        <v>136</v>
      </c>
      <c r="C31" s="8" t="s">
        <v>137</v>
      </c>
      <c r="D31" s="8" t="s">
        <v>138</v>
      </c>
      <c r="E31" s="8" t="s">
        <v>533</v>
      </c>
      <c r="F31" s="8" t="s">
        <v>28</v>
      </c>
      <c r="G31" s="18" t="s">
        <v>71</v>
      </c>
      <c r="H31" s="18" t="s">
        <v>139</v>
      </c>
      <c r="I31" s="19" t="s">
        <v>58</v>
      </c>
      <c r="J31" s="9"/>
      <c r="K31" s="18" t="s">
        <v>112</v>
      </c>
      <c r="L31" s="18" t="s">
        <v>113</v>
      </c>
      <c r="M31" s="19" t="s">
        <v>140</v>
      </c>
      <c r="N31" s="9"/>
      <c r="O31" s="18" t="s">
        <v>139</v>
      </c>
      <c r="P31" s="19" t="s">
        <v>60</v>
      </c>
      <c r="Q31" s="19" t="s">
        <v>60</v>
      </c>
      <c r="R31" s="9"/>
      <c r="S31" s="9" t="str">
        <f>"510,0"</f>
        <v>510,0</v>
      </c>
      <c r="T31" s="9" t="str">
        <f>"344,7090"</f>
        <v>344,7090</v>
      </c>
      <c r="U31" s="8" t="s">
        <v>529</v>
      </c>
    </row>
    <row r="32" spans="1:21">
      <c r="B32" s="5" t="s">
        <v>8</v>
      </c>
    </row>
    <row r="33" spans="1:21" ht="16">
      <c r="A33" s="48" t="s">
        <v>46</v>
      </c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</row>
    <row r="34" spans="1:21">
      <c r="A34" s="11" t="s">
        <v>81</v>
      </c>
      <c r="B34" s="10" t="s">
        <v>141</v>
      </c>
      <c r="C34" s="10" t="s">
        <v>142</v>
      </c>
      <c r="D34" s="10" t="s">
        <v>57</v>
      </c>
      <c r="E34" s="10" t="s">
        <v>533</v>
      </c>
      <c r="F34" s="10" t="s">
        <v>143</v>
      </c>
      <c r="G34" s="20" t="s">
        <v>63</v>
      </c>
      <c r="H34" s="20" t="s">
        <v>43</v>
      </c>
      <c r="I34" s="23" t="s">
        <v>144</v>
      </c>
      <c r="J34" s="11"/>
      <c r="K34" s="20" t="s">
        <v>29</v>
      </c>
      <c r="L34" s="20" t="s">
        <v>30</v>
      </c>
      <c r="M34" s="23" t="s">
        <v>134</v>
      </c>
      <c r="N34" s="11"/>
      <c r="O34" s="20" t="s">
        <v>51</v>
      </c>
      <c r="P34" s="20" t="s">
        <v>145</v>
      </c>
      <c r="Q34" s="23" t="s">
        <v>146</v>
      </c>
      <c r="R34" s="11"/>
      <c r="S34" s="11" t="str">
        <f>"650,0"</f>
        <v>650,0</v>
      </c>
      <c r="T34" s="11" t="str">
        <f>"418,3400"</f>
        <v>418,3400</v>
      </c>
      <c r="U34" s="10" t="s">
        <v>529</v>
      </c>
    </row>
    <row r="35" spans="1:21">
      <c r="A35" s="25" t="s">
        <v>82</v>
      </c>
      <c r="B35" s="24" t="s">
        <v>147</v>
      </c>
      <c r="C35" s="24" t="s">
        <v>148</v>
      </c>
      <c r="D35" s="24" t="s">
        <v>149</v>
      </c>
      <c r="E35" s="24" t="s">
        <v>533</v>
      </c>
      <c r="F35" s="24" t="s">
        <v>131</v>
      </c>
      <c r="G35" s="26" t="s">
        <v>150</v>
      </c>
      <c r="H35" s="26" t="s">
        <v>151</v>
      </c>
      <c r="I35" s="26" t="s">
        <v>152</v>
      </c>
      <c r="J35" s="25"/>
      <c r="K35" s="26" t="s">
        <v>114</v>
      </c>
      <c r="L35" s="26" t="s">
        <v>153</v>
      </c>
      <c r="M35" s="26" t="s">
        <v>41</v>
      </c>
      <c r="N35" s="25"/>
      <c r="O35" s="26" t="s">
        <v>50</v>
      </c>
      <c r="P35" s="27" t="s">
        <v>154</v>
      </c>
      <c r="Q35" s="26" t="s">
        <v>154</v>
      </c>
      <c r="R35" s="25"/>
      <c r="S35" s="25" t="str">
        <f>"560,0"</f>
        <v>560,0</v>
      </c>
      <c r="T35" s="25" t="str">
        <f>"366,7440"</f>
        <v>366,7440</v>
      </c>
      <c r="U35" s="24" t="s">
        <v>511</v>
      </c>
    </row>
    <row r="36" spans="1:21">
      <c r="A36" s="25" t="s">
        <v>183</v>
      </c>
      <c r="B36" s="24" t="s">
        <v>155</v>
      </c>
      <c r="C36" s="24" t="s">
        <v>156</v>
      </c>
      <c r="D36" s="24" t="s">
        <v>157</v>
      </c>
      <c r="E36" s="24" t="s">
        <v>533</v>
      </c>
      <c r="F36" s="24" t="s">
        <v>131</v>
      </c>
      <c r="G36" s="26" t="s">
        <v>70</v>
      </c>
      <c r="H36" s="26" t="s">
        <v>152</v>
      </c>
      <c r="I36" s="26" t="s">
        <v>132</v>
      </c>
      <c r="J36" s="25"/>
      <c r="K36" s="27" t="s">
        <v>42</v>
      </c>
      <c r="L36" s="26" t="s">
        <v>42</v>
      </c>
      <c r="M36" s="27" t="s">
        <v>41</v>
      </c>
      <c r="N36" s="25"/>
      <c r="O36" s="26" t="s">
        <v>58</v>
      </c>
      <c r="P36" s="26" t="s">
        <v>63</v>
      </c>
      <c r="Q36" s="27" t="s">
        <v>50</v>
      </c>
      <c r="R36" s="25"/>
      <c r="S36" s="25" t="str">
        <f>"540,0"</f>
        <v>540,0</v>
      </c>
      <c r="T36" s="25" t="str">
        <f>"351,1620"</f>
        <v>351,1620</v>
      </c>
      <c r="U36" s="24" t="s">
        <v>529</v>
      </c>
    </row>
    <row r="37" spans="1:21">
      <c r="A37" s="25" t="s">
        <v>184</v>
      </c>
      <c r="B37" s="24" t="s">
        <v>158</v>
      </c>
      <c r="C37" s="24" t="s">
        <v>159</v>
      </c>
      <c r="D37" s="24" t="s">
        <v>160</v>
      </c>
      <c r="E37" s="24" t="s">
        <v>533</v>
      </c>
      <c r="F37" s="24" t="s">
        <v>131</v>
      </c>
      <c r="G37" s="26" t="s">
        <v>30</v>
      </c>
      <c r="H37" s="26" t="s">
        <v>35</v>
      </c>
      <c r="I37" s="26" t="s">
        <v>151</v>
      </c>
      <c r="J37" s="25"/>
      <c r="K37" s="26" t="s">
        <v>113</v>
      </c>
      <c r="L37" s="26" t="s">
        <v>114</v>
      </c>
      <c r="M37" s="26" t="s">
        <v>40</v>
      </c>
      <c r="N37" s="25"/>
      <c r="O37" s="26" t="s">
        <v>58</v>
      </c>
      <c r="P37" s="26" t="s">
        <v>60</v>
      </c>
      <c r="Q37" s="27" t="s">
        <v>43</v>
      </c>
      <c r="R37" s="25"/>
      <c r="S37" s="25" t="str">
        <f>"525,0"</f>
        <v>525,0</v>
      </c>
      <c r="T37" s="25" t="str">
        <f>"339,9375"</f>
        <v>339,9375</v>
      </c>
      <c r="U37" s="24" t="s">
        <v>512</v>
      </c>
    </row>
    <row r="38" spans="1:21">
      <c r="A38" s="13" t="s">
        <v>185</v>
      </c>
      <c r="B38" s="12" t="s">
        <v>161</v>
      </c>
      <c r="C38" s="12" t="s">
        <v>162</v>
      </c>
      <c r="D38" s="12" t="s">
        <v>163</v>
      </c>
      <c r="E38" s="12" t="s">
        <v>533</v>
      </c>
      <c r="F38" s="12" t="s">
        <v>131</v>
      </c>
      <c r="G38" s="21" t="s">
        <v>30</v>
      </c>
      <c r="H38" s="21" t="s">
        <v>35</v>
      </c>
      <c r="I38" s="21" t="s">
        <v>70</v>
      </c>
      <c r="J38" s="13"/>
      <c r="K38" s="21" t="s">
        <v>121</v>
      </c>
      <c r="L38" s="21" t="s">
        <v>113</v>
      </c>
      <c r="M38" s="21" t="s">
        <v>114</v>
      </c>
      <c r="N38" s="13"/>
      <c r="O38" s="21" t="s">
        <v>152</v>
      </c>
      <c r="P38" s="21" t="s">
        <v>139</v>
      </c>
      <c r="Q38" s="22" t="s">
        <v>77</v>
      </c>
      <c r="R38" s="13"/>
      <c r="S38" s="13" t="str">
        <f>"490,0"</f>
        <v>490,0</v>
      </c>
      <c r="T38" s="13" t="str">
        <f>"318,0590"</f>
        <v>318,0590</v>
      </c>
      <c r="U38" s="12" t="s">
        <v>529</v>
      </c>
    </row>
    <row r="39" spans="1:21">
      <c r="B39" s="5" t="s">
        <v>8</v>
      </c>
    </row>
    <row r="40" spans="1:21" ht="16">
      <c r="A40" s="48" t="s">
        <v>64</v>
      </c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21">
      <c r="A41" s="11" t="s">
        <v>81</v>
      </c>
      <c r="B41" s="10" t="s">
        <v>164</v>
      </c>
      <c r="C41" s="10" t="s">
        <v>165</v>
      </c>
      <c r="D41" s="10" t="s">
        <v>166</v>
      </c>
      <c r="E41" s="10" t="s">
        <v>533</v>
      </c>
      <c r="F41" s="10" t="s">
        <v>131</v>
      </c>
      <c r="G41" s="20" t="s">
        <v>44</v>
      </c>
      <c r="H41" s="23" t="s">
        <v>51</v>
      </c>
      <c r="I41" s="23" t="s">
        <v>51</v>
      </c>
      <c r="J41" s="11"/>
      <c r="K41" s="20" t="s">
        <v>70</v>
      </c>
      <c r="L41" s="23" t="s">
        <v>71</v>
      </c>
      <c r="M41" s="23" t="s">
        <v>71</v>
      </c>
      <c r="N41" s="11"/>
      <c r="O41" s="23" t="s">
        <v>167</v>
      </c>
      <c r="P41" s="20" t="s">
        <v>145</v>
      </c>
      <c r="Q41" s="20" t="s">
        <v>52</v>
      </c>
      <c r="R41" s="11"/>
      <c r="S41" s="11" t="str">
        <f>"690,0"</f>
        <v>690,0</v>
      </c>
      <c r="T41" s="11" t="str">
        <f>"427,8000"</f>
        <v>427,8000</v>
      </c>
      <c r="U41" s="10" t="s">
        <v>529</v>
      </c>
    </row>
    <row r="42" spans="1:21">
      <c r="A42" s="13" t="s">
        <v>82</v>
      </c>
      <c r="B42" s="12" t="s">
        <v>168</v>
      </c>
      <c r="C42" s="12" t="s">
        <v>169</v>
      </c>
      <c r="D42" s="12" t="s">
        <v>170</v>
      </c>
      <c r="E42" s="12" t="s">
        <v>533</v>
      </c>
      <c r="F42" s="12" t="s">
        <v>131</v>
      </c>
      <c r="G42" s="21" t="s">
        <v>58</v>
      </c>
      <c r="H42" s="21" t="s">
        <v>59</v>
      </c>
      <c r="I42" s="21" t="s">
        <v>60</v>
      </c>
      <c r="J42" s="13"/>
      <c r="K42" s="21" t="s">
        <v>122</v>
      </c>
      <c r="L42" s="21" t="s">
        <v>114</v>
      </c>
      <c r="M42" s="22" t="s">
        <v>40</v>
      </c>
      <c r="N42" s="13"/>
      <c r="O42" s="21" t="s">
        <v>43</v>
      </c>
      <c r="P42" s="21" t="s">
        <v>44</v>
      </c>
      <c r="Q42" s="22" t="s">
        <v>171</v>
      </c>
      <c r="R42" s="13"/>
      <c r="S42" s="13" t="str">
        <f>"585,0"</f>
        <v>585,0</v>
      </c>
      <c r="T42" s="13" t="str">
        <f>"358,0785"</f>
        <v>358,0785</v>
      </c>
      <c r="U42" s="12" t="s">
        <v>452</v>
      </c>
    </row>
    <row r="43" spans="1:21">
      <c r="B43" s="5" t="s">
        <v>8</v>
      </c>
    </row>
    <row r="44" spans="1:21" ht="16">
      <c r="A44" s="48" t="s">
        <v>172</v>
      </c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</row>
    <row r="45" spans="1:21">
      <c r="A45" s="9" t="s">
        <v>81</v>
      </c>
      <c r="B45" s="8" t="s">
        <v>173</v>
      </c>
      <c r="C45" s="8" t="s">
        <v>475</v>
      </c>
      <c r="D45" s="8" t="s">
        <v>174</v>
      </c>
      <c r="E45" s="8" t="s">
        <v>536</v>
      </c>
      <c r="F45" s="8" t="s">
        <v>131</v>
      </c>
      <c r="G45" s="18" t="s">
        <v>71</v>
      </c>
      <c r="H45" s="18" t="s">
        <v>132</v>
      </c>
      <c r="I45" s="19" t="s">
        <v>58</v>
      </c>
      <c r="J45" s="9"/>
      <c r="K45" s="18" t="s">
        <v>108</v>
      </c>
      <c r="L45" s="19" t="s">
        <v>112</v>
      </c>
      <c r="M45" s="18" t="s">
        <v>120</v>
      </c>
      <c r="N45" s="9"/>
      <c r="O45" s="18" t="s">
        <v>77</v>
      </c>
      <c r="P45" s="18" t="s">
        <v>63</v>
      </c>
      <c r="Q45" s="18" t="s">
        <v>60</v>
      </c>
      <c r="R45" s="9"/>
      <c r="S45" s="9" t="str">
        <f>"522,5"</f>
        <v>522,5</v>
      </c>
      <c r="T45" s="9" t="str">
        <f>"324,1847"</f>
        <v>324,1847</v>
      </c>
      <c r="U45" s="8" t="s">
        <v>529</v>
      </c>
    </row>
    <row r="46" spans="1:21">
      <c r="B46" s="5" t="s">
        <v>8</v>
      </c>
    </row>
    <row r="47" spans="1:21">
      <c r="B47" s="5" t="s">
        <v>8</v>
      </c>
    </row>
    <row r="48" spans="1:21">
      <c r="B48" s="5" t="s">
        <v>8</v>
      </c>
    </row>
    <row r="49" spans="2:5" ht="18">
      <c r="B49" s="7" t="s">
        <v>7</v>
      </c>
      <c r="C49" s="7"/>
    </row>
    <row r="50" spans="2:5" ht="16">
      <c r="B50" s="14" t="s">
        <v>78</v>
      </c>
      <c r="C50" s="14"/>
    </row>
    <row r="51" spans="2:5" ht="14">
      <c r="B51" s="15"/>
      <c r="C51" s="16" t="s">
        <v>72</v>
      </c>
    </row>
    <row r="52" spans="2:5" ht="14">
      <c r="B52" s="17" t="s">
        <v>73</v>
      </c>
      <c r="C52" s="17" t="s">
        <v>74</v>
      </c>
      <c r="D52" s="17" t="s">
        <v>508</v>
      </c>
      <c r="E52" s="17" t="s">
        <v>75</v>
      </c>
    </row>
    <row r="53" spans="2:5">
      <c r="B53" s="5" t="s">
        <v>164</v>
      </c>
      <c r="C53" s="5" t="s">
        <v>72</v>
      </c>
      <c r="D53" s="6" t="s">
        <v>178</v>
      </c>
      <c r="E53" s="6" t="s">
        <v>179</v>
      </c>
    </row>
    <row r="54" spans="2:5">
      <c r="B54" s="5" t="s">
        <v>141</v>
      </c>
      <c r="C54" s="5" t="s">
        <v>72</v>
      </c>
      <c r="D54" s="6" t="s">
        <v>79</v>
      </c>
      <c r="E54" s="6" t="s">
        <v>180</v>
      </c>
    </row>
    <row r="55" spans="2:5">
      <c r="B55" s="5" t="s">
        <v>147</v>
      </c>
      <c r="C55" s="5" t="s">
        <v>72</v>
      </c>
      <c r="D55" s="6" t="s">
        <v>79</v>
      </c>
      <c r="E55" s="6" t="s">
        <v>181</v>
      </c>
    </row>
  </sheetData>
  <mergeCells count="24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0:R20"/>
    <mergeCell ref="A23:R23"/>
    <mergeCell ref="S3:S4"/>
    <mergeCell ref="T3:T4"/>
    <mergeCell ref="U3:U4"/>
    <mergeCell ref="A5:R5"/>
    <mergeCell ref="B3:B4"/>
    <mergeCell ref="A8:R8"/>
    <mergeCell ref="A11:R11"/>
    <mergeCell ref="A14:R14"/>
    <mergeCell ref="A26:R26"/>
    <mergeCell ref="A30:R30"/>
    <mergeCell ref="A33:R33"/>
    <mergeCell ref="A40:R40"/>
    <mergeCell ref="A44:R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0DC8E-ACDA-407A-8788-52208917EB7B}">
  <dimension ref="A1:M1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4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58" t="s">
        <v>462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10</v>
      </c>
      <c r="H3" s="50"/>
      <c r="I3" s="50"/>
      <c r="J3" s="50"/>
      <c r="K3" s="50" t="s">
        <v>244</v>
      </c>
      <c r="L3" s="50" t="s">
        <v>3</v>
      </c>
      <c r="M3" s="52" t="s">
        <v>2</v>
      </c>
    </row>
    <row r="4" spans="1:13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12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9" t="s">
        <v>81</v>
      </c>
      <c r="B6" s="8" t="s">
        <v>330</v>
      </c>
      <c r="C6" s="8" t="s">
        <v>331</v>
      </c>
      <c r="D6" s="8" t="s">
        <v>332</v>
      </c>
      <c r="E6" s="8" t="s">
        <v>533</v>
      </c>
      <c r="F6" s="8" t="s">
        <v>333</v>
      </c>
      <c r="G6" s="18" t="s">
        <v>40</v>
      </c>
      <c r="H6" s="18" t="s">
        <v>29</v>
      </c>
      <c r="I6" s="19" t="s">
        <v>30</v>
      </c>
      <c r="J6" s="9"/>
      <c r="K6" s="9" t="str">
        <f>"145,0"</f>
        <v>145,0</v>
      </c>
      <c r="L6" s="9" t="str">
        <f>"104,6030"</f>
        <v>104,6030</v>
      </c>
      <c r="M6" s="8" t="s">
        <v>446</v>
      </c>
    </row>
    <row r="7" spans="1:13">
      <c r="B7" s="5" t="s">
        <v>8</v>
      </c>
    </row>
    <row r="8" spans="1:13" ht="16">
      <c r="A8" s="48" t="s">
        <v>64</v>
      </c>
      <c r="B8" s="48"/>
      <c r="C8" s="49"/>
      <c r="D8" s="49"/>
      <c r="E8" s="49"/>
      <c r="F8" s="49"/>
      <c r="G8" s="49"/>
      <c r="H8" s="49"/>
      <c r="I8" s="49"/>
      <c r="J8" s="49"/>
    </row>
    <row r="9" spans="1:13">
      <c r="A9" s="9" t="s">
        <v>81</v>
      </c>
      <c r="B9" s="8" t="s">
        <v>334</v>
      </c>
      <c r="C9" s="8" t="s">
        <v>335</v>
      </c>
      <c r="D9" s="8" t="s">
        <v>336</v>
      </c>
      <c r="E9" s="8" t="s">
        <v>533</v>
      </c>
      <c r="F9" s="8" t="s">
        <v>435</v>
      </c>
      <c r="G9" s="19" t="s">
        <v>41</v>
      </c>
      <c r="H9" s="18" t="s">
        <v>30</v>
      </c>
      <c r="I9" s="19" t="s">
        <v>135</v>
      </c>
      <c r="J9" s="9"/>
      <c r="K9" s="9" t="str">
        <f>"150,0"</f>
        <v>150,0</v>
      </c>
      <c r="L9" s="9" t="str">
        <f>"91,2900"</f>
        <v>91,2900</v>
      </c>
      <c r="M9" s="8" t="s">
        <v>524</v>
      </c>
    </row>
    <row r="10" spans="1:13">
      <c r="B10" s="5" t="s">
        <v>8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28F8-09F3-47BF-9417-1283D9D428DC}">
  <dimension ref="A1:M15"/>
  <sheetViews>
    <sheetView workbookViewId="0">
      <selection sqref="A1:M2"/>
    </sheetView>
  </sheetViews>
  <sheetFormatPr baseColWidth="10" defaultColWidth="9.1640625" defaultRowHeight="13"/>
  <cols>
    <col min="1" max="1" width="7.1640625" style="32" bestFit="1" customWidth="1"/>
    <col min="2" max="2" width="17.83203125" style="32" bestFit="1" customWidth="1"/>
    <col min="3" max="3" width="28.6640625" style="32" bestFit="1" customWidth="1"/>
    <col min="4" max="4" width="20.83203125" style="32" bestFit="1" customWidth="1"/>
    <col min="5" max="5" width="10.1640625" style="32" bestFit="1" customWidth="1"/>
    <col min="6" max="6" width="34.83203125" style="32" bestFit="1" customWidth="1"/>
    <col min="7" max="9" width="5.5" style="31" customWidth="1"/>
    <col min="10" max="10" width="4.5" style="31" customWidth="1"/>
    <col min="11" max="11" width="10.5" style="31" bestFit="1" customWidth="1"/>
    <col min="12" max="12" width="8.5" style="31" bestFit="1" customWidth="1"/>
    <col min="13" max="13" width="15.83203125" style="32" bestFit="1" customWidth="1"/>
    <col min="14" max="16384" width="9.1640625" style="33"/>
  </cols>
  <sheetData>
    <row r="1" spans="1:13" s="28" customFormat="1" ht="29" customHeight="1">
      <c r="A1" s="69" t="s">
        <v>463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s="28" customFormat="1" ht="62" customHeight="1" thickBot="1">
      <c r="A2" s="73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s="29" customFormat="1" ht="12.75" customHeight="1">
      <c r="A3" s="77" t="s">
        <v>528</v>
      </c>
      <c r="B3" s="79" t="s">
        <v>0</v>
      </c>
      <c r="C3" s="80" t="s">
        <v>530</v>
      </c>
      <c r="D3" s="80" t="s">
        <v>6</v>
      </c>
      <c r="E3" s="82" t="s">
        <v>531</v>
      </c>
      <c r="F3" s="82" t="s">
        <v>5</v>
      </c>
      <c r="G3" s="82" t="s">
        <v>10</v>
      </c>
      <c r="H3" s="82"/>
      <c r="I3" s="82"/>
      <c r="J3" s="82"/>
      <c r="K3" s="82" t="s">
        <v>244</v>
      </c>
      <c r="L3" s="82" t="s">
        <v>3</v>
      </c>
      <c r="M3" s="83" t="s">
        <v>2</v>
      </c>
    </row>
    <row r="4" spans="1:13" s="29" customFormat="1" ht="21" customHeight="1" thickBot="1">
      <c r="A4" s="78"/>
      <c r="B4" s="57"/>
      <c r="C4" s="81"/>
      <c r="D4" s="81"/>
      <c r="E4" s="81"/>
      <c r="F4" s="81"/>
      <c r="G4" s="30">
        <v>1</v>
      </c>
      <c r="H4" s="30">
        <v>2</v>
      </c>
      <c r="I4" s="30">
        <v>3</v>
      </c>
      <c r="J4" s="30" t="s">
        <v>4</v>
      </c>
      <c r="K4" s="81"/>
      <c r="L4" s="81"/>
      <c r="M4" s="84"/>
    </row>
    <row r="5" spans="1:13" ht="16">
      <c r="A5" s="55" t="s">
        <v>84</v>
      </c>
      <c r="B5" s="55"/>
      <c r="C5" s="55"/>
      <c r="D5" s="55"/>
      <c r="E5" s="55"/>
      <c r="F5" s="55"/>
      <c r="G5" s="55"/>
      <c r="H5" s="55"/>
      <c r="I5" s="55"/>
      <c r="J5" s="55"/>
    </row>
    <row r="6" spans="1:13">
      <c r="A6" s="36" t="s">
        <v>81</v>
      </c>
      <c r="B6" s="37" t="s">
        <v>420</v>
      </c>
      <c r="C6" s="37" t="s">
        <v>421</v>
      </c>
      <c r="D6" s="37" t="s">
        <v>422</v>
      </c>
      <c r="E6" s="37" t="s">
        <v>533</v>
      </c>
      <c r="F6" s="37" t="s">
        <v>213</v>
      </c>
      <c r="G6" s="20" t="s">
        <v>17</v>
      </c>
      <c r="H6" s="38" t="s">
        <v>18</v>
      </c>
      <c r="I6" s="38" t="s">
        <v>22</v>
      </c>
      <c r="J6" s="36"/>
      <c r="K6" s="36" t="str">
        <f>"70,0"</f>
        <v>70,0</v>
      </c>
      <c r="L6" s="36" t="str">
        <f>"80,3390"</f>
        <v>80,3390</v>
      </c>
      <c r="M6" s="37" t="s">
        <v>433</v>
      </c>
    </row>
    <row r="7" spans="1:13">
      <c r="A7" s="39" t="s">
        <v>81</v>
      </c>
      <c r="B7" s="40" t="s">
        <v>420</v>
      </c>
      <c r="C7" s="40" t="s">
        <v>496</v>
      </c>
      <c r="D7" s="40" t="s">
        <v>422</v>
      </c>
      <c r="E7" s="40" t="s">
        <v>534</v>
      </c>
      <c r="F7" s="40" t="s">
        <v>213</v>
      </c>
      <c r="G7" s="21" t="s">
        <v>17</v>
      </c>
      <c r="H7" s="41" t="s">
        <v>18</v>
      </c>
      <c r="I7" s="41" t="s">
        <v>22</v>
      </c>
      <c r="J7" s="39"/>
      <c r="K7" s="39" t="str">
        <f>"70,0"</f>
        <v>70,0</v>
      </c>
      <c r="L7" s="39" t="str">
        <f>"101,8698"</f>
        <v>101,8698</v>
      </c>
      <c r="M7" s="40" t="s">
        <v>433</v>
      </c>
    </row>
    <row r="8" spans="1:13">
      <c r="B8" s="32" t="s">
        <v>8</v>
      </c>
    </row>
    <row r="9" spans="1:13" ht="16">
      <c r="A9" s="49" t="s">
        <v>46</v>
      </c>
      <c r="B9" s="49"/>
      <c r="C9" s="49"/>
      <c r="D9" s="49"/>
      <c r="E9" s="49"/>
      <c r="F9" s="49"/>
      <c r="G9" s="49"/>
      <c r="H9" s="49"/>
      <c r="I9" s="49"/>
      <c r="J9" s="49"/>
    </row>
    <row r="10" spans="1:13">
      <c r="A10" s="36" t="s">
        <v>81</v>
      </c>
      <c r="B10" s="37" t="s">
        <v>423</v>
      </c>
      <c r="C10" s="37" t="s">
        <v>424</v>
      </c>
      <c r="D10" s="37" t="s">
        <v>425</v>
      </c>
      <c r="E10" s="37" t="s">
        <v>533</v>
      </c>
      <c r="F10" s="37" t="s">
        <v>312</v>
      </c>
      <c r="G10" s="20" t="s">
        <v>175</v>
      </c>
      <c r="H10" s="20" t="s">
        <v>58</v>
      </c>
      <c r="I10" s="20" t="s">
        <v>59</v>
      </c>
      <c r="J10" s="36"/>
      <c r="K10" s="36" t="str">
        <f>"210,0"</f>
        <v>210,0</v>
      </c>
      <c r="L10" s="36" t="str">
        <f>"131,4495"</f>
        <v>131,4495</v>
      </c>
      <c r="M10" s="37" t="s">
        <v>529</v>
      </c>
    </row>
    <row r="11" spans="1:13">
      <c r="A11" s="39" t="s">
        <v>81</v>
      </c>
      <c r="B11" s="40" t="s">
        <v>426</v>
      </c>
      <c r="C11" s="40" t="s">
        <v>497</v>
      </c>
      <c r="D11" s="40" t="s">
        <v>427</v>
      </c>
      <c r="E11" s="40" t="s">
        <v>536</v>
      </c>
      <c r="F11" s="40" t="s">
        <v>213</v>
      </c>
      <c r="G11" s="21" t="s">
        <v>132</v>
      </c>
      <c r="H11" s="21" t="s">
        <v>58</v>
      </c>
      <c r="I11" s="41" t="s">
        <v>59</v>
      </c>
      <c r="J11" s="39"/>
      <c r="K11" s="39" t="str">
        <f>"200,0"</f>
        <v>200,0</v>
      </c>
      <c r="L11" s="39" t="str">
        <f>"136,2255"</f>
        <v>136,2255</v>
      </c>
      <c r="M11" s="40" t="s">
        <v>529</v>
      </c>
    </row>
    <row r="12" spans="1:13">
      <c r="B12" s="32" t="s">
        <v>8</v>
      </c>
    </row>
    <row r="13" spans="1:13" ht="16">
      <c r="A13" s="49" t="s">
        <v>64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3">
      <c r="A14" s="34" t="s">
        <v>81</v>
      </c>
      <c r="B14" s="35" t="s">
        <v>428</v>
      </c>
      <c r="C14" s="35" t="s">
        <v>429</v>
      </c>
      <c r="D14" s="35" t="s">
        <v>430</v>
      </c>
      <c r="E14" s="35" t="s">
        <v>533</v>
      </c>
      <c r="F14" s="35" t="s">
        <v>435</v>
      </c>
      <c r="G14" s="18" t="s">
        <v>63</v>
      </c>
      <c r="H14" s="42" t="s">
        <v>144</v>
      </c>
      <c r="I14" s="18" t="s">
        <v>144</v>
      </c>
      <c r="J14" s="34"/>
      <c r="K14" s="34" t="str">
        <f>"232,5"</f>
        <v>232,5</v>
      </c>
      <c r="L14" s="34" t="str">
        <f>"136,0241"</f>
        <v>136,0241</v>
      </c>
      <c r="M14" s="35" t="s">
        <v>434</v>
      </c>
    </row>
    <row r="15" spans="1:13">
      <c r="B15" s="32" t="s">
        <v>8</v>
      </c>
    </row>
  </sheetData>
  <mergeCells count="14">
    <mergeCell ref="A5:J5"/>
    <mergeCell ref="A9:J9"/>
    <mergeCell ref="A13:J13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F277E-FEF7-4180-864B-8E57C14C093A}">
  <sheetPr>
    <pageSetUpPr fitToPage="1"/>
  </sheetPr>
  <dimension ref="A1:M10"/>
  <sheetViews>
    <sheetView workbookViewId="0">
      <selection sqref="A1:M2"/>
    </sheetView>
  </sheetViews>
  <sheetFormatPr baseColWidth="10" defaultColWidth="9.1640625" defaultRowHeight="13"/>
  <cols>
    <col min="1" max="1" width="7.1640625" style="32" bestFit="1" customWidth="1"/>
    <col min="2" max="2" width="15.83203125" style="32" bestFit="1" customWidth="1"/>
    <col min="3" max="3" width="25.1640625" style="32" bestFit="1" customWidth="1"/>
    <col min="4" max="4" width="20.83203125" style="32" bestFit="1" customWidth="1"/>
    <col min="5" max="5" width="10.1640625" style="32" bestFit="1" customWidth="1"/>
    <col min="6" max="6" width="34.83203125" style="32" bestFit="1" customWidth="1"/>
    <col min="7" max="9" width="5.5" style="31" customWidth="1"/>
    <col min="10" max="10" width="4.5" style="31" customWidth="1"/>
    <col min="11" max="11" width="10.5" style="31" bestFit="1" customWidth="1"/>
    <col min="12" max="12" width="8.5" style="31" bestFit="1" customWidth="1"/>
    <col min="13" max="13" width="15.83203125" style="32" bestFit="1" customWidth="1"/>
    <col min="14" max="16384" width="9.1640625" style="33"/>
  </cols>
  <sheetData>
    <row r="1" spans="1:13" s="28" customFormat="1" ht="29" customHeight="1">
      <c r="A1" s="69" t="s">
        <v>464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s="28" customFormat="1" ht="62" customHeight="1" thickBot="1">
      <c r="A2" s="73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s="29" customFormat="1" ht="12.75" customHeight="1">
      <c r="A3" s="77" t="s">
        <v>528</v>
      </c>
      <c r="B3" s="79" t="s">
        <v>0</v>
      </c>
      <c r="C3" s="80" t="s">
        <v>530</v>
      </c>
      <c r="D3" s="80" t="s">
        <v>6</v>
      </c>
      <c r="E3" s="82" t="s">
        <v>531</v>
      </c>
      <c r="F3" s="82" t="s">
        <v>5</v>
      </c>
      <c r="G3" s="82" t="s">
        <v>10</v>
      </c>
      <c r="H3" s="82"/>
      <c r="I3" s="82"/>
      <c r="J3" s="82"/>
      <c r="K3" s="82" t="s">
        <v>244</v>
      </c>
      <c r="L3" s="82" t="s">
        <v>3</v>
      </c>
      <c r="M3" s="83" t="s">
        <v>2</v>
      </c>
    </row>
    <row r="4" spans="1:13" s="29" customFormat="1" ht="21" customHeight="1" thickBot="1">
      <c r="A4" s="78"/>
      <c r="B4" s="57"/>
      <c r="C4" s="81"/>
      <c r="D4" s="81"/>
      <c r="E4" s="81"/>
      <c r="F4" s="81"/>
      <c r="G4" s="30">
        <v>1</v>
      </c>
      <c r="H4" s="30">
        <v>2</v>
      </c>
      <c r="I4" s="30">
        <v>3</v>
      </c>
      <c r="J4" s="30" t="s">
        <v>4</v>
      </c>
      <c r="K4" s="81"/>
      <c r="L4" s="81"/>
      <c r="M4" s="84"/>
    </row>
    <row r="5" spans="1:13" ht="16">
      <c r="A5" s="55" t="s">
        <v>12</v>
      </c>
      <c r="B5" s="55"/>
      <c r="C5" s="55"/>
      <c r="D5" s="55"/>
      <c r="E5" s="55"/>
      <c r="F5" s="55"/>
      <c r="G5" s="55"/>
      <c r="H5" s="55"/>
      <c r="I5" s="55"/>
      <c r="J5" s="55"/>
    </row>
    <row r="6" spans="1:13">
      <c r="A6" s="34" t="s">
        <v>81</v>
      </c>
      <c r="B6" s="35" t="s">
        <v>431</v>
      </c>
      <c r="C6" s="35" t="s">
        <v>432</v>
      </c>
      <c r="D6" s="35" t="s">
        <v>376</v>
      </c>
      <c r="E6" s="35" t="s">
        <v>533</v>
      </c>
      <c r="F6" s="35" t="s">
        <v>435</v>
      </c>
      <c r="G6" s="18" t="s">
        <v>70</v>
      </c>
      <c r="H6" s="18" t="s">
        <v>132</v>
      </c>
      <c r="I6" s="42" t="s">
        <v>177</v>
      </c>
      <c r="J6" s="34"/>
      <c r="K6" s="34" t="str">
        <f>"190,0"</f>
        <v>190,0</v>
      </c>
      <c r="L6" s="34" t="str">
        <f>"133,0855"</f>
        <v>133,0855</v>
      </c>
      <c r="M6" s="35" t="s">
        <v>529</v>
      </c>
    </row>
    <row r="7" spans="1:13">
      <c r="B7" s="32" t="s">
        <v>8</v>
      </c>
    </row>
    <row r="8" spans="1:13" ht="16">
      <c r="A8" s="49" t="s">
        <v>172</v>
      </c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34" t="s">
        <v>81</v>
      </c>
      <c r="B9" s="35" t="s">
        <v>229</v>
      </c>
      <c r="C9" s="35" t="s">
        <v>230</v>
      </c>
      <c r="D9" s="35" t="s">
        <v>231</v>
      </c>
      <c r="E9" s="35" t="s">
        <v>533</v>
      </c>
      <c r="F9" s="35" t="s">
        <v>435</v>
      </c>
      <c r="G9" s="42" t="s">
        <v>60</v>
      </c>
      <c r="H9" s="42" t="s">
        <v>144</v>
      </c>
      <c r="I9" s="18" t="s">
        <v>144</v>
      </c>
      <c r="J9" s="34"/>
      <c r="K9" s="34" t="str">
        <f>"232,5"</f>
        <v>232,5</v>
      </c>
      <c r="L9" s="34" t="str">
        <f>"131,2579"</f>
        <v>131,2579</v>
      </c>
      <c r="M9" s="35" t="s">
        <v>523</v>
      </c>
    </row>
    <row r="10" spans="1:13">
      <c r="B10" s="32" t="s">
        <v>8</v>
      </c>
    </row>
  </sheetData>
  <mergeCells count="13">
    <mergeCell ref="L3:L4"/>
    <mergeCell ref="M3:M4"/>
    <mergeCell ref="A5:J5"/>
    <mergeCell ref="A8:J8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72993-B0FD-446E-BADB-8DBC8674CDEE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32" bestFit="1" customWidth="1"/>
    <col min="2" max="2" width="19.5" style="32" bestFit="1" customWidth="1"/>
    <col min="3" max="3" width="25.1640625" style="32" bestFit="1" customWidth="1"/>
    <col min="4" max="4" width="20.83203125" style="32" bestFit="1" customWidth="1"/>
    <col min="5" max="5" width="10.1640625" style="32" bestFit="1" customWidth="1"/>
    <col min="6" max="6" width="34.83203125" style="32" bestFit="1" customWidth="1"/>
    <col min="7" max="9" width="5.5" style="31" customWidth="1"/>
    <col min="10" max="10" width="4.5" style="31" customWidth="1"/>
    <col min="11" max="11" width="10.5" style="31" bestFit="1" customWidth="1"/>
    <col min="12" max="12" width="8.5" style="31" bestFit="1" customWidth="1"/>
    <col min="13" max="13" width="15.83203125" style="32" bestFit="1" customWidth="1"/>
    <col min="14" max="16384" width="9.1640625" style="33"/>
  </cols>
  <sheetData>
    <row r="1" spans="1:13" s="28" customFormat="1" ht="29" customHeight="1">
      <c r="A1" s="69" t="s">
        <v>465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s="28" customFormat="1" ht="62" customHeight="1" thickBot="1">
      <c r="A2" s="73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s="29" customFormat="1" ht="12.75" customHeight="1">
      <c r="A3" s="77" t="s">
        <v>528</v>
      </c>
      <c r="B3" s="79" t="s">
        <v>0</v>
      </c>
      <c r="C3" s="80" t="s">
        <v>530</v>
      </c>
      <c r="D3" s="80" t="s">
        <v>6</v>
      </c>
      <c r="E3" s="82" t="s">
        <v>531</v>
      </c>
      <c r="F3" s="82" t="s">
        <v>5</v>
      </c>
      <c r="G3" s="82" t="s">
        <v>10</v>
      </c>
      <c r="H3" s="82"/>
      <c r="I3" s="82"/>
      <c r="J3" s="82"/>
      <c r="K3" s="82" t="s">
        <v>244</v>
      </c>
      <c r="L3" s="82" t="s">
        <v>3</v>
      </c>
      <c r="M3" s="83" t="s">
        <v>2</v>
      </c>
    </row>
    <row r="4" spans="1:13" s="29" customFormat="1" ht="21" customHeight="1" thickBot="1">
      <c r="A4" s="78"/>
      <c r="B4" s="57"/>
      <c r="C4" s="81"/>
      <c r="D4" s="81"/>
      <c r="E4" s="81"/>
      <c r="F4" s="81"/>
      <c r="G4" s="30">
        <v>1</v>
      </c>
      <c r="H4" s="30">
        <v>2</v>
      </c>
      <c r="I4" s="30">
        <v>3</v>
      </c>
      <c r="J4" s="30" t="s">
        <v>4</v>
      </c>
      <c r="K4" s="81"/>
      <c r="L4" s="81"/>
      <c r="M4" s="84"/>
    </row>
    <row r="5" spans="1:13" ht="16">
      <c r="A5" s="55" t="s">
        <v>321</v>
      </c>
      <c r="B5" s="55"/>
      <c r="C5" s="55"/>
      <c r="D5" s="55"/>
      <c r="E5" s="55"/>
      <c r="F5" s="55"/>
      <c r="G5" s="55"/>
      <c r="H5" s="55"/>
      <c r="I5" s="55"/>
      <c r="J5" s="55"/>
    </row>
    <row r="6" spans="1:13">
      <c r="A6" s="34" t="s">
        <v>81</v>
      </c>
      <c r="B6" s="35" t="s">
        <v>416</v>
      </c>
      <c r="C6" s="35" t="s">
        <v>417</v>
      </c>
      <c r="D6" s="35" t="s">
        <v>418</v>
      </c>
      <c r="E6" s="35" t="s">
        <v>533</v>
      </c>
      <c r="F6" s="35" t="s">
        <v>435</v>
      </c>
      <c r="G6" s="18" t="s">
        <v>419</v>
      </c>
      <c r="H6" s="18" t="s">
        <v>54</v>
      </c>
      <c r="I6" s="18" t="s">
        <v>176</v>
      </c>
      <c r="J6" s="34"/>
      <c r="K6" s="34" t="str">
        <f>"320,0"</f>
        <v>320,0</v>
      </c>
      <c r="L6" s="34" t="str">
        <f>"171,0448"</f>
        <v>171,0448</v>
      </c>
      <c r="M6" s="35" t="s">
        <v>529</v>
      </c>
    </row>
    <row r="7" spans="1:13">
      <c r="B7" s="32" t="s">
        <v>8</v>
      </c>
    </row>
  </sheetData>
  <mergeCells count="12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45BF-DC45-4C42-8903-D0398DB2240A}">
  <dimension ref="A1:M57"/>
  <sheetViews>
    <sheetView topLeftCell="A24" workbookViewId="0">
      <selection activeCell="E48" sqref="E48"/>
    </sheetView>
  </sheetViews>
  <sheetFormatPr baseColWidth="10" defaultColWidth="9.1640625" defaultRowHeight="13"/>
  <cols>
    <col min="1" max="1" width="7.1640625" style="5" bestFit="1" customWidth="1"/>
    <col min="2" max="2" width="21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8.5" style="5" bestFit="1" customWidth="1"/>
    <col min="7" max="9" width="5.5" style="6" customWidth="1"/>
    <col min="10" max="10" width="4.5" style="6" customWidth="1"/>
    <col min="11" max="11" width="10.5" style="43" bestFit="1" customWidth="1"/>
    <col min="12" max="12" width="8.5" style="6" bestFit="1" customWidth="1"/>
    <col min="13" max="13" width="30.5" style="5" bestFit="1" customWidth="1"/>
    <col min="14" max="16384" width="9.1640625" style="3"/>
  </cols>
  <sheetData>
    <row r="1" spans="1:13" s="2" customFormat="1" ht="29" customHeight="1">
      <c r="A1" s="58" t="s">
        <v>466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11</v>
      </c>
      <c r="H3" s="50"/>
      <c r="I3" s="50"/>
      <c r="J3" s="50"/>
      <c r="K3" s="85" t="s">
        <v>244</v>
      </c>
      <c r="L3" s="50" t="s">
        <v>3</v>
      </c>
      <c r="M3" s="52" t="s">
        <v>2</v>
      </c>
    </row>
    <row r="4" spans="1:13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86"/>
      <c r="L4" s="51"/>
      <c r="M4" s="53"/>
    </row>
    <row r="5" spans="1:13" ht="16">
      <c r="A5" s="54" t="s">
        <v>84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9" t="s">
        <v>81</v>
      </c>
      <c r="B6" s="8" t="s">
        <v>355</v>
      </c>
      <c r="C6" s="8" t="s">
        <v>356</v>
      </c>
      <c r="D6" s="8" t="s">
        <v>357</v>
      </c>
      <c r="E6" s="8" t="s">
        <v>532</v>
      </c>
      <c r="F6" s="8" t="s">
        <v>261</v>
      </c>
      <c r="G6" s="18" t="s">
        <v>32</v>
      </c>
      <c r="H6" s="19" t="s">
        <v>358</v>
      </c>
      <c r="I6" s="18" t="s">
        <v>358</v>
      </c>
      <c r="J6" s="9"/>
      <c r="K6" s="44" t="str">
        <f>"102,5"</f>
        <v>102,5</v>
      </c>
      <c r="L6" s="9" t="str">
        <f>"131,2820"</f>
        <v>131,2820</v>
      </c>
      <c r="M6" s="8" t="s">
        <v>525</v>
      </c>
    </row>
    <row r="7" spans="1:13">
      <c r="B7" s="5" t="s">
        <v>8</v>
      </c>
    </row>
    <row r="8" spans="1:13" ht="16">
      <c r="A8" s="48" t="s">
        <v>94</v>
      </c>
      <c r="B8" s="48"/>
      <c r="C8" s="49"/>
      <c r="D8" s="49"/>
      <c r="E8" s="49"/>
      <c r="F8" s="49"/>
      <c r="G8" s="49"/>
      <c r="H8" s="49"/>
      <c r="I8" s="49"/>
      <c r="J8" s="49"/>
    </row>
    <row r="9" spans="1:13">
      <c r="A9" s="9" t="s">
        <v>81</v>
      </c>
      <c r="B9" s="8" t="s">
        <v>95</v>
      </c>
      <c r="C9" s="8" t="s">
        <v>96</v>
      </c>
      <c r="D9" s="8" t="s">
        <v>97</v>
      </c>
      <c r="E9" s="8" t="s">
        <v>533</v>
      </c>
      <c r="F9" s="8" t="s">
        <v>131</v>
      </c>
      <c r="G9" s="18" t="s">
        <v>40</v>
      </c>
      <c r="H9" s="19" t="s">
        <v>42</v>
      </c>
      <c r="I9" s="18" t="s">
        <v>42</v>
      </c>
      <c r="J9" s="9"/>
      <c r="K9" s="44" t="str">
        <f>"135,0"</f>
        <v>135,0</v>
      </c>
      <c r="L9" s="9" t="str">
        <f>"165,5910"</f>
        <v>165,5910</v>
      </c>
      <c r="M9" s="8" t="s">
        <v>434</v>
      </c>
    </row>
    <row r="10" spans="1:13">
      <c r="B10" s="5" t="s">
        <v>8</v>
      </c>
    </row>
    <row r="11" spans="1:13" ht="16">
      <c r="A11" s="48" t="s">
        <v>100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3">
      <c r="A12" s="9" t="s">
        <v>81</v>
      </c>
      <c r="B12" s="8" t="s">
        <v>359</v>
      </c>
      <c r="C12" s="8" t="s">
        <v>360</v>
      </c>
      <c r="D12" s="8" t="s">
        <v>102</v>
      </c>
      <c r="E12" s="8" t="s">
        <v>533</v>
      </c>
      <c r="F12" s="8" t="s">
        <v>131</v>
      </c>
      <c r="G12" s="18" t="s">
        <v>32</v>
      </c>
      <c r="H12" s="18" t="s">
        <v>194</v>
      </c>
      <c r="I12" s="19" t="s">
        <v>121</v>
      </c>
      <c r="J12" s="9"/>
      <c r="K12" s="44" t="str">
        <f>"107,5"</f>
        <v>107,5</v>
      </c>
      <c r="L12" s="9" t="str">
        <f>"125,6030"</f>
        <v>125,6030</v>
      </c>
      <c r="M12" s="8" t="s">
        <v>439</v>
      </c>
    </row>
    <row r="13" spans="1:13">
      <c r="B13" s="5" t="s">
        <v>8</v>
      </c>
    </row>
    <row r="14" spans="1:13" ht="16">
      <c r="A14" s="48" t="s">
        <v>105</v>
      </c>
      <c r="B14" s="48"/>
      <c r="C14" s="49"/>
      <c r="D14" s="49"/>
      <c r="E14" s="49"/>
      <c r="F14" s="49"/>
      <c r="G14" s="49"/>
      <c r="H14" s="49"/>
      <c r="I14" s="49"/>
      <c r="J14" s="49"/>
    </row>
    <row r="15" spans="1:13">
      <c r="A15" s="11" t="s">
        <v>81</v>
      </c>
      <c r="B15" s="10" t="s">
        <v>115</v>
      </c>
      <c r="C15" s="10" t="s">
        <v>116</v>
      </c>
      <c r="D15" s="10" t="s">
        <v>117</v>
      </c>
      <c r="E15" s="10" t="s">
        <v>533</v>
      </c>
      <c r="F15" s="10" t="s">
        <v>28</v>
      </c>
      <c r="G15" s="20" t="s">
        <v>113</v>
      </c>
      <c r="H15" s="23" t="s">
        <v>41</v>
      </c>
      <c r="I15" s="23" t="s">
        <v>41</v>
      </c>
      <c r="J15" s="11"/>
      <c r="K15" s="45" t="str">
        <f>"120,0"</f>
        <v>120,0</v>
      </c>
      <c r="L15" s="11" t="str">
        <f>"123,2640"</f>
        <v>123,2640</v>
      </c>
      <c r="M15" s="10" t="s">
        <v>529</v>
      </c>
    </row>
    <row r="16" spans="1:13">
      <c r="A16" s="13" t="s">
        <v>82</v>
      </c>
      <c r="B16" s="12" t="s">
        <v>361</v>
      </c>
      <c r="C16" s="12" t="s">
        <v>362</v>
      </c>
      <c r="D16" s="12" t="s">
        <v>193</v>
      </c>
      <c r="E16" s="12" t="s">
        <v>533</v>
      </c>
      <c r="F16" s="12" t="s">
        <v>131</v>
      </c>
      <c r="G16" s="21" t="s">
        <v>23</v>
      </c>
      <c r="H16" s="21" t="s">
        <v>108</v>
      </c>
      <c r="I16" s="22" t="s">
        <v>112</v>
      </c>
      <c r="J16" s="13"/>
      <c r="K16" s="46" t="str">
        <f>"105,0"</f>
        <v>105,0</v>
      </c>
      <c r="L16" s="13" t="str">
        <f>"112,0980"</f>
        <v>112,0980</v>
      </c>
      <c r="M16" s="12" t="s">
        <v>440</v>
      </c>
    </row>
    <row r="17" spans="1:13">
      <c r="B17" s="5" t="s">
        <v>8</v>
      </c>
    </row>
    <row r="18" spans="1:13" ht="16">
      <c r="A18" s="48" t="s">
        <v>12</v>
      </c>
      <c r="B18" s="48"/>
      <c r="C18" s="49"/>
      <c r="D18" s="49"/>
      <c r="E18" s="49"/>
      <c r="F18" s="49"/>
      <c r="G18" s="49"/>
      <c r="H18" s="49"/>
      <c r="I18" s="49"/>
      <c r="J18" s="49"/>
    </row>
    <row r="19" spans="1:13">
      <c r="A19" s="9" t="s">
        <v>81</v>
      </c>
      <c r="B19" s="8" t="s">
        <v>363</v>
      </c>
      <c r="C19" s="8" t="s">
        <v>364</v>
      </c>
      <c r="D19" s="8" t="s">
        <v>365</v>
      </c>
      <c r="E19" s="8" t="s">
        <v>533</v>
      </c>
      <c r="F19" s="8" t="s">
        <v>131</v>
      </c>
      <c r="G19" s="18" t="s">
        <v>113</v>
      </c>
      <c r="H19" s="19" t="s">
        <v>271</v>
      </c>
      <c r="I19" s="19" t="s">
        <v>271</v>
      </c>
      <c r="J19" s="9"/>
      <c r="K19" s="44" t="str">
        <f>"120,0"</f>
        <v>120,0</v>
      </c>
      <c r="L19" s="9" t="str">
        <f>"119,2680"</f>
        <v>119,2680</v>
      </c>
      <c r="M19" s="8" t="s">
        <v>434</v>
      </c>
    </row>
    <row r="20" spans="1:13">
      <c r="B20" s="5" t="s">
        <v>8</v>
      </c>
    </row>
    <row r="21" spans="1:13" ht="16">
      <c r="A21" s="48" t="s">
        <v>105</v>
      </c>
      <c r="B21" s="48"/>
      <c r="C21" s="49"/>
      <c r="D21" s="49"/>
      <c r="E21" s="49"/>
      <c r="F21" s="49"/>
      <c r="G21" s="49"/>
      <c r="H21" s="49"/>
      <c r="I21" s="49"/>
      <c r="J21" s="49"/>
    </row>
    <row r="22" spans="1:13">
      <c r="A22" s="9" t="s">
        <v>81</v>
      </c>
      <c r="B22" s="8" t="s">
        <v>366</v>
      </c>
      <c r="C22" s="8" t="s">
        <v>367</v>
      </c>
      <c r="D22" s="8" t="s">
        <v>368</v>
      </c>
      <c r="E22" s="8" t="s">
        <v>533</v>
      </c>
      <c r="F22" s="8" t="s">
        <v>213</v>
      </c>
      <c r="G22" s="18" t="s">
        <v>71</v>
      </c>
      <c r="H22" s="19" t="s">
        <v>139</v>
      </c>
      <c r="I22" s="19" t="s">
        <v>139</v>
      </c>
      <c r="J22" s="9"/>
      <c r="K22" s="44" t="str">
        <f>"180,0"</f>
        <v>180,0</v>
      </c>
      <c r="L22" s="9" t="str">
        <f>"140,9760"</f>
        <v>140,9760</v>
      </c>
      <c r="M22" s="8" t="s">
        <v>433</v>
      </c>
    </row>
    <row r="23" spans="1:13">
      <c r="B23" s="5" t="s">
        <v>8</v>
      </c>
    </row>
    <row r="24" spans="1:13" ht="16">
      <c r="A24" s="48" t="s">
        <v>12</v>
      </c>
      <c r="B24" s="48"/>
      <c r="C24" s="49"/>
      <c r="D24" s="49"/>
      <c r="E24" s="49"/>
      <c r="F24" s="49"/>
      <c r="G24" s="49"/>
      <c r="H24" s="49"/>
      <c r="I24" s="49"/>
      <c r="J24" s="49"/>
    </row>
    <row r="25" spans="1:13">
      <c r="A25" s="11" t="s">
        <v>81</v>
      </c>
      <c r="B25" s="10" t="s">
        <v>258</v>
      </c>
      <c r="C25" s="10" t="s">
        <v>259</v>
      </c>
      <c r="D25" s="10" t="s">
        <v>260</v>
      </c>
      <c r="E25" s="10" t="s">
        <v>532</v>
      </c>
      <c r="F25" s="10" t="s">
        <v>261</v>
      </c>
      <c r="G25" s="20" t="s">
        <v>369</v>
      </c>
      <c r="H25" s="23" t="s">
        <v>58</v>
      </c>
      <c r="I25" s="11"/>
      <c r="J25" s="11"/>
      <c r="K25" s="45" t="str">
        <f>"182,5"</f>
        <v>182,5</v>
      </c>
      <c r="L25" s="11" t="str">
        <f>"133,4988"</f>
        <v>133,4988</v>
      </c>
      <c r="M25" s="10" t="s">
        <v>521</v>
      </c>
    </row>
    <row r="26" spans="1:13">
      <c r="A26" s="25" t="s">
        <v>81</v>
      </c>
      <c r="B26" s="24" t="s">
        <v>370</v>
      </c>
      <c r="C26" s="24" t="s">
        <v>498</v>
      </c>
      <c r="D26" s="24" t="s">
        <v>371</v>
      </c>
      <c r="E26" s="24" t="s">
        <v>535</v>
      </c>
      <c r="F26" s="24" t="s">
        <v>261</v>
      </c>
      <c r="G26" s="26" t="s">
        <v>369</v>
      </c>
      <c r="H26" s="26" t="s">
        <v>58</v>
      </c>
      <c r="I26" s="26" t="s">
        <v>372</v>
      </c>
      <c r="J26" s="25"/>
      <c r="K26" s="47" t="str">
        <f>"207,5"</f>
        <v>207,5</v>
      </c>
      <c r="L26" s="25" t="str">
        <f>"157,2435"</f>
        <v>157,2435</v>
      </c>
      <c r="M26" s="24" t="s">
        <v>526</v>
      </c>
    </row>
    <row r="27" spans="1:13">
      <c r="A27" s="25" t="s">
        <v>81</v>
      </c>
      <c r="B27" s="24" t="s">
        <v>373</v>
      </c>
      <c r="C27" s="24" t="s">
        <v>374</v>
      </c>
      <c r="D27" s="24" t="s">
        <v>375</v>
      </c>
      <c r="E27" s="24" t="s">
        <v>533</v>
      </c>
      <c r="F27" s="24" t="s">
        <v>131</v>
      </c>
      <c r="G27" s="26" t="s">
        <v>228</v>
      </c>
      <c r="H27" s="26" t="s">
        <v>30</v>
      </c>
      <c r="I27" s="27" t="s">
        <v>62</v>
      </c>
      <c r="J27" s="25"/>
      <c r="K27" s="47" t="str">
        <f>"150,0"</f>
        <v>150,0</v>
      </c>
      <c r="L27" s="25" t="str">
        <f>"110,4000"</f>
        <v>110,4000</v>
      </c>
      <c r="M27" s="24" t="s">
        <v>529</v>
      </c>
    </row>
    <row r="28" spans="1:13">
      <c r="A28" s="13" t="s">
        <v>81</v>
      </c>
      <c r="B28" s="12" t="s">
        <v>283</v>
      </c>
      <c r="C28" s="12" t="s">
        <v>487</v>
      </c>
      <c r="D28" s="12" t="s">
        <v>376</v>
      </c>
      <c r="E28" s="12" t="s">
        <v>537</v>
      </c>
      <c r="F28" s="12" t="s">
        <v>131</v>
      </c>
      <c r="G28" s="21" t="s">
        <v>32</v>
      </c>
      <c r="H28" s="21" t="s">
        <v>34</v>
      </c>
      <c r="I28" s="21" t="s">
        <v>112</v>
      </c>
      <c r="J28" s="13"/>
      <c r="K28" s="46" t="str">
        <f>"110,0"</f>
        <v>110,0</v>
      </c>
      <c r="L28" s="13" t="str">
        <f>"105,3132"</f>
        <v>105,3132</v>
      </c>
      <c r="M28" s="12" t="s">
        <v>522</v>
      </c>
    </row>
    <row r="29" spans="1:13">
      <c r="B29" s="5" t="s">
        <v>8</v>
      </c>
    </row>
    <row r="30" spans="1:13" ht="16">
      <c r="A30" s="48" t="s">
        <v>24</v>
      </c>
      <c r="B30" s="48"/>
      <c r="C30" s="49"/>
      <c r="D30" s="49"/>
      <c r="E30" s="49"/>
      <c r="F30" s="49"/>
      <c r="G30" s="49"/>
      <c r="H30" s="49"/>
      <c r="I30" s="49"/>
      <c r="J30" s="49"/>
    </row>
    <row r="31" spans="1:13">
      <c r="A31" s="9" t="s">
        <v>81</v>
      </c>
      <c r="B31" s="8" t="s">
        <v>377</v>
      </c>
      <c r="C31" s="8" t="s">
        <v>378</v>
      </c>
      <c r="D31" s="8" t="s">
        <v>379</v>
      </c>
      <c r="E31" s="8" t="s">
        <v>533</v>
      </c>
      <c r="F31" s="8" t="s">
        <v>131</v>
      </c>
      <c r="G31" s="18" t="s">
        <v>132</v>
      </c>
      <c r="H31" s="19" t="s">
        <v>58</v>
      </c>
      <c r="I31" s="9"/>
      <c r="J31" s="9"/>
      <c r="K31" s="44" t="str">
        <f>"190,0"</f>
        <v>190,0</v>
      </c>
      <c r="L31" s="9" t="str">
        <f>"127,7560"</f>
        <v>127,7560</v>
      </c>
      <c r="M31" s="8" t="s">
        <v>518</v>
      </c>
    </row>
    <row r="32" spans="1:13">
      <c r="B32" s="5" t="s">
        <v>8</v>
      </c>
    </row>
    <row r="33" spans="1:13" ht="16">
      <c r="A33" s="48" t="s">
        <v>46</v>
      </c>
      <c r="B33" s="48"/>
      <c r="C33" s="49"/>
      <c r="D33" s="49"/>
      <c r="E33" s="49"/>
      <c r="F33" s="49"/>
      <c r="G33" s="49"/>
      <c r="H33" s="49"/>
      <c r="I33" s="49"/>
      <c r="J33" s="49"/>
    </row>
    <row r="34" spans="1:13">
      <c r="A34" s="11" t="s">
        <v>81</v>
      </c>
      <c r="B34" s="10" t="s">
        <v>380</v>
      </c>
      <c r="C34" s="10" t="s">
        <v>499</v>
      </c>
      <c r="D34" s="10" t="s">
        <v>381</v>
      </c>
      <c r="E34" s="10" t="s">
        <v>535</v>
      </c>
      <c r="F34" s="10" t="s">
        <v>438</v>
      </c>
      <c r="G34" s="20" t="s">
        <v>63</v>
      </c>
      <c r="H34" s="23" t="s">
        <v>43</v>
      </c>
      <c r="I34" s="23" t="s">
        <v>43</v>
      </c>
      <c r="J34" s="11"/>
      <c r="K34" s="45" t="str">
        <f>"215,0"</f>
        <v>215,0</v>
      </c>
      <c r="L34" s="11" t="str">
        <f>"138,8685"</f>
        <v>138,8685</v>
      </c>
      <c r="M34" s="10" t="s">
        <v>529</v>
      </c>
    </row>
    <row r="35" spans="1:13">
      <c r="A35" s="25" t="s">
        <v>81</v>
      </c>
      <c r="B35" s="24" t="s">
        <v>141</v>
      </c>
      <c r="C35" s="24" t="s">
        <v>142</v>
      </c>
      <c r="D35" s="24" t="s">
        <v>57</v>
      </c>
      <c r="E35" s="24" t="s">
        <v>533</v>
      </c>
      <c r="F35" s="24" t="s">
        <v>143</v>
      </c>
      <c r="G35" s="26" t="s">
        <v>51</v>
      </c>
      <c r="H35" s="26" t="s">
        <v>145</v>
      </c>
      <c r="I35" s="27" t="s">
        <v>146</v>
      </c>
      <c r="J35" s="25"/>
      <c r="K35" s="47" t="str">
        <f>"270,0"</f>
        <v>270,0</v>
      </c>
      <c r="L35" s="25" t="str">
        <f>"173,7720"</f>
        <v>173,7720</v>
      </c>
      <c r="M35" s="24" t="s">
        <v>529</v>
      </c>
    </row>
    <row r="36" spans="1:13">
      <c r="A36" s="13" t="s">
        <v>81</v>
      </c>
      <c r="B36" s="12" t="s">
        <v>382</v>
      </c>
      <c r="C36" s="12" t="s">
        <v>500</v>
      </c>
      <c r="D36" s="12" t="s">
        <v>381</v>
      </c>
      <c r="E36" s="12" t="s">
        <v>536</v>
      </c>
      <c r="F36" s="12" t="s">
        <v>131</v>
      </c>
      <c r="G36" s="21" t="s">
        <v>60</v>
      </c>
      <c r="H36" s="21" t="s">
        <v>43</v>
      </c>
      <c r="I36" s="22" t="s">
        <v>154</v>
      </c>
      <c r="J36" s="13"/>
      <c r="K36" s="46" t="str">
        <f>"230,0"</f>
        <v>230,0</v>
      </c>
      <c r="L36" s="13" t="str">
        <f>"152,7166"</f>
        <v>152,7166</v>
      </c>
      <c r="M36" s="12" t="s">
        <v>529</v>
      </c>
    </row>
    <row r="37" spans="1:13">
      <c r="B37" s="5" t="s">
        <v>8</v>
      </c>
    </row>
    <row r="38" spans="1:13" ht="16">
      <c r="A38" s="48" t="s">
        <v>64</v>
      </c>
      <c r="B38" s="48"/>
      <c r="C38" s="49"/>
      <c r="D38" s="49"/>
      <c r="E38" s="49"/>
      <c r="F38" s="49"/>
      <c r="G38" s="49"/>
      <c r="H38" s="49"/>
      <c r="I38" s="49"/>
      <c r="J38" s="49"/>
    </row>
    <row r="39" spans="1:13">
      <c r="A39" s="11" t="s">
        <v>81</v>
      </c>
      <c r="B39" s="10" t="s">
        <v>383</v>
      </c>
      <c r="C39" s="10" t="s">
        <v>384</v>
      </c>
      <c r="D39" s="10" t="s">
        <v>385</v>
      </c>
      <c r="E39" s="10" t="s">
        <v>533</v>
      </c>
      <c r="F39" s="10" t="s">
        <v>131</v>
      </c>
      <c r="G39" s="20" t="s">
        <v>43</v>
      </c>
      <c r="H39" s="20" t="s">
        <v>44</v>
      </c>
      <c r="I39" s="23" t="s">
        <v>171</v>
      </c>
      <c r="J39" s="11"/>
      <c r="K39" s="45" t="str">
        <f>"240,0"</f>
        <v>240,0</v>
      </c>
      <c r="L39" s="11" t="str">
        <f>"149,2800"</f>
        <v>149,2800</v>
      </c>
      <c r="M39" s="10" t="s">
        <v>523</v>
      </c>
    </row>
    <row r="40" spans="1:13">
      <c r="A40" s="13" t="s">
        <v>82</v>
      </c>
      <c r="B40" s="12" t="s">
        <v>168</v>
      </c>
      <c r="C40" s="12" t="s">
        <v>169</v>
      </c>
      <c r="D40" s="12" t="s">
        <v>170</v>
      </c>
      <c r="E40" s="12" t="s">
        <v>533</v>
      </c>
      <c r="F40" s="12" t="s">
        <v>131</v>
      </c>
      <c r="G40" s="21" t="s">
        <v>43</v>
      </c>
      <c r="H40" s="21" t="s">
        <v>44</v>
      </c>
      <c r="I40" s="22" t="s">
        <v>171</v>
      </c>
      <c r="J40" s="13"/>
      <c r="K40" s="46" t="str">
        <f>"240,0"</f>
        <v>240,0</v>
      </c>
      <c r="L40" s="13" t="str">
        <f>"146,9040"</f>
        <v>146,9040</v>
      </c>
      <c r="M40" s="12" t="s">
        <v>441</v>
      </c>
    </row>
    <row r="41" spans="1:13">
      <c r="B41" s="5" t="s">
        <v>8</v>
      </c>
    </row>
    <row r="42" spans="1:13" ht="16">
      <c r="A42" s="48" t="s">
        <v>172</v>
      </c>
      <c r="B42" s="48"/>
      <c r="C42" s="49"/>
      <c r="D42" s="49"/>
      <c r="E42" s="49"/>
      <c r="F42" s="49"/>
      <c r="G42" s="49"/>
      <c r="H42" s="49"/>
      <c r="I42" s="49"/>
      <c r="J42" s="49"/>
    </row>
    <row r="43" spans="1:13">
      <c r="A43" s="11" t="s">
        <v>81</v>
      </c>
      <c r="B43" s="10" t="s">
        <v>199</v>
      </c>
      <c r="C43" s="10" t="s">
        <v>200</v>
      </c>
      <c r="D43" s="10" t="s">
        <v>201</v>
      </c>
      <c r="E43" s="10" t="s">
        <v>533</v>
      </c>
      <c r="F43" s="10" t="s">
        <v>437</v>
      </c>
      <c r="G43" s="20" t="s">
        <v>44</v>
      </c>
      <c r="H43" s="20" t="s">
        <v>167</v>
      </c>
      <c r="I43" s="20" t="s">
        <v>145</v>
      </c>
      <c r="J43" s="11"/>
      <c r="K43" s="45" t="str">
        <f>"270,0"</f>
        <v>270,0</v>
      </c>
      <c r="L43" s="11" t="str">
        <f>"161,1900"</f>
        <v>161,1900</v>
      </c>
      <c r="M43" s="10" t="s">
        <v>442</v>
      </c>
    </row>
    <row r="44" spans="1:13">
      <c r="A44" s="13" t="s">
        <v>83</v>
      </c>
      <c r="B44" s="12" t="s">
        <v>386</v>
      </c>
      <c r="C44" s="12" t="s">
        <v>387</v>
      </c>
      <c r="D44" s="12" t="s">
        <v>388</v>
      </c>
      <c r="E44" s="12" t="s">
        <v>533</v>
      </c>
      <c r="F44" s="12" t="s">
        <v>131</v>
      </c>
      <c r="G44" s="22" t="s">
        <v>50</v>
      </c>
      <c r="H44" s="22" t="s">
        <v>389</v>
      </c>
      <c r="I44" s="22" t="s">
        <v>389</v>
      </c>
      <c r="J44" s="13"/>
      <c r="K44" s="46">
        <v>0</v>
      </c>
      <c r="L44" s="13" t="str">
        <f>"0,0000"</f>
        <v>0,0000</v>
      </c>
      <c r="M44" s="12" t="s">
        <v>443</v>
      </c>
    </row>
    <row r="45" spans="1:13">
      <c r="B45" s="5" t="s">
        <v>8</v>
      </c>
    </row>
    <row r="46" spans="1:13" ht="16">
      <c r="A46" s="48" t="s">
        <v>321</v>
      </c>
      <c r="B46" s="48"/>
      <c r="C46" s="49"/>
      <c r="D46" s="49"/>
      <c r="E46" s="49"/>
      <c r="F46" s="49"/>
      <c r="G46" s="49"/>
      <c r="H46" s="49"/>
      <c r="I46" s="49"/>
      <c r="J46" s="49"/>
    </row>
    <row r="47" spans="1:13">
      <c r="A47" s="9" t="s">
        <v>81</v>
      </c>
      <c r="B47" s="8" t="s">
        <v>322</v>
      </c>
      <c r="C47" s="8" t="s">
        <v>323</v>
      </c>
      <c r="D47" s="8" t="s">
        <v>324</v>
      </c>
      <c r="E47" s="8" t="s">
        <v>533</v>
      </c>
      <c r="F47" s="8" t="s">
        <v>131</v>
      </c>
      <c r="G47" s="18" t="s">
        <v>325</v>
      </c>
      <c r="H47" s="18" t="s">
        <v>326</v>
      </c>
      <c r="I47" s="18" t="s">
        <v>327</v>
      </c>
      <c r="J47" s="9"/>
      <c r="K47" s="44" t="str">
        <f>"315,0"</f>
        <v>315,0</v>
      </c>
      <c r="L47" s="9" t="str">
        <f>"178,6050"</f>
        <v>178,6050</v>
      </c>
      <c r="M47" s="8" t="s">
        <v>529</v>
      </c>
    </row>
    <row r="48" spans="1:13">
      <c r="B48" s="5" t="s">
        <v>8</v>
      </c>
    </row>
    <row r="49" spans="2:5">
      <c r="B49" s="5" t="s">
        <v>8</v>
      </c>
    </row>
    <row r="50" spans="2:5">
      <c r="B50" s="5" t="s">
        <v>8</v>
      </c>
    </row>
    <row r="51" spans="2:5" ht="18">
      <c r="B51" s="7" t="s">
        <v>7</v>
      </c>
      <c r="C51" s="7"/>
    </row>
    <row r="52" spans="2:5" ht="16">
      <c r="B52" s="14" t="s">
        <v>78</v>
      </c>
      <c r="C52" s="14"/>
    </row>
    <row r="53" spans="2:5" ht="14">
      <c r="B53" s="15"/>
      <c r="C53" s="16" t="s">
        <v>72</v>
      </c>
    </row>
    <row r="54" spans="2:5" ht="14">
      <c r="B54" s="17" t="s">
        <v>73</v>
      </c>
      <c r="C54" s="17" t="s">
        <v>74</v>
      </c>
      <c r="D54" s="17" t="s">
        <v>508</v>
      </c>
      <c r="E54" s="17" t="s">
        <v>243</v>
      </c>
    </row>
    <row r="55" spans="2:5">
      <c r="B55" s="5" t="s">
        <v>322</v>
      </c>
      <c r="C55" s="5" t="s">
        <v>72</v>
      </c>
      <c r="D55" s="6" t="s">
        <v>328</v>
      </c>
      <c r="E55" s="6" t="s">
        <v>327</v>
      </c>
    </row>
    <row r="56" spans="2:5">
      <c r="B56" s="5" t="s">
        <v>141</v>
      </c>
      <c r="C56" s="5" t="s">
        <v>72</v>
      </c>
      <c r="D56" s="6" t="s">
        <v>79</v>
      </c>
      <c r="E56" s="6" t="s">
        <v>145</v>
      </c>
    </row>
    <row r="57" spans="2:5">
      <c r="B57" s="5" t="s">
        <v>199</v>
      </c>
      <c r="C57" s="5" t="s">
        <v>72</v>
      </c>
      <c r="D57" s="6" t="s">
        <v>182</v>
      </c>
      <c r="E57" s="6" t="s">
        <v>145</v>
      </c>
    </row>
  </sheetData>
  <mergeCells count="23">
    <mergeCell ref="A1:M2"/>
    <mergeCell ref="A3:A4"/>
    <mergeCell ref="C3:C4"/>
    <mergeCell ref="D3:D4"/>
    <mergeCell ref="E3:E4"/>
    <mergeCell ref="F3:F4"/>
    <mergeCell ref="G3:J3"/>
    <mergeCell ref="A21:J21"/>
    <mergeCell ref="A24:J24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30:J30"/>
    <mergeCell ref="A33:J33"/>
    <mergeCell ref="A38:J38"/>
    <mergeCell ref="A42:J42"/>
    <mergeCell ref="A46:J4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BDBB7-8C83-4C2D-9B5D-9E5D2FA2C4E9}">
  <dimension ref="A1:M21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4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58" t="s">
        <v>467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11</v>
      </c>
      <c r="H3" s="50"/>
      <c r="I3" s="50"/>
      <c r="J3" s="50"/>
      <c r="K3" s="50" t="s">
        <v>244</v>
      </c>
      <c r="L3" s="50" t="s">
        <v>3</v>
      </c>
      <c r="M3" s="52" t="s">
        <v>2</v>
      </c>
    </row>
    <row r="4" spans="1:13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12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9" t="s">
        <v>81</v>
      </c>
      <c r="B6" s="8" t="s">
        <v>337</v>
      </c>
      <c r="C6" s="8" t="s">
        <v>501</v>
      </c>
      <c r="D6" s="8" t="s">
        <v>338</v>
      </c>
      <c r="E6" s="8" t="s">
        <v>534</v>
      </c>
      <c r="F6" s="8" t="s">
        <v>436</v>
      </c>
      <c r="G6" s="18" t="s">
        <v>34</v>
      </c>
      <c r="H6" s="18" t="s">
        <v>112</v>
      </c>
      <c r="I6" s="19" t="s">
        <v>140</v>
      </c>
      <c r="J6" s="9"/>
      <c r="K6" s="9" t="str">
        <f>"110,0"</f>
        <v>110,0</v>
      </c>
      <c r="L6" s="9" t="str">
        <f>"113,8842"</f>
        <v>113,8842</v>
      </c>
      <c r="M6" s="8" t="s">
        <v>444</v>
      </c>
    </row>
    <row r="7" spans="1:13">
      <c r="B7" s="5" t="s">
        <v>8</v>
      </c>
    </row>
    <row r="8" spans="1:13" ht="16">
      <c r="A8" s="48" t="s">
        <v>24</v>
      </c>
      <c r="B8" s="48"/>
      <c r="C8" s="49"/>
      <c r="D8" s="49"/>
      <c r="E8" s="49"/>
      <c r="F8" s="49"/>
      <c r="G8" s="49"/>
      <c r="H8" s="49"/>
      <c r="I8" s="49"/>
      <c r="J8" s="49"/>
    </row>
    <row r="9" spans="1:13">
      <c r="A9" s="11" t="s">
        <v>81</v>
      </c>
      <c r="B9" s="10" t="s">
        <v>37</v>
      </c>
      <c r="C9" s="10" t="s">
        <v>38</v>
      </c>
      <c r="D9" s="10" t="s">
        <v>39</v>
      </c>
      <c r="E9" s="10" t="s">
        <v>533</v>
      </c>
      <c r="F9" s="10" t="s">
        <v>513</v>
      </c>
      <c r="G9" s="20" t="s">
        <v>43</v>
      </c>
      <c r="H9" s="20" t="s">
        <v>44</v>
      </c>
      <c r="I9" s="23" t="s">
        <v>45</v>
      </c>
      <c r="J9" s="11"/>
      <c r="K9" s="11" t="str">
        <f>"240,0"</f>
        <v>240,0</v>
      </c>
      <c r="L9" s="11" t="str">
        <f>"166,2480"</f>
        <v>166,2480</v>
      </c>
      <c r="M9" s="10" t="s">
        <v>515</v>
      </c>
    </row>
    <row r="10" spans="1:13">
      <c r="A10" s="13" t="s">
        <v>82</v>
      </c>
      <c r="B10" s="12" t="s">
        <v>339</v>
      </c>
      <c r="C10" s="12" t="s">
        <v>340</v>
      </c>
      <c r="D10" s="12" t="s">
        <v>138</v>
      </c>
      <c r="E10" s="12" t="s">
        <v>533</v>
      </c>
      <c r="F10" s="12" t="s">
        <v>435</v>
      </c>
      <c r="G10" s="21" t="s">
        <v>121</v>
      </c>
      <c r="H10" s="22" t="s">
        <v>113</v>
      </c>
      <c r="I10" s="22" t="s">
        <v>140</v>
      </c>
      <c r="J10" s="13"/>
      <c r="K10" s="13" t="str">
        <f>"115,0"</f>
        <v>115,0</v>
      </c>
      <c r="L10" s="13" t="str">
        <f>"77,7285"</f>
        <v>77,7285</v>
      </c>
      <c r="M10" s="12" t="s">
        <v>520</v>
      </c>
    </row>
    <row r="11" spans="1:13">
      <c r="B11" s="5" t="s">
        <v>8</v>
      </c>
    </row>
    <row r="12" spans="1:13" ht="16">
      <c r="A12" s="48" t="s">
        <v>46</v>
      </c>
      <c r="B12" s="48"/>
      <c r="C12" s="49"/>
      <c r="D12" s="49"/>
      <c r="E12" s="49"/>
      <c r="F12" s="49"/>
      <c r="G12" s="49"/>
      <c r="H12" s="49"/>
      <c r="I12" s="49"/>
      <c r="J12" s="49"/>
    </row>
    <row r="13" spans="1:13">
      <c r="A13" s="9" t="s">
        <v>81</v>
      </c>
      <c r="B13" s="8" t="s">
        <v>341</v>
      </c>
      <c r="C13" s="8" t="s">
        <v>342</v>
      </c>
      <c r="D13" s="8" t="s">
        <v>49</v>
      </c>
      <c r="E13" s="8" t="s">
        <v>533</v>
      </c>
      <c r="F13" s="8" t="s">
        <v>438</v>
      </c>
      <c r="G13" s="18" t="s">
        <v>145</v>
      </c>
      <c r="H13" s="18" t="s">
        <v>325</v>
      </c>
      <c r="I13" s="18" t="s">
        <v>53</v>
      </c>
      <c r="J13" s="9"/>
      <c r="K13" s="9" t="str">
        <f>"300,0"</f>
        <v>300,0</v>
      </c>
      <c r="L13" s="9" t="str">
        <f>"195,2100"</f>
        <v>195,2100</v>
      </c>
      <c r="M13" s="8" t="s">
        <v>529</v>
      </c>
    </row>
    <row r="14" spans="1:13">
      <c r="B14" s="5" t="s">
        <v>8</v>
      </c>
    </row>
    <row r="15" spans="1:13" ht="16">
      <c r="A15" s="48" t="s">
        <v>64</v>
      </c>
      <c r="B15" s="48"/>
      <c r="C15" s="49"/>
      <c r="D15" s="49"/>
      <c r="E15" s="49"/>
      <c r="F15" s="49"/>
      <c r="G15" s="49"/>
      <c r="H15" s="49"/>
      <c r="I15" s="49"/>
      <c r="J15" s="49"/>
    </row>
    <row r="16" spans="1:13">
      <c r="A16" s="11" t="s">
        <v>81</v>
      </c>
      <c r="B16" s="10" t="s">
        <v>343</v>
      </c>
      <c r="C16" s="10" t="s">
        <v>344</v>
      </c>
      <c r="D16" s="10" t="s">
        <v>345</v>
      </c>
      <c r="E16" s="10" t="s">
        <v>533</v>
      </c>
      <c r="F16" s="10" t="s">
        <v>445</v>
      </c>
      <c r="G16" s="20" t="s">
        <v>43</v>
      </c>
      <c r="H16" s="20" t="s">
        <v>171</v>
      </c>
      <c r="I16" s="23" t="s">
        <v>346</v>
      </c>
      <c r="J16" s="11"/>
      <c r="K16" s="11" t="str">
        <f>"245,0"</f>
        <v>245,0</v>
      </c>
      <c r="L16" s="11" t="str">
        <f>"151,2630"</f>
        <v>151,2630</v>
      </c>
      <c r="M16" s="10" t="s">
        <v>529</v>
      </c>
    </row>
    <row r="17" spans="1:13">
      <c r="A17" s="25" t="s">
        <v>81</v>
      </c>
      <c r="B17" s="24" t="s">
        <v>347</v>
      </c>
      <c r="C17" s="24" t="s">
        <v>502</v>
      </c>
      <c r="D17" s="24" t="s">
        <v>348</v>
      </c>
      <c r="E17" s="24" t="s">
        <v>534</v>
      </c>
      <c r="F17" s="24" t="s">
        <v>445</v>
      </c>
      <c r="G17" s="26" t="s">
        <v>43</v>
      </c>
      <c r="H17" s="26" t="s">
        <v>44</v>
      </c>
      <c r="I17" s="26" t="s">
        <v>171</v>
      </c>
      <c r="J17" s="25"/>
      <c r="K17" s="25" t="str">
        <f>"245,0"</f>
        <v>245,0</v>
      </c>
      <c r="L17" s="25" t="str">
        <f>"160,7803"</f>
        <v>160,7803</v>
      </c>
      <c r="M17" s="24" t="s">
        <v>529</v>
      </c>
    </row>
    <row r="18" spans="1:13">
      <c r="A18" s="25" t="s">
        <v>81</v>
      </c>
      <c r="B18" s="24" t="s">
        <v>349</v>
      </c>
      <c r="C18" s="24" t="s">
        <v>503</v>
      </c>
      <c r="D18" s="24" t="s">
        <v>350</v>
      </c>
      <c r="E18" s="24" t="s">
        <v>538</v>
      </c>
      <c r="F18" s="24" t="s">
        <v>438</v>
      </c>
      <c r="G18" s="26" t="s">
        <v>30</v>
      </c>
      <c r="H18" s="27" t="s">
        <v>71</v>
      </c>
      <c r="I18" s="26" t="s">
        <v>58</v>
      </c>
      <c r="J18" s="25"/>
      <c r="K18" s="25" t="str">
        <f>"200,0"</f>
        <v>200,0</v>
      </c>
      <c r="L18" s="25" t="str">
        <f>"174,0180"</f>
        <v>174,0180</v>
      </c>
      <c r="M18" s="24" t="s">
        <v>529</v>
      </c>
    </row>
    <row r="19" spans="1:13">
      <c r="A19" s="25" t="s">
        <v>82</v>
      </c>
      <c r="B19" s="24" t="s">
        <v>351</v>
      </c>
      <c r="C19" s="24" t="s">
        <v>504</v>
      </c>
      <c r="D19" s="24" t="s">
        <v>352</v>
      </c>
      <c r="E19" s="24" t="s">
        <v>538</v>
      </c>
      <c r="F19" s="24" t="s">
        <v>438</v>
      </c>
      <c r="G19" s="26" t="s">
        <v>30</v>
      </c>
      <c r="H19" s="26" t="s">
        <v>35</v>
      </c>
      <c r="I19" s="26" t="s">
        <v>70</v>
      </c>
      <c r="J19" s="25"/>
      <c r="K19" s="25" t="str">
        <f>"170,0"</f>
        <v>170,0</v>
      </c>
      <c r="L19" s="25" t="str">
        <f>"146,1211"</f>
        <v>146,1211</v>
      </c>
      <c r="M19" s="24" t="s">
        <v>529</v>
      </c>
    </row>
    <row r="20" spans="1:13">
      <c r="A20" s="13" t="s">
        <v>183</v>
      </c>
      <c r="B20" s="12" t="s">
        <v>353</v>
      </c>
      <c r="C20" s="12" t="s">
        <v>505</v>
      </c>
      <c r="D20" s="12" t="s">
        <v>354</v>
      </c>
      <c r="E20" s="12" t="s">
        <v>538</v>
      </c>
      <c r="F20" s="12" t="s">
        <v>438</v>
      </c>
      <c r="G20" s="22" t="s">
        <v>121</v>
      </c>
      <c r="H20" s="21" t="s">
        <v>113</v>
      </c>
      <c r="I20" s="21" t="s">
        <v>42</v>
      </c>
      <c r="J20" s="13"/>
      <c r="K20" s="13" t="str">
        <f>"135,0"</f>
        <v>135,0</v>
      </c>
      <c r="L20" s="13" t="str">
        <f>"126,3333"</f>
        <v>126,3333</v>
      </c>
      <c r="M20" s="12" t="s">
        <v>529</v>
      </c>
    </row>
    <row r="21" spans="1:13">
      <c r="B21" s="5" t="s">
        <v>8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C9C4-DE70-4ED6-A2F2-3D5355AD8E94}">
  <dimension ref="A1:M8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8.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6640625" style="5" customWidth="1"/>
    <col min="14" max="16384" width="9.1640625" style="3"/>
  </cols>
  <sheetData>
    <row r="1" spans="1:13" s="2" customFormat="1" ht="29" customHeight="1">
      <c r="A1" s="58" t="s">
        <v>468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11</v>
      </c>
      <c r="H3" s="50"/>
      <c r="I3" s="50"/>
      <c r="J3" s="50"/>
      <c r="K3" s="50" t="s">
        <v>244</v>
      </c>
      <c r="L3" s="50" t="s">
        <v>3</v>
      </c>
      <c r="M3" s="52" t="s">
        <v>2</v>
      </c>
    </row>
    <row r="4" spans="1:13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100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9" t="s">
        <v>81</v>
      </c>
      <c r="B6" s="8" t="s">
        <v>393</v>
      </c>
      <c r="C6" s="8" t="s">
        <v>506</v>
      </c>
      <c r="D6" s="8" t="s">
        <v>394</v>
      </c>
      <c r="E6" s="8" t="s">
        <v>535</v>
      </c>
      <c r="F6" s="8" t="s">
        <v>261</v>
      </c>
      <c r="G6" s="18" t="s">
        <v>71</v>
      </c>
      <c r="H6" s="18" t="s">
        <v>132</v>
      </c>
      <c r="I6" s="19" t="s">
        <v>206</v>
      </c>
      <c r="J6" s="9"/>
      <c r="K6" s="9" t="str">
        <f>"190,0"</f>
        <v>190,0</v>
      </c>
      <c r="L6" s="9" t="str">
        <f>"165,8890"</f>
        <v>165,8890</v>
      </c>
      <c r="M6" s="8" t="s">
        <v>529</v>
      </c>
    </row>
    <row r="7" spans="1:13" ht="12.5" customHeight="1">
      <c r="B7" s="5" t="s">
        <v>8</v>
      </c>
    </row>
    <row r="8" spans="1:13">
      <c r="B8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4505-B778-4123-AAA9-BC7D1F6A93B5}">
  <dimension ref="A1:M7"/>
  <sheetViews>
    <sheetView tabSelected="1"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7.3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8" style="5" customWidth="1"/>
    <col min="14" max="16384" width="9.1640625" style="3"/>
  </cols>
  <sheetData>
    <row r="1" spans="1:13" s="2" customFormat="1" ht="29" customHeight="1">
      <c r="A1" s="58" t="s">
        <v>469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11</v>
      </c>
      <c r="H3" s="50"/>
      <c r="I3" s="50"/>
      <c r="J3" s="50"/>
      <c r="K3" s="50" t="s">
        <v>244</v>
      </c>
      <c r="L3" s="50" t="s">
        <v>3</v>
      </c>
      <c r="M3" s="52" t="s">
        <v>2</v>
      </c>
    </row>
    <row r="4" spans="1:13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105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9" t="s">
        <v>81</v>
      </c>
      <c r="B6" s="8" t="s">
        <v>390</v>
      </c>
      <c r="C6" s="8" t="s">
        <v>507</v>
      </c>
      <c r="D6" s="8" t="s">
        <v>391</v>
      </c>
      <c r="E6" s="8" t="s">
        <v>536</v>
      </c>
      <c r="F6" s="8" t="s">
        <v>392</v>
      </c>
      <c r="G6" s="18" t="s">
        <v>42</v>
      </c>
      <c r="H6" s="18" t="s">
        <v>61</v>
      </c>
      <c r="I6" s="19" t="s">
        <v>134</v>
      </c>
      <c r="J6" s="9"/>
      <c r="K6" s="9" t="str">
        <f>"147,5"</f>
        <v>147,5</v>
      </c>
      <c r="L6" s="9" t="str">
        <f>"156,5418"</f>
        <v>156,5418</v>
      </c>
      <c r="M6" s="8" t="s">
        <v>527</v>
      </c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18783-62E6-4C78-87CC-A6CE36EF57C9}">
  <dimension ref="A1:U18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7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4.8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7.6640625" style="5" bestFit="1" customWidth="1"/>
    <col min="22" max="16384" width="9.1640625" style="3"/>
  </cols>
  <sheetData>
    <row r="1" spans="1:21" s="2" customFormat="1" ht="29" customHeight="1">
      <c r="A1" s="58" t="s">
        <v>454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</row>
    <row r="3" spans="1:21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9</v>
      </c>
      <c r="H3" s="50"/>
      <c r="I3" s="50"/>
      <c r="J3" s="50"/>
      <c r="K3" s="50" t="s">
        <v>10</v>
      </c>
      <c r="L3" s="50"/>
      <c r="M3" s="50"/>
      <c r="N3" s="50"/>
      <c r="O3" s="50" t="s">
        <v>11</v>
      </c>
      <c r="P3" s="50"/>
      <c r="Q3" s="50"/>
      <c r="R3" s="50"/>
      <c r="S3" s="50" t="s">
        <v>1</v>
      </c>
      <c r="T3" s="50" t="s">
        <v>3</v>
      </c>
      <c r="U3" s="52" t="s">
        <v>2</v>
      </c>
    </row>
    <row r="4" spans="1:21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1"/>
      <c r="T4" s="51"/>
      <c r="U4" s="53"/>
    </row>
    <row r="5" spans="1:21" ht="16">
      <c r="A5" s="54" t="s">
        <v>12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1">
      <c r="A6" s="9" t="s">
        <v>81</v>
      </c>
      <c r="B6" s="8" t="s">
        <v>13</v>
      </c>
      <c r="C6" s="8" t="s">
        <v>14</v>
      </c>
      <c r="D6" s="8" t="s">
        <v>15</v>
      </c>
      <c r="E6" s="8" t="s">
        <v>533</v>
      </c>
      <c r="F6" s="8" t="s">
        <v>435</v>
      </c>
      <c r="G6" s="18" t="s">
        <v>16</v>
      </c>
      <c r="H6" s="18" t="s">
        <v>17</v>
      </c>
      <c r="I6" s="18" t="s">
        <v>18</v>
      </c>
      <c r="J6" s="9"/>
      <c r="K6" s="18" t="s">
        <v>19</v>
      </c>
      <c r="L6" s="18" t="s">
        <v>20</v>
      </c>
      <c r="M6" s="18" t="s">
        <v>21</v>
      </c>
      <c r="N6" s="9"/>
      <c r="O6" s="18" t="s">
        <v>17</v>
      </c>
      <c r="P6" s="18" t="s">
        <v>22</v>
      </c>
      <c r="Q6" s="19" t="s">
        <v>23</v>
      </c>
      <c r="R6" s="9"/>
      <c r="S6" s="9" t="str">
        <f>"205,0"</f>
        <v>205,0</v>
      </c>
      <c r="T6" s="9" t="str">
        <f>"198,9935"</f>
        <v>198,9935</v>
      </c>
      <c r="U6" s="8" t="s">
        <v>529</v>
      </c>
    </row>
    <row r="7" spans="1:21">
      <c r="B7" s="5" t="s">
        <v>8</v>
      </c>
    </row>
    <row r="8" spans="1:21" ht="16">
      <c r="A8" s="48" t="s">
        <v>24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>
      <c r="A9" s="11" t="s">
        <v>81</v>
      </c>
      <c r="B9" s="10" t="s">
        <v>25</v>
      </c>
      <c r="C9" s="10" t="s">
        <v>26</v>
      </c>
      <c r="D9" s="10" t="s">
        <v>27</v>
      </c>
      <c r="E9" s="10" t="s">
        <v>532</v>
      </c>
      <c r="F9" s="10" t="s">
        <v>28</v>
      </c>
      <c r="G9" s="20" t="s">
        <v>29</v>
      </c>
      <c r="H9" s="20" t="s">
        <v>30</v>
      </c>
      <c r="I9" s="20" t="s">
        <v>31</v>
      </c>
      <c r="J9" s="11"/>
      <c r="K9" s="20" t="s">
        <v>32</v>
      </c>
      <c r="L9" s="20" t="s">
        <v>33</v>
      </c>
      <c r="M9" s="20" t="s">
        <v>34</v>
      </c>
      <c r="N9" s="11"/>
      <c r="O9" s="20" t="s">
        <v>30</v>
      </c>
      <c r="P9" s="20" t="s">
        <v>35</v>
      </c>
      <c r="Q9" s="20" t="s">
        <v>36</v>
      </c>
      <c r="R9" s="11"/>
      <c r="S9" s="11" t="str">
        <f>"430,0"</f>
        <v>430,0</v>
      </c>
      <c r="T9" s="11" t="str">
        <f>"303,0640"</f>
        <v>303,0640</v>
      </c>
      <c r="U9" s="10" t="s">
        <v>514</v>
      </c>
    </row>
    <row r="10" spans="1:21">
      <c r="A10" s="13" t="s">
        <v>81</v>
      </c>
      <c r="B10" s="12" t="s">
        <v>37</v>
      </c>
      <c r="C10" s="12" t="s">
        <v>38</v>
      </c>
      <c r="D10" s="12" t="s">
        <v>39</v>
      </c>
      <c r="E10" s="12" t="s">
        <v>533</v>
      </c>
      <c r="F10" s="12" t="s">
        <v>513</v>
      </c>
      <c r="G10" s="21" t="s">
        <v>40</v>
      </c>
      <c r="H10" s="21" t="s">
        <v>41</v>
      </c>
      <c r="I10" s="21" t="s">
        <v>30</v>
      </c>
      <c r="J10" s="13"/>
      <c r="K10" s="22" t="s">
        <v>40</v>
      </c>
      <c r="L10" s="21" t="s">
        <v>40</v>
      </c>
      <c r="M10" s="22" t="s">
        <v>42</v>
      </c>
      <c r="N10" s="13"/>
      <c r="O10" s="21" t="s">
        <v>43</v>
      </c>
      <c r="P10" s="21" t="s">
        <v>44</v>
      </c>
      <c r="Q10" s="22" t="s">
        <v>45</v>
      </c>
      <c r="R10" s="13"/>
      <c r="S10" s="13" t="str">
        <f>"520,0"</f>
        <v>520,0</v>
      </c>
      <c r="T10" s="13" t="str">
        <f>"360,2040"</f>
        <v>360,2040</v>
      </c>
      <c r="U10" s="12" t="s">
        <v>515</v>
      </c>
    </row>
    <row r="11" spans="1:21">
      <c r="B11" s="5" t="s">
        <v>8</v>
      </c>
    </row>
    <row r="12" spans="1:21" ht="16">
      <c r="A12" s="48" t="s">
        <v>46</v>
      </c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21">
      <c r="A13" s="11" t="s">
        <v>81</v>
      </c>
      <c r="B13" s="10" t="s">
        <v>47</v>
      </c>
      <c r="C13" s="10" t="s">
        <v>48</v>
      </c>
      <c r="D13" s="10" t="s">
        <v>49</v>
      </c>
      <c r="E13" s="10" t="s">
        <v>533</v>
      </c>
      <c r="F13" s="10" t="s">
        <v>435</v>
      </c>
      <c r="G13" s="20" t="s">
        <v>50</v>
      </c>
      <c r="H13" s="20" t="s">
        <v>44</v>
      </c>
      <c r="I13" s="20" t="s">
        <v>51</v>
      </c>
      <c r="J13" s="11"/>
      <c r="K13" s="20" t="s">
        <v>40</v>
      </c>
      <c r="L13" s="20" t="s">
        <v>29</v>
      </c>
      <c r="M13" s="20" t="s">
        <v>35</v>
      </c>
      <c r="N13" s="11"/>
      <c r="O13" s="20" t="s">
        <v>52</v>
      </c>
      <c r="P13" s="20" t="s">
        <v>53</v>
      </c>
      <c r="Q13" s="23" t="s">
        <v>54</v>
      </c>
      <c r="R13" s="11"/>
      <c r="S13" s="11" t="str">
        <f>"710,0"</f>
        <v>710,0</v>
      </c>
      <c r="T13" s="11" t="str">
        <f>"461,9970"</f>
        <v>461,9970</v>
      </c>
      <c r="U13" s="10" t="s">
        <v>529</v>
      </c>
    </row>
    <row r="14" spans="1:21">
      <c r="A14" s="13" t="s">
        <v>82</v>
      </c>
      <c r="B14" s="12" t="s">
        <v>55</v>
      </c>
      <c r="C14" s="12" t="s">
        <v>56</v>
      </c>
      <c r="D14" s="12" t="s">
        <v>57</v>
      </c>
      <c r="E14" s="12" t="s">
        <v>533</v>
      </c>
      <c r="F14" s="12" t="s">
        <v>436</v>
      </c>
      <c r="G14" s="21" t="s">
        <v>58</v>
      </c>
      <c r="H14" s="22" t="s">
        <v>59</v>
      </c>
      <c r="I14" s="21" t="s">
        <v>60</v>
      </c>
      <c r="J14" s="13"/>
      <c r="K14" s="21" t="s">
        <v>41</v>
      </c>
      <c r="L14" s="21" t="s">
        <v>61</v>
      </c>
      <c r="M14" s="21" t="s">
        <v>62</v>
      </c>
      <c r="N14" s="13"/>
      <c r="O14" s="21" t="s">
        <v>58</v>
      </c>
      <c r="P14" s="21" t="s">
        <v>63</v>
      </c>
      <c r="Q14" s="21" t="s">
        <v>43</v>
      </c>
      <c r="R14" s="13"/>
      <c r="S14" s="13" t="str">
        <f>"605,0"</f>
        <v>605,0</v>
      </c>
      <c r="T14" s="13" t="str">
        <f>"389,3780"</f>
        <v>389,3780</v>
      </c>
      <c r="U14" s="12" t="s">
        <v>451</v>
      </c>
    </row>
    <row r="15" spans="1:21">
      <c r="B15" s="5" t="s">
        <v>8</v>
      </c>
    </row>
    <row r="16" spans="1:21" ht="16">
      <c r="A16" s="48" t="s">
        <v>67</v>
      </c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21">
      <c r="A17" s="9" t="s">
        <v>81</v>
      </c>
      <c r="B17" s="8" t="s">
        <v>68</v>
      </c>
      <c r="C17" s="8" t="s">
        <v>476</v>
      </c>
      <c r="D17" s="8" t="s">
        <v>69</v>
      </c>
      <c r="E17" s="8" t="s">
        <v>536</v>
      </c>
      <c r="F17" s="8" t="s">
        <v>435</v>
      </c>
      <c r="G17" s="18" t="s">
        <v>60</v>
      </c>
      <c r="H17" s="18" t="s">
        <v>43</v>
      </c>
      <c r="I17" s="18" t="s">
        <v>44</v>
      </c>
      <c r="J17" s="9"/>
      <c r="K17" s="18" t="s">
        <v>30</v>
      </c>
      <c r="L17" s="18" t="s">
        <v>70</v>
      </c>
      <c r="M17" s="18" t="s">
        <v>71</v>
      </c>
      <c r="N17" s="9"/>
      <c r="O17" s="18" t="s">
        <v>60</v>
      </c>
      <c r="P17" s="18" t="s">
        <v>43</v>
      </c>
      <c r="Q17" s="18" t="s">
        <v>44</v>
      </c>
      <c r="R17" s="9"/>
      <c r="S17" s="9" t="str">
        <f>"660,0"</f>
        <v>660,0</v>
      </c>
      <c r="T17" s="9" t="str">
        <f>"398,1999"</f>
        <v>398,1999</v>
      </c>
      <c r="U17" s="8" t="s">
        <v>529</v>
      </c>
    </row>
    <row r="18" spans="1:21">
      <c r="B18" s="5" t="s">
        <v>8</v>
      </c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2:R12"/>
    <mergeCell ref="A16:R16"/>
    <mergeCell ref="B3:B4"/>
    <mergeCell ref="S3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F711-5204-4AA6-8DC6-2159813FD5F2}">
  <dimension ref="A1:U16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0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4.8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8.33203125" style="5" bestFit="1" customWidth="1"/>
    <col min="22" max="16384" width="9.1640625" style="3"/>
  </cols>
  <sheetData>
    <row r="1" spans="1:21" s="2" customFormat="1" ht="29" customHeight="1">
      <c r="A1" s="58" t="s">
        <v>455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</row>
    <row r="3" spans="1:21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9</v>
      </c>
      <c r="H3" s="50"/>
      <c r="I3" s="50"/>
      <c r="J3" s="50"/>
      <c r="K3" s="50" t="s">
        <v>10</v>
      </c>
      <c r="L3" s="50"/>
      <c r="M3" s="50"/>
      <c r="N3" s="50"/>
      <c r="O3" s="50" t="s">
        <v>11</v>
      </c>
      <c r="P3" s="50"/>
      <c r="Q3" s="50"/>
      <c r="R3" s="50"/>
      <c r="S3" s="50" t="s">
        <v>1</v>
      </c>
      <c r="T3" s="50" t="s">
        <v>3</v>
      </c>
      <c r="U3" s="52" t="s">
        <v>2</v>
      </c>
    </row>
    <row r="4" spans="1:21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1"/>
      <c r="T4" s="51"/>
      <c r="U4" s="53"/>
    </row>
    <row r="5" spans="1:21" ht="16">
      <c r="A5" s="54" t="s">
        <v>105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1">
      <c r="A6" s="9" t="s">
        <v>81</v>
      </c>
      <c r="B6" s="8" t="s">
        <v>191</v>
      </c>
      <c r="C6" s="8" t="s">
        <v>192</v>
      </c>
      <c r="D6" s="8" t="s">
        <v>193</v>
      </c>
      <c r="E6" s="8" t="s">
        <v>533</v>
      </c>
      <c r="F6" s="8" t="s">
        <v>435</v>
      </c>
      <c r="G6" s="18" t="s">
        <v>34</v>
      </c>
      <c r="H6" s="18" t="s">
        <v>194</v>
      </c>
      <c r="I6" s="19" t="s">
        <v>120</v>
      </c>
      <c r="J6" s="9"/>
      <c r="K6" s="18" t="s">
        <v>195</v>
      </c>
      <c r="L6" s="18" t="s">
        <v>103</v>
      </c>
      <c r="M6" s="19" t="s">
        <v>98</v>
      </c>
      <c r="N6" s="9"/>
      <c r="O6" s="18" t="s">
        <v>121</v>
      </c>
      <c r="P6" s="18" t="s">
        <v>113</v>
      </c>
      <c r="Q6" s="18" t="s">
        <v>114</v>
      </c>
      <c r="R6" s="9"/>
      <c r="S6" s="9" t="str">
        <f>"287,5"</f>
        <v>287,5</v>
      </c>
      <c r="T6" s="9" t="str">
        <f>"306,9350"</f>
        <v>306,9350</v>
      </c>
      <c r="U6" s="8" t="s">
        <v>529</v>
      </c>
    </row>
    <row r="7" spans="1:21">
      <c r="B7" s="5" t="s">
        <v>8</v>
      </c>
    </row>
    <row r="8" spans="1:21" ht="16">
      <c r="A8" s="48" t="s">
        <v>46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>
      <c r="A9" s="9" t="s">
        <v>81</v>
      </c>
      <c r="B9" s="8" t="s">
        <v>196</v>
      </c>
      <c r="C9" s="8" t="s">
        <v>197</v>
      </c>
      <c r="D9" s="8" t="s">
        <v>198</v>
      </c>
      <c r="E9" s="8" t="s">
        <v>533</v>
      </c>
      <c r="F9" s="8" t="s">
        <v>88</v>
      </c>
      <c r="G9" s="18" t="s">
        <v>71</v>
      </c>
      <c r="H9" s="18" t="s">
        <v>152</v>
      </c>
      <c r="I9" s="18" t="s">
        <v>132</v>
      </c>
      <c r="J9" s="9"/>
      <c r="K9" s="18" t="s">
        <v>112</v>
      </c>
      <c r="L9" s="18" t="s">
        <v>121</v>
      </c>
      <c r="M9" s="18" t="s">
        <v>113</v>
      </c>
      <c r="N9" s="9"/>
      <c r="O9" s="18" t="s">
        <v>70</v>
      </c>
      <c r="P9" s="18" t="s">
        <v>71</v>
      </c>
      <c r="Q9" s="18" t="s">
        <v>132</v>
      </c>
      <c r="R9" s="9"/>
      <c r="S9" s="9" t="str">
        <f>"500,0"</f>
        <v>500,0</v>
      </c>
      <c r="T9" s="9" t="str">
        <f>"322,2000"</f>
        <v>322,2000</v>
      </c>
      <c r="U9" s="8" t="s">
        <v>529</v>
      </c>
    </row>
    <row r="10" spans="1:21">
      <c r="B10" s="5" t="s">
        <v>8</v>
      </c>
    </row>
    <row r="11" spans="1:21" ht="16">
      <c r="A11" s="48" t="s">
        <v>172</v>
      </c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1">
      <c r="A12" s="9" t="s">
        <v>81</v>
      </c>
      <c r="B12" s="8" t="s">
        <v>199</v>
      </c>
      <c r="C12" s="8" t="s">
        <v>200</v>
      </c>
      <c r="D12" s="8" t="s">
        <v>201</v>
      </c>
      <c r="E12" s="8" t="s">
        <v>533</v>
      </c>
      <c r="F12" s="8" t="s">
        <v>437</v>
      </c>
      <c r="G12" s="18" t="s">
        <v>71</v>
      </c>
      <c r="H12" s="18" t="s">
        <v>58</v>
      </c>
      <c r="I12" s="18" t="s">
        <v>59</v>
      </c>
      <c r="J12" s="9"/>
      <c r="K12" s="18" t="s">
        <v>41</v>
      </c>
      <c r="L12" s="18" t="s">
        <v>30</v>
      </c>
      <c r="M12" s="18" t="s">
        <v>35</v>
      </c>
      <c r="N12" s="9"/>
      <c r="O12" s="18" t="s">
        <v>44</v>
      </c>
      <c r="P12" s="18" t="s">
        <v>167</v>
      </c>
      <c r="Q12" s="18" t="s">
        <v>145</v>
      </c>
      <c r="R12" s="9"/>
      <c r="S12" s="9" t="str">
        <f>"640,0"</f>
        <v>640,0</v>
      </c>
      <c r="T12" s="9" t="str">
        <f>"382,0800"</f>
        <v>382,0800</v>
      </c>
      <c r="U12" s="8" t="s">
        <v>450</v>
      </c>
    </row>
    <row r="13" spans="1:21">
      <c r="B13" s="5" t="s">
        <v>8</v>
      </c>
    </row>
    <row r="14" spans="1:21" ht="16">
      <c r="A14" s="48" t="s">
        <v>67</v>
      </c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21">
      <c r="A15" s="9" t="s">
        <v>81</v>
      </c>
      <c r="B15" s="8" t="s">
        <v>202</v>
      </c>
      <c r="C15" s="8" t="s">
        <v>203</v>
      </c>
      <c r="D15" s="8" t="s">
        <v>204</v>
      </c>
      <c r="E15" s="8" t="s">
        <v>533</v>
      </c>
      <c r="F15" s="8" t="s">
        <v>435</v>
      </c>
      <c r="G15" s="19" t="s">
        <v>205</v>
      </c>
      <c r="H15" s="18" t="s">
        <v>52</v>
      </c>
      <c r="I15" s="18" t="s">
        <v>53</v>
      </c>
      <c r="J15" s="9"/>
      <c r="K15" s="19" t="s">
        <v>152</v>
      </c>
      <c r="L15" s="18" t="s">
        <v>206</v>
      </c>
      <c r="M15" s="18" t="s">
        <v>58</v>
      </c>
      <c r="N15" s="9"/>
      <c r="O15" s="18" t="s">
        <v>51</v>
      </c>
      <c r="P15" s="19" t="s">
        <v>167</v>
      </c>
      <c r="Q15" s="18" t="s">
        <v>167</v>
      </c>
      <c r="R15" s="9"/>
      <c r="S15" s="9" t="str">
        <f>"760,0"</f>
        <v>760,0</v>
      </c>
      <c r="T15" s="9" t="str">
        <f>"437,9120"</f>
        <v>437,9120</v>
      </c>
      <c r="U15" s="8" t="s">
        <v>529</v>
      </c>
    </row>
    <row r="16" spans="1:21">
      <c r="B16" s="5" t="s">
        <v>8</v>
      </c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B3:B4"/>
    <mergeCell ref="S3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D0C07-DEDE-4D8A-ABBE-C90F4EFE5EF0}">
  <dimension ref="A1:U10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8.1640625" style="5" bestFit="1" customWidth="1"/>
    <col min="3" max="3" width="28.5" style="5" bestFit="1" customWidth="1"/>
    <col min="4" max="4" width="20.83203125" style="5" bestFit="1" customWidth="1"/>
    <col min="5" max="5" width="10.1640625" style="5" bestFit="1" customWidth="1"/>
    <col min="6" max="6" width="30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5.83203125" style="5" bestFit="1" customWidth="1"/>
    <col min="22" max="16384" width="9.1640625" style="3"/>
  </cols>
  <sheetData>
    <row r="1" spans="1:21" s="2" customFormat="1" ht="29" customHeight="1">
      <c r="A1" s="58" t="s">
        <v>456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</row>
    <row r="3" spans="1:21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9</v>
      </c>
      <c r="H3" s="50"/>
      <c r="I3" s="50"/>
      <c r="J3" s="50"/>
      <c r="K3" s="50" t="s">
        <v>10</v>
      </c>
      <c r="L3" s="50"/>
      <c r="M3" s="50"/>
      <c r="N3" s="50"/>
      <c r="O3" s="50" t="s">
        <v>11</v>
      </c>
      <c r="P3" s="50"/>
      <c r="Q3" s="50"/>
      <c r="R3" s="50"/>
      <c r="S3" s="50" t="s">
        <v>1</v>
      </c>
      <c r="T3" s="50" t="s">
        <v>3</v>
      </c>
      <c r="U3" s="52" t="s">
        <v>2</v>
      </c>
    </row>
    <row r="4" spans="1:21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1"/>
      <c r="T4" s="51"/>
      <c r="U4" s="53"/>
    </row>
    <row r="5" spans="1:21" ht="16">
      <c r="A5" s="54" t="s">
        <v>46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1">
      <c r="A6" s="9" t="s">
        <v>81</v>
      </c>
      <c r="B6" s="8" t="s">
        <v>186</v>
      </c>
      <c r="C6" s="8" t="s">
        <v>477</v>
      </c>
      <c r="D6" s="8" t="s">
        <v>187</v>
      </c>
      <c r="E6" s="8" t="s">
        <v>535</v>
      </c>
      <c r="F6" s="8" t="s">
        <v>28</v>
      </c>
      <c r="G6" s="18" t="s">
        <v>44</v>
      </c>
      <c r="H6" s="19" t="s">
        <v>51</v>
      </c>
      <c r="I6" s="18" t="s">
        <v>51</v>
      </c>
      <c r="J6" s="9"/>
      <c r="K6" s="18" t="s">
        <v>30</v>
      </c>
      <c r="L6" s="18" t="s">
        <v>31</v>
      </c>
      <c r="M6" s="18" t="s">
        <v>150</v>
      </c>
      <c r="N6" s="9"/>
      <c r="O6" s="18" t="s">
        <v>43</v>
      </c>
      <c r="P6" s="19" t="s">
        <v>171</v>
      </c>
      <c r="Q6" s="18" t="s">
        <v>171</v>
      </c>
      <c r="R6" s="9"/>
      <c r="S6" s="9" t="str">
        <f>"660,0"</f>
        <v>660,0</v>
      </c>
      <c r="T6" s="9" t="str">
        <f>"428,9340"</f>
        <v>428,9340</v>
      </c>
      <c r="U6" s="8" t="s">
        <v>516</v>
      </c>
    </row>
    <row r="7" spans="1:21">
      <c r="B7" s="5" t="s">
        <v>8</v>
      </c>
    </row>
    <row r="8" spans="1:21" ht="16">
      <c r="A8" s="48" t="s">
        <v>64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>
      <c r="A9" s="9" t="s">
        <v>81</v>
      </c>
      <c r="B9" s="8" t="s">
        <v>188</v>
      </c>
      <c r="C9" s="8" t="s">
        <v>189</v>
      </c>
      <c r="D9" s="8" t="s">
        <v>190</v>
      </c>
      <c r="E9" s="8" t="s">
        <v>533</v>
      </c>
      <c r="F9" s="8" t="s">
        <v>28</v>
      </c>
      <c r="G9" s="18" t="s">
        <v>43</v>
      </c>
      <c r="H9" s="18" t="s">
        <v>44</v>
      </c>
      <c r="I9" s="18" t="s">
        <v>51</v>
      </c>
      <c r="J9" s="9"/>
      <c r="K9" s="18" t="s">
        <v>40</v>
      </c>
      <c r="L9" s="18" t="s">
        <v>41</v>
      </c>
      <c r="M9" s="18" t="s">
        <v>61</v>
      </c>
      <c r="N9" s="9"/>
      <c r="O9" s="18" t="s">
        <v>65</v>
      </c>
      <c r="P9" s="19" t="s">
        <v>51</v>
      </c>
      <c r="Q9" s="19" t="s">
        <v>51</v>
      </c>
      <c r="R9" s="9"/>
      <c r="S9" s="9" t="str">
        <f>"635,0"</f>
        <v>635,0</v>
      </c>
      <c r="T9" s="9" t="str">
        <f>"392,9380"</f>
        <v>392,9380</v>
      </c>
      <c r="U9" s="8" t="s">
        <v>529</v>
      </c>
    </row>
    <row r="10" spans="1:21">
      <c r="B10" s="5" t="s">
        <v>8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189F-270F-4670-9E20-6C175EBD187D}">
  <dimension ref="A1:Q19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7.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5.3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15.83203125" style="5" bestFit="1" customWidth="1"/>
    <col min="18" max="16384" width="9.1640625" style="3"/>
  </cols>
  <sheetData>
    <row r="1" spans="1:17" s="2" customFormat="1" ht="29" customHeight="1">
      <c r="A1" s="58" t="s">
        <v>457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10</v>
      </c>
      <c r="H3" s="50"/>
      <c r="I3" s="50"/>
      <c r="J3" s="50"/>
      <c r="K3" s="50" t="s">
        <v>11</v>
      </c>
      <c r="L3" s="50"/>
      <c r="M3" s="50"/>
      <c r="N3" s="50"/>
      <c r="O3" s="50" t="s">
        <v>1</v>
      </c>
      <c r="P3" s="50" t="s">
        <v>3</v>
      </c>
      <c r="Q3" s="52" t="s">
        <v>2</v>
      </c>
    </row>
    <row r="4" spans="1:17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1"/>
      <c r="P4" s="51"/>
      <c r="Q4" s="53"/>
    </row>
    <row r="5" spans="1:17" ht="16">
      <c r="A5" s="54" t="s">
        <v>84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7">
      <c r="A6" s="9" t="s">
        <v>81</v>
      </c>
      <c r="B6" s="8" t="s">
        <v>409</v>
      </c>
      <c r="C6" s="8" t="s">
        <v>410</v>
      </c>
      <c r="D6" s="8" t="s">
        <v>411</v>
      </c>
      <c r="E6" s="8" t="s">
        <v>533</v>
      </c>
      <c r="F6" s="8" t="s">
        <v>28</v>
      </c>
      <c r="G6" s="18" t="s">
        <v>103</v>
      </c>
      <c r="H6" s="18" t="s">
        <v>98</v>
      </c>
      <c r="I6" s="18" t="s">
        <v>16</v>
      </c>
      <c r="J6" s="9"/>
      <c r="K6" s="18" t="s">
        <v>32</v>
      </c>
      <c r="L6" s="18" t="s">
        <v>33</v>
      </c>
      <c r="M6" s="18" t="s">
        <v>412</v>
      </c>
      <c r="N6" s="9"/>
      <c r="O6" s="9" t="str">
        <f>"157,5"</f>
        <v>157,5</v>
      </c>
      <c r="P6" s="9" t="str">
        <f>"203,8680"</f>
        <v>203,8680</v>
      </c>
      <c r="Q6" s="8" t="s">
        <v>517</v>
      </c>
    </row>
    <row r="7" spans="1:17">
      <c r="B7" s="5" t="s">
        <v>8</v>
      </c>
    </row>
    <row r="8" spans="1:17" ht="16">
      <c r="A8" s="48" t="s">
        <v>94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7">
      <c r="A9" s="9" t="s">
        <v>81</v>
      </c>
      <c r="B9" s="8" t="s">
        <v>95</v>
      </c>
      <c r="C9" s="8" t="s">
        <v>96</v>
      </c>
      <c r="D9" s="8" t="s">
        <v>97</v>
      </c>
      <c r="E9" s="8" t="s">
        <v>533</v>
      </c>
      <c r="F9" s="8" t="s">
        <v>435</v>
      </c>
      <c r="G9" s="18" t="s">
        <v>98</v>
      </c>
      <c r="H9" s="19" t="s">
        <v>99</v>
      </c>
      <c r="I9" s="19" t="s">
        <v>99</v>
      </c>
      <c r="J9" s="9"/>
      <c r="K9" s="18" t="s">
        <v>40</v>
      </c>
      <c r="L9" s="19" t="s">
        <v>42</v>
      </c>
      <c r="M9" s="18" t="s">
        <v>42</v>
      </c>
      <c r="N9" s="9"/>
      <c r="O9" s="9" t="str">
        <f>"192,5"</f>
        <v>192,5</v>
      </c>
      <c r="P9" s="9" t="str">
        <f>"236,1205"</f>
        <v>236,1205</v>
      </c>
      <c r="Q9" s="8" t="s">
        <v>434</v>
      </c>
    </row>
    <row r="10" spans="1:17">
      <c r="B10" s="5" t="s">
        <v>8</v>
      </c>
    </row>
    <row r="11" spans="1:17" ht="16">
      <c r="A11" s="48" t="s">
        <v>12</v>
      </c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7">
      <c r="A12" s="9" t="s">
        <v>81</v>
      </c>
      <c r="B12" s="8" t="s">
        <v>413</v>
      </c>
      <c r="C12" s="8" t="s">
        <v>414</v>
      </c>
      <c r="D12" s="8" t="s">
        <v>264</v>
      </c>
      <c r="E12" s="8" t="s">
        <v>533</v>
      </c>
      <c r="F12" s="8" t="s">
        <v>131</v>
      </c>
      <c r="G12" s="19" t="s">
        <v>112</v>
      </c>
      <c r="H12" s="18" t="s">
        <v>112</v>
      </c>
      <c r="I12" s="18" t="s">
        <v>122</v>
      </c>
      <c r="J12" s="9"/>
      <c r="K12" s="18" t="s">
        <v>415</v>
      </c>
      <c r="L12" s="19" t="s">
        <v>152</v>
      </c>
      <c r="M12" s="18" t="s">
        <v>152</v>
      </c>
      <c r="N12" s="9"/>
      <c r="O12" s="9" t="str">
        <f>"302,5"</f>
        <v>302,5</v>
      </c>
      <c r="P12" s="9" t="str">
        <f>"222,1862"</f>
        <v>222,1862</v>
      </c>
      <c r="Q12" s="8" t="s">
        <v>529</v>
      </c>
    </row>
    <row r="13" spans="1:17">
      <c r="B13" s="5" t="s">
        <v>8</v>
      </c>
    </row>
    <row r="14" spans="1:17" ht="16">
      <c r="A14" s="48" t="s">
        <v>24</v>
      </c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7">
      <c r="A15" s="9" t="s">
        <v>81</v>
      </c>
      <c r="B15" s="8" t="s">
        <v>377</v>
      </c>
      <c r="C15" s="8" t="s">
        <v>378</v>
      </c>
      <c r="D15" s="8" t="s">
        <v>379</v>
      </c>
      <c r="E15" s="8" t="s">
        <v>533</v>
      </c>
      <c r="F15" s="8" t="s">
        <v>435</v>
      </c>
      <c r="G15" s="18" t="s">
        <v>18</v>
      </c>
      <c r="H15" s="18" t="s">
        <v>23</v>
      </c>
      <c r="I15" s="19" t="s">
        <v>104</v>
      </c>
      <c r="J15" s="9"/>
      <c r="K15" s="18" t="s">
        <v>132</v>
      </c>
      <c r="L15" s="19" t="s">
        <v>58</v>
      </c>
      <c r="M15" s="9"/>
      <c r="N15" s="9"/>
      <c r="O15" s="9" t="str">
        <f>"275,0"</f>
        <v>275,0</v>
      </c>
      <c r="P15" s="9" t="str">
        <f>"184,9100"</f>
        <v>184,9100</v>
      </c>
      <c r="Q15" s="8" t="s">
        <v>518</v>
      </c>
    </row>
    <row r="16" spans="1:17">
      <c r="B16" s="5" t="s">
        <v>8</v>
      </c>
    </row>
    <row r="17" spans="1:17" ht="16">
      <c r="A17" s="48" t="s">
        <v>321</v>
      </c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7">
      <c r="A18" s="9" t="s">
        <v>81</v>
      </c>
      <c r="B18" s="8" t="s">
        <v>322</v>
      </c>
      <c r="C18" s="8" t="s">
        <v>323</v>
      </c>
      <c r="D18" s="8" t="s">
        <v>324</v>
      </c>
      <c r="E18" s="8" t="s">
        <v>533</v>
      </c>
      <c r="F18" s="8" t="s">
        <v>435</v>
      </c>
      <c r="G18" s="18" t="s">
        <v>58</v>
      </c>
      <c r="H18" s="18" t="s">
        <v>59</v>
      </c>
      <c r="I18" s="18" t="s">
        <v>63</v>
      </c>
      <c r="J18" s="9"/>
      <c r="K18" s="18" t="s">
        <v>325</v>
      </c>
      <c r="L18" s="18" t="s">
        <v>326</v>
      </c>
      <c r="M18" s="18" t="s">
        <v>327</v>
      </c>
      <c r="N18" s="9"/>
      <c r="O18" s="9" t="str">
        <f>"530,0"</f>
        <v>530,0</v>
      </c>
      <c r="P18" s="9" t="str">
        <f>"300,5100"</f>
        <v>300,5100</v>
      </c>
      <c r="Q18" s="8" t="s">
        <v>529</v>
      </c>
    </row>
    <row r="19" spans="1:17">
      <c r="B19" s="5" t="s">
        <v>8</v>
      </c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A17:N17"/>
    <mergeCell ref="B3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B1B3-48BB-4CA9-AB24-47C9A66D1683}">
  <dimension ref="A1:Q13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7.5" style="5" bestFit="1" customWidth="1"/>
    <col min="3" max="3" width="28.5" style="5" bestFit="1" customWidth="1"/>
    <col min="4" max="4" width="20.83203125" style="5" bestFit="1" customWidth="1"/>
    <col min="5" max="5" width="10.1640625" style="5" bestFit="1" customWidth="1"/>
    <col min="6" max="6" width="38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26.83203125" style="5" bestFit="1" customWidth="1"/>
    <col min="18" max="16384" width="9.1640625" style="3"/>
  </cols>
  <sheetData>
    <row r="1" spans="1:17" s="2" customFormat="1" ht="29" customHeight="1">
      <c r="A1" s="58" t="s">
        <v>458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10</v>
      </c>
      <c r="H3" s="50"/>
      <c r="I3" s="50"/>
      <c r="J3" s="50"/>
      <c r="K3" s="50" t="s">
        <v>11</v>
      </c>
      <c r="L3" s="50"/>
      <c r="M3" s="50"/>
      <c r="N3" s="50"/>
      <c r="O3" s="50" t="s">
        <v>1</v>
      </c>
      <c r="P3" s="50" t="s">
        <v>3</v>
      </c>
      <c r="Q3" s="52" t="s">
        <v>2</v>
      </c>
    </row>
    <row r="4" spans="1:17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1"/>
      <c r="P4" s="51"/>
      <c r="Q4" s="53"/>
    </row>
    <row r="5" spans="1:17" ht="16">
      <c r="A5" s="54" t="s">
        <v>12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7">
      <c r="A6" s="11" t="s">
        <v>81</v>
      </c>
      <c r="B6" s="10" t="s">
        <v>397</v>
      </c>
      <c r="C6" s="10" t="s">
        <v>398</v>
      </c>
      <c r="D6" s="10" t="s">
        <v>399</v>
      </c>
      <c r="E6" s="10" t="s">
        <v>532</v>
      </c>
      <c r="F6" s="10" t="s">
        <v>436</v>
      </c>
      <c r="G6" s="20" t="s">
        <v>34</v>
      </c>
      <c r="H6" s="20" t="s">
        <v>194</v>
      </c>
      <c r="I6" s="20" t="s">
        <v>120</v>
      </c>
      <c r="J6" s="11"/>
      <c r="K6" s="20" t="s">
        <v>70</v>
      </c>
      <c r="L6" s="23" t="s">
        <v>152</v>
      </c>
      <c r="M6" s="23" t="s">
        <v>132</v>
      </c>
      <c r="N6" s="11"/>
      <c r="O6" s="11" t="str">
        <f>"282,5"</f>
        <v>282,5</v>
      </c>
      <c r="P6" s="11" t="str">
        <f>"214,3045"</f>
        <v>214,3045</v>
      </c>
      <c r="Q6" s="10" t="s">
        <v>529</v>
      </c>
    </row>
    <row r="7" spans="1:17">
      <c r="A7" s="25" t="s">
        <v>81</v>
      </c>
      <c r="B7" s="24" t="s">
        <v>400</v>
      </c>
      <c r="C7" s="24" t="s">
        <v>478</v>
      </c>
      <c r="D7" s="24" t="s">
        <v>401</v>
      </c>
      <c r="E7" s="24" t="s">
        <v>535</v>
      </c>
      <c r="F7" s="24" t="s">
        <v>436</v>
      </c>
      <c r="G7" s="26" t="s">
        <v>112</v>
      </c>
      <c r="H7" s="26" t="s">
        <v>121</v>
      </c>
      <c r="I7" s="26" t="s">
        <v>113</v>
      </c>
      <c r="J7" s="25"/>
      <c r="K7" s="26" t="s">
        <v>77</v>
      </c>
      <c r="L7" s="27" t="s">
        <v>59</v>
      </c>
      <c r="M7" s="26" t="s">
        <v>402</v>
      </c>
      <c r="N7" s="25"/>
      <c r="O7" s="25" t="str">
        <f>"332,5"</f>
        <v>332,5</v>
      </c>
      <c r="P7" s="25" t="str">
        <f>"255,1605"</f>
        <v>255,1605</v>
      </c>
      <c r="Q7" s="24" t="s">
        <v>519</v>
      </c>
    </row>
    <row r="8" spans="1:17">
      <c r="A8" s="13" t="s">
        <v>81</v>
      </c>
      <c r="B8" s="12" t="s">
        <v>403</v>
      </c>
      <c r="C8" s="12" t="s">
        <v>404</v>
      </c>
      <c r="D8" s="12" t="s">
        <v>371</v>
      </c>
      <c r="E8" s="12" t="s">
        <v>533</v>
      </c>
      <c r="F8" s="12" t="s">
        <v>131</v>
      </c>
      <c r="G8" s="21" t="s">
        <v>112</v>
      </c>
      <c r="H8" s="21" t="s">
        <v>122</v>
      </c>
      <c r="I8" s="22" t="s">
        <v>113</v>
      </c>
      <c r="J8" s="13"/>
      <c r="K8" s="21" t="s">
        <v>35</v>
      </c>
      <c r="L8" s="21" t="s">
        <v>70</v>
      </c>
      <c r="M8" s="21" t="s">
        <v>71</v>
      </c>
      <c r="N8" s="13"/>
      <c r="O8" s="13" t="str">
        <f>"297,5"</f>
        <v>297,5</v>
      </c>
      <c r="P8" s="13" t="str">
        <f>"225,4455"</f>
        <v>225,4455</v>
      </c>
      <c r="Q8" s="12" t="s">
        <v>520</v>
      </c>
    </row>
    <row r="9" spans="1:17">
      <c r="B9" s="5" t="s">
        <v>8</v>
      </c>
    </row>
    <row r="10" spans="1:17" ht="16">
      <c r="A10" s="48" t="s">
        <v>24</v>
      </c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7">
      <c r="A11" s="11" t="s">
        <v>81</v>
      </c>
      <c r="B11" s="10" t="s">
        <v>405</v>
      </c>
      <c r="C11" s="10" t="s">
        <v>479</v>
      </c>
      <c r="D11" s="10" t="s">
        <v>406</v>
      </c>
      <c r="E11" s="10" t="s">
        <v>535</v>
      </c>
      <c r="F11" s="10" t="s">
        <v>131</v>
      </c>
      <c r="G11" s="20" t="s">
        <v>41</v>
      </c>
      <c r="H11" s="20" t="s">
        <v>30</v>
      </c>
      <c r="I11" s="20" t="s">
        <v>62</v>
      </c>
      <c r="J11" s="11"/>
      <c r="K11" s="20" t="s">
        <v>60</v>
      </c>
      <c r="L11" s="20" t="s">
        <v>43</v>
      </c>
      <c r="M11" s="20" t="s">
        <v>44</v>
      </c>
      <c r="N11" s="11"/>
      <c r="O11" s="11" t="str">
        <f>"395,0"</f>
        <v>395,0</v>
      </c>
      <c r="P11" s="11" t="str">
        <f>"268,4025"</f>
        <v>268,4025</v>
      </c>
      <c r="Q11" s="10" t="s">
        <v>519</v>
      </c>
    </row>
    <row r="12" spans="1:17">
      <c r="A12" s="13" t="s">
        <v>82</v>
      </c>
      <c r="B12" s="12" t="s">
        <v>407</v>
      </c>
      <c r="C12" s="12" t="s">
        <v>480</v>
      </c>
      <c r="D12" s="12" t="s">
        <v>408</v>
      </c>
      <c r="E12" s="12" t="s">
        <v>535</v>
      </c>
      <c r="F12" s="12" t="s">
        <v>131</v>
      </c>
      <c r="G12" s="21" t="s">
        <v>113</v>
      </c>
      <c r="H12" s="21" t="s">
        <v>40</v>
      </c>
      <c r="I12" s="21" t="s">
        <v>41</v>
      </c>
      <c r="J12" s="13"/>
      <c r="K12" s="21" t="s">
        <v>58</v>
      </c>
      <c r="L12" s="21" t="s">
        <v>59</v>
      </c>
      <c r="M12" s="22" t="s">
        <v>60</v>
      </c>
      <c r="N12" s="13"/>
      <c r="O12" s="13" t="str">
        <f>"350,0"</f>
        <v>350,0</v>
      </c>
      <c r="P12" s="13" t="str">
        <f>"235,5150"</f>
        <v>235,5150</v>
      </c>
      <c r="Q12" s="12" t="s">
        <v>519</v>
      </c>
    </row>
    <row r="13" spans="1:17">
      <c r="B13" s="5" t="s">
        <v>8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10:N10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E08A7-B722-41FA-8B3A-9FDCD3E51EE5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1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58" t="s">
        <v>459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9</v>
      </c>
      <c r="H3" s="50"/>
      <c r="I3" s="50"/>
      <c r="J3" s="50"/>
      <c r="K3" s="50" t="s">
        <v>244</v>
      </c>
      <c r="L3" s="50" t="s">
        <v>3</v>
      </c>
      <c r="M3" s="52" t="s">
        <v>2</v>
      </c>
    </row>
    <row r="4" spans="1:13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24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9" t="s">
        <v>81</v>
      </c>
      <c r="B6" s="8" t="s">
        <v>395</v>
      </c>
      <c r="C6" s="8" t="s">
        <v>481</v>
      </c>
      <c r="D6" s="8" t="s">
        <v>396</v>
      </c>
      <c r="E6" s="8" t="s">
        <v>534</v>
      </c>
      <c r="F6" s="8" t="s">
        <v>436</v>
      </c>
      <c r="G6" s="18" t="s">
        <v>70</v>
      </c>
      <c r="H6" s="19" t="s">
        <v>151</v>
      </c>
      <c r="I6" s="19" t="s">
        <v>151</v>
      </c>
      <c r="J6" s="9"/>
      <c r="K6" s="9" t="str">
        <f>"170,0"</f>
        <v>170,0</v>
      </c>
      <c r="L6" s="9" t="str">
        <f>"130,8592"</f>
        <v>130,8592</v>
      </c>
      <c r="M6" s="8" t="s">
        <v>529</v>
      </c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064C-99AE-463B-9036-15048E01540A}">
  <dimension ref="A1:M70"/>
  <sheetViews>
    <sheetView workbookViewId="0">
      <selection activeCell="E61" sqref="E61"/>
    </sheetView>
  </sheetViews>
  <sheetFormatPr baseColWidth="10" defaultColWidth="9.1640625" defaultRowHeight="13"/>
  <cols>
    <col min="1" max="1" width="7.1640625" style="5" bestFit="1" customWidth="1"/>
    <col min="2" max="2" width="19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30.5" style="5" bestFit="1" customWidth="1"/>
    <col min="14" max="16384" width="9.1640625" style="3"/>
  </cols>
  <sheetData>
    <row r="1" spans="1:13" s="2" customFormat="1" ht="29" customHeight="1">
      <c r="A1" s="58" t="s">
        <v>460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10</v>
      </c>
      <c r="H3" s="50"/>
      <c r="I3" s="50"/>
      <c r="J3" s="50"/>
      <c r="K3" s="50" t="s">
        <v>244</v>
      </c>
      <c r="L3" s="50" t="s">
        <v>3</v>
      </c>
      <c r="M3" s="52" t="s">
        <v>2</v>
      </c>
    </row>
    <row r="4" spans="1:13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245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9" t="s">
        <v>81</v>
      </c>
      <c r="B6" s="8" t="s">
        <v>246</v>
      </c>
      <c r="C6" s="8" t="s">
        <v>482</v>
      </c>
      <c r="D6" s="8" t="s">
        <v>247</v>
      </c>
      <c r="E6" s="8" t="s">
        <v>534</v>
      </c>
      <c r="F6" s="8" t="s">
        <v>436</v>
      </c>
      <c r="G6" s="18" t="s">
        <v>91</v>
      </c>
      <c r="H6" s="18" t="s">
        <v>19</v>
      </c>
      <c r="I6" s="18" t="s">
        <v>92</v>
      </c>
      <c r="J6" s="9"/>
      <c r="K6" s="9" t="str">
        <f>"42,5"</f>
        <v>42,5</v>
      </c>
      <c r="L6" s="9" t="str">
        <f>"66,1599"</f>
        <v>66,1599</v>
      </c>
      <c r="M6" s="8" t="s">
        <v>519</v>
      </c>
    </row>
    <row r="7" spans="1:13">
      <c r="B7" s="5" t="s">
        <v>8</v>
      </c>
    </row>
    <row r="8" spans="1:13" ht="16">
      <c r="A8" s="48" t="s">
        <v>84</v>
      </c>
      <c r="B8" s="48"/>
      <c r="C8" s="49"/>
      <c r="D8" s="49"/>
      <c r="E8" s="49"/>
      <c r="F8" s="49"/>
      <c r="G8" s="49"/>
      <c r="H8" s="49"/>
      <c r="I8" s="49"/>
      <c r="J8" s="49"/>
    </row>
    <row r="9" spans="1:13">
      <c r="A9" s="9" t="s">
        <v>81</v>
      </c>
      <c r="B9" s="8" t="s">
        <v>248</v>
      </c>
      <c r="C9" s="8" t="s">
        <v>249</v>
      </c>
      <c r="D9" s="8" t="s">
        <v>250</v>
      </c>
      <c r="E9" s="8" t="s">
        <v>532</v>
      </c>
      <c r="F9" s="8" t="s">
        <v>436</v>
      </c>
      <c r="G9" s="18" t="s">
        <v>91</v>
      </c>
      <c r="H9" s="18" t="s">
        <v>19</v>
      </c>
      <c r="I9" s="18" t="s">
        <v>92</v>
      </c>
      <c r="J9" s="9"/>
      <c r="K9" s="9" t="str">
        <f>"42,5"</f>
        <v>42,5</v>
      </c>
      <c r="L9" s="9" t="str">
        <f>"54,7612"</f>
        <v>54,7612</v>
      </c>
      <c r="M9" s="8" t="s">
        <v>519</v>
      </c>
    </row>
    <row r="10" spans="1:13">
      <c r="B10" s="5" t="s">
        <v>8</v>
      </c>
    </row>
    <row r="11" spans="1:13" ht="16">
      <c r="A11" s="48" t="s">
        <v>94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3">
      <c r="A12" s="9" t="s">
        <v>81</v>
      </c>
      <c r="B12" s="8" t="s">
        <v>95</v>
      </c>
      <c r="C12" s="8" t="s">
        <v>96</v>
      </c>
      <c r="D12" s="8" t="s">
        <v>97</v>
      </c>
      <c r="E12" s="8" t="s">
        <v>533</v>
      </c>
      <c r="F12" s="8" t="s">
        <v>131</v>
      </c>
      <c r="G12" s="18" t="s">
        <v>98</v>
      </c>
      <c r="H12" s="19" t="s">
        <v>99</v>
      </c>
      <c r="I12" s="19" t="s">
        <v>99</v>
      </c>
      <c r="J12" s="9"/>
      <c r="K12" s="9" t="str">
        <f>"57,5"</f>
        <v>57,5</v>
      </c>
      <c r="L12" s="9" t="str">
        <f>"70,5295"</f>
        <v>70,5295</v>
      </c>
      <c r="M12" s="8" t="s">
        <v>434</v>
      </c>
    </row>
    <row r="13" spans="1:13">
      <c r="B13" s="5" t="s">
        <v>8</v>
      </c>
    </row>
    <row r="14" spans="1:13" ht="16">
      <c r="A14" s="48" t="s">
        <v>100</v>
      </c>
      <c r="B14" s="48"/>
      <c r="C14" s="49"/>
      <c r="D14" s="49"/>
      <c r="E14" s="49"/>
      <c r="F14" s="49"/>
      <c r="G14" s="49"/>
      <c r="H14" s="49"/>
      <c r="I14" s="49"/>
      <c r="J14" s="49"/>
    </row>
    <row r="15" spans="1:13">
      <c r="A15" s="9" t="s">
        <v>81</v>
      </c>
      <c r="B15" s="8" t="s">
        <v>251</v>
      </c>
      <c r="C15" s="8" t="s">
        <v>252</v>
      </c>
      <c r="D15" s="8" t="s">
        <v>253</v>
      </c>
      <c r="E15" s="8" t="s">
        <v>532</v>
      </c>
      <c r="F15" s="8" t="s">
        <v>131</v>
      </c>
      <c r="G15" s="18" t="s">
        <v>16</v>
      </c>
      <c r="H15" s="18" t="s">
        <v>99</v>
      </c>
      <c r="I15" s="19" t="s">
        <v>90</v>
      </c>
      <c r="J15" s="9"/>
      <c r="K15" s="9" t="str">
        <f>"62,5"</f>
        <v>62,5</v>
      </c>
      <c r="L15" s="9" t="str">
        <f>"69,6812"</f>
        <v>69,6812</v>
      </c>
      <c r="M15" s="8" t="s">
        <v>434</v>
      </c>
    </row>
    <row r="16" spans="1:13">
      <c r="B16" s="5" t="s">
        <v>8</v>
      </c>
    </row>
    <row r="17" spans="1:13" ht="16">
      <c r="A17" s="48" t="s">
        <v>94</v>
      </c>
      <c r="B17" s="48"/>
      <c r="C17" s="49"/>
      <c r="D17" s="49"/>
      <c r="E17" s="49"/>
      <c r="F17" s="49"/>
      <c r="G17" s="49"/>
      <c r="H17" s="49"/>
      <c r="I17" s="49"/>
      <c r="J17" s="49"/>
    </row>
    <row r="18" spans="1:13">
      <c r="A18" s="9" t="s">
        <v>81</v>
      </c>
      <c r="B18" s="8" t="s">
        <v>254</v>
      </c>
      <c r="C18" s="8" t="s">
        <v>483</v>
      </c>
      <c r="D18" s="8" t="s">
        <v>255</v>
      </c>
      <c r="E18" s="8" t="s">
        <v>535</v>
      </c>
      <c r="F18" s="8" t="s">
        <v>436</v>
      </c>
      <c r="G18" s="18" t="s">
        <v>23</v>
      </c>
      <c r="H18" s="18" t="s">
        <v>32</v>
      </c>
      <c r="I18" s="19" t="s">
        <v>104</v>
      </c>
      <c r="J18" s="9"/>
      <c r="K18" s="9" t="str">
        <f>"90,0"</f>
        <v>90,0</v>
      </c>
      <c r="L18" s="9" t="str">
        <f>"81,9270"</f>
        <v>81,9270</v>
      </c>
      <c r="M18" s="8" t="s">
        <v>519</v>
      </c>
    </row>
    <row r="19" spans="1:13">
      <c r="B19" s="5" t="s">
        <v>8</v>
      </c>
    </row>
    <row r="20" spans="1:13" ht="16">
      <c r="A20" s="48" t="s">
        <v>105</v>
      </c>
      <c r="B20" s="48"/>
      <c r="C20" s="49"/>
      <c r="D20" s="49"/>
      <c r="E20" s="49"/>
      <c r="F20" s="49"/>
      <c r="G20" s="49"/>
      <c r="H20" s="49"/>
      <c r="I20" s="49"/>
      <c r="J20" s="49"/>
    </row>
    <row r="21" spans="1:13">
      <c r="A21" s="9" t="s">
        <v>81</v>
      </c>
      <c r="B21" s="8" t="s">
        <v>256</v>
      </c>
      <c r="C21" s="8" t="s">
        <v>484</v>
      </c>
      <c r="D21" s="8" t="s">
        <v>257</v>
      </c>
      <c r="E21" s="8" t="s">
        <v>536</v>
      </c>
      <c r="F21" s="8" t="s">
        <v>312</v>
      </c>
      <c r="G21" s="18" t="s">
        <v>17</v>
      </c>
      <c r="H21" s="18" t="s">
        <v>22</v>
      </c>
      <c r="I21" s="18" t="s">
        <v>23</v>
      </c>
      <c r="J21" s="9"/>
      <c r="K21" s="9" t="str">
        <f>"85,0"</f>
        <v>85,0</v>
      </c>
      <c r="L21" s="9" t="str">
        <f>"69,4846"</f>
        <v>69,4846</v>
      </c>
      <c r="M21" s="8" t="s">
        <v>529</v>
      </c>
    </row>
    <row r="22" spans="1:13">
      <c r="B22" s="5" t="s">
        <v>8</v>
      </c>
    </row>
    <row r="23" spans="1:13" ht="16">
      <c r="A23" s="48" t="s">
        <v>12</v>
      </c>
      <c r="B23" s="48"/>
      <c r="C23" s="49"/>
      <c r="D23" s="49"/>
      <c r="E23" s="49"/>
      <c r="F23" s="49"/>
      <c r="G23" s="49"/>
      <c r="H23" s="49"/>
      <c r="I23" s="49"/>
      <c r="J23" s="49"/>
    </row>
    <row r="24" spans="1:13">
      <c r="A24" s="11" t="s">
        <v>81</v>
      </c>
      <c r="B24" s="10" t="s">
        <v>258</v>
      </c>
      <c r="C24" s="10" t="s">
        <v>259</v>
      </c>
      <c r="D24" s="10" t="s">
        <v>260</v>
      </c>
      <c r="E24" s="10" t="s">
        <v>532</v>
      </c>
      <c r="F24" s="10" t="s">
        <v>261</v>
      </c>
      <c r="G24" s="20" t="s">
        <v>122</v>
      </c>
      <c r="H24" s="20" t="s">
        <v>40</v>
      </c>
      <c r="I24" s="23" t="s">
        <v>42</v>
      </c>
      <c r="J24" s="11"/>
      <c r="K24" s="11" t="str">
        <f>"130,0"</f>
        <v>130,0</v>
      </c>
      <c r="L24" s="11" t="str">
        <f>"95,0950"</f>
        <v>95,0950</v>
      </c>
      <c r="M24" s="10" t="s">
        <v>521</v>
      </c>
    </row>
    <row r="25" spans="1:13">
      <c r="A25" s="25" t="s">
        <v>81</v>
      </c>
      <c r="B25" s="24" t="s">
        <v>262</v>
      </c>
      <c r="C25" s="24" t="s">
        <v>263</v>
      </c>
      <c r="D25" s="24" t="s">
        <v>264</v>
      </c>
      <c r="E25" s="24" t="s">
        <v>533</v>
      </c>
      <c r="F25" s="24" t="s">
        <v>213</v>
      </c>
      <c r="G25" s="26" t="s">
        <v>61</v>
      </c>
      <c r="H25" s="27" t="s">
        <v>62</v>
      </c>
      <c r="I25" s="27" t="s">
        <v>62</v>
      </c>
      <c r="J25" s="25"/>
      <c r="K25" s="25" t="str">
        <f>"147,5"</f>
        <v>147,5</v>
      </c>
      <c r="L25" s="25" t="str">
        <f>"108,3387"</f>
        <v>108,3387</v>
      </c>
      <c r="M25" s="24" t="s">
        <v>529</v>
      </c>
    </row>
    <row r="26" spans="1:13">
      <c r="A26" s="13" t="s">
        <v>82</v>
      </c>
      <c r="B26" s="12" t="s">
        <v>265</v>
      </c>
      <c r="C26" s="12" t="s">
        <v>266</v>
      </c>
      <c r="D26" s="12" t="s">
        <v>267</v>
      </c>
      <c r="E26" s="12" t="s">
        <v>533</v>
      </c>
      <c r="F26" s="12" t="s">
        <v>268</v>
      </c>
      <c r="G26" s="21" t="s">
        <v>33</v>
      </c>
      <c r="H26" s="21" t="s">
        <v>34</v>
      </c>
      <c r="I26" s="22" t="s">
        <v>108</v>
      </c>
      <c r="J26" s="13"/>
      <c r="K26" s="13" t="str">
        <f>"100,0"</f>
        <v>100,0</v>
      </c>
      <c r="L26" s="13" t="str">
        <f>"72,5600"</f>
        <v>72,5600</v>
      </c>
      <c r="M26" s="12" t="s">
        <v>529</v>
      </c>
    </row>
    <row r="27" spans="1:13">
      <c r="B27" s="5" t="s">
        <v>8</v>
      </c>
    </row>
    <row r="28" spans="1:13" ht="16">
      <c r="A28" s="48" t="s">
        <v>24</v>
      </c>
      <c r="B28" s="48"/>
      <c r="C28" s="49"/>
      <c r="D28" s="49"/>
      <c r="E28" s="49"/>
      <c r="F28" s="49"/>
      <c r="G28" s="49"/>
      <c r="H28" s="49"/>
      <c r="I28" s="49"/>
      <c r="J28" s="49"/>
    </row>
    <row r="29" spans="1:13">
      <c r="A29" s="11" t="s">
        <v>81</v>
      </c>
      <c r="B29" s="10" t="s">
        <v>269</v>
      </c>
      <c r="C29" s="10" t="s">
        <v>485</v>
      </c>
      <c r="D29" s="10" t="s">
        <v>270</v>
      </c>
      <c r="E29" s="10" t="s">
        <v>535</v>
      </c>
      <c r="F29" s="10" t="s">
        <v>131</v>
      </c>
      <c r="G29" s="20" t="s">
        <v>271</v>
      </c>
      <c r="H29" s="20" t="s">
        <v>42</v>
      </c>
      <c r="I29" s="20" t="s">
        <v>41</v>
      </c>
      <c r="J29" s="11"/>
      <c r="K29" s="11" t="str">
        <f>"140,0"</f>
        <v>140,0</v>
      </c>
      <c r="L29" s="11" t="str">
        <f>"94,7660"</f>
        <v>94,7660</v>
      </c>
      <c r="M29" s="10" t="s">
        <v>434</v>
      </c>
    </row>
    <row r="30" spans="1:13">
      <c r="A30" s="25" t="s">
        <v>81</v>
      </c>
      <c r="B30" s="24" t="s">
        <v>272</v>
      </c>
      <c r="C30" s="24" t="s">
        <v>273</v>
      </c>
      <c r="D30" s="24" t="s">
        <v>274</v>
      </c>
      <c r="E30" s="24" t="s">
        <v>533</v>
      </c>
      <c r="F30" s="24" t="s">
        <v>131</v>
      </c>
      <c r="G30" s="26" t="s">
        <v>42</v>
      </c>
      <c r="H30" s="26" t="s">
        <v>29</v>
      </c>
      <c r="I30" s="26" t="s">
        <v>30</v>
      </c>
      <c r="J30" s="25"/>
      <c r="K30" s="25" t="str">
        <f>"150,0"</f>
        <v>150,0</v>
      </c>
      <c r="L30" s="25" t="str">
        <f>"102,4800"</f>
        <v>102,4800</v>
      </c>
      <c r="M30" s="24" t="s">
        <v>529</v>
      </c>
    </row>
    <row r="31" spans="1:13">
      <c r="A31" s="25" t="s">
        <v>82</v>
      </c>
      <c r="B31" s="24" t="s">
        <v>275</v>
      </c>
      <c r="C31" s="24" t="s">
        <v>276</v>
      </c>
      <c r="D31" s="24" t="s">
        <v>277</v>
      </c>
      <c r="E31" s="24" t="s">
        <v>533</v>
      </c>
      <c r="F31" s="24" t="s">
        <v>131</v>
      </c>
      <c r="G31" s="26" t="s">
        <v>29</v>
      </c>
      <c r="H31" s="27" t="s">
        <v>30</v>
      </c>
      <c r="I31" s="27" t="s">
        <v>30</v>
      </c>
      <c r="J31" s="25"/>
      <c r="K31" s="25" t="str">
        <f>"145,0"</f>
        <v>145,0</v>
      </c>
      <c r="L31" s="25" t="str">
        <f>"97,7880"</f>
        <v>97,7880</v>
      </c>
      <c r="M31" s="24" t="s">
        <v>448</v>
      </c>
    </row>
    <row r="32" spans="1:13">
      <c r="A32" s="25" t="s">
        <v>183</v>
      </c>
      <c r="B32" s="24" t="s">
        <v>278</v>
      </c>
      <c r="C32" s="24" t="s">
        <v>279</v>
      </c>
      <c r="D32" s="24" t="s">
        <v>138</v>
      </c>
      <c r="E32" s="24" t="s">
        <v>533</v>
      </c>
      <c r="F32" s="24" t="s">
        <v>131</v>
      </c>
      <c r="G32" s="26" t="s">
        <v>271</v>
      </c>
      <c r="H32" s="26" t="s">
        <v>42</v>
      </c>
      <c r="I32" s="26" t="s">
        <v>41</v>
      </c>
      <c r="J32" s="25"/>
      <c r="K32" s="25" t="str">
        <f>"140,0"</f>
        <v>140,0</v>
      </c>
      <c r="L32" s="25" t="str">
        <f>"94,6260"</f>
        <v>94,6260</v>
      </c>
      <c r="M32" s="24" t="s">
        <v>529</v>
      </c>
    </row>
    <row r="33" spans="1:13">
      <c r="A33" s="25" t="s">
        <v>184</v>
      </c>
      <c r="B33" s="24" t="s">
        <v>280</v>
      </c>
      <c r="C33" s="24" t="s">
        <v>281</v>
      </c>
      <c r="D33" s="24" t="s">
        <v>282</v>
      </c>
      <c r="E33" s="24" t="s">
        <v>533</v>
      </c>
      <c r="F33" s="24" t="s">
        <v>131</v>
      </c>
      <c r="G33" s="26" t="s">
        <v>122</v>
      </c>
      <c r="H33" s="26" t="s">
        <v>114</v>
      </c>
      <c r="I33" s="27" t="s">
        <v>42</v>
      </c>
      <c r="J33" s="25"/>
      <c r="K33" s="25" t="str">
        <f>"125,0"</f>
        <v>125,0</v>
      </c>
      <c r="L33" s="25" t="str">
        <f>"88,0250"</f>
        <v>88,0250</v>
      </c>
      <c r="M33" s="24" t="s">
        <v>529</v>
      </c>
    </row>
    <row r="34" spans="1:13">
      <c r="A34" s="25" t="s">
        <v>81</v>
      </c>
      <c r="B34" s="24" t="s">
        <v>278</v>
      </c>
      <c r="C34" s="24" t="s">
        <v>486</v>
      </c>
      <c r="D34" s="24" t="s">
        <v>138</v>
      </c>
      <c r="E34" s="24" t="s">
        <v>534</v>
      </c>
      <c r="F34" s="24" t="s">
        <v>131</v>
      </c>
      <c r="G34" s="26" t="s">
        <v>271</v>
      </c>
      <c r="H34" s="26" t="s">
        <v>42</v>
      </c>
      <c r="I34" s="26" t="s">
        <v>41</v>
      </c>
      <c r="J34" s="25"/>
      <c r="K34" s="25" t="str">
        <f>"140,0"</f>
        <v>140,0</v>
      </c>
      <c r="L34" s="25" t="str">
        <f>"103,7101"</f>
        <v>103,7101</v>
      </c>
      <c r="M34" s="24" t="s">
        <v>529</v>
      </c>
    </row>
    <row r="35" spans="1:13">
      <c r="A35" s="13" t="s">
        <v>81</v>
      </c>
      <c r="B35" s="12" t="s">
        <v>283</v>
      </c>
      <c r="C35" s="12" t="s">
        <v>487</v>
      </c>
      <c r="D35" s="12" t="s">
        <v>284</v>
      </c>
      <c r="E35" s="12" t="s">
        <v>537</v>
      </c>
      <c r="F35" s="12" t="s">
        <v>131</v>
      </c>
      <c r="G35" s="22" t="s">
        <v>23</v>
      </c>
      <c r="H35" s="22" t="s">
        <v>23</v>
      </c>
      <c r="I35" s="21" t="s">
        <v>23</v>
      </c>
      <c r="J35" s="13"/>
      <c r="K35" s="13" t="str">
        <f>"85,0"</f>
        <v>85,0</v>
      </c>
      <c r="L35" s="13" t="str">
        <f>"78,4455"</f>
        <v>78,4455</v>
      </c>
      <c r="M35" s="12" t="s">
        <v>522</v>
      </c>
    </row>
    <row r="36" spans="1:13">
      <c r="B36" s="5" t="s">
        <v>8</v>
      </c>
    </row>
    <row r="37" spans="1:13" ht="16">
      <c r="A37" s="48" t="s">
        <v>46</v>
      </c>
      <c r="B37" s="48"/>
      <c r="C37" s="49"/>
      <c r="D37" s="49"/>
      <c r="E37" s="49"/>
      <c r="F37" s="49"/>
      <c r="G37" s="49"/>
      <c r="H37" s="49"/>
      <c r="I37" s="49"/>
      <c r="J37" s="49"/>
    </row>
    <row r="38" spans="1:13">
      <c r="A38" s="11" t="s">
        <v>81</v>
      </c>
      <c r="B38" s="10" t="s">
        <v>285</v>
      </c>
      <c r="C38" s="10" t="s">
        <v>488</v>
      </c>
      <c r="D38" s="10" t="s">
        <v>286</v>
      </c>
      <c r="E38" s="10" t="s">
        <v>535</v>
      </c>
      <c r="F38" s="10" t="s">
        <v>436</v>
      </c>
      <c r="G38" s="20" t="s">
        <v>114</v>
      </c>
      <c r="H38" s="20" t="s">
        <v>40</v>
      </c>
      <c r="I38" s="23" t="s">
        <v>153</v>
      </c>
      <c r="J38" s="11"/>
      <c r="K38" s="11" t="str">
        <f>"130,0"</f>
        <v>130,0</v>
      </c>
      <c r="L38" s="11" t="str">
        <f>"84,8640"</f>
        <v>84,8640</v>
      </c>
      <c r="M38" s="10" t="s">
        <v>519</v>
      </c>
    </row>
    <row r="39" spans="1:13">
      <c r="A39" s="25" t="s">
        <v>82</v>
      </c>
      <c r="B39" s="24" t="s">
        <v>287</v>
      </c>
      <c r="C39" s="24" t="s">
        <v>489</v>
      </c>
      <c r="D39" s="24" t="s">
        <v>288</v>
      </c>
      <c r="E39" s="24" t="s">
        <v>535</v>
      </c>
      <c r="F39" s="24" t="s">
        <v>131</v>
      </c>
      <c r="G39" s="26" t="s">
        <v>114</v>
      </c>
      <c r="H39" s="27" t="s">
        <v>153</v>
      </c>
      <c r="I39" s="27" t="s">
        <v>153</v>
      </c>
      <c r="J39" s="25"/>
      <c r="K39" s="25" t="str">
        <f>"125,0"</f>
        <v>125,0</v>
      </c>
      <c r="L39" s="25" t="str">
        <f>"80,6875"</f>
        <v>80,6875</v>
      </c>
      <c r="M39" s="24" t="s">
        <v>434</v>
      </c>
    </row>
    <row r="40" spans="1:13">
      <c r="A40" s="25" t="s">
        <v>81</v>
      </c>
      <c r="B40" s="24" t="s">
        <v>289</v>
      </c>
      <c r="C40" s="24" t="s">
        <v>290</v>
      </c>
      <c r="D40" s="24" t="s">
        <v>291</v>
      </c>
      <c r="E40" s="24" t="s">
        <v>533</v>
      </c>
      <c r="F40" s="24" t="s">
        <v>143</v>
      </c>
      <c r="G40" s="26" t="s">
        <v>29</v>
      </c>
      <c r="H40" s="26" t="s">
        <v>35</v>
      </c>
      <c r="I40" s="26" t="s">
        <v>150</v>
      </c>
      <c r="J40" s="25"/>
      <c r="K40" s="25" t="str">
        <f>"165,0"</f>
        <v>165,0</v>
      </c>
      <c r="L40" s="25" t="str">
        <f>"105,7650"</f>
        <v>105,7650</v>
      </c>
      <c r="M40" s="24" t="s">
        <v>529</v>
      </c>
    </row>
    <row r="41" spans="1:13">
      <c r="A41" s="25" t="s">
        <v>82</v>
      </c>
      <c r="B41" s="24" t="s">
        <v>292</v>
      </c>
      <c r="C41" s="24" t="s">
        <v>293</v>
      </c>
      <c r="D41" s="24" t="s">
        <v>294</v>
      </c>
      <c r="E41" s="24" t="s">
        <v>533</v>
      </c>
      <c r="F41" s="24" t="s">
        <v>131</v>
      </c>
      <c r="G41" s="26" t="s">
        <v>35</v>
      </c>
      <c r="H41" s="27" t="s">
        <v>150</v>
      </c>
      <c r="I41" s="27" t="s">
        <v>150</v>
      </c>
      <c r="J41" s="25"/>
      <c r="K41" s="25" t="str">
        <f>"160,0"</f>
        <v>160,0</v>
      </c>
      <c r="L41" s="25" t="str">
        <f>"102,8480"</f>
        <v>102,8480</v>
      </c>
      <c r="M41" s="24" t="s">
        <v>447</v>
      </c>
    </row>
    <row r="42" spans="1:13">
      <c r="A42" s="25" t="s">
        <v>183</v>
      </c>
      <c r="B42" s="24" t="s">
        <v>295</v>
      </c>
      <c r="C42" s="24" t="s">
        <v>296</v>
      </c>
      <c r="D42" s="24" t="s">
        <v>294</v>
      </c>
      <c r="E42" s="24" t="s">
        <v>533</v>
      </c>
      <c r="F42" s="24" t="s">
        <v>213</v>
      </c>
      <c r="G42" s="26" t="s">
        <v>29</v>
      </c>
      <c r="H42" s="26" t="s">
        <v>134</v>
      </c>
      <c r="I42" s="27" t="s">
        <v>35</v>
      </c>
      <c r="J42" s="25"/>
      <c r="K42" s="25" t="str">
        <f>"152,5"</f>
        <v>152,5</v>
      </c>
      <c r="L42" s="25" t="str">
        <f>"98,0270"</f>
        <v>98,0270</v>
      </c>
      <c r="M42" s="24" t="s">
        <v>529</v>
      </c>
    </row>
    <row r="43" spans="1:13">
      <c r="A43" s="25" t="s">
        <v>184</v>
      </c>
      <c r="B43" s="24" t="s">
        <v>297</v>
      </c>
      <c r="C43" s="24" t="s">
        <v>298</v>
      </c>
      <c r="D43" s="24" t="s">
        <v>299</v>
      </c>
      <c r="E43" s="24" t="s">
        <v>533</v>
      </c>
      <c r="F43" s="24" t="s">
        <v>131</v>
      </c>
      <c r="G43" s="26" t="s">
        <v>41</v>
      </c>
      <c r="H43" s="27" t="s">
        <v>134</v>
      </c>
      <c r="I43" s="27" t="s">
        <v>134</v>
      </c>
      <c r="J43" s="25"/>
      <c r="K43" s="25" t="str">
        <f>"140,0"</f>
        <v>140,0</v>
      </c>
      <c r="L43" s="25" t="str">
        <f>"90,8180"</f>
        <v>90,8180</v>
      </c>
      <c r="M43" s="24" t="s">
        <v>529</v>
      </c>
    </row>
    <row r="44" spans="1:13">
      <c r="A44" s="25" t="s">
        <v>185</v>
      </c>
      <c r="B44" s="24" t="s">
        <v>300</v>
      </c>
      <c r="C44" s="24" t="s">
        <v>301</v>
      </c>
      <c r="D44" s="24" t="s">
        <v>302</v>
      </c>
      <c r="E44" s="24" t="s">
        <v>533</v>
      </c>
      <c r="F44" s="24" t="s">
        <v>143</v>
      </c>
      <c r="G44" s="26" t="s">
        <v>40</v>
      </c>
      <c r="H44" s="26" t="s">
        <v>42</v>
      </c>
      <c r="I44" s="27" t="s">
        <v>41</v>
      </c>
      <c r="J44" s="25"/>
      <c r="K44" s="25" t="str">
        <f>"135,0"</f>
        <v>135,0</v>
      </c>
      <c r="L44" s="25" t="str">
        <f>"86,6835"</f>
        <v>86,6835</v>
      </c>
      <c r="M44" s="24" t="s">
        <v>529</v>
      </c>
    </row>
    <row r="45" spans="1:13">
      <c r="A45" s="25" t="s">
        <v>329</v>
      </c>
      <c r="B45" s="24" t="s">
        <v>303</v>
      </c>
      <c r="C45" s="24" t="s">
        <v>304</v>
      </c>
      <c r="D45" s="24" t="s">
        <v>305</v>
      </c>
      <c r="E45" s="24" t="s">
        <v>533</v>
      </c>
      <c r="F45" s="24" t="s">
        <v>306</v>
      </c>
      <c r="G45" s="26" t="s">
        <v>112</v>
      </c>
      <c r="H45" s="27" t="s">
        <v>113</v>
      </c>
      <c r="I45" s="26" t="s">
        <v>113</v>
      </c>
      <c r="J45" s="25"/>
      <c r="K45" s="25" t="str">
        <f>"120,0"</f>
        <v>120,0</v>
      </c>
      <c r="L45" s="25" t="str">
        <f>"77,0880"</f>
        <v>77,0880</v>
      </c>
      <c r="M45" s="24" t="s">
        <v>529</v>
      </c>
    </row>
    <row r="46" spans="1:13">
      <c r="A46" s="13" t="s">
        <v>81</v>
      </c>
      <c r="B46" s="12" t="s">
        <v>307</v>
      </c>
      <c r="C46" s="12" t="s">
        <v>490</v>
      </c>
      <c r="D46" s="12" t="s">
        <v>198</v>
      </c>
      <c r="E46" s="12" t="s">
        <v>534</v>
      </c>
      <c r="F46" s="12" t="s">
        <v>131</v>
      </c>
      <c r="G46" s="21" t="s">
        <v>122</v>
      </c>
      <c r="H46" s="21" t="s">
        <v>114</v>
      </c>
      <c r="I46" s="22" t="s">
        <v>153</v>
      </c>
      <c r="J46" s="13"/>
      <c r="K46" s="13" t="str">
        <f>"125,0"</f>
        <v>125,0</v>
      </c>
      <c r="L46" s="13" t="str">
        <f>"85,3830"</f>
        <v>85,3830</v>
      </c>
      <c r="M46" s="12" t="s">
        <v>529</v>
      </c>
    </row>
    <row r="47" spans="1:13">
      <c r="B47" s="5" t="s">
        <v>8</v>
      </c>
    </row>
    <row r="48" spans="1:13" ht="16">
      <c r="A48" s="48" t="s">
        <v>64</v>
      </c>
      <c r="B48" s="48"/>
      <c r="C48" s="49"/>
      <c r="D48" s="49"/>
      <c r="E48" s="49"/>
      <c r="F48" s="49"/>
      <c r="G48" s="49"/>
      <c r="H48" s="49"/>
      <c r="I48" s="49"/>
      <c r="J48" s="49"/>
    </row>
    <row r="49" spans="1:13">
      <c r="A49" s="11" t="s">
        <v>81</v>
      </c>
      <c r="B49" s="10" t="s">
        <v>308</v>
      </c>
      <c r="C49" s="10" t="s">
        <v>309</v>
      </c>
      <c r="D49" s="10" t="s">
        <v>310</v>
      </c>
      <c r="E49" s="10" t="s">
        <v>533</v>
      </c>
      <c r="F49" s="10" t="s">
        <v>131</v>
      </c>
      <c r="G49" s="23" t="s">
        <v>41</v>
      </c>
      <c r="H49" s="20" t="s">
        <v>41</v>
      </c>
      <c r="I49" s="20" t="s">
        <v>61</v>
      </c>
      <c r="J49" s="11"/>
      <c r="K49" s="11" t="str">
        <f>"147,5"</f>
        <v>147,5</v>
      </c>
      <c r="L49" s="11" t="str">
        <f>"91,5827"</f>
        <v>91,5827</v>
      </c>
      <c r="M49" s="10" t="s">
        <v>522</v>
      </c>
    </row>
    <row r="50" spans="1:13">
      <c r="A50" s="25" t="s">
        <v>81</v>
      </c>
      <c r="B50" s="24" t="s">
        <v>311</v>
      </c>
      <c r="C50" s="24" t="s">
        <v>491</v>
      </c>
      <c r="D50" s="24" t="s">
        <v>310</v>
      </c>
      <c r="E50" s="24" t="s">
        <v>536</v>
      </c>
      <c r="F50" s="24" t="s">
        <v>312</v>
      </c>
      <c r="G50" s="26" t="s">
        <v>42</v>
      </c>
      <c r="H50" s="26" t="s">
        <v>41</v>
      </c>
      <c r="I50" s="27" t="s">
        <v>29</v>
      </c>
      <c r="J50" s="25"/>
      <c r="K50" s="25" t="str">
        <f>"140,0"</f>
        <v>140,0</v>
      </c>
      <c r="L50" s="25" t="str">
        <f>"90,7507"</f>
        <v>90,7507</v>
      </c>
      <c r="M50" s="24" t="s">
        <v>529</v>
      </c>
    </row>
    <row r="51" spans="1:13">
      <c r="A51" s="13" t="s">
        <v>81</v>
      </c>
      <c r="B51" s="12" t="s">
        <v>313</v>
      </c>
      <c r="C51" s="12" t="s">
        <v>492</v>
      </c>
      <c r="D51" s="12" t="s">
        <v>314</v>
      </c>
      <c r="E51" s="12" t="s">
        <v>537</v>
      </c>
      <c r="F51" s="12" t="s">
        <v>131</v>
      </c>
      <c r="G51" s="21" t="s">
        <v>40</v>
      </c>
      <c r="H51" s="21" t="s">
        <v>41</v>
      </c>
      <c r="I51" s="22" t="s">
        <v>29</v>
      </c>
      <c r="J51" s="13"/>
      <c r="K51" s="13" t="str">
        <f>"140,0"</f>
        <v>140,0</v>
      </c>
      <c r="L51" s="13" t="str">
        <f>"108,7320"</f>
        <v>108,7320</v>
      </c>
      <c r="M51" s="12" t="s">
        <v>529</v>
      </c>
    </row>
    <row r="52" spans="1:13">
      <c r="B52" s="5" t="s">
        <v>8</v>
      </c>
    </row>
    <row r="53" spans="1:13" ht="16">
      <c r="A53" s="48" t="s">
        <v>172</v>
      </c>
      <c r="B53" s="48"/>
      <c r="C53" s="49"/>
      <c r="D53" s="49"/>
      <c r="E53" s="49"/>
      <c r="F53" s="49"/>
      <c r="G53" s="49"/>
      <c r="H53" s="49"/>
      <c r="I53" s="49"/>
      <c r="J53" s="49"/>
    </row>
    <row r="54" spans="1:13">
      <c r="A54" s="9" t="s">
        <v>81</v>
      </c>
      <c r="B54" s="8" t="s">
        <v>315</v>
      </c>
      <c r="C54" s="8" t="s">
        <v>493</v>
      </c>
      <c r="D54" s="8" t="s">
        <v>316</v>
      </c>
      <c r="E54" s="8" t="s">
        <v>534</v>
      </c>
      <c r="F54" s="8" t="s">
        <v>131</v>
      </c>
      <c r="G54" s="18" t="s">
        <v>121</v>
      </c>
      <c r="H54" s="19" t="s">
        <v>113</v>
      </c>
      <c r="I54" s="19" t="s">
        <v>113</v>
      </c>
      <c r="J54" s="9"/>
      <c r="K54" s="9" t="str">
        <f>"115,0"</f>
        <v>115,0</v>
      </c>
      <c r="L54" s="9" t="str">
        <f>"73,3472"</f>
        <v>73,3472</v>
      </c>
      <c r="M54" s="8" t="s">
        <v>529</v>
      </c>
    </row>
    <row r="55" spans="1:13">
      <c r="B55" s="5" t="s">
        <v>8</v>
      </c>
    </row>
    <row r="56" spans="1:13" ht="16">
      <c r="A56" s="48" t="s">
        <v>67</v>
      </c>
      <c r="B56" s="48"/>
      <c r="C56" s="49"/>
      <c r="D56" s="49"/>
      <c r="E56" s="49"/>
      <c r="F56" s="49"/>
      <c r="G56" s="49"/>
      <c r="H56" s="49"/>
      <c r="I56" s="49"/>
      <c r="J56" s="49"/>
    </row>
    <row r="57" spans="1:13">
      <c r="A57" s="9" t="s">
        <v>81</v>
      </c>
      <c r="B57" s="8" t="s">
        <v>317</v>
      </c>
      <c r="C57" s="8" t="s">
        <v>318</v>
      </c>
      <c r="D57" s="8" t="s">
        <v>319</v>
      </c>
      <c r="E57" s="8" t="s">
        <v>533</v>
      </c>
      <c r="F57" s="8" t="s">
        <v>131</v>
      </c>
      <c r="G57" s="18" t="s">
        <v>132</v>
      </c>
      <c r="H57" s="18" t="s">
        <v>320</v>
      </c>
      <c r="I57" s="19" t="s">
        <v>236</v>
      </c>
      <c r="J57" s="9"/>
      <c r="K57" s="9" t="str">
        <f>"197,5"</f>
        <v>197,5</v>
      </c>
      <c r="L57" s="9" t="str">
        <f>"113,1083"</f>
        <v>113,1083</v>
      </c>
      <c r="M57" s="8" t="s">
        <v>529</v>
      </c>
    </row>
    <row r="58" spans="1:13">
      <c r="B58" s="5" t="s">
        <v>8</v>
      </c>
    </row>
    <row r="59" spans="1:13" ht="16">
      <c r="A59" s="48" t="s">
        <v>321</v>
      </c>
      <c r="B59" s="48"/>
      <c r="C59" s="49"/>
      <c r="D59" s="49"/>
      <c r="E59" s="49"/>
      <c r="F59" s="49"/>
      <c r="G59" s="49"/>
      <c r="H59" s="49"/>
      <c r="I59" s="49"/>
      <c r="J59" s="49"/>
    </row>
    <row r="60" spans="1:13">
      <c r="A60" s="9" t="s">
        <v>81</v>
      </c>
      <c r="B60" s="8" t="s">
        <v>322</v>
      </c>
      <c r="C60" s="8" t="s">
        <v>323</v>
      </c>
      <c r="D60" s="8" t="s">
        <v>324</v>
      </c>
      <c r="E60" s="8" t="s">
        <v>533</v>
      </c>
      <c r="F60" s="8" t="s">
        <v>131</v>
      </c>
      <c r="G60" s="18" t="s">
        <v>58</v>
      </c>
      <c r="H60" s="18" t="s">
        <v>59</v>
      </c>
      <c r="I60" s="18" t="s">
        <v>63</v>
      </c>
      <c r="J60" s="9"/>
      <c r="K60" s="9" t="str">
        <f>"215,0"</f>
        <v>215,0</v>
      </c>
      <c r="L60" s="9" t="str">
        <f>"121,9050"</f>
        <v>121,9050</v>
      </c>
      <c r="M60" s="8" t="s">
        <v>529</v>
      </c>
    </row>
    <row r="61" spans="1:13">
      <c r="B61" s="5" t="s">
        <v>8</v>
      </c>
    </row>
    <row r="62" spans="1:13">
      <c r="B62" s="5" t="s">
        <v>8</v>
      </c>
    </row>
    <row r="63" spans="1:13">
      <c r="B63" s="5" t="s">
        <v>8</v>
      </c>
    </row>
    <row r="64" spans="1:13" ht="18">
      <c r="B64" s="7" t="s">
        <v>7</v>
      </c>
      <c r="C64" s="7"/>
    </row>
    <row r="65" spans="2:5" ht="16">
      <c r="B65" s="14" t="s">
        <v>78</v>
      </c>
      <c r="C65" s="14"/>
    </row>
    <row r="66" spans="2:5" ht="14">
      <c r="B66" s="15"/>
      <c r="C66" s="16" t="s">
        <v>72</v>
      </c>
    </row>
    <row r="67" spans="2:5" ht="14">
      <c r="B67" s="17" t="s">
        <v>73</v>
      </c>
      <c r="C67" s="17" t="s">
        <v>74</v>
      </c>
      <c r="D67" s="17" t="s">
        <v>508</v>
      </c>
      <c r="E67" s="17" t="s">
        <v>243</v>
      </c>
    </row>
    <row r="68" spans="2:5">
      <c r="B68" s="5" t="s">
        <v>322</v>
      </c>
      <c r="C68" s="5" t="s">
        <v>72</v>
      </c>
      <c r="D68" s="6" t="s">
        <v>328</v>
      </c>
      <c r="E68" s="6" t="s">
        <v>63</v>
      </c>
    </row>
    <row r="69" spans="2:5">
      <c r="B69" s="5" t="s">
        <v>317</v>
      </c>
      <c r="C69" s="5" t="s">
        <v>72</v>
      </c>
      <c r="D69" s="6" t="s">
        <v>80</v>
      </c>
      <c r="E69" s="6" t="s">
        <v>320</v>
      </c>
    </row>
    <row r="70" spans="2:5">
      <c r="B70" s="5" t="s">
        <v>262</v>
      </c>
      <c r="C70" s="5" t="s">
        <v>72</v>
      </c>
      <c r="D70" s="6" t="s">
        <v>76</v>
      </c>
      <c r="E70" s="6" t="s">
        <v>61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59:J59"/>
    <mergeCell ref="A8:J8"/>
    <mergeCell ref="A11:J11"/>
    <mergeCell ref="A14:J14"/>
    <mergeCell ref="A17:J17"/>
    <mergeCell ref="A20:J20"/>
    <mergeCell ref="A23:J23"/>
    <mergeCell ref="A28:J28"/>
    <mergeCell ref="A37:J37"/>
    <mergeCell ref="A48:J48"/>
    <mergeCell ref="A53:J53"/>
    <mergeCell ref="A56:J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9B1-3C1F-4603-BF0D-139B6703788C}">
  <dimension ref="A1:M38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4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58" t="s">
        <v>461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528</v>
      </c>
      <c r="B3" s="56" t="s">
        <v>0</v>
      </c>
      <c r="C3" s="68" t="s">
        <v>530</v>
      </c>
      <c r="D3" s="68" t="s">
        <v>6</v>
      </c>
      <c r="E3" s="50" t="s">
        <v>531</v>
      </c>
      <c r="F3" s="50" t="s">
        <v>5</v>
      </c>
      <c r="G3" s="50" t="s">
        <v>10</v>
      </c>
      <c r="H3" s="50"/>
      <c r="I3" s="50"/>
      <c r="J3" s="50"/>
      <c r="K3" s="50" t="s">
        <v>244</v>
      </c>
      <c r="L3" s="50" t="s">
        <v>3</v>
      </c>
      <c r="M3" s="52" t="s">
        <v>2</v>
      </c>
    </row>
    <row r="4" spans="1:13" s="1" customFormat="1" ht="21" customHeight="1" thickBot="1">
      <c r="A4" s="67"/>
      <c r="B4" s="57"/>
      <c r="C4" s="51"/>
      <c r="D4" s="51"/>
      <c r="E4" s="51"/>
      <c r="F4" s="51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94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9" t="s">
        <v>81</v>
      </c>
      <c r="B6" s="8" t="s">
        <v>207</v>
      </c>
      <c r="C6" s="8" t="s">
        <v>208</v>
      </c>
      <c r="D6" s="8" t="s">
        <v>209</v>
      </c>
      <c r="E6" s="8" t="s">
        <v>533</v>
      </c>
      <c r="F6" s="8" t="s">
        <v>143</v>
      </c>
      <c r="G6" s="18" t="s">
        <v>32</v>
      </c>
      <c r="H6" s="19" t="s">
        <v>33</v>
      </c>
      <c r="I6" s="19" t="s">
        <v>34</v>
      </c>
      <c r="J6" s="9"/>
      <c r="K6" s="9" t="str">
        <f>"90,0"</f>
        <v>90,0</v>
      </c>
      <c r="L6" s="9" t="str">
        <f>"83,4030"</f>
        <v>83,4030</v>
      </c>
      <c r="M6" s="8" t="s">
        <v>529</v>
      </c>
    </row>
    <row r="7" spans="1:13">
      <c r="B7" s="5" t="s">
        <v>8</v>
      </c>
    </row>
    <row r="8" spans="1:13" ht="16">
      <c r="A8" s="48" t="s">
        <v>12</v>
      </c>
      <c r="B8" s="48"/>
      <c r="C8" s="49"/>
      <c r="D8" s="49"/>
      <c r="E8" s="49"/>
      <c r="F8" s="49"/>
      <c r="G8" s="49"/>
      <c r="H8" s="49"/>
      <c r="I8" s="49"/>
      <c r="J8" s="49"/>
    </row>
    <row r="9" spans="1:13">
      <c r="A9" s="11" t="s">
        <v>81</v>
      </c>
      <c r="B9" s="10" t="s">
        <v>210</v>
      </c>
      <c r="C9" s="10" t="s">
        <v>211</v>
      </c>
      <c r="D9" s="10" t="s">
        <v>212</v>
      </c>
      <c r="E9" s="10" t="s">
        <v>532</v>
      </c>
      <c r="F9" s="10" t="s">
        <v>213</v>
      </c>
      <c r="G9" s="20" t="s">
        <v>214</v>
      </c>
      <c r="H9" s="20" t="s">
        <v>18</v>
      </c>
      <c r="I9" s="23" t="s">
        <v>22</v>
      </c>
      <c r="J9" s="11"/>
      <c r="K9" s="11" t="str">
        <f>"75,0"</f>
        <v>75,0</v>
      </c>
      <c r="L9" s="11" t="str">
        <f>"57,3525"</f>
        <v>57,3525</v>
      </c>
      <c r="M9" s="10" t="s">
        <v>433</v>
      </c>
    </row>
    <row r="10" spans="1:13">
      <c r="A10" s="25" t="s">
        <v>82</v>
      </c>
      <c r="B10" s="24" t="s">
        <v>215</v>
      </c>
      <c r="C10" s="24" t="s">
        <v>216</v>
      </c>
      <c r="D10" s="24" t="s">
        <v>212</v>
      </c>
      <c r="E10" s="24" t="s">
        <v>532</v>
      </c>
      <c r="F10" s="24" t="s">
        <v>213</v>
      </c>
      <c r="G10" s="26" t="s">
        <v>195</v>
      </c>
      <c r="H10" s="26" t="s">
        <v>103</v>
      </c>
      <c r="I10" s="26" t="s">
        <v>16</v>
      </c>
      <c r="J10" s="25"/>
      <c r="K10" s="25" t="str">
        <f>"60,0"</f>
        <v>60,0</v>
      </c>
      <c r="L10" s="25" t="str">
        <f>"45,8820"</f>
        <v>45,8820</v>
      </c>
      <c r="M10" s="24" t="s">
        <v>529</v>
      </c>
    </row>
    <row r="11" spans="1:13">
      <c r="A11" s="13" t="s">
        <v>81</v>
      </c>
      <c r="B11" s="12" t="s">
        <v>217</v>
      </c>
      <c r="C11" s="12" t="s">
        <v>494</v>
      </c>
      <c r="D11" s="12" t="s">
        <v>218</v>
      </c>
      <c r="E11" s="12" t="s">
        <v>535</v>
      </c>
      <c r="F11" s="12" t="s">
        <v>143</v>
      </c>
      <c r="G11" s="22" t="s">
        <v>40</v>
      </c>
      <c r="H11" s="21" t="s">
        <v>40</v>
      </c>
      <c r="I11" s="22" t="s">
        <v>42</v>
      </c>
      <c r="J11" s="13"/>
      <c r="K11" s="13" t="str">
        <f>"130,0"</f>
        <v>130,0</v>
      </c>
      <c r="L11" s="13" t="str">
        <f>"93,3270"</f>
        <v>93,3270</v>
      </c>
      <c r="M11" s="12" t="s">
        <v>529</v>
      </c>
    </row>
    <row r="12" spans="1:13">
      <c r="B12" s="5" t="s">
        <v>8</v>
      </c>
    </row>
    <row r="13" spans="1:13" ht="16">
      <c r="A13" s="48" t="s">
        <v>24</v>
      </c>
      <c r="B13" s="48"/>
      <c r="C13" s="49"/>
      <c r="D13" s="49"/>
      <c r="E13" s="49"/>
      <c r="F13" s="49"/>
      <c r="G13" s="49"/>
      <c r="H13" s="49"/>
      <c r="I13" s="49"/>
      <c r="J13" s="49"/>
    </row>
    <row r="14" spans="1:13">
      <c r="A14" s="11" t="s">
        <v>81</v>
      </c>
      <c r="B14" s="10" t="s">
        <v>219</v>
      </c>
      <c r="C14" s="10" t="s">
        <v>220</v>
      </c>
      <c r="D14" s="10" t="s">
        <v>221</v>
      </c>
      <c r="E14" s="10" t="s">
        <v>533</v>
      </c>
      <c r="F14" s="10" t="s">
        <v>213</v>
      </c>
      <c r="G14" s="20" t="s">
        <v>134</v>
      </c>
      <c r="H14" s="23" t="s">
        <v>35</v>
      </c>
      <c r="I14" s="11"/>
      <c r="J14" s="11"/>
      <c r="K14" s="11" t="str">
        <f>"152,5"</f>
        <v>152,5</v>
      </c>
      <c r="L14" s="11" t="str">
        <f>"104,8590"</f>
        <v>104,8590</v>
      </c>
      <c r="M14" s="10" t="s">
        <v>529</v>
      </c>
    </row>
    <row r="15" spans="1:13">
      <c r="A15" s="13" t="s">
        <v>82</v>
      </c>
      <c r="B15" s="12" t="s">
        <v>37</v>
      </c>
      <c r="C15" s="12" t="s">
        <v>38</v>
      </c>
      <c r="D15" s="12" t="s">
        <v>39</v>
      </c>
      <c r="E15" s="12" t="s">
        <v>533</v>
      </c>
      <c r="F15" s="12" t="s">
        <v>513</v>
      </c>
      <c r="G15" s="22" t="s">
        <v>40</v>
      </c>
      <c r="H15" s="21" t="s">
        <v>40</v>
      </c>
      <c r="I15" s="22" t="s">
        <v>42</v>
      </c>
      <c r="J15" s="13"/>
      <c r="K15" s="13" t="str">
        <f>"130,0"</f>
        <v>130,0</v>
      </c>
      <c r="L15" s="13" t="str">
        <f>"90,0510"</f>
        <v>90,0510</v>
      </c>
      <c r="M15" s="12" t="s">
        <v>515</v>
      </c>
    </row>
    <row r="16" spans="1:13">
      <c r="B16" s="5" t="s">
        <v>8</v>
      </c>
    </row>
    <row r="17" spans="1:13" ht="16">
      <c r="A17" s="48" t="s">
        <v>46</v>
      </c>
      <c r="B17" s="48"/>
      <c r="C17" s="49"/>
      <c r="D17" s="49"/>
      <c r="E17" s="49"/>
      <c r="F17" s="49"/>
      <c r="G17" s="49"/>
      <c r="H17" s="49"/>
      <c r="I17" s="49"/>
      <c r="J17" s="49"/>
    </row>
    <row r="18" spans="1:13">
      <c r="A18" s="11" t="s">
        <v>81</v>
      </c>
      <c r="B18" s="10" t="s">
        <v>222</v>
      </c>
      <c r="C18" s="10" t="s">
        <v>223</v>
      </c>
      <c r="D18" s="10" t="s">
        <v>224</v>
      </c>
      <c r="E18" s="10" t="s">
        <v>533</v>
      </c>
      <c r="F18" s="10" t="s">
        <v>438</v>
      </c>
      <c r="G18" s="20" t="s">
        <v>40</v>
      </c>
      <c r="H18" s="20" t="s">
        <v>42</v>
      </c>
      <c r="I18" s="20" t="s">
        <v>41</v>
      </c>
      <c r="J18" s="11"/>
      <c r="K18" s="11" t="str">
        <f>"140,0"</f>
        <v>140,0</v>
      </c>
      <c r="L18" s="11" t="str">
        <f>"90,7620"</f>
        <v>90,7620</v>
      </c>
      <c r="M18" s="10" t="s">
        <v>529</v>
      </c>
    </row>
    <row r="19" spans="1:13">
      <c r="A19" s="13" t="s">
        <v>82</v>
      </c>
      <c r="B19" s="12" t="s">
        <v>225</v>
      </c>
      <c r="C19" s="12" t="s">
        <v>226</v>
      </c>
      <c r="D19" s="12" t="s">
        <v>227</v>
      </c>
      <c r="E19" s="12" t="s">
        <v>533</v>
      </c>
      <c r="F19" s="12" t="s">
        <v>435</v>
      </c>
      <c r="G19" s="21" t="s">
        <v>42</v>
      </c>
      <c r="H19" s="22" t="s">
        <v>228</v>
      </c>
      <c r="I19" s="22" t="s">
        <v>228</v>
      </c>
      <c r="J19" s="13"/>
      <c r="K19" s="13" t="str">
        <f>"135,0"</f>
        <v>135,0</v>
      </c>
      <c r="L19" s="13" t="str">
        <f>"88,5195"</f>
        <v>88,5195</v>
      </c>
      <c r="M19" s="12" t="s">
        <v>529</v>
      </c>
    </row>
    <row r="20" spans="1:13">
      <c r="B20" s="5" t="s">
        <v>8</v>
      </c>
    </row>
    <row r="21" spans="1:13" ht="16">
      <c r="A21" s="48" t="s">
        <v>172</v>
      </c>
      <c r="B21" s="48"/>
      <c r="C21" s="49"/>
      <c r="D21" s="49"/>
      <c r="E21" s="49"/>
      <c r="F21" s="49"/>
      <c r="G21" s="49"/>
      <c r="H21" s="49"/>
      <c r="I21" s="49"/>
      <c r="J21" s="49"/>
    </row>
    <row r="22" spans="1:13">
      <c r="A22" s="9" t="s">
        <v>81</v>
      </c>
      <c r="B22" s="8" t="s">
        <v>229</v>
      </c>
      <c r="C22" s="8" t="s">
        <v>230</v>
      </c>
      <c r="D22" s="8" t="s">
        <v>231</v>
      </c>
      <c r="E22" s="8" t="s">
        <v>533</v>
      </c>
      <c r="F22" s="8" t="s">
        <v>435</v>
      </c>
      <c r="G22" s="18" t="s">
        <v>70</v>
      </c>
      <c r="H22" s="18" t="s">
        <v>71</v>
      </c>
      <c r="I22" s="18" t="s">
        <v>152</v>
      </c>
      <c r="J22" s="9"/>
      <c r="K22" s="9" t="str">
        <f>"185,0"</f>
        <v>185,0</v>
      </c>
      <c r="L22" s="9" t="str">
        <f>"109,3165"</f>
        <v>109,3165</v>
      </c>
      <c r="M22" s="8" t="s">
        <v>523</v>
      </c>
    </row>
    <row r="23" spans="1:13">
      <c r="B23" s="5" t="s">
        <v>8</v>
      </c>
    </row>
    <row r="24" spans="1:13" ht="16">
      <c r="A24" s="48" t="s">
        <v>67</v>
      </c>
      <c r="B24" s="48"/>
      <c r="C24" s="49"/>
      <c r="D24" s="49"/>
      <c r="E24" s="49"/>
      <c r="F24" s="49"/>
      <c r="G24" s="49"/>
      <c r="H24" s="49"/>
      <c r="I24" s="49"/>
      <c r="J24" s="49"/>
    </row>
    <row r="25" spans="1:13">
      <c r="A25" s="11" t="s">
        <v>81</v>
      </c>
      <c r="B25" s="10" t="s">
        <v>232</v>
      </c>
      <c r="C25" s="10" t="s">
        <v>233</v>
      </c>
      <c r="D25" s="10" t="s">
        <v>234</v>
      </c>
      <c r="E25" s="10" t="s">
        <v>533</v>
      </c>
      <c r="F25" s="10" t="s">
        <v>235</v>
      </c>
      <c r="G25" s="20" t="s">
        <v>139</v>
      </c>
      <c r="H25" s="23" t="s">
        <v>236</v>
      </c>
      <c r="I25" s="20" t="s">
        <v>236</v>
      </c>
      <c r="J25" s="11"/>
      <c r="K25" s="11" t="str">
        <f>"202,5"</f>
        <v>202,5</v>
      </c>
      <c r="L25" s="11" t="str">
        <f>"117,3690"</f>
        <v>117,3690</v>
      </c>
      <c r="M25" s="10" t="s">
        <v>529</v>
      </c>
    </row>
    <row r="26" spans="1:13">
      <c r="A26" s="25" t="s">
        <v>82</v>
      </c>
      <c r="B26" s="24" t="s">
        <v>237</v>
      </c>
      <c r="C26" s="24" t="s">
        <v>238</v>
      </c>
      <c r="D26" s="24" t="s">
        <v>239</v>
      </c>
      <c r="E26" s="24" t="s">
        <v>533</v>
      </c>
      <c r="F26" s="24" t="s">
        <v>435</v>
      </c>
      <c r="G26" s="26" t="s">
        <v>139</v>
      </c>
      <c r="H26" s="26" t="s">
        <v>236</v>
      </c>
      <c r="I26" s="27" t="s">
        <v>59</v>
      </c>
      <c r="J26" s="25"/>
      <c r="K26" s="25" t="str">
        <f>"202,5"</f>
        <v>202,5</v>
      </c>
      <c r="L26" s="25" t="str">
        <f>"116,0527"</f>
        <v>116,0527</v>
      </c>
      <c r="M26" s="24" t="s">
        <v>529</v>
      </c>
    </row>
    <row r="27" spans="1:13">
      <c r="A27" s="25" t="s">
        <v>183</v>
      </c>
      <c r="B27" s="24" t="s">
        <v>240</v>
      </c>
      <c r="C27" s="24" t="s">
        <v>241</v>
      </c>
      <c r="D27" s="24" t="s">
        <v>242</v>
      </c>
      <c r="E27" s="24" t="s">
        <v>533</v>
      </c>
      <c r="F27" s="24" t="s">
        <v>435</v>
      </c>
      <c r="G27" s="26" t="s">
        <v>71</v>
      </c>
      <c r="H27" s="26" t="s">
        <v>152</v>
      </c>
      <c r="I27" s="26" t="s">
        <v>132</v>
      </c>
      <c r="J27" s="25"/>
      <c r="K27" s="25" t="str">
        <f>"190,0"</f>
        <v>190,0</v>
      </c>
      <c r="L27" s="25" t="str">
        <f>"109,7820"</f>
        <v>109,7820</v>
      </c>
      <c r="M27" s="24" t="s">
        <v>449</v>
      </c>
    </row>
    <row r="28" spans="1:13">
      <c r="A28" s="13" t="s">
        <v>81</v>
      </c>
      <c r="B28" s="12" t="s">
        <v>232</v>
      </c>
      <c r="C28" s="12" t="s">
        <v>495</v>
      </c>
      <c r="D28" s="12" t="s">
        <v>234</v>
      </c>
      <c r="E28" s="12" t="s">
        <v>534</v>
      </c>
      <c r="F28" s="12" t="s">
        <v>235</v>
      </c>
      <c r="G28" s="21" t="s">
        <v>139</v>
      </c>
      <c r="H28" s="22" t="s">
        <v>236</v>
      </c>
      <c r="I28" s="21" t="s">
        <v>236</v>
      </c>
      <c r="J28" s="13"/>
      <c r="K28" s="13" t="str">
        <f>"202,5"</f>
        <v>202,5</v>
      </c>
      <c r="L28" s="13" t="str">
        <f>"130,7491"</f>
        <v>130,7491</v>
      </c>
      <c r="M28" s="12" t="s">
        <v>529</v>
      </c>
    </row>
    <row r="29" spans="1:13">
      <c r="B29" s="5" t="s">
        <v>8</v>
      </c>
    </row>
    <row r="30" spans="1:13">
      <c r="B30" s="5" t="s">
        <v>8</v>
      </c>
    </row>
    <row r="31" spans="1:13">
      <c r="B31" s="5" t="s">
        <v>8</v>
      </c>
    </row>
    <row r="32" spans="1:13" ht="18">
      <c r="B32" s="7" t="s">
        <v>7</v>
      </c>
      <c r="C32" s="7"/>
    </row>
    <row r="33" spans="2:5" ht="16">
      <c r="B33" s="14" t="s">
        <v>78</v>
      </c>
      <c r="C33" s="14"/>
    </row>
    <row r="34" spans="2:5" ht="14">
      <c r="B34" s="15"/>
      <c r="C34" s="16" t="s">
        <v>72</v>
      </c>
    </row>
    <row r="35" spans="2:5" ht="14">
      <c r="B35" s="17" t="s">
        <v>73</v>
      </c>
      <c r="C35" s="17" t="s">
        <v>74</v>
      </c>
      <c r="D35" s="17" t="s">
        <v>508</v>
      </c>
      <c r="E35" s="17" t="s">
        <v>243</v>
      </c>
    </row>
    <row r="36" spans="2:5">
      <c r="B36" s="5" t="s">
        <v>232</v>
      </c>
      <c r="C36" s="5" t="s">
        <v>72</v>
      </c>
      <c r="D36" s="6" t="s">
        <v>80</v>
      </c>
      <c r="E36" s="6" t="s">
        <v>236</v>
      </c>
    </row>
    <row r="37" spans="2:5">
      <c r="B37" s="5" t="s">
        <v>237</v>
      </c>
      <c r="C37" s="5" t="s">
        <v>72</v>
      </c>
      <c r="D37" s="6" t="s">
        <v>80</v>
      </c>
      <c r="E37" s="6" t="s">
        <v>236</v>
      </c>
    </row>
    <row r="38" spans="2:5">
      <c r="B38" s="5" t="s">
        <v>240</v>
      </c>
      <c r="C38" s="5" t="s">
        <v>72</v>
      </c>
      <c r="D38" s="6" t="s">
        <v>80</v>
      </c>
      <c r="E38" s="6" t="s">
        <v>132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4:J24"/>
    <mergeCell ref="A5:J5"/>
    <mergeCell ref="A8:J8"/>
    <mergeCell ref="A13:J13"/>
    <mergeCell ref="A17:J17"/>
    <mergeCell ref="A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Присед в бинтах ДК</vt:lpstr>
      <vt:lpstr>IPL Жим без экипировки ДК</vt:lpstr>
      <vt:lpstr>IPL Жим без экипировки</vt:lpstr>
      <vt:lpstr>IPL Жим однослой ДК</vt:lpstr>
      <vt:lpstr>СПР Жим софт однопетельная ДК</vt:lpstr>
      <vt:lpstr>СПР Жим софт однопетельная</vt:lpstr>
      <vt:lpstr>СПР Жим софт многопетельная</vt:lpstr>
      <vt:lpstr>IPL Тяга без экипировки ДК</vt:lpstr>
      <vt:lpstr>IPL Тяга без экипировки</vt:lpstr>
      <vt:lpstr>IPL Тяга однослой ДК</vt:lpstr>
      <vt:lpstr>IPL Тяга однослой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2021-03-02T18:28:39Z</dcterms:modified>
</cp:coreProperties>
</file>