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wnloads/"/>
    </mc:Choice>
  </mc:AlternateContent>
  <xr:revisionPtr revIDLastSave="0" documentId="13_ncr:1_{DA1F1F9F-F3CD-F445-AF0D-9E8128FE68CC}" xr6:coauthVersionLast="45" xr6:coauthVersionMax="45" xr10:uidLastSave="{00000000-0000-0000-0000-000000000000}"/>
  <bookViews>
    <workbookView xWindow="0" yWindow="460" windowWidth="27600" windowHeight="15720" tabRatio="904" firstSheet="4" activeTab="12" xr2:uid="{00000000-000D-0000-FFFF-FFFF00000000}"/>
  </bookViews>
  <sheets>
    <sheet name="WPF PRO BP ELIT" sheetId="19" r:id="rId1"/>
    <sheet name="WPF PRO BP SP" sheetId="20" r:id="rId2"/>
    <sheet name="WPF PRO BP RAW" sheetId="21" r:id="rId3"/>
    <sheet name="WPF AM BP SP" sheetId="23" r:id="rId4"/>
    <sheet name="WPF AM BP RAW" sheetId="24" r:id="rId5"/>
    <sheet name="WPF PRO PL CL" sheetId="5" r:id="rId6"/>
    <sheet name="WPF PRO PL RAW" sheetId="6" r:id="rId7"/>
    <sheet name="WPF PRO DL RAW" sheetId="13" r:id="rId8"/>
    <sheet name="WPF AM PL SP" sheetId="12" r:id="rId9"/>
    <sheet name="WPF AM PL CL" sheetId="10" r:id="rId10"/>
    <sheet name="WPF AM PL RAW" sheetId="11" r:id="rId11"/>
    <sheet name="WPF AM DL SP" sheetId="18" r:id="rId12"/>
    <sheet name="WPF AM DL RAW" sheetId="17" r:id="rId13"/>
  </sheets>
  <definedNames>
    <definedName name="_FilterDatabase" localSheetId="5" hidden="1">'WPF PRO PL CL'!$A$1:$R$3</definedName>
  </definedNames>
  <calcPr calcId="191029" refMode="R1C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28" i="24" l="1"/>
  <c r="J128" i="24"/>
  <c r="K127" i="24"/>
  <c r="J127" i="24"/>
  <c r="K126" i="24"/>
  <c r="J126" i="24"/>
  <c r="K123" i="24"/>
  <c r="J123" i="24"/>
  <c r="K122" i="24"/>
  <c r="J122" i="24"/>
  <c r="K121" i="24"/>
  <c r="J121" i="24"/>
  <c r="K120" i="24"/>
  <c r="J120" i="24"/>
  <c r="K119" i="24"/>
  <c r="J119" i="24"/>
  <c r="K116" i="24"/>
  <c r="J116" i="24"/>
  <c r="K115" i="24"/>
  <c r="J115" i="24"/>
  <c r="K114" i="24"/>
  <c r="J114" i="24"/>
  <c r="K113" i="24"/>
  <c r="J113" i="24"/>
  <c r="K112" i="24"/>
  <c r="J112" i="24"/>
  <c r="K111" i="24"/>
  <c r="J111" i="24"/>
  <c r="K110" i="24"/>
  <c r="J110" i="24"/>
  <c r="K109" i="24"/>
  <c r="J109" i="24"/>
  <c r="K108" i="24"/>
  <c r="J108" i="24"/>
  <c r="K107" i="24"/>
  <c r="J107" i="24"/>
  <c r="K106" i="24"/>
  <c r="J106" i="24"/>
  <c r="K105" i="24"/>
  <c r="J105" i="24"/>
  <c r="K104" i="24"/>
  <c r="J104" i="24"/>
  <c r="K101" i="24"/>
  <c r="J101" i="24"/>
  <c r="K100" i="24"/>
  <c r="J100" i="24"/>
  <c r="K99" i="24"/>
  <c r="J99" i="24"/>
  <c r="K98" i="24"/>
  <c r="J98" i="24"/>
  <c r="K97" i="24"/>
  <c r="J97" i="24"/>
  <c r="K96" i="24"/>
  <c r="J96" i="24"/>
  <c r="K95" i="24"/>
  <c r="J95" i="24"/>
  <c r="K94" i="24"/>
  <c r="J94" i="24"/>
  <c r="K93" i="24"/>
  <c r="J93" i="24"/>
  <c r="K92" i="24"/>
  <c r="J92" i="24"/>
  <c r="K91" i="24"/>
  <c r="J91" i="24"/>
  <c r="K90" i="24"/>
  <c r="J90" i="24"/>
  <c r="K89" i="24"/>
  <c r="J89" i="24"/>
  <c r="K88" i="24"/>
  <c r="J88" i="24"/>
  <c r="K87" i="24"/>
  <c r="J87" i="24"/>
  <c r="K86" i="24"/>
  <c r="J86" i="24"/>
  <c r="K83" i="24"/>
  <c r="J83" i="24"/>
  <c r="K82" i="24"/>
  <c r="J82" i="24"/>
  <c r="K81" i="24"/>
  <c r="J81" i="24"/>
  <c r="K80" i="24"/>
  <c r="J80" i="24"/>
  <c r="K79" i="24"/>
  <c r="J79" i="24"/>
  <c r="K78" i="24"/>
  <c r="J78" i="24"/>
  <c r="K77" i="24"/>
  <c r="J77" i="24"/>
  <c r="K76" i="24"/>
  <c r="J76" i="24"/>
  <c r="K75" i="24"/>
  <c r="J75" i="24"/>
  <c r="K74" i="24"/>
  <c r="J74" i="24"/>
  <c r="K73" i="24"/>
  <c r="J73" i="24"/>
  <c r="K72" i="24"/>
  <c r="J72" i="24"/>
  <c r="K71" i="24"/>
  <c r="J71" i="24"/>
  <c r="K70" i="24"/>
  <c r="J70" i="24"/>
  <c r="K69" i="24"/>
  <c r="J69" i="24"/>
  <c r="K68" i="24"/>
  <c r="J68" i="24"/>
  <c r="K65" i="24"/>
  <c r="J65" i="24"/>
  <c r="K64" i="24"/>
  <c r="J64" i="24"/>
  <c r="K63" i="24"/>
  <c r="J63" i="24"/>
  <c r="K62" i="24"/>
  <c r="J62" i="24"/>
  <c r="K61" i="24"/>
  <c r="J61" i="24"/>
  <c r="K58" i="24"/>
  <c r="J58" i="24"/>
  <c r="K57" i="24"/>
  <c r="J57" i="24"/>
  <c r="K56" i="24"/>
  <c r="J56" i="24"/>
  <c r="K55" i="24"/>
  <c r="J55" i="24"/>
  <c r="K54" i="24"/>
  <c r="J54" i="24"/>
  <c r="K53" i="24"/>
  <c r="J53" i="24"/>
  <c r="K52" i="24"/>
  <c r="J52" i="24"/>
  <c r="K51" i="24"/>
  <c r="J51" i="24"/>
  <c r="K50" i="24"/>
  <c r="J50" i="24"/>
  <c r="K47" i="24"/>
  <c r="J47" i="24"/>
  <c r="K46" i="24"/>
  <c r="J46" i="24"/>
  <c r="K45" i="24"/>
  <c r="J45" i="24"/>
  <c r="K42" i="24"/>
  <c r="J42" i="24"/>
  <c r="K41" i="24"/>
  <c r="J41" i="24"/>
  <c r="K38" i="24"/>
  <c r="J38" i="24"/>
  <c r="K37" i="24"/>
  <c r="J37" i="24"/>
  <c r="K34" i="24"/>
  <c r="J34" i="24"/>
  <c r="K33" i="24"/>
  <c r="J33" i="24"/>
  <c r="K30" i="24"/>
  <c r="J30" i="24"/>
  <c r="K29" i="24"/>
  <c r="J29" i="24"/>
  <c r="K26" i="24"/>
  <c r="J26" i="24"/>
  <c r="K25" i="24"/>
  <c r="J25" i="24"/>
  <c r="K24" i="24"/>
  <c r="J24" i="24"/>
  <c r="K23" i="24"/>
  <c r="J23" i="24"/>
  <c r="K20" i="24"/>
  <c r="J20" i="24"/>
  <c r="K19" i="24"/>
  <c r="J19" i="24"/>
  <c r="K16" i="24"/>
  <c r="J16" i="24"/>
  <c r="K15" i="24"/>
  <c r="J15" i="24"/>
  <c r="K14" i="24"/>
  <c r="J14" i="24"/>
  <c r="K11" i="24"/>
  <c r="J11" i="24"/>
  <c r="K8" i="24"/>
  <c r="J8" i="24"/>
  <c r="K7" i="24"/>
  <c r="J7" i="24"/>
  <c r="K6" i="24"/>
  <c r="J6" i="24"/>
  <c r="K13" i="23"/>
  <c r="J13" i="23"/>
  <c r="K12" i="23"/>
  <c r="J12" i="23"/>
  <c r="K9" i="23"/>
  <c r="J9" i="23"/>
  <c r="K6" i="23"/>
  <c r="J6" i="23"/>
  <c r="K32" i="21"/>
  <c r="J32" i="21"/>
  <c r="K31" i="21"/>
  <c r="J31" i="21"/>
  <c r="K30" i="21"/>
  <c r="J30" i="21"/>
  <c r="K29" i="21"/>
  <c r="J29" i="21"/>
  <c r="K26" i="21"/>
  <c r="J26" i="21"/>
  <c r="K25" i="21"/>
  <c r="J25" i="21"/>
  <c r="K24" i="21"/>
  <c r="J24" i="21"/>
  <c r="K23" i="21"/>
  <c r="J23" i="21"/>
  <c r="K20" i="21"/>
  <c r="J20" i="21"/>
  <c r="K19" i="21"/>
  <c r="J19" i="21"/>
  <c r="K18" i="21"/>
  <c r="J18" i="21"/>
  <c r="K17" i="21"/>
  <c r="J17" i="21"/>
  <c r="K14" i="21"/>
  <c r="J14" i="21"/>
  <c r="K13" i="21"/>
  <c r="J13" i="21"/>
  <c r="K12" i="21"/>
  <c r="J12" i="21"/>
  <c r="K11" i="21"/>
  <c r="J11" i="21"/>
  <c r="K10" i="21"/>
  <c r="J10" i="21"/>
  <c r="K7" i="21"/>
  <c r="J7" i="21"/>
  <c r="K6" i="21"/>
  <c r="J6" i="21"/>
  <c r="K21" i="20"/>
  <c r="J21" i="20"/>
  <c r="K20" i="20"/>
  <c r="J20" i="20"/>
  <c r="K17" i="20"/>
  <c r="J17" i="20"/>
  <c r="K14" i="20"/>
  <c r="J14" i="20"/>
  <c r="K13" i="20"/>
  <c r="J13" i="20"/>
  <c r="K12" i="20"/>
  <c r="J12" i="20"/>
  <c r="K9" i="20"/>
  <c r="J9" i="20"/>
  <c r="K6" i="20"/>
  <c r="J6" i="20"/>
  <c r="K18" i="19"/>
  <c r="J18" i="19"/>
  <c r="K17" i="19"/>
  <c r="J17" i="19"/>
  <c r="K14" i="19"/>
  <c r="J14" i="19"/>
  <c r="K13" i="19"/>
  <c r="J13" i="19"/>
  <c r="K10" i="19"/>
  <c r="J10" i="19"/>
  <c r="K9" i="19"/>
  <c r="J9" i="19"/>
  <c r="K6" i="19"/>
  <c r="J6" i="19"/>
  <c r="K10" i="18" l="1"/>
  <c r="J10" i="18"/>
  <c r="K9" i="18"/>
  <c r="J9" i="18"/>
  <c r="K6" i="18"/>
  <c r="J6" i="18"/>
  <c r="K59" i="17"/>
  <c r="J59" i="17"/>
  <c r="K56" i="17"/>
  <c r="J56" i="17"/>
  <c r="K53" i="17"/>
  <c r="J53" i="17"/>
  <c r="K52" i="17"/>
  <c r="J52" i="17"/>
  <c r="K51" i="17"/>
  <c r="J51" i="17"/>
  <c r="K50" i="17"/>
  <c r="J50" i="17"/>
  <c r="K47" i="17"/>
  <c r="J47" i="17"/>
  <c r="K46" i="17"/>
  <c r="J46" i="17"/>
  <c r="K45" i="17"/>
  <c r="J45" i="17"/>
  <c r="K44" i="17"/>
  <c r="J44" i="17"/>
  <c r="K43" i="17"/>
  <c r="J43" i="17"/>
  <c r="K40" i="17"/>
  <c r="J40" i="17"/>
  <c r="K39" i="17"/>
  <c r="J39" i="17"/>
  <c r="K38" i="17"/>
  <c r="J38" i="17"/>
  <c r="K37" i="17"/>
  <c r="J37" i="17"/>
  <c r="K36" i="17"/>
  <c r="J36" i="17"/>
  <c r="K35" i="17"/>
  <c r="J35" i="17"/>
  <c r="K32" i="17"/>
  <c r="J32" i="17"/>
  <c r="K31" i="17"/>
  <c r="J31" i="17"/>
  <c r="K28" i="17"/>
  <c r="J28" i="17"/>
  <c r="K25" i="17"/>
  <c r="J25" i="17"/>
  <c r="K22" i="17"/>
  <c r="J22" i="17"/>
  <c r="K21" i="17"/>
  <c r="J21" i="17"/>
  <c r="K20" i="17"/>
  <c r="J20" i="17"/>
  <c r="K17" i="17"/>
  <c r="J17" i="17"/>
  <c r="K16" i="17"/>
  <c r="J16" i="17"/>
  <c r="K13" i="17"/>
  <c r="J13" i="17"/>
  <c r="K12" i="17"/>
  <c r="J12" i="17"/>
  <c r="K9" i="17"/>
  <c r="J9" i="17"/>
  <c r="K6" i="17"/>
  <c r="J6" i="17"/>
  <c r="K27" i="13"/>
  <c r="J27" i="13"/>
  <c r="K24" i="13"/>
  <c r="J24" i="13"/>
  <c r="K23" i="13"/>
  <c r="J23" i="13"/>
  <c r="K20" i="13"/>
  <c r="J20" i="13"/>
  <c r="K19" i="13"/>
  <c r="J19" i="13"/>
  <c r="K18" i="13"/>
  <c r="J18" i="13"/>
  <c r="K15" i="13"/>
  <c r="J15" i="13"/>
  <c r="K12" i="13"/>
  <c r="J12" i="13"/>
  <c r="K9" i="13"/>
  <c r="J9" i="13"/>
  <c r="K6" i="13"/>
  <c r="J6" i="13"/>
  <c r="S6" i="12"/>
  <c r="R6" i="12"/>
  <c r="S46" i="11"/>
  <c r="R46" i="11"/>
  <c r="S43" i="11"/>
  <c r="R43" i="11"/>
  <c r="S42" i="11"/>
  <c r="R42" i="11"/>
  <c r="S39" i="11"/>
  <c r="R39" i="11"/>
  <c r="S38" i="11"/>
  <c r="R38" i="11"/>
  <c r="S37" i="11"/>
  <c r="R37" i="11"/>
  <c r="S34" i="11"/>
  <c r="R34" i="11"/>
  <c r="S33" i="11"/>
  <c r="R33" i="11"/>
  <c r="S30" i="11"/>
  <c r="R30" i="11"/>
  <c r="S29" i="11"/>
  <c r="R29" i="11"/>
  <c r="S26" i="11"/>
  <c r="R26" i="11"/>
  <c r="S23" i="11"/>
  <c r="R23" i="11"/>
  <c r="S20" i="11"/>
  <c r="R20" i="11"/>
  <c r="S17" i="11"/>
  <c r="R17" i="11"/>
  <c r="S16" i="11"/>
  <c r="R16" i="11"/>
  <c r="S13" i="11"/>
  <c r="R13" i="11"/>
  <c r="S10" i="11"/>
  <c r="R10" i="11"/>
  <c r="S7" i="11"/>
  <c r="R7" i="11"/>
  <c r="S6" i="11"/>
  <c r="R6" i="11"/>
  <c r="S12" i="10"/>
  <c r="R12" i="10"/>
  <c r="S9" i="10"/>
  <c r="R9" i="10"/>
  <c r="S6" i="10"/>
  <c r="R6" i="10"/>
  <c r="S9" i="6"/>
  <c r="R9" i="6"/>
  <c r="S6" i="6"/>
  <c r="R6" i="6"/>
  <c r="S28" i="5"/>
  <c r="R28" i="5"/>
  <c r="S25" i="5"/>
  <c r="R25" i="5"/>
  <c r="S22" i="5"/>
  <c r="R22" i="5"/>
  <c r="S19" i="5"/>
  <c r="R19" i="5"/>
  <c r="S18" i="5"/>
  <c r="R18" i="5"/>
  <c r="S17" i="5"/>
  <c r="R17" i="5"/>
  <c r="S16" i="5"/>
  <c r="R16" i="5"/>
  <c r="S13" i="5"/>
  <c r="R13" i="5"/>
  <c r="S10" i="5"/>
  <c r="R10" i="5"/>
  <c r="S9" i="5"/>
  <c r="R9" i="5"/>
  <c r="S6" i="5"/>
  <c r="R6" i="5"/>
</calcChain>
</file>

<file path=xl/sharedStrings.xml><?xml version="1.0" encoding="utf-8"?>
<sst xmlns="http://schemas.openxmlformats.org/spreadsheetml/2006/main" count="3266" uniqueCount="1089">
  <si>
    <t>ФИО</t>
  </si>
  <si>
    <t>Сумма</t>
  </si>
  <si>
    <t>Тренер</t>
  </si>
  <si>
    <t>Очки</t>
  </si>
  <si>
    <t>Рек</t>
  </si>
  <si>
    <t>Город/Область</t>
  </si>
  <si>
    <t>Собственный 
вес</t>
  </si>
  <si>
    <t>Приседание</t>
  </si>
  <si>
    <t>Жим лёжа</t>
  </si>
  <si>
    <t>Становая тяга</t>
  </si>
  <si>
    <t>ВЕСОВАЯ КАТЕГОРИЯ   56</t>
  </si>
  <si>
    <t>Березкова Елена</t>
  </si>
  <si>
    <t>1. Березкова Елена</t>
  </si>
  <si>
    <t>Открытая (30.06.1993)/27</t>
  </si>
  <si>
    <t>53,70</t>
  </si>
  <si>
    <t xml:space="preserve">Москва/ </t>
  </si>
  <si>
    <t>110,0</t>
  </si>
  <si>
    <t>120,0</t>
  </si>
  <si>
    <t>130,0</t>
  </si>
  <si>
    <t>40,0</t>
  </si>
  <si>
    <t>45,0</t>
  </si>
  <si>
    <t>50,0</t>
  </si>
  <si>
    <t>140,0</t>
  </si>
  <si>
    <t xml:space="preserve">Пасечник К. </t>
  </si>
  <si>
    <t>ВЕСОВАЯ КАТЕГОРИЯ   75</t>
  </si>
  <si>
    <t>Голомазова Екатерина</t>
  </si>
  <si>
    <t>1. Голомазова Екатерина</t>
  </si>
  <si>
    <t>Открытая (24.05.1977)/43</t>
  </si>
  <si>
    <t>71,20</t>
  </si>
  <si>
    <t>160,0</t>
  </si>
  <si>
    <t>170,0</t>
  </si>
  <si>
    <t>65,0</t>
  </si>
  <si>
    <t>70,0</t>
  </si>
  <si>
    <t>75,0</t>
  </si>
  <si>
    <t>172,5</t>
  </si>
  <si>
    <t>180,0</t>
  </si>
  <si>
    <t>190,0</t>
  </si>
  <si>
    <t xml:space="preserve">Марченко В.В. </t>
  </si>
  <si>
    <t>Ашалаева Джамиля</t>
  </si>
  <si>
    <t>2. Ашалаева Джамиля</t>
  </si>
  <si>
    <t>Открытая (18.01.1988)/32</t>
  </si>
  <si>
    <t>70,60</t>
  </si>
  <si>
    <t xml:space="preserve">Химки/Московская область </t>
  </si>
  <si>
    <t>150,0</t>
  </si>
  <si>
    <t>60,0</t>
  </si>
  <si>
    <t>ВЕСОВАЯ КАТЕГОРИЯ   90</t>
  </si>
  <si>
    <t>Евсеев Роман</t>
  </si>
  <si>
    <t>1. Евсеев Роман</t>
  </si>
  <si>
    <t>Открытая (12.08.1993)/27</t>
  </si>
  <si>
    <t>87,80</t>
  </si>
  <si>
    <t xml:space="preserve">Дубна/Московская область </t>
  </si>
  <si>
    <t>220,0</t>
  </si>
  <si>
    <t>230,0</t>
  </si>
  <si>
    <t>240,0</t>
  </si>
  <si>
    <t xml:space="preserve">Шабров А.Г. </t>
  </si>
  <si>
    <t>ВЕСОВАЯ КАТЕГОРИЯ   100</t>
  </si>
  <si>
    <t>Никитин Артем</t>
  </si>
  <si>
    <t>1. Никитин Артем</t>
  </si>
  <si>
    <t>Юниоры 20 - 23 (01.02.1998)/22</t>
  </si>
  <si>
    <t>99,20</t>
  </si>
  <si>
    <t>290,0</t>
  </si>
  <si>
    <t>310,0</t>
  </si>
  <si>
    <t>155,0</t>
  </si>
  <si>
    <t>165,0</t>
  </si>
  <si>
    <t>260,0</t>
  </si>
  <si>
    <t>270,0</t>
  </si>
  <si>
    <t xml:space="preserve">Цацулин М. </t>
  </si>
  <si>
    <t>Открытая (01.02.1998)/22</t>
  </si>
  <si>
    <t>Замп Николай</t>
  </si>
  <si>
    <t>2. Замп Николай</t>
  </si>
  <si>
    <t>Открытая (02.03.1990)/30</t>
  </si>
  <si>
    <t>98,30</t>
  </si>
  <si>
    <t>250,0</t>
  </si>
  <si>
    <t>162,5</t>
  </si>
  <si>
    <t>277,5</t>
  </si>
  <si>
    <t xml:space="preserve"> </t>
  </si>
  <si>
    <t>Лакалин Александр</t>
  </si>
  <si>
    <t>1. Лакалин Александр</t>
  </si>
  <si>
    <t>Ветераны 40 - 44 (15.07.1979)/41</t>
  </si>
  <si>
    <t>96,50</t>
  </si>
  <si>
    <t xml:space="preserve">Одинцово/Московская область </t>
  </si>
  <si>
    <t>175,0</t>
  </si>
  <si>
    <t>185,0</t>
  </si>
  <si>
    <t>125,0</t>
  </si>
  <si>
    <t>132,5</t>
  </si>
  <si>
    <t>135,0</t>
  </si>
  <si>
    <t>237,5</t>
  </si>
  <si>
    <t xml:space="preserve">. </t>
  </si>
  <si>
    <t>ВЕСОВАЯ КАТЕГОРИЯ   110</t>
  </si>
  <si>
    <t>Грузин Алексей</t>
  </si>
  <si>
    <t>1. Грузин Алексей</t>
  </si>
  <si>
    <t>Открытая (23.06.1983)/37</t>
  </si>
  <si>
    <t>106,50</t>
  </si>
  <si>
    <t>275,0</t>
  </si>
  <si>
    <t>307,5</t>
  </si>
  <si>
    <t>192,5</t>
  </si>
  <si>
    <t>197,5</t>
  </si>
  <si>
    <t>302,5</t>
  </si>
  <si>
    <t>ВЕСОВАЯ КАТЕГОРИЯ   125</t>
  </si>
  <si>
    <t>-. Касаткин Дмитрий</t>
  </si>
  <si>
    <t>Открытая (11.10.1981)/39</t>
  </si>
  <si>
    <t>123,90</t>
  </si>
  <si>
    <t>300,0</t>
  </si>
  <si>
    <t>ВЕСОВАЯ КАТЕГОРИЯ   140</t>
  </si>
  <si>
    <t>Бунин Олег</t>
  </si>
  <si>
    <t>1. Бунин Олег</t>
  </si>
  <si>
    <t>Открытая (20.05.1979)/41</t>
  </si>
  <si>
    <t>128,70</t>
  </si>
  <si>
    <t>305,0</t>
  </si>
  <si>
    <t>195,0</t>
  </si>
  <si>
    <t>205,0</t>
  </si>
  <si>
    <t>210,0</t>
  </si>
  <si>
    <t>280,0</t>
  </si>
  <si>
    <t xml:space="preserve">Золотаренок А.В. </t>
  </si>
  <si>
    <t xml:space="preserve">Абсолютный зачёт </t>
  </si>
  <si>
    <t xml:space="preserve">Женщины </t>
  </si>
  <si>
    <t xml:space="preserve">Открытая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</si>
  <si>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</si>
  <si>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</si>
  <si>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</si>
  <si>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</si>
  <si>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>75</t>
  </si>
  <si>
    <t>435,0</t>
  </si>
  <si>
    <t>56</t>
  </si>
  <si>
    <t>320,0</t>
  </si>
  <si>
    <t>385,0</t>
  </si>
  <si>
    <t xml:space="preserve">Мужчины </t>
  </si>
  <si>
    <t xml:space="preserve">Юниоры </t>
  </si>
  <si>
    <t xml:space="preserve">Юниоры 20 - 23 </t>
  </si>
  <si>
    <t>100</t>
  </si>
  <si>
    <t>725,0</t>
  </si>
  <si>
    <t>110</t>
  </si>
  <si>
    <t>785,0</t>
  </si>
  <si>
    <t>140</t>
  </si>
  <si>
    <t>817,5</t>
  </si>
  <si>
    <t>707,5</t>
  </si>
  <si>
    <t>90</t>
  </si>
  <si>
    <t>620,0</t>
  </si>
  <si>
    <t xml:space="preserve">Ветераны </t>
  </si>
  <si>
    <t xml:space="preserve">Ветераны 40 - 44 </t>
  </si>
  <si>
    <t>557,5</t>
  </si>
  <si>
    <t>Ершов Илья</t>
  </si>
  <si>
    <t>1. Ершов Илья</t>
  </si>
  <si>
    <t>Открытая (20.10.1988)/32</t>
  </si>
  <si>
    <t>99,70</t>
  </si>
  <si>
    <t>225,0</t>
  </si>
  <si>
    <t>245,0</t>
  </si>
  <si>
    <t>182,5</t>
  </si>
  <si>
    <t>235,0</t>
  </si>
  <si>
    <t xml:space="preserve">Панферова М.Ю. </t>
  </si>
  <si>
    <t>ВЕСОВАЯ КАТЕГОРИЯ   140+</t>
  </si>
  <si>
    <t>Климов Вячеслав</t>
  </si>
  <si>
    <t>1. Климов Вячеслав</t>
  </si>
  <si>
    <t>Юноши 15-19 (30.09.2002)/18</t>
  </si>
  <si>
    <t>148,30</t>
  </si>
  <si>
    <t>145,0</t>
  </si>
  <si>
    <t>95,0</t>
  </si>
  <si>
    <t>105,0</t>
  </si>
  <si>
    <t xml:space="preserve">Юноши </t>
  </si>
  <si>
    <t xml:space="preserve">Юноши 15-19 </t>
  </si>
  <si>
    <t>140+</t>
  </si>
  <si>
    <t>467,5</t>
  </si>
  <si>
    <t>645,0</t>
  </si>
  <si>
    <t>ВЕСОВАЯ КАТЕГОРИЯ   52</t>
  </si>
  <si>
    <t>Староверова Виктория</t>
  </si>
  <si>
    <t>1. Староверова Виктория</t>
  </si>
  <si>
    <t>Открытая (02.08.1996)/24</t>
  </si>
  <si>
    <t>51,10</t>
  </si>
  <si>
    <t xml:space="preserve">Егорьевск/Московская область </t>
  </si>
  <si>
    <t>85,0</t>
  </si>
  <si>
    <t>100,0</t>
  </si>
  <si>
    <t>55,0</t>
  </si>
  <si>
    <t>57,5</t>
  </si>
  <si>
    <t>115,0</t>
  </si>
  <si>
    <t>117,5</t>
  </si>
  <si>
    <t>ВЕСОВАЯ КАТЕГОРИЯ   67.5</t>
  </si>
  <si>
    <t>Волкова Мария</t>
  </si>
  <si>
    <t>1. Волкова Мария</t>
  </si>
  <si>
    <t>Открытая (03.01.1995)/25</t>
  </si>
  <si>
    <t>65,70</t>
  </si>
  <si>
    <t>102,5</t>
  </si>
  <si>
    <t>167,5</t>
  </si>
  <si>
    <t>Мищенко Сергей</t>
  </si>
  <si>
    <t>1. Мищенко Сергей</t>
  </si>
  <si>
    <t>Открытая (21.07.1988)/32</t>
  </si>
  <si>
    <t>122,60</t>
  </si>
  <si>
    <t>255,0</t>
  </si>
  <si>
    <t>67.5</t>
  </si>
  <si>
    <t>440,0</t>
  </si>
  <si>
    <t>52</t>
  </si>
  <si>
    <t>272,5</t>
  </si>
  <si>
    <t>125</t>
  </si>
  <si>
    <t>670,0</t>
  </si>
  <si>
    <t>Плотникова Маргарита</t>
  </si>
  <si>
    <t>1. Плотникова Маргарита</t>
  </si>
  <si>
    <t>Открытая (27.04.1993)/27</t>
  </si>
  <si>
    <t>51,00</t>
  </si>
  <si>
    <t xml:space="preserve">Пущино/Московская область </t>
  </si>
  <si>
    <t>80,0</t>
  </si>
  <si>
    <t>90,0</t>
  </si>
  <si>
    <t>Иванюк Элеонора</t>
  </si>
  <si>
    <t>1. Иванюк Элеонора</t>
  </si>
  <si>
    <t>Ветераны 50 - 54 (08.10.1970)/50</t>
  </si>
  <si>
    <t>51,30</t>
  </si>
  <si>
    <t>77,5</t>
  </si>
  <si>
    <t>52,5</t>
  </si>
  <si>
    <t>112,5</t>
  </si>
  <si>
    <t>Елистратова Оксана</t>
  </si>
  <si>
    <t>1. Елистратова Оксана</t>
  </si>
  <si>
    <t>Открытая (15.06.1981)/39</t>
  </si>
  <si>
    <t>55,00</t>
  </si>
  <si>
    <t xml:space="preserve">Московская область/Московская </t>
  </si>
  <si>
    <t>67,5</t>
  </si>
  <si>
    <t>35,0</t>
  </si>
  <si>
    <t>37,5</t>
  </si>
  <si>
    <t>42,5</t>
  </si>
  <si>
    <t>82,5</t>
  </si>
  <si>
    <t>ВЕСОВАЯ КАТЕГОРИЯ   60</t>
  </si>
  <si>
    <t>Остапенко Мария-Агата</t>
  </si>
  <si>
    <t>1. Остапенко Мария-Агата</t>
  </si>
  <si>
    <t>Открытая (26.03.1986)/34</t>
  </si>
  <si>
    <t>60,00</t>
  </si>
  <si>
    <t>Ермолаева Анастасия</t>
  </si>
  <si>
    <t>1. Ермолаева Анастасия</t>
  </si>
  <si>
    <t>Девушки 15-19 (28.06.2002)/18</t>
  </si>
  <si>
    <t>62,50</t>
  </si>
  <si>
    <t>25,0</t>
  </si>
  <si>
    <t>30,0</t>
  </si>
  <si>
    <t xml:space="preserve">Клостер Э. </t>
  </si>
  <si>
    <t>Горушкина Мария</t>
  </si>
  <si>
    <t>1. Горушкина Мария</t>
  </si>
  <si>
    <t>Открытая (02.05.1992)/28</t>
  </si>
  <si>
    <t>67,40</t>
  </si>
  <si>
    <t xml:space="preserve">Горушкина М.О. </t>
  </si>
  <si>
    <t>Третьякова Аксана</t>
  </si>
  <si>
    <t>1. Третьякова Аксана</t>
  </si>
  <si>
    <t>Ветераны 55 - 59 (19.03.1965)/55</t>
  </si>
  <si>
    <t>75,00</t>
  </si>
  <si>
    <t xml:space="preserve">Электросталь/Московская област </t>
  </si>
  <si>
    <t>62,5</t>
  </si>
  <si>
    <t xml:space="preserve">Черепков А.А. </t>
  </si>
  <si>
    <t>ВЕСОВАЯ КАТЕГОРИЯ   82.5</t>
  </si>
  <si>
    <t>Ханжалова Фируза</t>
  </si>
  <si>
    <t>1. Ханжалова Фируза</t>
  </si>
  <si>
    <t>Открытая (24.07.1991)/29</t>
  </si>
  <si>
    <t>80,50</t>
  </si>
  <si>
    <t>Загривый Егор</t>
  </si>
  <si>
    <t>1. Загривый Егор</t>
  </si>
  <si>
    <t>Юноши 15-19 (09.12.2003)/17</t>
  </si>
  <si>
    <t>67,30</t>
  </si>
  <si>
    <t>87,5</t>
  </si>
  <si>
    <t>Кашников Артём</t>
  </si>
  <si>
    <t>1. Кашников Артём</t>
  </si>
  <si>
    <t>Юноши 15-19 (22.08.2003)/17</t>
  </si>
  <si>
    <t>76,40</t>
  </si>
  <si>
    <t xml:space="preserve">Анисимов А.П. </t>
  </si>
  <si>
    <t>Ходкин Дмитрий</t>
  </si>
  <si>
    <t>2. Ходкин Дмитрий</t>
  </si>
  <si>
    <t>Юноши 15-19 (20.12.2002)/17</t>
  </si>
  <si>
    <t>75,50</t>
  </si>
  <si>
    <t>137,5</t>
  </si>
  <si>
    <t xml:space="preserve">Лазарев В. Маркин Н.И. </t>
  </si>
  <si>
    <t>Привезенцев Никита</t>
  </si>
  <si>
    <t>1. Привезенцев Никита</t>
  </si>
  <si>
    <t>Юноши 15-19 (02.04.2004)/16</t>
  </si>
  <si>
    <t>86,70</t>
  </si>
  <si>
    <t xml:space="preserve">Привезенцев Н. А </t>
  </si>
  <si>
    <t>Клостер Эрнест</t>
  </si>
  <si>
    <t>1. Клостер Эрнест</t>
  </si>
  <si>
    <t>Открытая (03.10.1991)/29</t>
  </si>
  <si>
    <t>83,60</t>
  </si>
  <si>
    <t>200,0</t>
  </si>
  <si>
    <t>227,5</t>
  </si>
  <si>
    <t>Фоменко Михаил</t>
  </si>
  <si>
    <t>1. Фоменко Михаил</t>
  </si>
  <si>
    <t>Юноши 15-19 (21.09.2005)/15</t>
  </si>
  <si>
    <t>94,10</t>
  </si>
  <si>
    <t xml:space="preserve">Юдин А.В. </t>
  </si>
  <si>
    <t>Прозоров Константин</t>
  </si>
  <si>
    <t>1. Прозоров Константин</t>
  </si>
  <si>
    <t>Открытая (12.03.1989)/31</t>
  </si>
  <si>
    <t>96,10</t>
  </si>
  <si>
    <t>142,5</t>
  </si>
  <si>
    <t>215,0</t>
  </si>
  <si>
    <t xml:space="preserve">Прозоров К.А. </t>
  </si>
  <si>
    <t>Ефременко Вячеслав</t>
  </si>
  <si>
    <t>1. Ефременко Вячеслав</t>
  </si>
  <si>
    <t>Ветераны 40 - 44 (17.08.1979)/41</t>
  </si>
  <si>
    <t xml:space="preserve">Красногорск/Московская область </t>
  </si>
  <si>
    <t>122,5</t>
  </si>
  <si>
    <t xml:space="preserve">Ефременко В.Д. </t>
  </si>
  <si>
    <t>Шилов Павел</t>
  </si>
  <si>
    <t>1. Шилов Павел</t>
  </si>
  <si>
    <t>Юниоры 20 - 23 (06.06.1997)/23</t>
  </si>
  <si>
    <t>105,70</t>
  </si>
  <si>
    <t>-. Климов Роман</t>
  </si>
  <si>
    <t>Открытая (24.12.1981)/38</t>
  </si>
  <si>
    <t>108,50</t>
  </si>
  <si>
    <t xml:space="preserve">Кислов П. </t>
  </si>
  <si>
    <t>Конюхов Даниил</t>
  </si>
  <si>
    <t>1. Конюхов Даниил</t>
  </si>
  <si>
    <t>Открытая (12.04.1993)/27</t>
  </si>
  <si>
    <t>123,60</t>
  </si>
  <si>
    <t xml:space="preserve">Суслов Н. </t>
  </si>
  <si>
    <t xml:space="preserve">Девушки </t>
  </si>
  <si>
    <t>265,0</t>
  </si>
  <si>
    <t>60</t>
  </si>
  <si>
    <t>295,0</t>
  </si>
  <si>
    <t>82.5</t>
  </si>
  <si>
    <t xml:space="preserve">Ветераны 50 - 54 </t>
  </si>
  <si>
    <t>257,5</t>
  </si>
  <si>
    <t xml:space="preserve">Ветераны 55 - 59 </t>
  </si>
  <si>
    <t>410,0</t>
  </si>
  <si>
    <t>327,5</t>
  </si>
  <si>
    <t>355,0</t>
  </si>
  <si>
    <t>515,0</t>
  </si>
  <si>
    <t>722,5</t>
  </si>
  <si>
    <t>540,0</t>
  </si>
  <si>
    <t>550,0</t>
  </si>
  <si>
    <t>490,0</t>
  </si>
  <si>
    <t>-. Яшин Виктор</t>
  </si>
  <si>
    <t>Открытая (29.10.1989)/31</t>
  </si>
  <si>
    <t>87,00</t>
  </si>
  <si>
    <t>252,5</t>
  </si>
  <si>
    <t xml:space="preserve">Ушков И.Д. </t>
  </si>
  <si>
    <t>ВЕСОВАЯ КАТЕГОРИЯ   90+</t>
  </si>
  <si>
    <t>Романова Нина</t>
  </si>
  <si>
    <t>1. Романова Нина</t>
  </si>
  <si>
    <t>Ветераны 40 - 44 (19.05.1978)/42</t>
  </si>
  <si>
    <t>91,50</t>
  </si>
  <si>
    <t xml:space="preserve">Раменское/Московская область </t>
  </si>
  <si>
    <t xml:space="preserve">Парадин И. </t>
  </si>
  <si>
    <t>Трифонов Давид</t>
  </si>
  <si>
    <t>1. Трифонов Давид</t>
  </si>
  <si>
    <t>Юноши 15-19 (16.12.2004)/16</t>
  </si>
  <si>
    <t>79,20</t>
  </si>
  <si>
    <t xml:space="preserve">Люберцы/Московская область </t>
  </si>
  <si>
    <t xml:space="preserve">Трифонов Д.А. </t>
  </si>
  <si>
    <t>Ананьин Алексей</t>
  </si>
  <si>
    <t>1. Ананьин Алексей</t>
  </si>
  <si>
    <t>Открытая (28.09.1976)/44</t>
  </si>
  <si>
    <t xml:space="preserve">Дмитров/Московская область </t>
  </si>
  <si>
    <t>317,5</t>
  </si>
  <si>
    <t>322,5</t>
  </si>
  <si>
    <t>Щеулин Роман</t>
  </si>
  <si>
    <t>2. Щеулин Роман</t>
  </si>
  <si>
    <t>Открытая (12.02.1988)/32</t>
  </si>
  <si>
    <t>97,00</t>
  </si>
  <si>
    <t xml:space="preserve">Воскресенск/Московская область </t>
  </si>
  <si>
    <t xml:space="preserve">Порядин И. </t>
  </si>
  <si>
    <t>Неклюдов Андрей</t>
  </si>
  <si>
    <t>3. Неклюдов Андрей</t>
  </si>
  <si>
    <t>Открытая (24.11.1996)/24</t>
  </si>
  <si>
    <t>98,70</t>
  </si>
  <si>
    <t xml:space="preserve">Московский/Московская область </t>
  </si>
  <si>
    <t>222,5</t>
  </si>
  <si>
    <t xml:space="preserve">Ананьин А.А. </t>
  </si>
  <si>
    <t>Порядин Иван</t>
  </si>
  <si>
    <t>1. Порядин Иван</t>
  </si>
  <si>
    <t>Открытая (06.06.1982)/38</t>
  </si>
  <si>
    <t>Золотарёнок Андрей</t>
  </si>
  <si>
    <t>1. Золотарёнок Андрей</t>
  </si>
  <si>
    <t>Ветераны 40 - 44 (23.11.1978)/42</t>
  </si>
  <si>
    <t>107,70</t>
  </si>
  <si>
    <t>Куликов Евгений</t>
  </si>
  <si>
    <t>1. Куликов Евгений</t>
  </si>
  <si>
    <t>Открытая (18.03.1983)/37</t>
  </si>
  <si>
    <t>122,70</t>
  </si>
  <si>
    <t>292,5</t>
  </si>
  <si>
    <t xml:space="preserve">Результат </t>
  </si>
  <si>
    <t>90+</t>
  </si>
  <si>
    <t>Результат</t>
  </si>
  <si>
    <t>ВЕСОВАЯ КАТЕГОРИЯ   48</t>
  </si>
  <si>
    <t>Коваленко Ольга</t>
  </si>
  <si>
    <t>1. Коваленко Ольга</t>
  </si>
  <si>
    <t>Ветераны 45 - 49 (16.03.1972)/48</t>
  </si>
  <si>
    <t>48,00</t>
  </si>
  <si>
    <t>Бабаева Анна</t>
  </si>
  <si>
    <t>1. Бабаева Анна</t>
  </si>
  <si>
    <t>Открытая (18.09.1983)/37</t>
  </si>
  <si>
    <t>48,60</t>
  </si>
  <si>
    <t>Григорьева Тамара</t>
  </si>
  <si>
    <t>1. Григорьева Тамара</t>
  </si>
  <si>
    <t>Открытая (09.04.1990)/30</t>
  </si>
  <si>
    <t>55,90</t>
  </si>
  <si>
    <t xml:space="preserve">Истра/Московская область </t>
  </si>
  <si>
    <t xml:space="preserve">Лазарев В.В. </t>
  </si>
  <si>
    <t>Юсупова Светлана</t>
  </si>
  <si>
    <t>2. Юсупова Светлана</t>
  </si>
  <si>
    <t>Открытая (30.11.1982)/38</t>
  </si>
  <si>
    <t>56,00</t>
  </si>
  <si>
    <t xml:space="preserve">Синицин Р. </t>
  </si>
  <si>
    <t>Рыблова Наталья</t>
  </si>
  <si>
    <t>1. Рыблова Наталья</t>
  </si>
  <si>
    <t>Открытая (10.08.1986)/34</t>
  </si>
  <si>
    <t>59,20</t>
  </si>
  <si>
    <t xml:space="preserve">Рыблова Н.Н. </t>
  </si>
  <si>
    <t>Гусева Евгения</t>
  </si>
  <si>
    <t>1. Гусева Евгения</t>
  </si>
  <si>
    <t>Ветераны 40 - 44 (29.09.1976)/44</t>
  </si>
  <si>
    <t>59,40</t>
  </si>
  <si>
    <t xml:space="preserve">Нетребина Г. </t>
  </si>
  <si>
    <t>Тихомирова Ксения</t>
  </si>
  <si>
    <t>1. Тихомирова Ксения</t>
  </si>
  <si>
    <t>Юниорки 20 - 23 (29.07.2000)/20</t>
  </si>
  <si>
    <t>65,30</t>
  </si>
  <si>
    <t>152,5</t>
  </si>
  <si>
    <t xml:space="preserve">Тихомиров М.В. </t>
  </si>
  <si>
    <t>Открытая (29.07.2000)/20</t>
  </si>
  <si>
    <t>Сердюченко Елена</t>
  </si>
  <si>
    <t>1. Сердюченко Елена</t>
  </si>
  <si>
    <t>Ветераны 45 - 49 (15.01.1972)/48</t>
  </si>
  <si>
    <t>63,60</t>
  </si>
  <si>
    <t>Васильева Екатерина</t>
  </si>
  <si>
    <t>1. Васильева Екатерина</t>
  </si>
  <si>
    <t>Ветераны 40 - 44 (07.09.1976)/44</t>
  </si>
  <si>
    <t>73,50</t>
  </si>
  <si>
    <t>Зайковская Светлана</t>
  </si>
  <si>
    <t>1. Зайковская Светлана</t>
  </si>
  <si>
    <t>Открытая (24.07.1989)/31</t>
  </si>
  <si>
    <t>94,20</t>
  </si>
  <si>
    <t>1. Ходкин Дмитрий</t>
  </si>
  <si>
    <t>Ветров Николай</t>
  </si>
  <si>
    <t>1. Ветров Николай</t>
  </si>
  <si>
    <t>Ветераны 75 - 79 (12.09.1945)/75</t>
  </si>
  <si>
    <t>79,40</t>
  </si>
  <si>
    <t xml:space="preserve">Королёв/Московская область </t>
  </si>
  <si>
    <t xml:space="preserve">Санников В.М. </t>
  </si>
  <si>
    <t>Тарасов Виталий</t>
  </si>
  <si>
    <t>1. Тарасов Виталий</t>
  </si>
  <si>
    <t>Открытая (09.06.1977)/43</t>
  </si>
  <si>
    <t>88,10</t>
  </si>
  <si>
    <t>242,5</t>
  </si>
  <si>
    <t>2. Клостер Эрнест</t>
  </si>
  <si>
    <t>Пантелеев Александр</t>
  </si>
  <si>
    <t>3. Пантелеев Александр</t>
  </si>
  <si>
    <t>Открытая (01.12.1991)/29</t>
  </si>
  <si>
    <t>89,90</t>
  </si>
  <si>
    <t xml:space="preserve">Москва </t>
  </si>
  <si>
    <t>Мартишин Александр</t>
  </si>
  <si>
    <t>4. Мартишин Александр</t>
  </si>
  <si>
    <t>Открытая (04.09.1996)/24</t>
  </si>
  <si>
    <t>87,70</t>
  </si>
  <si>
    <t xml:space="preserve">Савостьянов Р.И. </t>
  </si>
  <si>
    <t>Диденко Денис</t>
  </si>
  <si>
    <t>5. Диденко Денис</t>
  </si>
  <si>
    <t>Открытая (02.08.1980)/40</t>
  </si>
  <si>
    <t>88,30</t>
  </si>
  <si>
    <t>157,5</t>
  </si>
  <si>
    <t xml:space="preserve">Султанов М. </t>
  </si>
  <si>
    <t>Ветераны 40 - 44 (09.06.1977)/43</t>
  </si>
  <si>
    <t>Лукоянов Евгений</t>
  </si>
  <si>
    <t>1. Лукоянов Евгений</t>
  </si>
  <si>
    <t>Открытая (24.03.1982)/38</t>
  </si>
  <si>
    <t>98,20</t>
  </si>
  <si>
    <t xml:space="preserve">Юность/Московская область </t>
  </si>
  <si>
    <t>Зайцев Дмитрий</t>
  </si>
  <si>
    <t>1. Зайцев Дмитрий</t>
  </si>
  <si>
    <t>Ветераны 40 - 44 (16.10.1976)/44</t>
  </si>
  <si>
    <t>97,70</t>
  </si>
  <si>
    <t>247,5</t>
  </si>
  <si>
    <t>Терских Вадим</t>
  </si>
  <si>
    <t>2. Терских Вадим</t>
  </si>
  <si>
    <t>Ветераны 40 - 44 (20.04.1978)/42</t>
  </si>
  <si>
    <t>98,80</t>
  </si>
  <si>
    <t>Коваленко Алексей</t>
  </si>
  <si>
    <t>1. Коваленко Алексей</t>
  </si>
  <si>
    <t>Ветераны 45 - 49 (07.01.1972)/48</t>
  </si>
  <si>
    <t xml:space="preserve">Орехово-Зуево/Московская облас </t>
  </si>
  <si>
    <t>Данин Глеб</t>
  </si>
  <si>
    <t>1. Данин Глеб</t>
  </si>
  <si>
    <t>Юноши 15-19 (09.04.2001)/19</t>
  </si>
  <si>
    <t>106,90</t>
  </si>
  <si>
    <t>Холодов Сергей</t>
  </si>
  <si>
    <t>1. Холодов Сергей</t>
  </si>
  <si>
    <t>Открытая (08.07.1989)/31</t>
  </si>
  <si>
    <t>108,90</t>
  </si>
  <si>
    <t xml:space="preserve">Будко А. </t>
  </si>
  <si>
    <t>Бутко Андрей</t>
  </si>
  <si>
    <t>2. Бутко Андрей</t>
  </si>
  <si>
    <t>Открытая (05.05.1985)/35</t>
  </si>
  <si>
    <t>108,30</t>
  </si>
  <si>
    <t xml:space="preserve">Яхрома/Московская область </t>
  </si>
  <si>
    <t>Шляхитский Александр</t>
  </si>
  <si>
    <t>1. Шляхитский Александр</t>
  </si>
  <si>
    <t>Ветераны 40 - 44 (09.02.1980)/40</t>
  </si>
  <si>
    <t>105,00</t>
  </si>
  <si>
    <t xml:space="preserve">Новомосковск/Тульская область </t>
  </si>
  <si>
    <t>Дьячев Андрей</t>
  </si>
  <si>
    <t>1. Дьячев Андрей</t>
  </si>
  <si>
    <t>Открытая (15.04.1984)/36</t>
  </si>
  <si>
    <t>112,10</t>
  </si>
  <si>
    <t xml:space="preserve">Шумский С.Ю. </t>
  </si>
  <si>
    <t>Кислицын Иван</t>
  </si>
  <si>
    <t>1. Кислицын Иван</t>
  </si>
  <si>
    <t>Юноши 15-19 (10.12.2003)/17</t>
  </si>
  <si>
    <t>173,40</t>
  </si>
  <si>
    <t xml:space="preserve">Юниорки </t>
  </si>
  <si>
    <t xml:space="preserve">Ветераны 45 - 49 </t>
  </si>
  <si>
    <t>48</t>
  </si>
  <si>
    <t xml:space="preserve">Ветераны 75 - 79 </t>
  </si>
  <si>
    <t>Кондакова София</t>
  </si>
  <si>
    <t>1. Кондакова София</t>
  </si>
  <si>
    <t>Девушки 15-19 (09.02.2004)/16</t>
  </si>
  <si>
    <t>54,40</t>
  </si>
  <si>
    <t>127,5</t>
  </si>
  <si>
    <t>Егоров Александр</t>
  </si>
  <si>
    <t>1. Егоров Александр</t>
  </si>
  <si>
    <t>Открытая (17.06.1996)/24</t>
  </si>
  <si>
    <t>88,90</t>
  </si>
  <si>
    <t xml:space="preserve">Постнов Д.М. </t>
  </si>
  <si>
    <t>Винтовкин Иван</t>
  </si>
  <si>
    <t>2. Винтовкин Иван</t>
  </si>
  <si>
    <t>Открытая (30.05.1992)/28</t>
  </si>
  <si>
    <t>89,30</t>
  </si>
  <si>
    <t xml:space="preserve">Постнов Д. М. </t>
  </si>
  <si>
    <t>GRAND PRIX WPF 2020
WPF Пауэрлифтинг классический
Москва / 19 - 20 декабря 2020 г.</t>
  </si>
  <si>
    <t>GRAND PRIX WPF 2020
WPF Пауэрлифтинг безэкипировочный
Москва / 19 - 20 декабря 2020 г.</t>
  </si>
  <si>
    <t>GRAND PRIX WPF 2020
WPF Становая тяга безэкипировочная
Москва / 19 - 20 декабря 2020 г.</t>
  </si>
  <si>
    <t>GRAND PRIX WPF 2020
WPF с ДК Пауэрлифтинг в однослойной экипировке
Москва / 19 - 20 декабря 2020 г.</t>
  </si>
  <si>
    <t>GRAND PRIX WPF 2020
WPF с ДК Пауэрлифтинг классический
Москва / 19 - 20 декабря 2020 г.</t>
  </si>
  <si>
    <t>GRAND PRIX WPF 2020
WPF с ДК Пауэрлифтинг безэкипировочный
Москва / 19 - 20 декабря 2020 г.</t>
  </si>
  <si>
    <t>GRAND PRIX WPF 2020
WPF с ДК Становая тяга в однослойной экипировке
Москва / 19 - 20 декабря 2020 г.</t>
  </si>
  <si>
    <t>GRAND PRIX WPF 2020
WPF с ДК Становая тяга безэкипировочная
Москва / 19 - 20 декабря 2020 г.</t>
  </si>
  <si>
    <t>Всероссийский турнир WPF "КРЕМЛЕВСКИЙ ЖИМ 2020" ЭЛИТА
WPF Жим лежа в многослойной экипировке
Москва / 19 - 20 декабря 2020 г.</t>
  </si>
  <si>
    <t>1. Семенихин Иван</t>
  </si>
  <si>
    <t>Открытая (30.03.1991)/29</t>
  </si>
  <si>
    <t xml:space="preserve">Саратов/Саратовская область </t>
  </si>
  <si>
    <t>262,5</t>
  </si>
  <si>
    <t xml:space="preserve">Семенихин И.М. </t>
  </si>
  <si>
    <t>1. Курочкин Валерий</t>
  </si>
  <si>
    <t>Открытая (09.11.1978)/42</t>
  </si>
  <si>
    <t>99,60</t>
  </si>
  <si>
    <t>285,0</t>
  </si>
  <si>
    <t>-. Филиппов Кирилл</t>
  </si>
  <si>
    <t>Открытая (07.01.1989)/31</t>
  </si>
  <si>
    <t>98,00</t>
  </si>
  <si>
    <t xml:space="preserve">Тучково/Московская область </t>
  </si>
  <si>
    <t xml:space="preserve">Швецов </t>
  </si>
  <si>
    <t>Открытая (06.11.1979)/41</t>
  </si>
  <si>
    <t>99,90</t>
  </si>
  <si>
    <t xml:space="preserve">Маркин Н.И. </t>
  </si>
  <si>
    <t>1. Игнатов Андрей</t>
  </si>
  <si>
    <t>Открытая (22.02.1992)/28</t>
  </si>
  <si>
    <t>100,80</t>
  </si>
  <si>
    <t>2. Черемисин Артур</t>
  </si>
  <si>
    <t>Открытая (29.11.1989)/31</t>
  </si>
  <si>
    <t>1. Брехов Роман</t>
  </si>
  <si>
    <t>Открытая (24.02.1990)/30</t>
  </si>
  <si>
    <t>113,20</t>
  </si>
  <si>
    <t xml:space="preserve">Балашиха/Московская область </t>
  </si>
  <si>
    <t>287,5</t>
  </si>
  <si>
    <t>297,5</t>
  </si>
  <si>
    <t xml:space="preserve">Соловьёв В. </t>
  </si>
  <si>
    <t>2. Рысцов Александр</t>
  </si>
  <si>
    <t>Открытая (02.12.1979)/41</t>
  </si>
  <si>
    <t>114,20</t>
  </si>
  <si>
    <t xml:space="preserve">Рассказово/Тамбовская область </t>
  </si>
  <si>
    <t>Брехов Роман</t>
  </si>
  <si>
    <t>Игнатов Андрей</t>
  </si>
  <si>
    <t>Курочкин Валерий</t>
  </si>
  <si>
    <t>Рысцов Александр</t>
  </si>
  <si>
    <t>Семенихин Иван</t>
  </si>
  <si>
    <t>Черемисин Артур</t>
  </si>
  <si>
    <t>Всероссийский турнир WPF "КРЕМЛЕВСКИЙ ЖИМ 2020"
WPF Жим лежа в однослойной экипировке
Москва / 19 - 20 декабря 2020 г.</t>
  </si>
  <si>
    <t>1. Шалимова Татьяна</t>
  </si>
  <si>
    <t>Ветераны 40 - 44 (10.01.1976)/44</t>
  </si>
  <si>
    <t>80,00</t>
  </si>
  <si>
    <t>47,5</t>
  </si>
  <si>
    <t xml:space="preserve">Мишенин С.В. </t>
  </si>
  <si>
    <t>1. Киселев Павел</t>
  </si>
  <si>
    <t>Юниоры 20 - 23 (03.11.1999)/21</t>
  </si>
  <si>
    <t>89,20</t>
  </si>
  <si>
    <t>1. Лазарев Владимир</t>
  </si>
  <si>
    <t>-. Тарасов Артем</t>
  </si>
  <si>
    <t>Открытая (31.07.1992)/28</t>
  </si>
  <si>
    <t>90,40</t>
  </si>
  <si>
    <t>Ветераны 40 - 44 (06.11.1979)/41</t>
  </si>
  <si>
    <t>1. Рахманов Вячеслав</t>
  </si>
  <si>
    <t>Ветераны 50 - 54 (10.09.1968)/52</t>
  </si>
  <si>
    <t>106,80</t>
  </si>
  <si>
    <t>-. Рысцов Александр</t>
  </si>
  <si>
    <t>Шалимова Татьяна</t>
  </si>
  <si>
    <t>Киселев Павел</t>
  </si>
  <si>
    <t>Лазарев Владимир</t>
  </si>
  <si>
    <t>Рахманов Вячеслав</t>
  </si>
  <si>
    <t>Всероссийский турнир WPF "КРЕМЛЕВСКИЙ ЖИМ 2020"
WPF Жим лежа безэкипировочный
Москва / 19 - 20 декабря 2020 г.</t>
  </si>
  <si>
    <t>1. Комков Валерий</t>
  </si>
  <si>
    <t>Открытая (25.04.1992)/28</t>
  </si>
  <si>
    <t>73,40</t>
  </si>
  <si>
    <t xml:space="preserve">Трухачев И.К. </t>
  </si>
  <si>
    <t>1. Ионов Николай</t>
  </si>
  <si>
    <t>Ветераны 70 - 74 (20.05.1949)/71</t>
  </si>
  <si>
    <t>70,20</t>
  </si>
  <si>
    <t xml:space="preserve">Хуснетдинова Т.И. </t>
  </si>
  <si>
    <t>1. Тимченко Сергей</t>
  </si>
  <si>
    <t>Открытая (23.12.1979)/40</t>
  </si>
  <si>
    <t xml:space="preserve">Подольск/Московская область </t>
  </si>
  <si>
    <t xml:space="preserve">Тимченко Ю. </t>
  </si>
  <si>
    <t>1. Сосунов Антон</t>
  </si>
  <si>
    <t>Ветераны 40 - 44 (14.12.1980)/40</t>
  </si>
  <si>
    <t>85,60</t>
  </si>
  <si>
    <t>147,5</t>
  </si>
  <si>
    <t xml:space="preserve">Бойко Ю.М. </t>
  </si>
  <si>
    <t>2. Калашников Дмитрий</t>
  </si>
  <si>
    <t>Ветераны 40 - 44 (23.01.1980)/40</t>
  </si>
  <si>
    <t>89,10</t>
  </si>
  <si>
    <t xml:space="preserve">Романов Ю. </t>
  </si>
  <si>
    <t>-. Петракович Николай</t>
  </si>
  <si>
    <t>85,00</t>
  </si>
  <si>
    <t>1. Хуснетдинов Амир</t>
  </si>
  <si>
    <t>Ветераны 70 - 74 (01.03.1948)/72</t>
  </si>
  <si>
    <t>88,20</t>
  </si>
  <si>
    <t>1. Мишин Алексей</t>
  </si>
  <si>
    <t>Юниоры 20 - 23 (06.02.1998)/22</t>
  </si>
  <si>
    <t>97,40</t>
  </si>
  <si>
    <t xml:space="preserve">Мишин С.В. </t>
  </si>
  <si>
    <t>1. Новиков Игорь</t>
  </si>
  <si>
    <t>Открытая (24.08.1984)/36</t>
  </si>
  <si>
    <t>97,30</t>
  </si>
  <si>
    <t xml:space="preserve">Бунтов Д.В. </t>
  </si>
  <si>
    <t>1. Сибирко Анатолий</t>
  </si>
  <si>
    <t>Ветераны 40 - 44 (15.05.1977)/43</t>
  </si>
  <si>
    <t xml:space="preserve">Кимовск/Тульская область </t>
  </si>
  <si>
    <t>1. Уткин Вадим</t>
  </si>
  <si>
    <t>Ветераны 45 - 49 (10.07.1972)/48</t>
  </si>
  <si>
    <t>1. Матевосян Давид</t>
  </si>
  <si>
    <t>Открытая (12.06.1996)/24</t>
  </si>
  <si>
    <t>108,20</t>
  </si>
  <si>
    <t xml:space="preserve">Бронницы/Московская область </t>
  </si>
  <si>
    <t>270,5</t>
  </si>
  <si>
    <t>1. Шулимов Кирилл</t>
  </si>
  <si>
    <t>Ветераны 40 - 44 (04.06.1980)/40</t>
  </si>
  <si>
    <t>1. Подрезов Сергей</t>
  </si>
  <si>
    <t>Ветераны 45 - 49 (06.01.1975)/45</t>
  </si>
  <si>
    <t>106,60</t>
  </si>
  <si>
    <t>1. Лисицын Сергей</t>
  </si>
  <si>
    <t>Ветераны 50 - 54 (26.10.1970)/50</t>
  </si>
  <si>
    <t>107,80</t>
  </si>
  <si>
    <t xml:space="preserve">Нахабино/Московская область </t>
  </si>
  <si>
    <t>202,5</t>
  </si>
  <si>
    <t>1. Франк Дмитрий</t>
  </si>
  <si>
    <t>Открытая (23.08.1994)/26</t>
  </si>
  <si>
    <t>114,40</t>
  </si>
  <si>
    <t>2. Мынка Эрик</t>
  </si>
  <si>
    <t>Открытая (14.07.1996)/24</t>
  </si>
  <si>
    <t>115,60</t>
  </si>
  <si>
    <t>217,5</t>
  </si>
  <si>
    <t xml:space="preserve">Колохин П. </t>
  </si>
  <si>
    <t>1. Петров Сергей</t>
  </si>
  <si>
    <t>Ветераны 45 - 49 (08.05.1972)/48</t>
  </si>
  <si>
    <t>122,40</t>
  </si>
  <si>
    <t>1. Мишта Юрий</t>
  </si>
  <si>
    <t>Ветераны 60 - 64 (24.11.1958)/62</t>
  </si>
  <si>
    <t>120,60</t>
  </si>
  <si>
    <t xml:space="preserve">Полицковая Е.В. </t>
  </si>
  <si>
    <t>Мишин Алексей</t>
  </si>
  <si>
    <t>Матевосян Давид</t>
  </si>
  <si>
    <t>Франк Дмитрий</t>
  </si>
  <si>
    <t>Мынка Эрик</t>
  </si>
  <si>
    <t>Тимченко Сергей</t>
  </si>
  <si>
    <t>Новиков Игорь</t>
  </si>
  <si>
    <t>Комков Валерий</t>
  </si>
  <si>
    <t>Хуснетдинов Амир</t>
  </si>
  <si>
    <t xml:space="preserve">Ветераны 70 - 74 </t>
  </si>
  <si>
    <t>Мишта Юрий</t>
  </si>
  <si>
    <t xml:space="preserve">Ветераны 60 - 64 </t>
  </si>
  <si>
    <t>Лисицын Сергей</t>
  </si>
  <si>
    <t>Ионов Николай</t>
  </si>
  <si>
    <t>Шулимов Кирилл</t>
  </si>
  <si>
    <t>Уткин Вадим</t>
  </si>
  <si>
    <t>Сибирко Анатолий</t>
  </si>
  <si>
    <t>Петров Сергей</t>
  </si>
  <si>
    <t>Подрезов Сергей</t>
  </si>
  <si>
    <t>Сосунов Антон</t>
  </si>
  <si>
    <t>Калашников Дмитрий</t>
  </si>
  <si>
    <t xml:space="preserve">Домодедово/Московская область </t>
  </si>
  <si>
    <t>Всероссийский турнир WPF "КРЕМЛЕВСКИЙ ЖИМ 2020"
WPF с ДК Жим лежа в однослойной экипировке
Москва / 19 - 20 декабря 2020 г.</t>
  </si>
  <si>
    <t>1. Сударев Максим</t>
  </si>
  <si>
    <t>Юниоры 20 - 23 (23.11.2000)/20</t>
  </si>
  <si>
    <t>80,30</t>
  </si>
  <si>
    <t>-. Корнеев Дмитрий</t>
  </si>
  <si>
    <t>Открытая (15.02.1987)/33</t>
  </si>
  <si>
    <t>89,70</t>
  </si>
  <si>
    <t>187,5</t>
  </si>
  <si>
    <t>1. Филиппов Кирилл</t>
  </si>
  <si>
    <t>267,5</t>
  </si>
  <si>
    <t>2. Галкин Дмитрий</t>
  </si>
  <si>
    <t>Открытая (14.08.1987)/33</t>
  </si>
  <si>
    <t>92,00</t>
  </si>
  <si>
    <t xml:space="preserve">Рахманов В.А. </t>
  </si>
  <si>
    <t>Сударев Максим</t>
  </si>
  <si>
    <t>Филиппов Кирилл</t>
  </si>
  <si>
    <t>Галкин Дмитрий</t>
  </si>
  <si>
    <t>Всероссийский турнир WPF "КРЕМЛЕВСКИЙ ЖИМ 2020"
WPF с ДК Жим лежа безэкипировочный
Москва / 19 - 20 декабря 2020 г.</t>
  </si>
  <si>
    <t>1. Капинос Юлия</t>
  </si>
  <si>
    <t>Девушки 15-19 (29.07.2001)/19</t>
  </si>
  <si>
    <t>47,70</t>
  </si>
  <si>
    <t xml:space="preserve">Нейман С.С. </t>
  </si>
  <si>
    <t>1. Грушевская Вероника</t>
  </si>
  <si>
    <t>Юниорки 20 - 23 (04.07.1999)/21</t>
  </si>
  <si>
    <t>47,10</t>
  </si>
  <si>
    <t xml:space="preserve">Клостер Э.С. </t>
  </si>
  <si>
    <t>1. Бажина Екатерина</t>
  </si>
  <si>
    <t>Открытая (04.04.1983)/37</t>
  </si>
  <si>
    <t>47,60</t>
  </si>
  <si>
    <t xml:space="preserve">Балугин Н.В. </t>
  </si>
  <si>
    <t>1. Булкина Мария</t>
  </si>
  <si>
    <t>Открытая (24.07.1984)/36</t>
  </si>
  <si>
    <t>50,00</t>
  </si>
  <si>
    <t xml:space="preserve">Овчаров С. </t>
  </si>
  <si>
    <t>1. Фролова Дарья</t>
  </si>
  <si>
    <t>Открытая (17.04.1997)/23</t>
  </si>
  <si>
    <t>53,80</t>
  </si>
  <si>
    <t>-. Григорьева Тамара</t>
  </si>
  <si>
    <t>1. Евдокимова Елена</t>
  </si>
  <si>
    <t>Ветераны 50 - 54 (06.05.1970)/50</t>
  </si>
  <si>
    <t xml:space="preserve">Сорокин С.В. </t>
  </si>
  <si>
    <t>1. Ишбулатова Екатерина</t>
  </si>
  <si>
    <t>Открытая (17.04.1986)/34</t>
  </si>
  <si>
    <t>59,50</t>
  </si>
  <si>
    <t>2. Соколова Татьяна</t>
  </si>
  <si>
    <t>Открытая (11.09.1991)/29</t>
  </si>
  <si>
    <t>58,90</t>
  </si>
  <si>
    <t xml:space="preserve">Соколова Т.С. </t>
  </si>
  <si>
    <t>1. Манукян Диана</t>
  </si>
  <si>
    <t>Девушки 15-19 (22.04.2005)/15</t>
  </si>
  <si>
    <t xml:space="preserve">Фрязино/Московская область </t>
  </si>
  <si>
    <t xml:space="preserve">Канищев Р.В. </t>
  </si>
  <si>
    <t>2. Кудайкина Наталья</t>
  </si>
  <si>
    <t>Открытая (13.02.1981)/39</t>
  </si>
  <si>
    <t>67,10</t>
  </si>
  <si>
    <t xml:space="preserve">Лукоянов Е.Е. </t>
  </si>
  <si>
    <t>3. Мартьянова Виктория</t>
  </si>
  <si>
    <t>Открытая (24.08.1985)/35</t>
  </si>
  <si>
    <t>62,40</t>
  </si>
  <si>
    <t xml:space="preserve">Лазарев В. </t>
  </si>
  <si>
    <t>1. Пулбере Милена</t>
  </si>
  <si>
    <t>Девушки 15-19 (03.04.2005)/15</t>
  </si>
  <si>
    <t>71,90</t>
  </si>
  <si>
    <t xml:space="preserve">Нечпал В. В. </t>
  </si>
  <si>
    <t>1. Ермакова Анна</t>
  </si>
  <si>
    <t>Открытая (16.04.1993)/27</t>
  </si>
  <si>
    <t>81,20</t>
  </si>
  <si>
    <t>27,5</t>
  </si>
  <si>
    <t>1. Ерофеева Елена</t>
  </si>
  <si>
    <t>Ветераны 45 - 49 (04.06.1975)/45</t>
  </si>
  <si>
    <t>75,10</t>
  </si>
  <si>
    <t xml:space="preserve">Урванов В.Н. </t>
  </si>
  <si>
    <t>1. Хамидулин Марат</t>
  </si>
  <si>
    <t>Юноши 15-19 (30.04.2007)/13</t>
  </si>
  <si>
    <t>51,40</t>
  </si>
  <si>
    <t>1. Кизилов Илья</t>
  </si>
  <si>
    <t>Открытая (30.04.1982)/38</t>
  </si>
  <si>
    <t>54,60</t>
  </si>
  <si>
    <t xml:space="preserve">Кизилов И.М. </t>
  </si>
  <si>
    <t>1. Сычев Данила</t>
  </si>
  <si>
    <t>Юноши 15-19 (02.06.2002)/18</t>
  </si>
  <si>
    <t xml:space="preserve">Щелково-3/Московская </t>
  </si>
  <si>
    <t>2. Тресков Дмитрий</t>
  </si>
  <si>
    <t>Юноши 15-19 (11.10.2004)/16</t>
  </si>
  <si>
    <t>57,80</t>
  </si>
  <si>
    <t>1. Самохвалов Никита</t>
  </si>
  <si>
    <t>Открытая (11.08.1988)/32</t>
  </si>
  <si>
    <t>67,00</t>
  </si>
  <si>
    <t>1. Скворцов Дмитрий</t>
  </si>
  <si>
    <t>Ветераны 50 - 54 (06.06.1970)/50</t>
  </si>
  <si>
    <t xml:space="preserve">Чехов/Московская область </t>
  </si>
  <si>
    <t>97,5</t>
  </si>
  <si>
    <t xml:space="preserve">Скворцов Д.В. </t>
  </si>
  <si>
    <t>1. Чепец Юрий</t>
  </si>
  <si>
    <t>Ветераны 75 - 79 (19.04.1943)/77</t>
  </si>
  <si>
    <t>64,10</t>
  </si>
  <si>
    <t xml:space="preserve">Рогожников К.В. </t>
  </si>
  <si>
    <t>1. Канищев Павел</t>
  </si>
  <si>
    <t>Юноши 15-19 (06.06.2003)/17</t>
  </si>
  <si>
    <t>71,60</t>
  </si>
  <si>
    <t>2. Куликов Никита</t>
  </si>
  <si>
    <t>Юноши 15-19 (09.10.2002)/18</t>
  </si>
  <si>
    <t>74,20</t>
  </si>
  <si>
    <t>1. Курбако Александр</t>
  </si>
  <si>
    <t>Юниоры 20 - 23 (24.08.1997)/23</t>
  </si>
  <si>
    <t>69,00</t>
  </si>
  <si>
    <t>107,5</t>
  </si>
  <si>
    <t>-. Дятлов Максим</t>
  </si>
  <si>
    <t>Юниоры 20 - 23 (21.07.1998)/22</t>
  </si>
  <si>
    <t>73,70</t>
  </si>
  <si>
    <t xml:space="preserve">Мазур Е.А. </t>
  </si>
  <si>
    <t>1. Колесников Сергей</t>
  </si>
  <si>
    <t>Открытая (28.05.1974)/46</t>
  </si>
  <si>
    <t>74,60</t>
  </si>
  <si>
    <t xml:space="preserve">Муравьев В.Л. </t>
  </si>
  <si>
    <t>2. Царев Александр</t>
  </si>
  <si>
    <t>Открытая (01.03.1991)/29</t>
  </si>
  <si>
    <t>3. Чугаев Игорь</t>
  </si>
  <si>
    <t>Открытая (16.06.1983)/37</t>
  </si>
  <si>
    <t>73,10</t>
  </si>
  <si>
    <t xml:space="preserve">Балдина Ю. </t>
  </si>
  <si>
    <t>1. Далгатов Тагир</t>
  </si>
  <si>
    <t xml:space="preserve">Далгатов Т.Э. </t>
  </si>
  <si>
    <t>1. Санников Владислав</t>
  </si>
  <si>
    <t>Ветераны 80+ (29.10.1938)/82</t>
  </si>
  <si>
    <t>1. Фурсов Константин</t>
  </si>
  <si>
    <t>Открытая (12.11.1983)/37</t>
  </si>
  <si>
    <t>80,90</t>
  </si>
  <si>
    <t>2. Калантай Дмитрий</t>
  </si>
  <si>
    <t>Открытая (10.03.1990)/30</t>
  </si>
  <si>
    <t>82,10</t>
  </si>
  <si>
    <t xml:space="preserve">Пивнов В.П. </t>
  </si>
  <si>
    <t>3. Иващенко Олег</t>
  </si>
  <si>
    <t>Открытая (18.07.1990)/30</t>
  </si>
  <si>
    <t xml:space="preserve">Иващенко О.Б. </t>
  </si>
  <si>
    <t>1. Пивнов Владимир</t>
  </si>
  <si>
    <t>Ветераны 65 - 69 (05.11.1953)/67</t>
  </si>
  <si>
    <t>76,20</t>
  </si>
  <si>
    <t xml:space="preserve">Новиков И.П. </t>
  </si>
  <si>
    <t>1. Бескоровайный Виталий</t>
  </si>
  <si>
    <t>Юниоры 20 - 23 (22.07.1999)/21</t>
  </si>
  <si>
    <t xml:space="preserve">Долгопрудный/Московская область </t>
  </si>
  <si>
    <t xml:space="preserve">Кравчунов А.А. </t>
  </si>
  <si>
    <t>2. Борисов Даниил</t>
  </si>
  <si>
    <t>Юниоры 20 - 23 (04.12.1998)/22</t>
  </si>
  <si>
    <t>88,00</t>
  </si>
  <si>
    <t>1. Овчаров Сергей</t>
  </si>
  <si>
    <t>Открытая (14.08.1979)/41</t>
  </si>
  <si>
    <t>84,00</t>
  </si>
  <si>
    <t>2. Благов Алексей</t>
  </si>
  <si>
    <t>Открытая (24.10.1986)/34</t>
  </si>
  <si>
    <t xml:space="preserve">Лобня/Московская область </t>
  </si>
  <si>
    <t>3. Галичевский Иван</t>
  </si>
  <si>
    <t>Открытая (21.11.1989)/31</t>
  </si>
  <si>
    <t>86,30</t>
  </si>
  <si>
    <t xml:space="preserve">Богданов М. </t>
  </si>
  <si>
    <t>4. Захаров Артём</t>
  </si>
  <si>
    <t>Открытая (22.12.1995)/24</t>
  </si>
  <si>
    <t>89,50</t>
  </si>
  <si>
    <t xml:space="preserve">Щелково/Московская область </t>
  </si>
  <si>
    <t>5. Клостер Эрнест</t>
  </si>
  <si>
    <t>6. Тишин Дмитрий</t>
  </si>
  <si>
    <t>Открытая (18.11.1989)/31</t>
  </si>
  <si>
    <t>88,70</t>
  </si>
  <si>
    <t>7. Фирсов Алексей</t>
  </si>
  <si>
    <t>Открытая (29.12.1988)/31</t>
  </si>
  <si>
    <t>8. Борисов Даниил</t>
  </si>
  <si>
    <t>Открытая (04.12.1998)/22</t>
  </si>
  <si>
    <t>Ветераны 40 - 44 (14.08.1979)/41</t>
  </si>
  <si>
    <t>1. Мокин Роман</t>
  </si>
  <si>
    <t>Ветераны 45 - 49 (06.10.1973)/47</t>
  </si>
  <si>
    <t>87,30</t>
  </si>
  <si>
    <t>2. Иванов Алексей</t>
  </si>
  <si>
    <t>Ветераны 45 - 49 (13.03.1975)/45</t>
  </si>
  <si>
    <t xml:space="preserve">Иванов А.А. </t>
  </si>
  <si>
    <t>1. Сироткин Игорь</t>
  </si>
  <si>
    <t>Ветераны 50 - 54 (29.07.1970)/50</t>
  </si>
  <si>
    <t>89,60</t>
  </si>
  <si>
    <t xml:space="preserve">Соловьев Ю.В. </t>
  </si>
  <si>
    <t>2. Климов Эдуард</t>
  </si>
  <si>
    <t>Ветераны 50 - 54 (22.08.1967)/53</t>
  </si>
  <si>
    <t xml:space="preserve">Буханцев П.П. </t>
  </si>
  <si>
    <t>-. Смирнов Леонид</t>
  </si>
  <si>
    <t>Ветераны 60 - 64 (26.09.1957)/63</t>
  </si>
  <si>
    <t>89,40</t>
  </si>
  <si>
    <t xml:space="preserve">Смирнов Л.А. </t>
  </si>
  <si>
    <t>1. Ефременков Владимир</t>
  </si>
  <si>
    <t>Юниоры 20 - 23 (26.12.1996)/23</t>
  </si>
  <si>
    <t>98,10</t>
  </si>
  <si>
    <t xml:space="preserve">Трубичкин Я.О. </t>
  </si>
  <si>
    <t>1. Доставалов Антон</t>
  </si>
  <si>
    <t>Открытая (23.05.1993)/27</t>
  </si>
  <si>
    <t>98,40</t>
  </si>
  <si>
    <t xml:space="preserve">Доставалов А.О. </t>
  </si>
  <si>
    <t>2. Наумов Лев</t>
  </si>
  <si>
    <t>Открытая (28.05.1991)/29</t>
  </si>
  <si>
    <t>91,70</t>
  </si>
  <si>
    <t xml:space="preserve">Самара/Самарская область </t>
  </si>
  <si>
    <t xml:space="preserve">Лазариди Г.К. </t>
  </si>
  <si>
    <t>3. Хворостюк Иван</t>
  </si>
  <si>
    <t>Открытая (26.12.1995)/24</t>
  </si>
  <si>
    <t xml:space="preserve">Маракшин К. </t>
  </si>
  <si>
    <t>4. Зотов Александр</t>
  </si>
  <si>
    <t>Открытая (13.05.1986)/34</t>
  </si>
  <si>
    <t xml:space="preserve">Кузнецов А.В. </t>
  </si>
  <si>
    <t>5. Ефременков Владимир</t>
  </si>
  <si>
    <t>Открытая (26.12.1996)/23</t>
  </si>
  <si>
    <t>6. Боричев Дмитрий</t>
  </si>
  <si>
    <t>Открытая (05.08.1981)/39</t>
  </si>
  <si>
    <t>95,80</t>
  </si>
  <si>
    <t xml:space="preserve">Боричев Д.В. </t>
  </si>
  <si>
    <t>1. Бакреу Артур</t>
  </si>
  <si>
    <t>Ветераны 40 - 44 (13.12.1980)/40</t>
  </si>
  <si>
    <t xml:space="preserve">Донецк/ </t>
  </si>
  <si>
    <t>2. Долгушин Денис</t>
  </si>
  <si>
    <t>Ветераны 40 - 44 (24.04.1978)/42</t>
  </si>
  <si>
    <t>3. Васильев Виталий</t>
  </si>
  <si>
    <t>Ветераны 40 - 44 (22.08.1980)/40</t>
  </si>
  <si>
    <t>95,40</t>
  </si>
  <si>
    <t xml:space="preserve">Васильев В.В. </t>
  </si>
  <si>
    <t>4. Обухов Константин</t>
  </si>
  <si>
    <t>Ветераны 40 - 44 (01.01.1978)/42</t>
  </si>
  <si>
    <t xml:space="preserve">Обухов К.Ю. </t>
  </si>
  <si>
    <t>1. Карчевский Аркадий</t>
  </si>
  <si>
    <t>Ветераны 45 - 49 (28.04.1975)/45</t>
  </si>
  <si>
    <t>98,60</t>
  </si>
  <si>
    <t>2. Медведев Владимир</t>
  </si>
  <si>
    <t>Ветераны 45 - 49 (15.02.1975)/45</t>
  </si>
  <si>
    <t>95,60</t>
  </si>
  <si>
    <t xml:space="preserve">Медведев В. М. </t>
  </si>
  <si>
    <t>3. Климов Сергей</t>
  </si>
  <si>
    <t>Ветераны 45 - 49 (07.09.1971)/49</t>
  </si>
  <si>
    <t>1. Сапачев Александр</t>
  </si>
  <si>
    <t>Ветераны 55 - 59 (13.12.1965)/55</t>
  </si>
  <si>
    <t>1. Суржиков Владислав</t>
  </si>
  <si>
    <t>Юниоры 20 - 23 (10.02.1999)/21</t>
  </si>
  <si>
    <t>104,10</t>
  </si>
  <si>
    <t xml:space="preserve">Холодов С.К. </t>
  </si>
  <si>
    <t>1. Щукин Леонид</t>
  </si>
  <si>
    <t>Открытая (12.01.1982)/38</t>
  </si>
  <si>
    <t>104,70</t>
  </si>
  <si>
    <t>2. Журкин Ян</t>
  </si>
  <si>
    <t>Открытая (05.11.1985)/35</t>
  </si>
  <si>
    <t>107,90</t>
  </si>
  <si>
    <t xml:space="preserve">Ивантеевка/Московская область </t>
  </si>
  <si>
    <t xml:space="preserve">Дергачев Н.В. </t>
  </si>
  <si>
    <t>3. Максимов Сергей</t>
  </si>
  <si>
    <t>Открытая (15.09.1975)/45</t>
  </si>
  <si>
    <t>102,00</t>
  </si>
  <si>
    <t>4. Милосердов Павел</t>
  </si>
  <si>
    <t>Открытая (11.10.1993)/27</t>
  </si>
  <si>
    <t>102,90</t>
  </si>
  <si>
    <t>1. Шорников Сергей</t>
  </si>
  <si>
    <t>Ветераны 40 - 44 (25.09.1976)/44</t>
  </si>
  <si>
    <t>107,60</t>
  </si>
  <si>
    <t xml:space="preserve">Шорников С.В. </t>
  </si>
  <si>
    <t>2. Бобырь Вадим</t>
  </si>
  <si>
    <t>Ветераны 40 - 44 (06.09.1976)/44</t>
  </si>
  <si>
    <t>108,10</t>
  </si>
  <si>
    <t xml:space="preserve">Сумин А.В. </t>
  </si>
  <si>
    <t>-. Алимов Алексей</t>
  </si>
  <si>
    <t>Ветераны 40 - 44 (05.02.1978)/42</t>
  </si>
  <si>
    <t>103,50</t>
  </si>
  <si>
    <t xml:space="preserve">Терентьев И.Б. </t>
  </si>
  <si>
    <t>1. Ремин Кирилл</t>
  </si>
  <si>
    <t>Ветераны 45 - 49 (13.08.1975)/45</t>
  </si>
  <si>
    <t>107,30</t>
  </si>
  <si>
    <t xml:space="preserve">Пушнин М. </t>
  </si>
  <si>
    <t>2. Максимов Сергей</t>
  </si>
  <si>
    <t>Ветераны 45 - 49 (15.09.1975)/45</t>
  </si>
  <si>
    <t>3. Харинский Алексей</t>
  </si>
  <si>
    <t>Ветераны 45 - 49 (23.08.1972)/48</t>
  </si>
  <si>
    <t>107,40</t>
  </si>
  <si>
    <t xml:space="preserve">Харинский А.В. </t>
  </si>
  <si>
    <t>1. Бурлов Иван</t>
  </si>
  <si>
    <t>Ветераны 50 - 54 (20.01.1970)/50</t>
  </si>
  <si>
    <t>106,10</t>
  </si>
  <si>
    <t xml:space="preserve">Романов Ю.Н. </t>
  </si>
  <si>
    <t>1. Кондратьев Валерий</t>
  </si>
  <si>
    <t>Ветераны 55 - 59 (15.01.1964)/56</t>
  </si>
  <si>
    <t>108,60</t>
  </si>
  <si>
    <t xml:space="preserve">Литвиново/Московская область </t>
  </si>
  <si>
    <t>1. Перепичай Василий</t>
  </si>
  <si>
    <t>Открытая (27.02.1981)/39</t>
  </si>
  <si>
    <t>125,00</t>
  </si>
  <si>
    <t xml:space="preserve">Брехов Р.О. </t>
  </si>
  <si>
    <t>-. Щигирев Дмитрий</t>
  </si>
  <si>
    <t>Открытая (24.03.1990)/30</t>
  </si>
  <si>
    <t>115,90</t>
  </si>
  <si>
    <t xml:space="preserve">Мокин А </t>
  </si>
  <si>
    <t>1. Мишин Станислав</t>
  </si>
  <si>
    <t>Ветераны 40 - 44 (02.11.1978)/42</t>
  </si>
  <si>
    <t>111,30</t>
  </si>
  <si>
    <t>2. Власов Андрей</t>
  </si>
  <si>
    <t>Ветераны 40 - 44 (30.12.1977)/42</t>
  </si>
  <si>
    <t>118,50</t>
  </si>
  <si>
    <t xml:space="preserve">Лукоянов Е. </t>
  </si>
  <si>
    <t>1. Яковенко Владимир</t>
  </si>
  <si>
    <t>Ветераны 60 - 64 (27.03.1959)/61</t>
  </si>
  <si>
    <t>112,70</t>
  </si>
  <si>
    <t xml:space="preserve">Можайск/Московская область </t>
  </si>
  <si>
    <t xml:space="preserve">яковенко </t>
  </si>
  <si>
    <t>1. Лахов Андрей</t>
  </si>
  <si>
    <t>Открытая (15.09.1981)/39</t>
  </si>
  <si>
    <t>131,20</t>
  </si>
  <si>
    <t>2. Ходаковский Вячеслав</t>
  </si>
  <si>
    <t>Открытая (08.09.1986)/34</t>
  </si>
  <si>
    <t>128,10</t>
  </si>
  <si>
    <t xml:space="preserve">Чекренев А. В. </t>
  </si>
  <si>
    <t>1. Чубаров Владимир</t>
  </si>
  <si>
    <t>Ветераны 55 - 59 (03.04.1964)/56</t>
  </si>
  <si>
    <t>130,00</t>
  </si>
  <si>
    <t>Капинос Юлия</t>
  </si>
  <si>
    <t>Манукян Диана</t>
  </si>
  <si>
    <t>Пулбере Милена</t>
  </si>
  <si>
    <t>Грушевская Вероника</t>
  </si>
  <si>
    <t>Бажина Екатерина</t>
  </si>
  <si>
    <t>Фролова Дарья</t>
  </si>
  <si>
    <t>Мартьянова Виктория</t>
  </si>
  <si>
    <t>Кудайкина Наталья</t>
  </si>
  <si>
    <t>Булкина Мария</t>
  </si>
  <si>
    <t>Ишбулатова Екатерина</t>
  </si>
  <si>
    <t>Соколова Татьяна</t>
  </si>
  <si>
    <t>Ермакова Анна</t>
  </si>
  <si>
    <t>Евдокимова Елена</t>
  </si>
  <si>
    <t>Ерофеева Елена</t>
  </si>
  <si>
    <t>Канищев Павел</t>
  </si>
  <si>
    <t>Сычев Данила</t>
  </si>
  <si>
    <t>Куликов Никита</t>
  </si>
  <si>
    <t>Тресков Дмитрий</t>
  </si>
  <si>
    <t>Хамидулин Марат</t>
  </si>
  <si>
    <t>Бескоровайный Виталий</t>
  </si>
  <si>
    <t>Ефременков Владимир</t>
  </si>
  <si>
    <t>Суржиков Владислав</t>
  </si>
  <si>
    <t>Борисов Даниил</t>
  </si>
  <si>
    <t>Курбако Александр</t>
  </si>
  <si>
    <t>Овчаров Сергей</t>
  </si>
  <si>
    <t>Щукин Леонид</t>
  </si>
  <si>
    <t>Доставалов Антон</t>
  </si>
  <si>
    <t>Журкин Ян</t>
  </si>
  <si>
    <t>Наумов Лев</t>
  </si>
  <si>
    <t>Колесников Сергей</t>
  </si>
  <si>
    <t>Самохвалов Никита</t>
  </si>
  <si>
    <t>Хворостюк Иван</t>
  </si>
  <si>
    <t>Благов Алексей</t>
  </si>
  <si>
    <t>Галичевский Иван</t>
  </si>
  <si>
    <t>Максимов Сергей</t>
  </si>
  <si>
    <t>Перепичай Василий</t>
  </si>
  <si>
    <t>Зотов Александр</t>
  </si>
  <si>
    <t>Фурсов Константин</t>
  </si>
  <si>
    <t>Захаров Артём</t>
  </si>
  <si>
    <t>Лахов Андрей</t>
  </si>
  <si>
    <t>Калантай Дмитрий</t>
  </si>
  <si>
    <t>Милосердов Павел</t>
  </si>
  <si>
    <t>Иващенко Олег</t>
  </si>
  <si>
    <t>Боричев Дмитрий</t>
  </si>
  <si>
    <t>Тишин Дмитрий</t>
  </si>
  <si>
    <t>Фирсов Алексей</t>
  </si>
  <si>
    <t>Пивнов Владимир</t>
  </si>
  <si>
    <t xml:space="preserve">Ветераны 65 - 69 </t>
  </si>
  <si>
    <t>Санников Владислав</t>
  </si>
  <si>
    <t xml:space="preserve">Ветераны 80+ </t>
  </si>
  <si>
    <t>Чубаров Владимир</t>
  </si>
  <si>
    <t>Чепец Юрий</t>
  </si>
  <si>
    <t>Бурлов Иван</t>
  </si>
  <si>
    <t>Ремин Кирилл</t>
  </si>
  <si>
    <t>Сапачев Александр</t>
  </si>
  <si>
    <t>Яковенко Владимир</t>
  </si>
  <si>
    <t>Мишин Станислав</t>
  </si>
  <si>
    <t>Сироткин Игорь</t>
  </si>
  <si>
    <t>Бакреу Артур</t>
  </si>
  <si>
    <t>Карчевский Аркадий</t>
  </si>
  <si>
    <t>Шорников Сергей</t>
  </si>
  <si>
    <t>Скворцов Дмитрий</t>
  </si>
  <si>
    <t>Бобырь Вадим</t>
  </si>
  <si>
    <t>Медведев Владимир</t>
  </si>
  <si>
    <t>Климов Сергей</t>
  </si>
  <si>
    <t>Мокин Роман</t>
  </si>
  <si>
    <t>Долгушин Денис</t>
  </si>
  <si>
    <t>Кондратьев Валерий</t>
  </si>
  <si>
    <t>Харинский Алексей</t>
  </si>
  <si>
    <t>Крылова Е.</t>
  </si>
  <si>
    <t>Ушков И.</t>
  </si>
  <si>
    <t>Власова Н. В.</t>
  </si>
  <si>
    <t>Буханцев П.</t>
  </si>
  <si>
    <t>Котов А.В.</t>
  </si>
  <si>
    <t>Кондаков А.</t>
  </si>
  <si>
    <t>Куликов Е.</t>
  </si>
  <si>
    <t>Плотникова М.</t>
  </si>
  <si>
    <t>Елистратов А.С.</t>
  </si>
  <si>
    <t>Ханжалова Ф.</t>
  </si>
  <si>
    <t>Петрокович Н.А.</t>
  </si>
  <si>
    <t xml:space="preserve">Лазарев В., Маркин Н.И. </t>
  </si>
  <si>
    <t>Филиппов И.</t>
  </si>
  <si>
    <t>Терских В.А.</t>
  </si>
  <si>
    <t>Лазарев В., Маркин Н.</t>
  </si>
  <si>
    <t>Шляхитский А.</t>
  </si>
  <si>
    <t>Мищенко С.</t>
  </si>
  <si>
    <t xml:space="preserve">
Дата рождения/Возраст</t>
  </si>
  <si>
    <t>Возрастная группа</t>
  </si>
  <si>
    <t>O</t>
  </si>
  <si>
    <t>M1</t>
  </si>
  <si>
    <t>J</t>
  </si>
  <si>
    <t>M3</t>
  </si>
  <si>
    <t>M7</t>
  </si>
  <si>
    <t>M2</t>
  </si>
  <si>
    <t>M5</t>
  </si>
  <si>
    <t>T</t>
  </si>
  <si>
    <t>M4</t>
  </si>
  <si>
    <t>M8</t>
  </si>
  <si>
    <t>M9</t>
  </si>
  <si>
    <t>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</si>
</sst>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49" fontId="0" fillId="0" borderId="11" xfId="0" applyNumberFormat="1" applyFont="1" applyFill="1" applyBorder="1" applyAlignment="1">
      <alignment horizontal="center"/>
    </xf>
    <xf numFmtId="49" fontId="5" fillId="0" borderId="11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left"/>
    </xf>
    <xf numFmtId="49" fontId="5" fillId="0" borderId="12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49" fontId="0" fillId="0" borderId="8" xfId="0" applyNumberFormat="1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49" fontId="0" fillId="0" borderId="13" xfId="0" applyNumberFormat="1" applyFont="1" applyFill="1" applyBorder="1" applyAlignment="1">
      <alignment horizontal="center"/>
    </xf>
    <xf numFmtId="49" fontId="5" fillId="0" borderId="13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center"/>
    </xf>
    <xf numFmtId="49" fontId="1" fillId="0" borderId="12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left"/>
    </xf>
    <xf numFmtId="49" fontId="1" fillId="0" borderId="13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7" fillId="0" borderId="0" xfId="0" applyNumberFormat="1" applyFont="1" applyFill="1" applyBorder="1" applyAlignment="1">
      <alignment horizontal="left" indent="1"/>
    </xf>
    <xf numFmtId="49" fontId="7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workbookViewId="0">
      <selection sqref="A1:L2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11.83203125" style="4" bestFit="1" customWidth="1"/>
    <col min="5" max="5" width="31.83203125" style="4" bestFit="1" customWidth="1"/>
    <col min="6" max="8" width="5.5" style="3" customWidth="1"/>
    <col min="9" max="9" width="4.83203125" style="3" customWidth="1"/>
    <col min="10" max="10" width="11.33203125" style="18" bestFit="1" customWidth="1"/>
    <col min="11" max="11" width="8.5" style="2" bestFit="1" customWidth="1"/>
    <col min="12" max="12" width="15.83203125" style="4" bestFit="1" customWidth="1"/>
    <col min="13" max="16384" width="9.1640625" style="3"/>
  </cols>
  <sheetData>
    <row r="1" spans="1:12" s="2" customFormat="1" ht="29" customHeight="1">
      <c r="A1" s="34" t="s">
        <v>524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</row>
    <row r="2" spans="1:12" s="2" customFormat="1" ht="62" customHeight="1" thickBo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1:12" s="1" customFormat="1" ht="12.75" customHeight="1">
      <c r="A3" s="40" t="s">
        <v>0</v>
      </c>
      <c r="B3" s="42" t="s">
        <v>1075</v>
      </c>
      <c r="C3" s="42" t="s">
        <v>6</v>
      </c>
      <c r="D3" s="44" t="s">
        <v>1076</v>
      </c>
      <c r="E3" s="44" t="s">
        <v>5</v>
      </c>
      <c r="F3" s="44" t="s">
        <v>8</v>
      </c>
      <c r="G3" s="44"/>
      <c r="H3" s="44"/>
      <c r="I3" s="44"/>
      <c r="J3" s="44" t="s">
        <v>371</v>
      </c>
      <c r="K3" s="44" t="s">
        <v>3</v>
      </c>
      <c r="L3" s="45" t="s">
        <v>2</v>
      </c>
    </row>
    <row r="4" spans="1:12" s="1" customFormat="1" ht="21" customHeight="1" thickBot="1">
      <c r="A4" s="41"/>
      <c r="B4" s="43"/>
      <c r="C4" s="43"/>
      <c r="D4" s="43"/>
      <c r="E4" s="43"/>
      <c r="F4" s="33">
        <v>1</v>
      </c>
      <c r="G4" s="33">
        <v>2</v>
      </c>
      <c r="H4" s="33">
        <v>3</v>
      </c>
      <c r="I4" s="33" t="s">
        <v>4</v>
      </c>
      <c r="J4" s="43"/>
      <c r="K4" s="43"/>
      <c r="L4" s="46"/>
    </row>
    <row r="5" spans="1:12" ht="16">
      <c r="A5" s="47" t="s">
        <v>45</v>
      </c>
      <c r="B5" s="48"/>
      <c r="C5" s="48"/>
      <c r="D5" s="48"/>
      <c r="E5" s="48"/>
      <c r="F5" s="48"/>
      <c r="G5" s="48"/>
      <c r="H5" s="48"/>
      <c r="I5" s="48"/>
    </row>
    <row r="6" spans="1:12">
      <c r="A6" s="6" t="s">
        <v>525</v>
      </c>
      <c r="B6" s="6" t="s">
        <v>526</v>
      </c>
      <c r="C6" s="6" t="s">
        <v>437</v>
      </c>
      <c r="D6" s="6" t="s">
        <v>1077</v>
      </c>
      <c r="E6" s="6" t="s">
        <v>527</v>
      </c>
      <c r="F6" s="7" t="s">
        <v>323</v>
      </c>
      <c r="G6" s="8" t="s">
        <v>528</v>
      </c>
      <c r="H6" s="8" t="s">
        <v>305</v>
      </c>
      <c r="I6" s="8"/>
      <c r="J6" s="19" t="str">
        <f>"252,5"</f>
        <v>252,5</v>
      </c>
      <c r="K6" s="20" t="str">
        <f>"161,2970"</f>
        <v>161,2970</v>
      </c>
      <c r="L6" s="6" t="s">
        <v>529</v>
      </c>
    </row>
    <row r="8" spans="1:12" ht="16">
      <c r="A8" s="49" t="s">
        <v>55</v>
      </c>
      <c r="B8" s="49"/>
      <c r="C8" s="49"/>
      <c r="D8" s="49"/>
      <c r="E8" s="49"/>
      <c r="F8" s="49"/>
      <c r="G8" s="49"/>
      <c r="H8" s="49"/>
      <c r="I8" s="49"/>
    </row>
    <row r="9" spans="1:12">
      <c r="A9" s="9" t="s">
        <v>530</v>
      </c>
      <c r="B9" s="9" t="s">
        <v>531</v>
      </c>
      <c r="C9" s="9" t="s">
        <v>532</v>
      </c>
      <c r="D9" s="9" t="s">
        <v>1077</v>
      </c>
      <c r="E9" s="9" t="s">
        <v>15</v>
      </c>
      <c r="F9" s="11" t="s">
        <v>93</v>
      </c>
      <c r="G9" s="10" t="s">
        <v>533</v>
      </c>
      <c r="H9" s="10" t="s">
        <v>60</v>
      </c>
      <c r="I9" s="10"/>
      <c r="J9" s="21" t="str">
        <f>"275,0"</f>
        <v>275,0</v>
      </c>
      <c r="K9" s="22" t="str">
        <f>"167,6400"</f>
        <v>167,6400</v>
      </c>
      <c r="L9" s="9" t="s">
        <v>75</v>
      </c>
    </row>
    <row r="10" spans="1:12">
      <c r="A10" s="12" t="s">
        <v>534</v>
      </c>
      <c r="B10" s="12" t="s">
        <v>535</v>
      </c>
      <c r="C10" s="12" t="s">
        <v>536</v>
      </c>
      <c r="D10" s="12" t="s">
        <v>1077</v>
      </c>
      <c r="E10" s="12" t="s">
        <v>537</v>
      </c>
      <c r="F10" s="14" t="s">
        <v>65</v>
      </c>
      <c r="G10" s="14" t="s">
        <v>65</v>
      </c>
      <c r="H10" s="14" t="s">
        <v>65</v>
      </c>
      <c r="I10" s="14"/>
      <c r="J10" s="23" t="str">
        <f>"0.00"</f>
        <v>0.00</v>
      </c>
      <c r="K10" s="24" t="str">
        <f>"0,0000"</f>
        <v>0,0000</v>
      </c>
      <c r="L10" s="12" t="s">
        <v>538</v>
      </c>
    </row>
    <row r="12" spans="1:12" ht="16">
      <c r="A12" s="49" t="s">
        <v>88</v>
      </c>
      <c r="B12" s="49"/>
      <c r="C12" s="49"/>
      <c r="D12" s="49"/>
      <c r="E12" s="49"/>
      <c r="F12" s="49"/>
      <c r="G12" s="49"/>
      <c r="H12" s="49"/>
      <c r="I12" s="49"/>
    </row>
    <row r="13" spans="1:12">
      <c r="A13" s="9" t="s">
        <v>542</v>
      </c>
      <c r="B13" s="9" t="s">
        <v>543</v>
      </c>
      <c r="C13" s="9" t="s">
        <v>544</v>
      </c>
      <c r="D13" s="9" t="s">
        <v>1077</v>
      </c>
      <c r="E13" s="9" t="s">
        <v>168</v>
      </c>
      <c r="F13" s="11" t="s">
        <v>65</v>
      </c>
      <c r="G13" s="11" t="s">
        <v>533</v>
      </c>
      <c r="H13" s="10" t="s">
        <v>307</v>
      </c>
      <c r="I13" s="10"/>
      <c r="J13" s="21" t="str">
        <f>"285,0"</f>
        <v>285,0</v>
      </c>
      <c r="K13" s="22" t="str">
        <f>"172,9095"</f>
        <v>172,9095</v>
      </c>
      <c r="L13" s="9" t="s">
        <v>324</v>
      </c>
    </row>
    <row r="14" spans="1:12">
      <c r="A14" s="12" t="s">
        <v>545</v>
      </c>
      <c r="B14" s="12" t="s">
        <v>546</v>
      </c>
      <c r="C14" s="12" t="s">
        <v>486</v>
      </c>
      <c r="D14" s="12" t="s">
        <v>1077</v>
      </c>
      <c r="E14" s="12" t="s">
        <v>468</v>
      </c>
      <c r="F14" s="14" t="s">
        <v>64</v>
      </c>
      <c r="G14" s="13" t="s">
        <v>64</v>
      </c>
      <c r="H14" s="14" t="s">
        <v>65</v>
      </c>
      <c r="I14" s="14"/>
      <c r="J14" s="23" t="str">
        <f>"260,0"</f>
        <v>260,0</v>
      </c>
      <c r="K14" s="24" t="str">
        <f>"155,3760"</f>
        <v>155,3760</v>
      </c>
      <c r="L14" s="9" t="s">
        <v>324</v>
      </c>
    </row>
    <row r="16" spans="1:12" ht="16">
      <c r="A16" s="49" t="s">
        <v>98</v>
      </c>
      <c r="B16" s="49"/>
      <c r="C16" s="49"/>
      <c r="D16" s="49"/>
      <c r="E16" s="49"/>
      <c r="F16" s="49"/>
      <c r="G16" s="49"/>
      <c r="H16" s="49"/>
      <c r="I16" s="49"/>
    </row>
    <row r="17" spans="1:12">
      <c r="A17" s="9" t="s">
        <v>547</v>
      </c>
      <c r="B17" s="9" t="s">
        <v>548</v>
      </c>
      <c r="C17" s="9" t="s">
        <v>549</v>
      </c>
      <c r="D17" s="9" t="s">
        <v>1077</v>
      </c>
      <c r="E17" s="9" t="s">
        <v>550</v>
      </c>
      <c r="F17" s="11" t="s">
        <v>551</v>
      </c>
      <c r="G17" s="11" t="s">
        <v>552</v>
      </c>
      <c r="H17" s="10" t="s">
        <v>108</v>
      </c>
      <c r="I17" s="10"/>
      <c r="J17" s="21" t="str">
        <f>"297,5"</f>
        <v>297,5</v>
      </c>
      <c r="K17" s="22" t="str">
        <f>"173,6210"</f>
        <v>173,6210</v>
      </c>
      <c r="L17" s="9" t="s">
        <v>553</v>
      </c>
    </row>
    <row r="18" spans="1:12">
      <c r="A18" s="12" t="s">
        <v>554</v>
      </c>
      <c r="B18" s="12" t="s">
        <v>555</v>
      </c>
      <c r="C18" s="12" t="s">
        <v>556</v>
      </c>
      <c r="D18" s="12" t="s">
        <v>1077</v>
      </c>
      <c r="E18" s="12" t="s">
        <v>557</v>
      </c>
      <c r="F18" s="14" t="s">
        <v>533</v>
      </c>
      <c r="G18" s="14" t="s">
        <v>533</v>
      </c>
      <c r="H18" s="13" t="s">
        <v>533</v>
      </c>
      <c r="I18" s="14"/>
      <c r="J18" s="23" t="str">
        <f>"285,0"</f>
        <v>285,0</v>
      </c>
      <c r="K18" s="24" t="str">
        <f>"165,8985"</f>
        <v>165,8985</v>
      </c>
      <c r="L18" s="12"/>
    </row>
    <row r="28" spans="1:12" ht="18">
      <c r="A28" s="27" t="s">
        <v>114</v>
      </c>
      <c r="B28" s="27"/>
    </row>
    <row r="29" spans="1:12" ht="16">
      <c r="A29" s="28" t="s">
        <v>126</v>
      </c>
      <c r="B29" s="28"/>
    </row>
    <row r="30" spans="1:12" ht="14">
      <c r="A30" s="30"/>
      <c r="B30" s="31" t="s">
        <v>116</v>
      </c>
    </row>
    <row r="31" spans="1:12" ht="14">
      <c r="A31" s="32" t="s">
        <v>117</v>
      </c>
      <c r="B31" s="32" t="s">
        <v>118</v>
      </c>
      <c r="C31" s="32" t="s">
        <v>119</v>
      </c>
      <c r="D31" s="32" t="s">
        <v>369</v>
      </c>
    </row>
    <row r="32" spans="1:12">
      <c r="A32" s="29" t="s">
        <v>558</v>
      </c>
      <c r="B32" s="4" t="s">
        <v>116</v>
      </c>
      <c r="C32" s="4" t="s">
        <v>191</v>
      </c>
      <c r="D32" s="4" t="s">
        <v>552</v>
      </c>
    </row>
    <row r="33" spans="1:4">
      <c r="A33" s="29" t="s">
        <v>559</v>
      </c>
      <c r="B33" s="4" t="s">
        <v>116</v>
      </c>
      <c r="C33" s="4" t="s">
        <v>131</v>
      </c>
      <c r="D33" s="4" t="s">
        <v>533</v>
      </c>
    </row>
    <row r="34" spans="1:4">
      <c r="A34" s="29" t="s">
        <v>560</v>
      </c>
      <c r="B34" s="4" t="s">
        <v>116</v>
      </c>
      <c r="C34" s="4" t="s">
        <v>129</v>
      </c>
      <c r="D34" s="4" t="s">
        <v>93</v>
      </c>
    </row>
    <row r="35" spans="1:4">
      <c r="A35" s="29" t="s">
        <v>561</v>
      </c>
      <c r="B35" s="4" t="s">
        <v>116</v>
      </c>
      <c r="C35" s="4" t="s">
        <v>191</v>
      </c>
      <c r="D35" s="4" t="s">
        <v>533</v>
      </c>
    </row>
    <row r="36" spans="1:4">
      <c r="A36" s="29" t="s">
        <v>562</v>
      </c>
      <c r="B36" s="4" t="s">
        <v>116</v>
      </c>
      <c r="C36" s="4" t="s">
        <v>136</v>
      </c>
      <c r="D36" s="4" t="s">
        <v>323</v>
      </c>
    </row>
    <row r="37" spans="1:4">
      <c r="A37" s="29" t="s">
        <v>563</v>
      </c>
      <c r="B37" s="4" t="s">
        <v>116</v>
      </c>
      <c r="C37" s="4" t="s">
        <v>131</v>
      </c>
      <c r="D37" s="4" t="s">
        <v>64</v>
      </c>
    </row>
  </sheetData>
  <mergeCells count="14">
    <mergeCell ref="A5:I5"/>
    <mergeCell ref="A8:I8"/>
    <mergeCell ref="A12:I12"/>
    <mergeCell ref="A16:I16"/>
    <mergeCell ref="A1:L2"/>
    <mergeCell ref="A3:A4"/>
    <mergeCell ref="B3:B4"/>
    <mergeCell ref="C3:C4"/>
    <mergeCell ref="D3:D4"/>
    <mergeCell ref="E3:E4"/>
    <mergeCell ref="F3:I3"/>
    <mergeCell ref="J3:J4"/>
    <mergeCell ref="K3:K4"/>
    <mergeCell ref="L3:L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33"/>
  <sheetViews>
    <sheetView workbookViewId="0">
      <selection sqref="A1:T2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8.5" style="4" bestFit="1" customWidth="1"/>
    <col min="5" max="5" width="29.1640625" style="4" bestFit="1" customWidth="1"/>
    <col min="6" max="8" width="5.5" style="3" customWidth="1"/>
    <col min="9" max="9" width="4.83203125" style="3" customWidth="1"/>
    <col min="10" max="12" width="5.5" style="3" customWidth="1"/>
    <col min="13" max="13" width="4.83203125" style="3" customWidth="1"/>
    <col min="14" max="16" width="5.5" style="3" customWidth="1"/>
    <col min="17" max="17" width="4.83203125" style="3" customWidth="1"/>
    <col min="18" max="18" width="7.83203125" style="18" bestFit="1" customWidth="1"/>
    <col min="19" max="19" width="8.5" style="2" bestFit="1" customWidth="1"/>
    <col min="20" max="20" width="12.1640625" style="4" bestFit="1" customWidth="1"/>
    <col min="21" max="16384" width="9.1640625" style="3"/>
  </cols>
  <sheetData>
    <row r="1" spans="1:20" s="2" customFormat="1" ht="29" customHeight="1">
      <c r="A1" s="34" t="s">
        <v>520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0" s="2" customFormat="1" ht="62" customHeight="1" thickBo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/>
    </row>
    <row r="3" spans="1:20" s="1" customFormat="1" ht="12.75" customHeight="1">
      <c r="A3" s="40" t="s">
        <v>0</v>
      </c>
      <c r="B3" s="42" t="s">
        <v>1075</v>
      </c>
      <c r="C3" s="42" t="s">
        <v>6</v>
      </c>
      <c r="D3" s="44" t="s">
        <v>1076</v>
      </c>
      <c r="E3" s="44" t="s">
        <v>5</v>
      </c>
      <c r="F3" s="44" t="s">
        <v>7</v>
      </c>
      <c r="G3" s="44"/>
      <c r="H3" s="44"/>
      <c r="I3" s="44"/>
      <c r="J3" s="44" t="s">
        <v>8</v>
      </c>
      <c r="K3" s="44"/>
      <c r="L3" s="44"/>
      <c r="M3" s="44"/>
      <c r="N3" s="44" t="s">
        <v>9</v>
      </c>
      <c r="O3" s="44"/>
      <c r="P3" s="44"/>
      <c r="Q3" s="44"/>
      <c r="R3" s="44" t="s">
        <v>1</v>
      </c>
      <c r="S3" s="44" t="s">
        <v>3</v>
      </c>
      <c r="T3" s="45" t="s">
        <v>2</v>
      </c>
    </row>
    <row r="4" spans="1:20" s="1" customFormat="1" ht="21" customHeight="1" thickBot="1">
      <c r="A4" s="41"/>
      <c r="B4" s="43"/>
      <c r="C4" s="43"/>
      <c r="D4" s="43"/>
      <c r="E4" s="43"/>
      <c r="F4" s="5">
        <v>1</v>
      </c>
      <c r="G4" s="5">
        <v>2</v>
      </c>
      <c r="H4" s="5">
        <v>3</v>
      </c>
      <c r="I4" s="5" t="s">
        <v>4</v>
      </c>
      <c r="J4" s="5">
        <v>1</v>
      </c>
      <c r="K4" s="5">
        <v>2</v>
      </c>
      <c r="L4" s="5">
        <v>3</v>
      </c>
      <c r="M4" s="5" t="s">
        <v>4</v>
      </c>
      <c r="N4" s="5">
        <v>1</v>
      </c>
      <c r="O4" s="5">
        <v>2</v>
      </c>
      <c r="P4" s="5">
        <v>3</v>
      </c>
      <c r="Q4" s="5" t="s">
        <v>4</v>
      </c>
      <c r="R4" s="43"/>
      <c r="S4" s="43"/>
      <c r="T4" s="46"/>
    </row>
    <row r="5" spans="1:20" ht="16">
      <c r="A5" s="47" t="s">
        <v>163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20">
      <c r="A6" s="6" t="s">
        <v>165</v>
      </c>
      <c r="B6" s="6" t="s">
        <v>166</v>
      </c>
      <c r="C6" s="6" t="s">
        <v>167</v>
      </c>
      <c r="D6" s="6" t="s">
        <v>1077</v>
      </c>
      <c r="E6" s="6" t="s">
        <v>168</v>
      </c>
      <c r="F6" s="7" t="s">
        <v>169</v>
      </c>
      <c r="G6" s="7" t="s">
        <v>156</v>
      </c>
      <c r="H6" s="8" t="s">
        <v>170</v>
      </c>
      <c r="I6" s="8"/>
      <c r="J6" s="7" t="s">
        <v>171</v>
      </c>
      <c r="K6" s="7" t="s">
        <v>172</v>
      </c>
      <c r="L6" s="7" t="s">
        <v>44</v>
      </c>
      <c r="M6" s="8"/>
      <c r="N6" s="7" t="s">
        <v>16</v>
      </c>
      <c r="O6" s="7" t="s">
        <v>173</v>
      </c>
      <c r="P6" s="7" t="s">
        <v>174</v>
      </c>
      <c r="Q6" s="8"/>
      <c r="R6" s="19" t="str">
        <f>"272,5"</f>
        <v>272,5</v>
      </c>
      <c r="S6" s="20" t="str">
        <f>"344,3037"</f>
        <v>344,3037</v>
      </c>
      <c r="T6" s="6" t="s">
        <v>1059</v>
      </c>
    </row>
    <row r="8" spans="1:20" ht="16">
      <c r="A8" s="49" t="s">
        <v>175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20">
      <c r="A9" s="6" t="s">
        <v>177</v>
      </c>
      <c r="B9" s="6" t="s">
        <v>178</v>
      </c>
      <c r="C9" s="6" t="s">
        <v>179</v>
      </c>
      <c r="D9" s="6" t="s">
        <v>1077</v>
      </c>
      <c r="E9" s="6" t="s">
        <v>15</v>
      </c>
      <c r="F9" s="7" t="s">
        <v>43</v>
      </c>
      <c r="G9" s="7" t="s">
        <v>29</v>
      </c>
      <c r="H9" s="7" t="s">
        <v>30</v>
      </c>
      <c r="I9" s="8"/>
      <c r="J9" s="7" t="s">
        <v>156</v>
      </c>
      <c r="K9" s="7" t="s">
        <v>170</v>
      </c>
      <c r="L9" s="7" t="s">
        <v>180</v>
      </c>
      <c r="M9" s="8"/>
      <c r="N9" s="7" t="s">
        <v>43</v>
      </c>
      <c r="O9" s="7" t="s">
        <v>29</v>
      </c>
      <c r="P9" s="7" t="s">
        <v>181</v>
      </c>
      <c r="Q9" s="8"/>
      <c r="R9" s="19" t="str">
        <f>"440,0"</f>
        <v>440,0</v>
      </c>
      <c r="S9" s="20" t="str">
        <f>"457,9520"</f>
        <v>457,9520</v>
      </c>
      <c r="T9" s="6" t="s">
        <v>54</v>
      </c>
    </row>
    <row r="11" spans="1:20" ht="16">
      <c r="A11" s="49" t="s">
        <v>98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</row>
    <row r="12" spans="1:20">
      <c r="A12" s="6" t="s">
        <v>183</v>
      </c>
      <c r="B12" s="6" t="s">
        <v>184</v>
      </c>
      <c r="C12" s="6" t="s">
        <v>185</v>
      </c>
      <c r="D12" s="6" t="s">
        <v>1077</v>
      </c>
      <c r="E12" s="6" t="s">
        <v>15</v>
      </c>
      <c r="F12" s="7" t="s">
        <v>72</v>
      </c>
      <c r="G12" s="7" t="s">
        <v>65</v>
      </c>
      <c r="H12" s="8"/>
      <c r="I12" s="8"/>
      <c r="J12" s="7" t="s">
        <v>29</v>
      </c>
      <c r="K12" s="7" t="s">
        <v>30</v>
      </c>
      <c r="L12" s="8" t="s">
        <v>81</v>
      </c>
      <c r="M12" s="8"/>
      <c r="N12" s="7" t="s">
        <v>52</v>
      </c>
      <c r="O12" s="8" t="s">
        <v>186</v>
      </c>
      <c r="P12" s="8"/>
      <c r="Q12" s="8"/>
      <c r="R12" s="19" t="str">
        <f>"670,0"</f>
        <v>670,0</v>
      </c>
      <c r="S12" s="20" t="str">
        <f>"383,3740"</f>
        <v>383,3740</v>
      </c>
      <c r="T12" s="6" t="s">
        <v>87</v>
      </c>
    </row>
    <row r="22" spans="1:4" ht="18">
      <c r="A22" s="27" t="s">
        <v>114</v>
      </c>
      <c r="B22" s="27"/>
    </row>
    <row r="23" spans="1:4" ht="16">
      <c r="A23" s="28" t="s">
        <v>115</v>
      </c>
      <c r="B23" s="28"/>
    </row>
    <row r="24" spans="1:4" ht="14">
      <c r="A24" s="30"/>
      <c r="B24" s="31" t="s">
        <v>116</v>
      </c>
    </row>
    <row r="25" spans="1:4" ht="14">
      <c r="A25" s="32" t="s">
        <v>117</v>
      </c>
      <c r="B25" s="32" t="s">
        <v>118</v>
      </c>
      <c r="C25" s="32" t="s">
        <v>119</v>
      </c>
      <c r="D25" s="32" t="s">
        <v>120</v>
      </c>
    </row>
    <row r="26" spans="1:4">
      <c r="A26" s="29" t="s">
        <v>176</v>
      </c>
      <c r="B26" s="4" t="s">
        <v>116</v>
      </c>
      <c r="C26" s="4" t="s">
        <v>187</v>
      </c>
      <c r="D26" s="4" t="s">
        <v>188</v>
      </c>
    </row>
    <row r="27" spans="1:4">
      <c r="A27" s="29" t="s">
        <v>164</v>
      </c>
      <c r="B27" s="4" t="s">
        <v>116</v>
      </c>
      <c r="C27" s="4" t="s">
        <v>189</v>
      </c>
      <c r="D27" s="4" t="s">
        <v>190</v>
      </c>
    </row>
    <row r="30" spans="1:4" ht="16">
      <c r="A30" s="28" t="s">
        <v>126</v>
      </c>
      <c r="B30" s="28"/>
    </row>
    <row r="31" spans="1:4" ht="14">
      <c r="A31" s="30"/>
      <c r="B31" s="31" t="s">
        <v>116</v>
      </c>
    </row>
    <row r="32" spans="1:4" ht="14">
      <c r="A32" s="32" t="s">
        <v>117</v>
      </c>
      <c r="B32" s="32" t="s">
        <v>118</v>
      </c>
      <c r="C32" s="32" t="s">
        <v>119</v>
      </c>
      <c r="D32" s="32" t="s">
        <v>120</v>
      </c>
    </row>
    <row r="33" spans="1:4">
      <c r="A33" s="29" t="s">
        <v>182</v>
      </c>
      <c r="B33" s="4" t="s">
        <v>116</v>
      </c>
      <c r="C33" s="4" t="s">
        <v>191</v>
      </c>
      <c r="D33" s="4" t="s">
        <v>192</v>
      </c>
    </row>
  </sheetData>
  <mergeCells count="15">
    <mergeCell ref="A1:T2"/>
    <mergeCell ref="A3:A4"/>
    <mergeCell ref="B3:B4"/>
    <mergeCell ref="C3:C4"/>
    <mergeCell ref="D3:D4"/>
    <mergeCell ref="E3:E4"/>
    <mergeCell ref="F3:I3"/>
    <mergeCell ref="J3:M3"/>
    <mergeCell ref="N3:Q3"/>
    <mergeCell ref="A8:Q8"/>
    <mergeCell ref="A11:Q11"/>
    <mergeCell ref="R3:R4"/>
    <mergeCell ref="S3:S4"/>
    <mergeCell ref="T3:T4"/>
    <mergeCell ref="A5:Q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97"/>
  <sheetViews>
    <sheetView topLeftCell="A25" workbookViewId="0">
      <selection activeCell="D47" sqref="D47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8.5" style="4" bestFit="1" customWidth="1"/>
    <col min="5" max="5" width="31.1640625" style="4" bestFit="1" customWidth="1"/>
    <col min="6" max="8" width="5.5" style="3" customWidth="1"/>
    <col min="9" max="9" width="4.83203125" style="3" customWidth="1"/>
    <col min="10" max="12" width="5.5" style="3" customWidth="1"/>
    <col min="13" max="13" width="4.83203125" style="3" customWidth="1"/>
    <col min="14" max="16" width="5.5" style="3" customWidth="1"/>
    <col min="17" max="17" width="4.83203125" style="3" customWidth="1"/>
    <col min="18" max="18" width="7.83203125" style="18" bestFit="1" customWidth="1"/>
    <col min="19" max="19" width="8.5" style="2" bestFit="1" customWidth="1"/>
    <col min="20" max="20" width="31.5" style="4" bestFit="1" customWidth="1"/>
    <col min="21" max="16384" width="9.1640625" style="3"/>
  </cols>
  <sheetData>
    <row r="1" spans="1:20" s="2" customFormat="1" ht="29" customHeight="1">
      <c r="A1" s="34" t="s">
        <v>521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0" s="2" customFormat="1" ht="62" customHeight="1" thickBo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/>
    </row>
    <row r="3" spans="1:20" s="1" customFormat="1" ht="12.75" customHeight="1">
      <c r="A3" s="40" t="s">
        <v>0</v>
      </c>
      <c r="B3" s="42" t="s">
        <v>1075</v>
      </c>
      <c r="C3" s="42" t="s">
        <v>6</v>
      </c>
      <c r="D3" s="44" t="s">
        <v>1076</v>
      </c>
      <c r="E3" s="44" t="s">
        <v>5</v>
      </c>
      <c r="F3" s="44" t="s">
        <v>7</v>
      </c>
      <c r="G3" s="44"/>
      <c r="H3" s="44"/>
      <c r="I3" s="44"/>
      <c r="J3" s="44" t="s">
        <v>8</v>
      </c>
      <c r="K3" s="44"/>
      <c r="L3" s="44"/>
      <c r="M3" s="44"/>
      <c r="N3" s="44" t="s">
        <v>9</v>
      </c>
      <c r="O3" s="44"/>
      <c r="P3" s="44"/>
      <c r="Q3" s="44"/>
      <c r="R3" s="44" t="s">
        <v>1</v>
      </c>
      <c r="S3" s="44" t="s">
        <v>3</v>
      </c>
      <c r="T3" s="45" t="s">
        <v>2</v>
      </c>
    </row>
    <row r="4" spans="1:20" s="1" customFormat="1" ht="21" customHeight="1" thickBot="1">
      <c r="A4" s="41"/>
      <c r="B4" s="43"/>
      <c r="C4" s="43"/>
      <c r="D4" s="43"/>
      <c r="E4" s="43"/>
      <c r="F4" s="5">
        <v>1</v>
      </c>
      <c r="G4" s="5">
        <v>2</v>
      </c>
      <c r="H4" s="5">
        <v>3</v>
      </c>
      <c r="I4" s="5" t="s">
        <v>4</v>
      </c>
      <c r="J4" s="5">
        <v>1</v>
      </c>
      <c r="K4" s="5">
        <v>2</v>
      </c>
      <c r="L4" s="5">
        <v>3</v>
      </c>
      <c r="M4" s="5" t="s">
        <v>4</v>
      </c>
      <c r="N4" s="5">
        <v>1</v>
      </c>
      <c r="O4" s="5">
        <v>2</v>
      </c>
      <c r="P4" s="5">
        <v>3</v>
      </c>
      <c r="Q4" s="5" t="s">
        <v>4</v>
      </c>
      <c r="R4" s="43"/>
      <c r="S4" s="43"/>
      <c r="T4" s="46"/>
    </row>
    <row r="5" spans="1:20" ht="16">
      <c r="A5" s="47" t="s">
        <v>163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20">
      <c r="A6" s="9" t="s">
        <v>194</v>
      </c>
      <c r="B6" s="9" t="s">
        <v>195</v>
      </c>
      <c r="C6" s="9" t="s">
        <v>196</v>
      </c>
      <c r="D6" s="9" t="s">
        <v>1077</v>
      </c>
      <c r="E6" s="9" t="s">
        <v>197</v>
      </c>
      <c r="F6" s="11" t="s">
        <v>198</v>
      </c>
      <c r="G6" s="11" t="s">
        <v>169</v>
      </c>
      <c r="H6" s="11" t="s">
        <v>199</v>
      </c>
      <c r="I6" s="10"/>
      <c r="J6" s="11" t="s">
        <v>171</v>
      </c>
      <c r="K6" s="10" t="s">
        <v>172</v>
      </c>
      <c r="L6" s="10" t="s">
        <v>172</v>
      </c>
      <c r="M6" s="10"/>
      <c r="N6" s="11" t="s">
        <v>16</v>
      </c>
      <c r="O6" s="11" t="s">
        <v>174</v>
      </c>
      <c r="P6" s="11" t="s">
        <v>17</v>
      </c>
      <c r="Q6" s="10"/>
      <c r="R6" s="21" t="str">
        <f>"265,0"</f>
        <v>265,0</v>
      </c>
      <c r="S6" s="22" t="str">
        <f>"335,3310"</f>
        <v>335,3310</v>
      </c>
      <c r="T6" s="9" t="s">
        <v>1065</v>
      </c>
    </row>
    <row r="7" spans="1:20">
      <c r="A7" s="12" t="s">
        <v>201</v>
      </c>
      <c r="B7" s="12" t="s">
        <v>202</v>
      </c>
      <c r="C7" s="12" t="s">
        <v>203</v>
      </c>
      <c r="D7" s="12" t="s">
        <v>1080</v>
      </c>
      <c r="E7" s="12" t="s">
        <v>15</v>
      </c>
      <c r="F7" s="13" t="s">
        <v>32</v>
      </c>
      <c r="G7" s="13" t="s">
        <v>204</v>
      </c>
      <c r="H7" s="13" t="s">
        <v>169</v>
      </c>
      <c r="I7" s="14"/>
      <c r="J7" s="14" t="s">
        <v>20</v>
      </c>
      <c r="K7" s="13" t="s">
        <v>21</v>
      </c>
      <c r="L7" s="13" t="s">
        <v>205</v>
      </c>
      <c r="M7" s="14"/>
      <c r="N7" s="13" t="s">
        <v>180</v>
      </c>
      <c r="O7" s="13" t="s">
        <v>206</v>
      </c>
      <c r="P7" s="13" t="s">
        <v>17</v>
      </c>
      <c r="Q7" s="14"/>
      <c r="R7" s="23" t="str">
        <f>"257,5"</f>
        <v>257,5</v>
      </c>
      <c r="S7" s="24" t="str">
        <f>"366,5412"</f>
        <v>366,5412</v>
      </c>
      <c r="T7" s="12"/>
    </row>
    <row r="9" spans="1:20" ht="16">
      <c r="A9" s="49" t="s">
        <v>10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1:20">
      <c r="A10" s="6" t="s">
        <v>208</v>
      </c>
      <c r="B10" s="6" t="s">
        <v>209</v>
      </c>
      <c r="C10" s="6" t="s">
        <v>210</v>
      </c>
      <c r="D10" s="6" t="s">
        <v>1077</v>
      </c>
      <c r="E10" s="6" t="s">
        <v>211</v>
      </c>
      <c r="F10" s="7" t="s">
        <v>212</v>
      </c>
      <c r="G10" s="7" t="s">
        <v>32</v>
      </c>
      <c r="H10" s="7" t="s">
        <v>33</v>
      </c>
      <c r="I10" s="8"/>
      <c r="J10" s="7" t="s">
        <v>213</v>
      </c>
      <c r="K10" s="7" t="s">
        <v>214</v>
      </c>
      <c r="L10" s="8" t="s">
        <v>215</v>
      </c>
      <c r="M10" s="8"/>
      <c r="N10" s="7" t="s">
        <v>32</v>
      </c>
      <c r="O10" s="7" t="s">
        <v>204</v>
      </c>
      <c r="P10" s="7" t="s">
        <v>216</v>
      </c>
      <c r="Q10" s="8"/>
      <c r="R10" s="19" t="str">
        <f>"195,0"</f>
        <v>195,0</v>
      </c>
      <c r="S10" s="20" t="str">
        <f>"232,6935"</f>
        <v>232,6935</v>
      </c>
      <c r="T10" s="6" t="s">
        <v>1066</v>
      </c>
    </row>
    <row r="12" spans="1:20" ht="16">
      <c r="A12" s="49" t="s">
        <v>217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</row>
    <row r="13" spans="1:20">
      <c r="A13" s="6" t="s">
        <v>219</v>
      </c>
      <c r="B13" s="6" t="s">
        <v>220</v>
      </c>
      <c r="C13" s="6" t="s">
        <v>221</v>
      </c>
      <c r="D13" s="6" t="s">
        <v>1077</v>
      </c>
      <c r="E13" s="6" t="s">
        <v>50</v>
      </c>
      <c r="F13" s="8" t="s">
        <v>170</v>
      </c>
      <c r="G13" s="7" t="s">
        <v>16</v>
      </c>
      <c r="H13" s="8" t="s">
        <v>173</v>
      </c>
      <c r="I13" s="8"/>
      <c r="J13" s="7" t="s">
        <v>44</v>
      </c>
      <c r="K13" s="7" t="s">
        <v>31</v>
      </c>
      <c r="L13" s="8" t="s">
        <v>32</v>
      </c>
      <c r="M13" s="8"/>
      <c r="N13" s="7" t="s">
        <v>170</v>
      </c>
      <c r="O13" s="7" t="s">
        <v>206</v>
      </c>
      <c r="P13" s="7" t="s">
        <v>17</v>
      </c>
      <c r="Q13" s="8"/>
      <c r="R13" s="19" t="str">
        <f>"295,0"</f>
        <v>295,0</v>
      </c>
      <c r="S13" s="20" t="str">
        <f>"328,8955"</f>
        <v>328,8955</v>
      </c>
      <c r="T13" s="6" t="s">
        <v>54</v>
      </c>
    </row>
    <row r="15" spans="1:20" ht="16">
      <c r="A15" s="49" t="s">
        <v>175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</row>
    <row r="16" spans="1:20">
      <c r="A16" s="9" t="s">
        <v>223</v>
      </c>
      <c r="B16" s="9" t="s">
        <v>224</v>
      </c>
      <c r="C16" s="9" t="s">
        <v>225</v>
      </c>
      <c r="D16" s="9" t="s">
        <v>1084</v>
      </c>
      <c r="E16" s="9" t="s">
        <v>15</v>
      </c>
      <c r="F16" s="10" t="s">
        <v>171</v>
      </c>
      <c r="G16" s="10" t="s">
        <v>171</v>
      </c>
      <c r="H16" s="11" t="s">
        <v>171</v>
      </c>
      <c r="I16" s="10"/>
      <c r="J16" s="11" t="s">
        <v>226</v>
      </c>
      <c r="K16" s="11" t="s">
        <v>227</v>
      </c>
      <c r="L16" s="10" t="s">
        <v>19</v>
      </c>
      <c r="M16" s="10"/>
      <c r="N16" s="11" t="s">
        <v>21</v>
      </c>
      <c r="O16" s="11" t="s">
        <v>44</v>
      </c>
      <c r="P16" s="11" t="s">
        <v>31</v>
      </c>
      <c r="Q16" s="10"/>
      <c r="R16" s="21" t="str">
        <f>"150,0"</f>
        <v>150,0</v>
      </c>
      <c r="S16" s="22" t="str">
        <f>"162,0750"</f>
        <v>162,0750</v>
      </c>
      <c r="T16" s="9" t="s">
        <v>228</v>
      </c>
    </row>
    <row r="17" spans="1:20">
      <c r="A17" s="12" t="s">
        <v>230</v>
      </c>
      <c r="B17" s="12" t="s">
        <v>231</v>
      </c>
      <c r="C17" s="12" t="s">
        <v>232</v>
      </c>
      <c r="D17" s="12" t="s">
        <v>1077</v>
      </c>
      <c r="E17" s="12" t="s">
        <v>15</v>
      </c>
      <c r="F17" s="13" t="s">
        <v>169</v>
      </c>
      <c r="G17" s="13" t="s">
        <v>199</v>
      </c>
      <c r="H17" s="14" t="s">
        <v>156</v>
      </c>
      <c r="I17" s="14"/>
      <c r="J17" s="13" t="s">
        <v>21</v>
      </c>
      <c r="K17" s="14" t="s">
        <v>171</v>
      </c>
      <c r="L17" s="14" t="s">
        <v>171</v>
      </c>
      <c r="M17" s="14"/>
      <c r="N17" s="13" t="s">
        <v>199</v>
      </c>
      <c r="O17" s="13" t="s">
        <v>170</v>
      </c>
      <c r="P17" s="13" t="s">
        <v>157</v>
      </c>
      <c r="Q17" s="14"/>
      <c r="R17" s="23" t="str">
        <f>"245,0"</f>
        <v>245,0</v>
      </c>
      <c r="S17" s="24" t="str">
        <f>"250,3165"</f>
        <v>250,3165</v>
      </c>
      <c r="T17" s="12" t="s">
        <v>233</v>
      </c>
    </row>
    <row r="19" spans="1:20" ht="16">
      <c r="A19" s="49" t="s">
        <v>24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  <row r="20" spans="1:20">
      <c r="A20" s="6" t="s">
        <v>235</v>
      </c>
      <c r="B20" s="6" t="s">
        <v>236</v>
      </c>
      <c r="C20" s="6" t="s">
        <v>237</v>
      </c>
      <c r="D20" s="6" t="s">
        <v>1085</v>
      </c>
      <c r="E20" s="6" t="s">
        <v>238</v>
      </c>
      <c r="F20" s="7" t="s">
        <v>199</v>
      </c>
      <c r="G20" s="7" t="s">
        <v>156</v>
      </c>
      <c r="H20" s="7" t="s">
        <v>170</v>
      </c>
      <c r="I20" s="8"/>
      <c r="J20" s="7" t="s">
        <v>172</v>
      </c>
      <c r="K20" s="7" t="s">
        <v>239</v>
      </c>
      <c r="L20" s="7" t="s">
        <v>31</v>
      </c>
      <c r="M20" s="8"/>
      <c r="N20" s="7" t="s">
        <v>180</v>
      </c>
      <c r="O20" s="7" t="s">
        <v>16</v>
      </c>
      <c r="P20" s="7" t="s">
        <v>173</v>
      </c>
      <c r="Q20" s="8"/>
      <c r="R20" s="19" t="str">
        <f>"280,0"</f>
        <v>280,0</v>
      </c>
      <c r="S20" s="20" t="str">
        <f>"326,0558"</f>
        <v>326,0558</v>
      </c>
      <c r="T20" s="6" t="s">
        <v>240</v>
      </c>
    </row>
    <row r="22" spans="1:20" ht="16">
      <c r="A22" s="49" t="s">
        <v>241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20">
      <c r="A23" s="6" t="s">
        <v>243</v>
      </c>
      <c r="B23" s="6" t="s">
        <v>244</v>
      </c>
      <c r="C23" s="6" t="s">
        <v>245</v>
      </c>
      <c r="D23" s="6" t="s">
        <v>1077</v>
      </c>
      <c r="E23" s="6" t="s">
        <v>15</v>
      </c>
      <c r="F23" s="7" t="s">
        <v>169</v>
      </c>
      <c r="G23" s="7" t="s">
        <v>156</v>
      </c>
      <c r="H23" s="7" t="s">
        <v>170</v>
      </c>
      <c r="I23" s="8"/>
      <c r="J23" s="8" t="s">
        <v>171</v>
      </c>
      <c r="K23" s="7" t="s">
        <v>171</v>
      </c>
      <c r="L23" s="7" t="s">
        <v>172</v>
      </c>
      <c r="M23" s="8"/>
      <c r="N23" s="7" t="s">
        <v>16</v>
      </c>
      <c r="O23" s="7" t="s">
        <v>173</v>
      </c>
      <c r="P23" s="7" t="s">
        <v>17</v>
      </c>
      <c r="Q23" s="8"/>
      <c r="R23" s="19" t="str">
        <f>"277,5"</f>
        <v>277,5</v>
      </c>
      <c r="S23" s="20" t="str">
        <f>"253,0522"</f>
        <v>253,0522</v>
      </c>
      <c r="T23" s="6" t="s">
        <v>1067</v>
      </c>
    </row>
    <row r="25" spans="1:20" ht="16">
      <c r="A25" s="49" t="s">
        <v>175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</row>
    <row r="26" spans="1:20">
      <c r="A26" s="6" t="s">
        <v>247</v>
      </c>
      <c r="B26" s="6" t="s">
        <v>248</v>
      </c>
      <c r="C26" s="6" t="s">
        <v>249</v>
      </c>
      <c r="D26" s="6" t="s">
        <v>1084</v>
      </c>
      <c r="E26" s="6" t="s">
        <v>42</v>
      </c>
      <c r="F26" s="7" t="s">
        <v>156</v>
      </c>
      <c r="G26" s="7" t="s">
        <v>157</v>
      </c>
      <c r="H26" s="7" t="s">
        <v>173</v>
      </c>
      <c r="I26" s="8"/>
      <c r="J26" s="7" t="s">
        <v>204</v>
      </c>
      <c r="K26" s="7" t="s">
        <v>216</v>
      </c>
      <c r="L26" s="8" t="s">
        <v>250</v>
      </c>
      <c r="M26" s="8"/>
      <c r="N26" s="8" t="s">
        <v>83</v>
      </c>
      <c r="O26" s="7" t="s">
        <v>83</v>
      </c>
      <c r="P26" s="7" t="s">
        <v>18</v>
      </c>
      <c r="Q26" s="8"/>
      <c r="R26" s="19" t="str">
        <f>"327,5"</f>
        <v>327,5</v>
      </c>
      <c r="S26" s="20" t="str">
        <f>"253,1247"</f>
        <v>253,1247</v>
      </c>
      <c r="T26" s="6"/>
    </row>
    <row r="28" spans="1:20" ht="16">
      <c r="A28" s="49" t="s">
        <v>241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</row>
    <row r="29" spans="1:20">
      <c r="A29" s="9" t="s">
        <v>252</v>
      </c>
      <c r="B29" s="9" t="s">
        <v>253</v>
      </c>
      <c r="C29" s="9" t="s">
        <v>254</v>
      </c>
      <c r="D29" s="9" t="s">
        <v>1084</v>
      </c>
      <c r="E29" s="9" t="s">
        <v>42</v>
      </c>
      <c r="F29" s="11" t="s">
        <v>43</v>
      </c>
      <c r="G29" s="11" t="s">
        <v>62</v>
      </c>
      <c r="H29" s="11" t="s">
        <v>73</v>
      </c>
      <c r="I29" s="10"/>
      <c r="J29" s="11" t="s">
        <v>157</v>
      </c>
      <c r="K29" s="11" t="s">
        <v>16</v>
      </c>
      <c r="L29" s="11" t="s">
        <v>173</v>
      </c>
      <c r="M29" s="10"/>
      <c r="N29" s="11" t="s">
        <v>81</v>
      </c>
      <c r="O29" s="11" t="s">
        <v>147</v>
      </c>
      <c r="P29" s="11" t="s">
        <v>36</v>
      </c>
      <c r="Q29" s="10"/>
      <c r="R29" s="21" t="str">
        <f>"467,5"</f>
        <v>467,5</v>
      </c>
      <c r="S29" s="22" t="str">
        <f>"328,9330"</f>
        <v>328,9330</v>
      </c>
      <c r="T29" s="9" t="s">
        <v>255</v>
      </c>
    </row>
    <row r="30" spans="1:20">
      <c r="A30" s="12" t="s">
        <v>257</v>
      </c>
      <c r="B30" s="12" t="s">
        <v>258</v>
      </c>
      <c r="C30" s="12" t="s">
        <v>259</v>
      </c>
      <c r="D30" s="12" t="s">
        <v>1084</v>
      </c>
      <c r="E30" s="12" t="s">
        <v>15</v>
      </c>
      <c r="F30" s="13" t="s">
        <v>83</v>
      </c>
      <c r="G30" s="13" t="s">
        <v>260</v>
      </c>
      <c r="H30" s="13" t="s">
        <v>155</v>
      </c>
      <c r="I30" s="14"/>
      <c r="J30" s="13" t="s">
        <v>216</v>
      </c>
      <c r="K30" s="13" t="s">
        <v>199</v>
      </c>
      <c r="L30" s="14" t="s">
        <v>156</v>
      </c>
      <c r="M30" s="14"/>
      <c r="N30" s="13" t="s">
        <v>29</v>
      </c>
      <c r="O30" s="13" t="s">
        <v>81</v>
      </c>
      <c r="P30" s="14" t="s">
        <v>82</v>
      </c>
      <c r="Q30" s="14"/>
      <c r="R30" s="23" t="str">
        <f>"410,0"</f>
        <v>410,0</v>
      </c>
      <c r="S30" s="24" t="str">
        <f>"290,8130"</f>
        <v>290,8130</v>
      </c>
      <c r="T30" s="12" t="s">
        <v>261</v>
      </c>
    </row>
    <row r="32" spans="1:20" ht="16">
      <c r="A32" s="49" t="s">
        <v>45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</row>
    <row r="33" spans="1:20">
      <c r="A33" s="9" t="s">
        <v>263</v>
      </c>
      <c r="B33" s="9" t="s">
        <v>264</v>
      </c>
      <c r="C33" s="9" t="s">
        <v>265</v>
      </c>
      <c r="D33" s="9" t="s">
        <v>1084</v>
      </c>
      <c r="E33" s="9" t="s">
        <v>15</v>
      </c>
      <c r="F33" s="10" t="s">
        <v>16</v>
      </c>
      <c r="G33" s="10" t="s">
        <v>16</v>
      </c>
      <c r="H33" s="11" t="s">
        <v>16</v>
      </c>
      <c r="I33" s="10"/>
      <c r="J33" s="11" t="s">
        <v>198</v>
      </c>
      <c r="K33" s="11" t="s">
        <v>199</v>
      </c>
      <c r="L33" s="11" t="s">
        <v>156</v>
      </c>
      <c r="M33" s="10"/>
      <c r="N33" s="10" t="s">
        <v>43</v>
      </c>
      <c r="O33" s="10" t="s">
        <v>43</v>
      </c>
      <c r="P33" s="11" t="s">
        <v>43</v>
      </c>
      <c r="Q33" s="10"/>
      <c r="R33" s="21" t="str">
        <f>"355,0"</f>
        <v>355,0</v>
      </c>
      <c r="S33" s="22" t="str">
        <f>"231,1405"</f>
        <v>231,1405</v>
      </c>
      <c r="T33" s="9" t="s">
        <v>266</v>
      </c>
    </row>
    <row r="34" spans="1:20">
      <c r="A34" s="12" t="s">
        <v>268</v>
      </c>
      <c r="B34" s="12" t="s">
        <v>269</v>
      </c>
      <c r="C34" s="12" t="s">
        <v>270</v>
      </c>
      <c r="D34" s="12" t="s">
        <v>1077</v>
      </c>
      <c r="E34" s="12" t="s">
        <v>15</v>
      </c>
      <c r="F34" s="14" t="s">
        <v>36</v>
      </c>
      <c r="G34" s="13" t="s">
        <v>36</v>
      </c>
      <c r="H34" s="14" t="s">
        <v>271</v>
      </c>
      <c r="I34" s="14"/>
      <c r="J34" s="13" t="s">
        <v>18</v>
      </c>
      <c r="K34" s="13" t="s">
        <v>22</v>
      </c>
      <c r="L34" s="13" t="s">
        <v>43</v>
      </c>
      <c r="M34" s="14"/>
      <c r="N34" s="13" t="s">
        <v>35</v>
      </c>
      <c r="O34" s="13" t="s">
        <v>271</v>
      </c>
      <c r="P34" s="14" t="s">
        <v>272</v>
      </c>
      <c r="Q34" s="14"/>
      <c r="R34" s="23" t="str">
        <f>"540,0"</f>
        <v>540,0</v>
      </c>
      <c r="S34" s="24" t="str">
        <f>"358,9380"</f>
        <v>358,9380</v>
      </c>
      <c r="T34" s="12"/>
    </row>
    <row r="36" spans="1:20" ht="16">
      <c r="A36" s="49" t="s">
        <v>55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</row>
    <row r="37" spans="1:20">
      <c r="A37" s="9" t="s">
        <v>274</v>
      </c>
      <c r="B37" s="9" t="s">
        <v>275</v>
      </c>
      <c r="C37" s="9" t="s">
        <v>276</v>
      </c>
      <c r="D37" s="9" t="s">
        <v>1084</v>
      </c>
      <c r="E37" s="9" t="s">
        <v>15</v>
      </c>
      <c r="F37" s="11" t="s">
        <v>169</v>
      </c>
      <c r="G37" s="11" t="s">
        <v>156</v>
      </c>
      <c r="H37" s="11" t="s">
        <v>170</v>
      </c>
      <c r="I37" s="10"/>
      <c r="J37" s="11" t="s">
        <v>172</v>
      </c>
      <c r="K37" s="11" t="s">
        <v>44</v>
      </c>
      <c r="L37" s="10" t="s">
        <v>239</v>
      </c>
      <c r="M37" s="10"/>
      <c r="N37" s="10" t="s">
        <v>83</v>
      </c>
      <c r="O37" s="11" t="s">
        <v>83</v>
      </c>
      <c r="P37" s="11" t="s">
        <v>18</v>
      </c>
      <c r="Q37" s="10"/>
      <c r="R37" s="21" t="str">
        <f>"290,0"</f>
        <v>290,0</v>
      </c>
      <c r="S37" s="22" t="str">
        <f>"181,1630"</f>
        <v>181,1630</v>
      </c>
      <c r="T37" s="9" t="s">
        <v>277</v>
      </c>
    </row>
    <row r="38" spans="1:20">
      <c r="A38" s="15" t="s">
        <v>279</v>
      </c>
      <c r="B38" s="15" t="s">
        <v>280</v>
      </c>
      <c r="C38" s="15" t="s">
        <v>281</v>
      </c>
      <c r="D38" s="15" t="s">
        <v>1077</v>
      </c>
      <c r="E38" s="15" t="s">
        <v>15</v>
      </c>
      <c r="F38" s="16" t="s">
        <v>36</v>
      </c>
      <c r="G38" s="16" t="s">
        <v>271</v>
      </c>
      <c r="H38" s="17"/>
      <c r="I38" s="17"/>
      <c r="J38" s="16" t="s">
        <v>85</v>
      </c>
      <c r="K38" s="17" t="s">
        <v>22</v>
      </c>
      <c r="L38" s="17" t="s">
        <v>282</v>
      </c>
      <c r="M38" s="17"/>
      <c r="N38" s="16" t="s">
        <v>35</v>
      </c>
      <c r="O38" s="16" t="s">
        <v>271</v>
      </c>
      <c r="P38" s="16" t="s">
        <v>283</v>
      </c>
      <c r="Q38" s="17"/>
      <c r="R38" s="25" t="str">
        <f>"550,0"</f>
        <v>550,0</v>
      </c>
      <c r="S38" s="26" t="str">
        <f>"340,3400"</f>
        <v>340,3400</v>
      </c>
      <c r="T38" s="15" t="s">
        <v>284</v>
      </c>
    </row>
    <row r="39" spans="1:20">
      <c r="A39" s="12" t="s">
        <v>286</v>
      </c>
      <c r="B39" s="12" t="s">
        <v>287</v>
      </c>
      <c r="C39" s="12" t="s">
        <v>281</v>
      </c>
      <c r="D39" s="12" t="s">
        <v>1078</v>
      </c>
      <c r="E39" s="12" t="s">
        <v>288</v>
      </c>
      <c r="F39" s="14" t="s">
        <v>35</v>
      </c>
      <c r="G39" s="13" t="s">
        <v>35</v>
      </c>
      <c r="H39" s="14" t="s">
        <v>36</v>
      </c>
      <c r="I39" s="14"/>
      <c r="J39" s="13" t="s">
        <v>289</v>
      </c>
      <c r="K39" s="13" t="s">
        <v>18</v>
      </c>
      <c r="L39" s="14" t="s">
        <v>85</v>
      </c>
      <c r="M39" s="14"/>
      <c r="N39" s="14" t="s">
        <v>30</v>
      </c>
      <c r="O39" s="13" t="s">
        <v>30</v>
      </c>
      <c r="P39" s="13" t="s">
        <v>35</v>
      </c>
      <c r="Q39" s="14"/>
      <c r="R39" s="23" t="str">
        <f>"490,0"</f>
        <v>490,0</v>
      </c>
      <c r="S39" s="24" t="str">
        <f>"306,2441"</f>
        <v>306,2441</v>
      </c>
      <c r="T39" s="12" t="s">
        <v>290</v>
      </c>
    </row>
    <row r="41" spans="1:20" ht="16">
      <c r="A41" s="49" t="s">
        <v>88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</row>
    <row r="42" spans="1:20">
      <c r="A42" s="9" t="s">
        <v>292</v>
      </c>
      <c r="B42" s="9" t="s">
        <v>293</v>
      </c>
      <c r="C42" s="9" t="s">
        <v>294</v>
      </c>
      <c r="D42" s="9" t="s">
        <v>1079</v>
      </c>
      <c r="E42" s="9" t="s">
        <v>15</v>
      </c>
      <c r="F42" s="11" t="s">
        <v>62</v>
      </c>
      <c r="G42" s="11" t="s">
        <v>63</v>
      </c>
      <c r="H42" s="11" t="s">
        <v>81</v>
      </c>
      <c r="I42" s="10"/>
      <c r="J42" s="10" t="s">
        <v>18</v>
      </c>
      <c r="K42" s="11" t="s">
        <v>85</v>
      </c>
      <c r="L42" s="10" t="s">
        <v>22</v>
      </c>
      <c r="M42" s="10"/>
      <c r="N42" s="11" t="s">
        <v>82</v>
      </c>
      <c r="O42" s="11" t="s">
        <v>109</v>
      </c>
      <c r="P42" s="11" t="s">
        <v>110</v>
      </c>
      <c r="Q42" s="10"/>
      <c r="R42" s="21" t="str">
        <f>"515,0"</f>
        <v>515,0</v>
      </c>
      <c r="S42" s="22" t="str">
        <f>"307,0430"</f>
        <v>307,0430</v>
      </c>
      <c r="T42" s="9"/>
    </row>
    <row r="43" spans="1:20">
      <c r="A43" s="12" t="s">
        <v>295</v>
      </c>
      <c r="B43" s="12" t="s">
        <v>296</v>
      </c>
      <c r="C43" s="12" t="s">
        <v>297</v>
      </c>
      <c r="D43" s="12" t="s">
        <v>1077</v>
      </c>
      <c r="E43" s="12" t="s">
        <v>15</v>
      </c>
      <c r="F43" s="13" t="s">
        <v>51</v>
      </c>
      <c r="G43" s="14" t="s">
        <v>148</v>
      </c>
      <c r="H43" s="14" t="s">
        <v>148</v>
      </c>
      <c r="I43" s="14"/>
      <c r="J43" s="14" t="s">
        <v>29</v>
      </c>
      <c r="K43" s="14" t="s">
        <v>29</v>
      </c>
      <c r="L43" s="14" t="s">
        <v>29</v>
      </c>
      <c r="M43" s="14"/>
      <c r="N43" s="14" t="s">
        <v>53</v>
      </c>
      <c r="O43" s="14"/>
      <c r="P43" s="14"/>
      <c r="Q43" s="14"/>
      <c r="R43" s="23" t="str">
        <f>"0.00"</f>
        <v>0.00</v>
      </c>
      <c r="S43" s="24" t="str">
        <f>"0,0000"</f>
        <v>0,0000</v>
      </c>
      <c r="T43" s="12" t="s">
        <v>298</v>
      </c>
    </row>
    <row r="45" spans="1:20" ht="16">
      <c r="A45" s="49" t="s">
        <v>98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1:20">
      <c r="A46" s="6" t="s">
        <v>300</v>
      </c>
      <c r="B46" s="6" t="s">
        <v>301</v>
      </c>
      <c r="C46" s="6" t="s">
        <v>302</v>
      </c>
      <c r="D46" s="6" t="s">
        <v>1077</v>
      </c>
      <c r="E46" s="6" t="s">
        <v>15</v>
      </c>
      <c r="F46" s="8" t="s">
        <v>53</v>
      </c>
      <c r="G46" s="7" t="s">
        <v>53</v>
      </c>
      <c r="H46" s="7" t="s">
        <v>64</v>
      </c>
      <c r="I46" s="8"/>
      <c r="J46" s="7" t="s">
        <v>82</v>
      </c>
      <c r="K46" s="7" t="s">
        <v>95</v>
      </c>
      <c r="L46" s="8" t="s">
        <v>271</v>
      </c>
      <c r="M46" s="8"/>
      <c r="N46" s="7" t="s">
        <v>72</v>
      </c>
      <c r="O46" s="7" t="s">
        <v>64</v>
      </c>
      <c r="P46" s="7" t="s">
        <v>65</v>
      </c>
      <c r="Q46" s="8"/>
      <c r="R46" s="19" t="str">
        <f>"722,5"</f>
        <v>722,5</v>
      </c>
      <c r="S46" s="20" t="str">
        <f>"412,6920"</f>
        <v>412,6920</v>
      </c>
      <c r="T46" s="6" t="s">
        <v>303</v>
      </c>
    </row>
    <row r="56" spans="1:4" ht="18">
      <c r="A56" s="27" t="s">
        <v>114</v>
      </c>
      <c r="B56" s="27"/>
    </row>
    <row r="57" spans="1:4" ht="16">
      <c r="A57" s="28" t="s">
        <v>115</v>
      </c>
      <c r="B57" s="28"/>
    </row>
    <row r="58" spans="1:4" ht="14">
      <c r="A58" s="30"/>
      <c r="B58" s="31" t="s">
        <v>304</v>
      </c>
    </row>
    <row r="59" spans="1:4" ht="14">
      <c r="A59" s="32" t="s">
        <v>117</v>
      </c>
      <c r="B59" s="32" t="s">
        <v>118</v>
      </c>
      <c r="C59" s="32" t="s">
        <v>119</v>
      </c>
      <c r="D59" s="32" t="s">
        <v>120</v>
      </c>
    </row>
    <row r="60" spans="1:4">
      <c r="A60" s="29" t="s">
        <v>222</v>
      </c>
      <c r="B60" s="4" t="s">
        <v>159</v>
      </c>
      <c r="C60" s="4" t="s">
        <v>187</v>
      </c>
      <c r="D60" s="4" t="s">
        <v>43</v>
      </c>
    </row>
    <row r="62" spans="1:4" ht="14">
      <c r="A62" s="30"/>
      <c r="B62" s="31" t="s">
        <v>116</v>
      </c>
    </row>
    <row r="63" spans="1:4" ht="14">
      <c r="A63" s="32" t="s">
        <v>117</v>
      </c>
      <c r="B63" s="32" t="s">
        <v>118</v>
      </c>
      <c r="C63" s="32" t="s">
        <v>119</v>
      </c>
      <c r="D63" s="32" t="s">
        <v>120</v>
      </c>
    </row>
    <row r="64" spans="1:4">
      <c r="A64" s="29" t="s">
        <v>193</v>
      </c>
      <c r="B64" s="4" t="s">
        <v>116</v>
      </c>
      <c r="C64" s="4" t="s">
        <v>189</v>
      </c>
      <c r="D64" s="4" t="s">
        <v>305</v>
      </c>
    </row>
    <row r="65" spans="1:4">
      <c r="A65" s="29" t="s">
        <v>218</v>
      </c>
      <c r="B65" s="4" t="s">
        <v>116</v>
      </c>
      <c r="C65" s="4" t="s">
        <v>306</v>
      </c>
      <c r="D65" s="4" t="s">
        <v>307</v>
      </c>
    </row>
    <row r="66" spans="1:4">
      <c r="A66" s="29" t="s">
        <v>242</v>
      </c>
      <c r="B66" s="4" t="s">
        <v>116</v>
      </c>
      <c r="C66" s="4" t="s">
        <v>308</v>
      </c>
      <c r="D66" s="4" t="s">
        <v>74</v>
      </c>
    </row>
    <row r="67" spans="1:4">
      <c r="A67" s="29" t="s">
        <v>229</v>
      </c>
      <c r="B67" s="4" t="s">
        <v>116</v>
      </c>
      <c r="C67" s="4" t="s">
        <v>187</v>
      </c>
      <c r="D67" s="4" t="s">
        <v>146</v>
      </c>
    </row>
    <row r="68" spans="1:4">
      <c r="A68" s="29" t="s">
        <v>207</v>
      </c>
      <c r="B68" s="4" t="s">
        <v>116</v>
      </c>
      <c r="C68" s="4" t="s">
        <v>123</v>
      </c>
      <c r="D68" s="4" t="s">
        <v>109</v>
      </c>
    </row>
    <row r="70" spans="1:4" ht="14">
      <c r="A70" s="30"/>
      <c r="B70" s="31" t="s">
        <v>138</v>
      </c>
    </row>
    <row r="71" spans="1:4" ht="14">
      <c r="A71" s="32" t="s">
        <v>117</v>
      </c>
      <c r="B71" s="32" t="s">
        <v>118</v>
      </c>
      <c r="C71" s="32" t="s">
        <v>119</v>
      </c>
      <c r="D71" s="32" t="s">
        <v>120</v>
      </c>
    </row>
    <row r="72" spans="1:4">
      <c r="A72" s="29" t="s">
        <v>200</v>
      </c>
      <c r="B72" s="4" t="s">
        <v>309</v>
      </c>
      <c r="C72" s="4" t="s">
        <v>189</v>
      </c>
      <c r="D72" s="4" t="s">
        <v>310</v>
      </c>
    </row>
    <row r="73" spans="1:4">
      <c r="A73" s="29" t="s">
        <v>234</v>
      </c>
      <c r="B73" s="4" t="s">
        <v>311</v>
      </c>
      <c r="C73" s="4" t="s">
        <v>121</v>
      </c>
      <c r="D73" s="4" t="s">
        <v>112</v>
      </c>
    </row>
    <row r="76" spans="1:4" ht="16">
      <c r="A76" s="28" t="s">
        <v>126</v>
      </c>
      <c r="B76" s="28"/>
    </row>
    <row r="77" spans="1:4" ht="14">
      <c r="A77" s="30"/>
      <c r="B77" s="31" t="s">
        <v>158</v>
      </c>
    </row>
    <row r="78" spans="1:4" ht="14">
      <c r="A78" s="32" t="s">
        <v>117</v>
      </c>
      <c r="B78" s="32" t="s">
        <v>118</v>
      </c>
      <c r="C78" s="32" t="s">
        <v>119</v>
      </c>
      <c r="D78" s="32" t="s">
        <v>120</v>
      </c>
    </row>
    <row r="79" spans="1:4">
      <c r="A79" s="29" t="s">
        <v>251</v>
      </c>
      <c r="B79" s="4" t="s">
        <v>159</v>
      </c>
      <c r="C79" s="4" t="s">
        <v>308</v>
      </c>
      <c r="D79" s="4" t="s">
        <v>161</v>
      </c>
    </row>
    <row r="80" spans="1:4">
      <c r="A80" s="29" t="s">
        <v>256</v>
      </c>
      <c r="B80" s="4" t="s">
        <v>159</v>
      </c>
      <c r="C80" s="4" t="s">
        <v>308</v>
      </c>
      <c r="D80" s="4" t="s">
        <v>312</v>
      </c>
    </row>
    <row r="81" spans="1:4">
      <c r="A81" s="29" t="s">
        <v>246</v>
      </c>
      <c r="B81" s="4" t="s">
        <v>159</v>
      </c>
      <c r="C81" s="4" t="s">
        <v>187</v>
      </c>
      <c r="D81" s="4" t="s">
        <v>313</v>
      </c>
    </row>
    <row r="82" spans="1:4">
      <c r="A82" s="29" t="s">
        <v>262</v>
      </c>
      <c r="B82" s="4" t="s">
        <v>159</v>
      </c>
      <c r="C82" s="4" t="s">
        <v>136</v>
      </c>
      <c r="D82" s="4" t="s">
        <v>314</v>
      </c>
    </row>
    <row r="83" spans="1:4">
      <c r="A83" s="29" t="s">
        <v>273</v>
      </c>
      <c r="B83" s="4" t="s">
        <v>159</v>
      </c>
      <c r="C83" s="4" t="s">
        <v>129</v>
      </c>
      <c r="D83" s="4" t="s">
        <v>60</v>
      </c>
    </row>
    <row r="85" spans="1:4" ht="14">
      <c r="A85" s="30"/>
      <c r="B85" s="31" t="s">
        <v>127</v>
      </c>
    </row>
    <row r="86" spans="1:4" ht="14">
      <c r="A86" s="32" t="s">
        <v>117</v>
      </c>
      <c r="B86" s="32" t="s">
        <v>118</v>
      </c>
      <c r="C86" s="32" t="s">
        <v>119</v>
      </c>
      <c r="D86" s="32" t="s">
        <v>120</v>
      </c>
    </row>
    <row r="87" spans="1:4">
      <c r="A87" s="29" t="s">
        <v>291</v>
      </c>
      <c r="B87" s="4" t="s">
        <v>128</v>
      </c>
      <c r="C87" s="4" t="s">
        <v>131</v>
      </c>
      <c r="D87" s="4" t="s">
        <v>315</v>
      </c>
    </row>
    <row r="89" spans="1:4" ht="14">
      <c r="A89" s="30"/>
      <c r="B89" s="31" t="s">
        <v>116</v>
      </c>
    </row>
    <row r="90" spans="1:4" ht="14">
      <c r="A90" s="32" t="s">
        <v>117</v>
      </c>
      <c r="B90" s="32" t="s">
        <v>118</v>
      </c>
      <c r="C90" s="32" t="s">
        <v>119</v>
      </c>
      <c r="D90" s="32" t="s">
        <v>120</v>
      </c>
    </row>
    <row r="91" spans="1:4">
      <c r="A91" s="29" t="s">
        <v>299</v>
      </c>
      <c r="B91" s="4" t="s">
        <v>116</v>
      </c>
      <c r="C91" s="4" t="s">
        <v>191</v>
      </c>
      <c r="D91" s="4" t="s">
        <v>316</v>
      </c>
    </row>
    <row r="92" spans="1:4">
      <c r="A92" s="29" t="s">
        <v>267</v>
      </c>
      <c r="B92" s="4" t="s">
        <v>116</v>
      </c>
      <c r="C92" s="4" t="s">
        <v>136</v>
      </c>
      <c r="D92" s="4" t="s">
        <v>317</v>
      </c>
    </row>
    <row r="93" spans="1:4">
      <c r="A93" s="29" t="s">
        <v>278</v>
      </c>
      <c r="B93" s="4" t="s">
        <v>116</v>
      </c>
      <c r="C93" s="4" t="s">
        <v>129</v>
      </c>
      <c r="D93" s="4" t="s">
        <v>318</v>
      </c>
    </row>
    <row r="95" spans="1:4" ht="14">
      <c r="A95" s="30"/>
      <c r="B95" s="31" t="s">
        <v>138</v>
      </c>
    </row>
    <row r="96" spans="1:4" ht="14">
      <c r="A96" s="32" t="s">
        <v>117</v>
      </c>
      <c r="B96" s="32" t="s">
        <v>118</v>
      </c>
      <c r="C96" s="32" t="s">
        <v>119</v>
      </c>
      <c r="D96" s="32" t="s">
        <v>120</v>
      </c>
    </row>
    <row r="97" spans="1:4">
      <c r="A97" s="29" t="s">
        <v>285</v>
      </c>
      <c r="B97" s="4" t="s">
        <v>139</v>
      </c>
      <c r="C97" s="4" t="s">
        <v>129</v>
      </c>
      <c r="D97" s="4" t="s">
        <v>319</v>
      </c>
    </row>
  </sheetData>
  <mergeCells count="24">
    <mergeCell ref="A1:T2"/>
    <mergeCell ref="A3:A4"/>
    <mergeCell ref="B3:B4"/>
    <mergeCell ref="C3:C4"/>
    <mergeCell ref="D3:D4"/>
    <mergeCell ref="E3:E4"/>
    <mergeCell ref="F3:I3"/>
    <mergeCell ref="J3:M3"/>
    <mergeCell ref="N3:Q3"/>
    <mergeCell ref="A25:Q25"/>
    <mergeCell ref="R3:R4"/>
    <mergeCell ref="S3:S4"/>
    <mergeCell ref="T3:T4"/>
    <mergeCell ref="A5:Q5"/>
    <mergeCell ref="A9:Q9"/>
    <mergeCell ref="A12:Q12"/>
    <mergeCell ref="A15:Q15"/>
    <mergeCell ref="A19:Q19"/>
    <mergeCell ref="A22:Q22"/>
    <mergeCell ref="A28:Q28"/>
    <mergeCell ref="A32:Q32"/>
    <mergeCell ref="A36:Q36"/>
    <mergeCell ref="A41:Q41"/>
    <mergeCell ref="A45:Q4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1"/>
  <sheetViews>
    <sheetView workbookViewId="0">
      <selection activeCell="D11" sqref="D11"/>
    </sheetView>
  </sheetViews>
  <sheetFormatPr baseColWidth="10" defaultColWidth="9.1640625" defaultRowHeight="13"/>
  <cols>
    <col min="1" max="1" width="26" style="4" bestFit="1" customWidth="1"/>
    <col min="2" max="2" width="27.83203125" style="4" customWidth="1"/>
    <col min="3" max="3" width="15.5" style="4" bestFit="1" customWidth="1"/>
    <col min="4" max="4" width="11.83203125" style="4" bestFit="1" customWidth="1"/>
    <col min="5" max="5" width="31.83203125" style="4" bestFit="1" customWidth="1"/>
    <col min="6" max="8" width="5.5" style="3" customWidth="1"/>
    <col min="9" max="9" width="4.83203125" style="3" customWidth="1"/>
    <col min="10" max="10" width="11.33203125" style="18" bestFit="1" customWidth="1"/>
    <col min="11" max="11" width="8.5" style="2" bestFit="1" customWidth="1"/>
    <col min="12" max="12" width="13.83203125" style="4" bestFit="1" customWidth="1"/>
    <col min="13" max="16384" width="9.1640625" style="3"/>
  </cols>
  <sheetData>
    <row r="1" spans="1:12" s="2" customFormat="1" ht="29" customHeight="1">
      <c r="A1" s="34" t="s">
        <v>522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</row>
    <row r="2" spans="1:12" s="2" customFormat="1" ht="62" customHeight="1" thickBo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1:12" s="1" customFormat="1" ht="12.75" customHeight="1">
      <c r="A3" s="40" t="s">
        <v>0</v>
      </c>
      <c r="B3" s="42" t="s">
        <v>1075</v>
      </c>
      <c r="C3" s="42" t="s">
        <v>6</v>
      </c>
      <c r="D3" s="44" t="s">
        <v>1076</v>
      </c>
      <c r="E3" s="44" t="s">
        <v>5</v>
      </c>
      <c r="F3" s="44" t="s">
        <v>9</v>
      </c>
      <c r="G3" s="44"/>
      <c r="H3" s="44"/>
      <c r="I3" s="44"/>
      <c r="J3" s="44" t="s">
        <v>371</v>
      </c>
      <c r="K3" s="44" t="s">
        <v>3</v>
      </c>
      <c r="L3" s="45" t="s">
        <v>2</v>
      </c>
    </row>
    <row r="4" spans="1:12" s="1" customFormat="1" ht="21" customHeight="1" thickBot="1">
      <c r="A4" s="41"/>
      <c r="B4" s="43"/>
      <c r="C4" s="43"/>
      <c r="D4" s="43"/>
      <c r="E4" s="43"/>
      <c r="F4" s="5">
        <v>1</v>
      </c>
      <c r="G4" s="5">
        <v>2</v>
      </c>
      <c r="H4" s="5">
        <v>3</v>
      </c>
      <c r="I4" s="5" t="s">
        <v>4</v>
      </c>
      <c r="J4" s="43"/>
      <c r="K4" s="43"/>
      <c r="L4" s="46"/>
    </row>
    <row r="5" spans="1:12" ht="16">
      <c r="A5" s="47" t="s">
        <v>10</v>
      </c>
      <c r="B5" s="48"/>
      <c r="C5" s="48"/>
      <c r="D5" s="48"/>
      <c r="E5" s="48"/>
      <c r="F5" s="48"/>
      <c r="G5" s="48"/>
      <c r="H5" s="48"/>
      <c r="I5" s="48"/>
    </row>
    <row r="6" spans="1:12">
      <c r="A6" s="6" t="s">
        <v>502</v>
      </c>
      <c r="B6" s="6" t="s">
        <v>503</v>
      </c>
      <c r="C6" s="6" t="s">
        <v>504</v>
      </c>
      <c r="D6" s="6" t="s">
        <v>1084</v>
      </c>
      <c r="E6" s="6" t="s">
        <v>468</v>
      </c>
      <c r="F6" s="7" t="s">
        <v>17</v>
      </c>
      <c r="G6" s="7" t="s">
        <v>505</v>
      </c>
      <c r="H6" s="8" t="s">
        <v>84</v>
      </c>
      <c r="I6" s="8"/>
      <c r="J6" s="19" t="str">
        <f>"127,5"</f>
        <v>127,5</v>
      </c>
      <c r="K6" s="20" t="str">
        <f>"153,4590"</f>
        <v>153,4590</v>
      </c>
      <c r="L6" s="6" t="s">
        <v>1059</v>
      </c>
    </row>
    <row r="8" spans="1:12" ht="16">
      <c r="A8" s="49" t="s">
        <v>45</v>
      </c>
      <c r="B8" s="49"/>
      <c r="C8" s="49"/>
      <c r="D8" s="49"/>
      <c r="E8" s="49"/>
      <c r="F8" s="49"/>
      <c r="G8" s="49"/>
      <c r="H8" s="49"/>
      <c r="I8" s="49"/>
    </row>
    <row r="9" spans="1:12">
      <c r="A9" s="9" t="s">
        <v>507</v>
      </c>
      <c r="B9" s="9" t="s">
        <v>508</v>
      </c>
      <c r="C9" s="9" t="s">
        <v>509</v>
      </c>
      <c r="D9" s="9" t="s">
        <v>1077</v>
      </c>
      <c r="E9" s="9" t="s">
        <v>426</v>
      </c>
      <c r="F9" s="11" t="s">
        <v>272</v>
      </c>
      <c r="G9" s="11" t="s">
        <v>53</v>
      </c>
      <c r="H9" s="10" t="s">
        <v>72</v>
      </c>
      <c r="I9" s="10"/>
      <c r="J9" s="21" t="str">
        <f>"240,0"</f>
        <v>240,0</v>
      </c>
      <c r="K9" s="22" t="str">
        <f>"154,1760"</f>
        <v>154,1760</v>
      </c>
      <c r="L9" s="9" t="s">
        <v>510</v>
      </c>
    </row>
    <row r="10" spans="1:12">
      <c r="A10" s="12" t="s">
        <v>512</v>
      </c>
      <c r="B10" s="12" t="s">
        <v>513</v>
      </c>
      <c r="C10" s="12" t="s">
        <v>514</v>
      </c>
      <c r="D10" s="12" t="s">
        <v>1077</v>
      </c>
      <c r="E10" s="12" t="s">
        <v>426</v>
      </c>
      <c r="F10" s="13" t="s">
        <v>96</v>
      </c>
      <c r="G10" s="13" t="s">
        <v>111</v>
      </c>
      <c r="H10" s="13" t="s">
        <v>51</v>
      </c>
      <c r="I10" s="14"/>
      <c r="J10" s="23" t="str">
        <f>"220,0"</f>
        <v>220,0</v>
      </c>
      <c r="K10" s="24" t="str">
        <f>"141,0200"</f>
        <v>141,0200</v>
      </c>
      <c r="L10" s="12" t="s">
        <v>515</v>
      </c>
    </row>
    <row r="20" spans="1:4" ht="18">
      <c r="A20" s="27" t="s">
        <v>114</v>
      </c>
      <c r="B20" s="27"/>
    </row>
    <row r="21" spans="1:4" ht="16">
      <c r="A21" s="28" t="s">
        <v>115</v>
      </c>
      <c r="B21" s="28"/>
    </row>
    <row r="22" spans="1:4" ht="14">
      <c r="A22" s="30"/>
      <c r="B22" s="31" t="s">
        <v>304</v>
      </c>
    </row>
    <row r="23" spans="1:4" ht="14">
      <c r="A23" s="32" t="s">
        <v>117</v>
      </c>
      <c r="B23" s="32" t="s">
        <v>118</v>
      </c>
      <c r="C23" s="32" t="s">
        <v>119</v>
      </c>
      <c r="D23" s="32" t="s">
        <v>369</v>
      </c>
    </row>
    <row r="24" spans="1:4">
      <c r="A24" s="29" t="s">
        <v>501</v>
      </c>
      <c r="B24" s="4" t="s">
        <v>159</v>
      </c>
      <c r="C24" s="4" t="s">
        <v>123</v>
      </c>
      <c r="D24" s="4" t="s">
        <v>505</v>
      </c>
    </row>
    <row r="27" spans="1:4" ht="16">
      <c r="A27" s="28" t="s">
        <v>126</v>
      </c>
      <c r="B27" s="28"/>
    </row>
    <row r="28" spans="1:4" ht="14">
      <c r="A28" s="30"/>
      <c r="B28" s="31" t="s">
        <v>116</v>
      </c>
    </row>
    <row r="29" spans="1:4" ht="14">
      <c r="A29" s="32" t="s">
        <v>117</v>
      </c>
      <c r="B29" s="32" t="s">
        <v>118</v>
      </c>
      <c r="C29" s="32" t="s">
        <v>119</v>
      </c>
      <c r="D29" s="32" t="s">
        <v>369</v>
      </c>
    </row>
    <row r="30" spans="1:4">
      <c r="A30" s="29" t="s">
        <v>506</v>
      </c>
      <c r="B30" s="4" t="s">
        <v>116</v>
      </c>
      <c r="C30" s="4" t="s">
        <v>136</v>
      </c>
      <c r="D30" s="4" t="s">
        <v>53</v>
      </c>
    </row>
    <row r="31" spans="1:4">
      <c r="A31" s="29" t="s">
        <v>511</v>
      </c>
      <c r="B31" s="4" t="s">
        <v>116</v>
      </c>
      <c r="C31" s="4" t="s">
        <v>136</v>
      </c>
      <c r="D31" s="4" t="s">
        <v>51</v>
      </c>
    </row>
  </sheetData>
  <mergeCells count="12">
    <mergeCell ref="A1:L2"/>
    <mergeCell ref="A3:A4"/>
    <mergeCell ref="B3:B4"/>
    <mergeCell ref="C3:C4"/>
    <mergeCell ref="D3:D4"/>
    <mergeCell ref="E3:E4"/>
    <mergeCell ref="F3:I3"/>
    <mergeCell ref="A8:I8"/>
    <mergeCell ref="J3:J4"/>
    <mergeCell ref="K3:K4"/>
    <mergeCell ref="L3:L4"/>
    <mergeCell ref="A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119"/>
  <sheetViews>
    <sheetView tabSelected="1" workbookViewId="0">
      <selection activeCell="D60" sqref="D60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11.83203125" style="4" bestFit="1" customWidth="1"/>
    <col min="5" max="5" width="31.83203125" style="4" bestFit="1" customWidth="1"/>
    <col min="6" max="8" width="5.5" style="3" customWidth="1"/>
    <col min="9" max="9" width="4.83203125" style="3" customWidth="1"/>
    <col min="10" max="10" width="11.33203125" style="18" bestFit="1" customWidth="1"/>
    <col min="11" max="11" width="8.5" style="2" bestFit="1" customWidth="1"/>
    <col min="12" max="12" width="32" style="4" bestFit="1" customWidth="1"/>
    <col min="13" max="16384" width="9.1640625" style="3"/>
  </cols>
  <sheetData>
    <row r="1" spans="1:12" s="2" customFormat="1" ht="29" customHeight="1">
      <c r="A1" s="34" t="s">
        <v>523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</row>
    <row r="2" spans="1:12" s="2" customFormat="1" ht="62" customHeight="1" thickBo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1:12" s="1" customFormat="1" ht="12.75" customHeight="1">
      <c r="A3" s="40" t="s">
        <v>0</v>
      </c>
      <c r="B3" s="42" t="s">
        <v>1075</v>
      </c>
      <c r="C3" s="42" t="s">
        <v>6</v>
      </c>
      <c r="D3" s="44" t="s">
        <v>1076</v>
      </c>
      <c r="E3" s="44" t="s">
        <v>5</v>
      </c>
      <c r="F3" s="44" t="s">
        <v>9</v>
      </c>
      <c r="G3" s="44"/>
      <c r="H3" s="44"/>
      <c r="I3" s="44"/>
      <c r="J3" s="44" t="s">
        <v>371</v>
      </c>
      <c r="K3" s="44" t="s">
        <v>3</v>
      </c>
      <c r="L3" s="45" t="s">
        <v>2</v>
      </c>
    </row>
    <row r="4" spans="1:12" s="1" customFormat="1" ht="21" customHeight="1" thickBot="1">
      <c r="A4" s="41"/>
      <c r="B4" s="43"/>
      <c r="C4" s="43"/>
      <c r="D4" s="43"/>
      <c r="E4" s="43"/>
      <c r="F4" s="5">
        <v>1</v>
      </c>
      <c r="G4" s="5">
        <v>2</v>
      </c>
      <c r="H4" s="5">
        <v>3</v>
      </c>
      <c r="I4" s="5" t="s">
        <v>4</v>
      </c>
      <c r="J4" s="43"/>
      <c r="K4" s="43"/>
      <c r="L4" s="46"/>
    </row>
    <row r="5" spans="1:12" ht="16">
      <c r="A5" s="47" t="s">
        <v>372</v>
      </c>
      <c r="B5" s="48"/>
      <c r="C5" s="48"/>
      <c r="D5" s="48"/>
      <c r="E5" s="48"/>
      <c r="F5" s="48"/>
      <c r="G5" s="48"/>
      <c r="H5" s="48"/>
      <c r="I5" s="48"/>
    </row>
    <row r="6" spans="1:12">
      <c r="A6" s="6" t="s">
        <v>374</v>
      </c>
      <c r="B6" s="6" t="s">
        <v>375</v>
      </c>
      <c r="C6" s="6" t="s">
        <v>376</v>
      </c>
      <c r="D6" s="6" t="s">
        <v>1082</v>
      </c>
      <c r="E6" s="6" t="s">
        <v>354</v>
      </c>
      <c r="F6" s="7" t="s">
        <v>198</v>
      </c>
      <c r="G6" s="7" t="s">
        <v>199</v>
      </c>
      <c r="H6" s="7" t="s">
        <v>170</v>
      </c>
      <c r="I6" s="8"/>
      <c r="J6" s="19" t="str">
        <f>"100,0"</f>
        <v>100,0</v>
      </c>
      <c r="K6" s="20" t="str">
        <f>"145,2867"</f>
        <v>145,2867</v>
      </c>
      <c r="L6" s="6" t="s">
        <v>1059</v>
      </c>
    </row>
    <row r="8" spans="1:12" ht="16">
      <c r="A8" s="49" t="s">
        <v>163</v>
      </c>
      <c r="B8" s="49"/>
      <c r="C8" s="49"/>
      <c r="D8" s="49"/>
      <c r="E8" s="49"/>
      <c r="F8" s="49"/>
      <c r="G8" s="49"/>
      <c r="H8" s="49"/>
      <c r="I8" s="49"/>
    </row>
    <row r="9" spans="1:12">
      <c r="A9" s="6" t="s">
        <v>378</v>
      </c>
      <c r="B9" s="6" t="s">
        <v>379</v>
      </c>
      <c r="C9" s="6" t="s">
        <v>380</v>
      </c>
      <c r="D9" s="6" t="s">
        <v>1077</v>
      </c>
      <c r="E9" s="6" t="s">
        <v>330</v>
      </c>
      <c r="F9" s="8" t="s">
        <v>198</v>
      </c>
      <c r="G9" s="7" t="s">
        <v>198</v>
      </c>
      <c r="H9" s="7" t="s">
        <v>169</v>
      </c>
      <c r="I9" s="8"/>
      <c r="J9" s="19" t="str">
        <f>"85,0"</f>
        <v>85,0</v>
      </c>
      <c r="K9" s="20" t="str">
        <f>"111,5455"</f>
        <v>111,5455</v>
      </c>
      <c r="L9" s="6" t="s">
        <v>349</v>
      </c>
    </row>
    <row r="11" spans="1:12" ht="16">
      <c r="A11" s="49" t="s">
        <v>10</v>
      </c>
      <c r="B11" s="49"/>
      <c r="C11" s="49"/>
      <c r="D11" s="49"/>
      <c r="E11" s="49"/>
      <c r="F11" s="49"/>
      <c r="G11" s="49"/>
      <c r="H11" s="49"/>
      <c r="I11" s="49"/>
    </row>
    <row r="12" spans="1:12">
      <c r="A12" s="9" t="s">
        <v>382</v>
      </c>
      <c r="B12" s="9" t="s">
        <v>383</v>
      </c>
      <c r="C12" s="9" t="s">
        <v>384</v>
      </c>
      <c r="D12" s="9" t="s">
        <v>1077</v>
      </c>
      <c r="E12" s="9" t="s">
        <v>385</v>
      </c>
      <c r="F12" s="11" t="s">
        <v>173</v>
      </c>
      <c r="G12" s="11" t="s">
        <v>83</v>
      </c>
      <c r="H12" s="10" t="s">
        <v>84</v>
      </c>
      <c r="I12" s="10"/>
      <c r="J12" s="21" t="str">
        <f>"125,0"</f>
        <v>125,0</v>
      </c>
      <c r="K12" s="22" t="str">
        <f>"147,2875"</f>
        <v>147,2875</v>
      </c>
      <c r="L12" s="9" t="s">
        <v>386</v>
      </c>
    </row>
    <row r="13" spans="1:12">
      <c r="A13" s="12" t="s">
        <v>388</v>
      </c>
      <c r="B13" s="12" t="s">
        <v>389</v>
      </c>
      <c r="C13" s="12" t="s">
        <v>390</v>
      </c>
      <c r="D13" s="12" t="s">
        <v>1077</v>
      </c>
      <c r="E13" s="12" t="s">
        <v>15</v>
      </c>
      <c r="F13" s="13" t="s">
        <v>198</v>
      </c>
      <c r="G13" s="13" t="s">
        <v>169</v>
      </c>
      <c r="H13" s="13" t="s">
        <v>250</v>
      </c>
      <c r="I13" s="14"/>
      <c r="J13" s="23" t="str">
        <f>"87,5"</f>
        <v>87,5</v>
      </c>
      <c r="K13" s="24" t="str">
        <f>"102,9525"</f>
        <v>102,9525</v>
      </c>
      <c r="L13" s="12" t="s">
        <v>391</v>
      </c>
    </row>
    <row r="15" spans="1:12" ht="16">
      <c r="A15" s="49" t="s">
        <v>217</v>
      </c>
      <c r="B15" s="49"/>
      <c r="C15" s="49"/>
      <c r="D15" s="49"/>
      <c r="E15" s="49"/>
      <c r="F15" s="49"/>
      <c r="G15" s="49"/>
      <c r="H15" s="49"/>
      <c r="I15" s="49"/>
    </row>
    <row r="16" spans="1:12">
      <c r="A16" s="9" t="s">
        <v>393</v>
      </c>
      <c r="B16" s="9" t="s">
        <v>394</v>
      </c>
      <c r="C16" s="9" t="s">
        <v>395</v>
      </c>
      <c r="D16" s="9" t="s">
        <v>1077</v>
      </c>
      <c r="E16" s="9" t="s">
        <v>238</v>
      </c>
      <c r="F16" s="11" t="s">
        <v>32</v>
      </c>
      <c r="G16" s="11" t="s">
        <v>33</v>
      </c>
      <c r="H16" s="11" t="s">
        <v>198</v>
      </c>
      <c r="I16" s="10"/>
      <c r="J16" s="21" t="str">
        <f>"80,0"</f>
        <v>80,0</v>
      </c>
      <c r="K16" s="22" t="str">
        <f>"90,1280"</f>
        <v>90,1280</v>
      </c>
      <c r="L16" s="9" t="s">
        <v>396</v>
      </c>
    </row>
    <row r="17" spans="1:12">
      <c r="A17" s="12" t="s">
        <v>398</v>
      </c>
      <c r="B17" s="12" t="s">
        <v>399</v>
      </c>
      <c r="C17" s="12" t="s">
        <v>400</v>
      </c>
      <c r="D17" s="12" t="s">
        <v>1078</v>
      </c>
      <c r="E17" s="12" t="s">
        <v>15</v>
      </c>
      <c r="F17" s="13" t="s">
        <v>173</v>
      </c>
      <c r="G17" s="13" t="s">
        <v>83</v>
      </c>
      <c r="H17" s="13" t="s">
        <v>18</v>
      </c>
      <c r="I17" s="14"/>
      <c r="J17" s="23" t="str">
        <f>"130,0"</f>
        <v>130,0</v>
      </c>
      <c r="K17" s="24" t="str">
        <f>"152,3489"</f>
        <v>152,3489</v>
      </c>
      <c r="L17" s="12" t="s">
        <v>401</v>
      </c>
    </row>
    <row r="19" spans="1:12" ht="16">
      <c r="A19" s="49" t="s">
        <v>175</v>
      </c>
      <c r="B19" s="49"/>
      <c r="C19" s="49"/>
      <c r="D19" s="49"/>
      <c r="E19" s="49"/>
      <c r="F19" s="49"/>
      <c r="G19" s="49"/>
      <c r="H19" s="49"/>
      <c r="I19" s="49"/>
    </row>
    <row r="20" spans="1:12">
      <c r="A20" s="9" t="s">
        <v>403</v>
      </c>
      <c r="B20" s="9" t="s">
        <v>404</v>
      </c>
      <c r="C20" s="9" t="s">
        <v>405</v>
      </c>
      <c r="D20" s="9" t="s">
        <v>1079</v>
      </c>
      <c r="E20" s="9" t="s">
        <v>50</v>
      </c>
      <c r="F20" s="11" t="s">
        <v>260</v>
      </c>
      <c r="G20" s="11" t="s">
        <v>155</v>
      </c>
      <c r="H20" s="10" t="s">
        <v>406</v>
      </c>
      <c r="I20" s="10"/>
      <c r="J20" s="21" t="str">
        <f>"145,0"</f>
        <v>145,0</v>
      </c>
      <c r="K20" s="22" t="str">
        <f>"151,5975"</f>
        <v>151,5975</v>
      </c>
      <c r="L20" s="9" t="s">
        <v>407</v>
      </c>
    </row>
    <row r="21" spans="1:12">
      <c r="A21" s="15" t="s">
        <v>403</v>
      </c>
      <c r="B21" s="15" t="s">
        <v>408</v>
      </c>
      <c r="C21" s="15" t="s">
        <v>405</v>
      </c>
      <c r="D21" s="15" t="s">
        <v>1077</v>
      </c>
      <c r="E21" s="15" t="s">
        <v>50</v>
      </c>
      <c r="F21" s="16" t="s">
        <v>260</v>
      </c>
      <c r="G21" s="16" t="s">
        <v>155</v>
      </c>
      <c r="H21" s="17" t="s">
        <v>406</v>
      </c>
      <c r="I21" s="17"/>
      <c r="J21" s="25" t="str">
        <f>"145,0"</f>
        <v>145,0</v>
      </c>
      <c r="K21" s="26" t="str">
        <f>"151,5975"</f>
        <v>151,5975</v>
      </c>
      <c r="L21" s="15" t="s">
        <v>407</v>
      </c>
    </row>
    <row r="22" spans="1:12">
      <c r="A22" s="12" t="s">
        <v>410</v>
      </c>
      <c r="B22" s="12" t="s">
        <v>411</v>
      </c>
      <c r="C22" s="12" t="s">
        <v>412</v>
      </c>
      <c r="D22" s="12" t="s">
        <v>1082</v>
      </c>
      <c r="E22" s="12" t="s">
        <v>15</v>
      </c>
      <c r="F22" s="13" t="s">
        <v>44</v>
      </c>
      <c r="G22" s="13" t="s">
        <v>31</v>
      </c>
      <c r="H22" s="14" t="s">
        <v>32</v>
      </c>
      <c r="I22" s="14"/>
      <c r="J22" s="23" t="str">
        <f>"65,0"</f>
        <v>65,0</v>
      </c>
      <c r="K22" s="24" t="str">
        <f>"76,0325"</f>
        <v>76,0325</v>
      </c>
      <c r="L22" s="12" t="s">
        <v>1068</v>
      </c>
    </row>
    <row r="24" spans="1:12" ht="16">
      <c r="A24" s="49" t="s">
        <v>24</v>
      </c>
      <c r="B24" s="49"/>
      <c r="C24" s="49"/>
      <c r="D24" s="49"/>
      <c r="E24" s="49"/>
      <c r="F24" s="49"/>
      <c r="G24" s="49"/>
      <c r="H24" s="49"/>
      <c r="I24" s="49"/>
    </row>
    <row r="25" spans="1:12">
      <c r="A25" s="6" t="s">
        <v>414</v>
      </c>
      <c r="B25" s="6" t="s">
        <v>415</v>
      </c>
      <c r="C25" s="6" t="s">
        <v>416</v>
      </c>
      <c r="D25" s="6" t="s">
        <v>1078</v>
      </c>
      <c r="E25" s="6" t="s">
        <v>15</v>
      </c>
      <c r="F25" s="7" t="s">
        <v>282</v>
      </c>
      <c r="G25" s="8" t="s">
        <v>43</v>
      </c>
      <c r="H25" s="8" t="s">
        <v>43</v>
      </c>
      <c r="I25" s="8"/>
      <c r="J25" s="19" t="str">
        <f>"142,5"</f>
        <v>142,5</v>
      </c>
      <c r="K25" s="20" t="str">
        <f>"143,1134"</f>
        <v>143,1134</v>
      </c>
      <c r="L25" s="6"/>
    </row>
    <row r="27" spans="1:12" ht="16">
      <c r="A27" s="49" t="s">
        <v>325</v>
      </c>
      <c r="B27" s="49"/>
      <c r="C27" s="49"/>
      <c r="D27" s="49"/>
      <c r="E27" s="49"/>
      <c r="F27" s="49"/>
      <c r="G27" s="49"/>
      <c r="H27" s="49"/>
      <c r="I27" s="49"/>
    </row>
    <row r="28" spans="1:12">
      <c r="A28" s="6" t="s">
        <v>418</v>
      </c>
      <c r="B28" s="6" t="s">
        <v>419</v>
      </c>
      <c r="C28" s="6" t="s">
        <v>420</v>
      </c>
      <c r="D28" s="6" t="s">
        <v>1077</v>
      </c>
      <c r="E28" s="6" t="s">
        <v>15</v>
      </c>
      <c r="F28" s="7" t="s">
        <v>155</v>
      </c>
      <c r="G28" s="7" t="s">
        <v>29</v>
      </c>
      <c r="H28" s="7" t="s">
        <v>63</v>
      </c>
      <c r="I28" s="8"/>
      <c r="J28" s="19" t="str">
        <f>"165,0"</f>
        <v>165,0</v>
      </c>
      <c r="K28" s="20" t="str">
        <f>"140,0685"</f>
        <v>140,0685</v>
      </c>
      <c r="L28" s="6" t="s">
        <v>401</v>
      </c>
    </row>
    <row r="30" spans="1:12" ht="16">
      <c r="A30" s="49" t="s">
        <v>241</v>
      </c>
      <c r="B30" s="49"/>
      <c r="C30" s="49"/>
      <c r="D30" s="49"/>
      <c r="E30" s="49"/>
      <c r="F30" s="49"/>
      <c r="G30" s="49"/>
      <c r="H30" s="49"/>
      <c r="I30" s="49"/>
    </row>
    <row r="31" spans="1:12">
      <c r="A31" s="9" t="s">
        <v>421</v>
      </c>
      <c r="B31" s="9" t="s">
        <v>258</v>
      </c>
      <c r="C31" s="9" t="s">
        <v>259</v>
      </c>
      <c r="D31" s="9" t="s">
        <v>1084</v>
      </c>
      <c r="E31" s="9" t="s">
        <v>15</v>
      </c>
      <c r="F31" s="11" t="s">
        <v>29</v>
      </c>
      <c r="G31" s="11" t="s">
        <v>81</v>
      </c>
      <c r="H31" s="10" t="s">
        <v>82</v>
      </c>
      <c r="I31" s="10"/>
      <c r="J31" s="21" t="str">
        <f>"175,0"</f>
        <v>175,0</v>
      </c>
      <c r="K31" s="22" t="str">
        <f>"124,1275"</f>
        <v>124,1275</v>
      </c>
      <c r="L31" s="9" t="s">
        <v>1069</v>
      </c>
    </row>
    <row r="32" spans="1:12">
      <c r="A32" s="12" t="s">
        <v>423</v>
      </c>
      <c r="B32" s="12" t="s">
        <v>424</v>
      </c>
      <c r="C32" s="12" t="s">
        <v>425</v>
      </c>
      <c r="D32" s="12" t="s">
        <v>1086</v>
      </c>
      <c r="E32" s="12" t="s">
        <v>426</v>
      </c>
      <c r="F32" s="13" t="s">
        <v>22</v>
      </c>
      <c r="G32" s="13" t="s">
        <v>155</v>
      </c>
      <c r="H32" s="14" t="s">
        <v>43</v>
      </c>
      <c r="I32" s="14"/>
      <c r="J32" s="23" t="str">
        <f>"145,0"</f>
        <v>145,0</v>
      </c>
      <c r="K32" s="24" t="str">
        <f>"182,5274"</f>
        <v>182,5274</v>
      </c>
      <c r="L32" s="12" t="s">
        <v>427</v>
      </c>
    </row>
    <row r="34" spans="1:12" ht="16">
      <c r="A34" s="49" t="s">
        <v>45</v>
      </c>
      <c r="B34" s="49"/>
      <c r="C34" s="49"/>
      <c r="D34" s="49"/>
      <c r="E34" s="49"/>
      <c r="F34" s="49"/>
      <c r="G34" s="49"/>
      <c r="H34" s="49"/>
      <c r="I34" s="49"/>
    </row>
    <row r="35" spans="1:12">
      <c r="A35" s="9" t="s">
        <v>429</v>
      </c>
      <c r="B35" s="9" t="s">
        <v>430</v>
      </c>
      <c r="C35" s="9" t="s">
        <v>431</v>
      </c>
      <c r="D35" s="9" t="s">
        <v>1077</v>
      </c>
      <c r="E35" s="9" t="s">
        <v>15</v>
      </c>
      <c r="F35" s="11" t="s">
        <v>432</v>
      </c>
      <c r="G35" s="11" t="s">
        <v>72</v>
      </c>
      <c r="H35" s="11" t="s">
        <v>186</v>
      </c>
      <c r="I35" s="10"/>
      <c r="J35" s="21" t="str">
        <f>"255,0"</f>
        <v>255,0</v>
      </c>
      <c r="K35" s="22" t="str">
        <f>"164,6025"</f>
        <v>164,6025</v>
      </c>
      <c r="L35" s="9" t="s">
        <v>1070</v>
      </c>
    </row>
    <row r="36" spans="1:12">
      <c r="A36" s="15" t="s">
        <v>433</v>
      </c>
      <c r="B36" s="15" t="s">
        <v>269</v>
      </c>
      <c r="C36" s="15" t="s">
        <v>270</v>
      </c>
      <c r="D36" s="15" t="s">
        <v>1077</v>
      </c>
      <c r="E36" s="15" t="s">
        <v>15</v>
      </c>
      <c r="F36" s="16" t="s">
        <v>271</v>
      </c>
      <c r="G36" s="16" t="s">
        <v>272</v>
      </c>
      <c r="H36" s="16" t="s">
        <v>148</v>
      </c>
      <c r="I36" s="17"/>
      <c r="J36" s="25" t="str">
        <f>"235,0"</f>
        <v>235,0</v>
      </c>
      <c r="K36" s="26" t="str">
        <f>"156,2045"</f>
        <v>156,2045</v>
      </c>
      <c r="L36" s="15"/>
    </row>
    <row r="37" spans="1:12">
      <c r="A37" s="15" t="s">
        <v>435</v>
      </c>
      <c r="B37" s="15" t="s">
        <v>436</v>
      </c>
      <c r="C37" s="15" t="s">
        <v>437</v>
      </c>
      <c r="D37" s="15" t="s">
        <v>1077</v>
      </c>
      <c r="E37" s="15" t="s">
        <v>438</v>
      </c>
      <c r="F37" s="16" t="s">
        <v>52</v>
      </c>
      <c r="G37" s="17" t="s">
        <v>146</v>
      </c>
      <c r="H37" s="17" t="s">
        <v>146</v>
      </c>
      <c r="I37" s="17"/>
      <c r="J37" s="25" t="str">
        <f>"230,0"</f>
        <v>230,0</v>
      </c>
      <c r="K37" s="26" t="str">
        <f>"146,9240"</f>
        <v>146,9240</v>
      </c>
      <c r="L37" s="15" t="s">
        <v>324</v>
      </c>
    </row>
    <row r="38" spans="1:12">
      <c r="A38" s="15" t="s">
        <v>440</v>
      </c>
      <c r="B38" s="15" t="s">
        <v>441</v>
      </c>
      <c r="C38" s="15" t="s">
        <v>442</v>
      </c>
      <c r="D38" s="15" t="s">
        <v>1077</v>
      </c>
      <c r="E38" s="15" t="s">
        <v>15</v>
      </c>
      <c r="F38" s="17" t="s">
        <v>271</v>
      </c>
      <c r="G38" s="16" t="s">
        <v>271</v>
      </c>
      <c r="H38" s="17" t="s">
        <v>272</v>
      </c>
      <c r="I38" s="17"/>
      <c r="J38" s="25" t="str">
        <f>"200,0"</f>
        <v>200,0</v>
      </c>
      <c r="K38" s="26" t="str">
        <f>"129,4200"</f>
        <v>129,4200</v>
      </c>
      <c r="L38" s="15" t="s">
        <v>443</v>
      </c>
    </row>
    <row r="39" spans="1:12">
      <c r="A39" s="15" t="s">
        <v>445</v>
      </c>
      <c r="B39" s="15" t="s">
        <v>446</v>
      </c>
      <c r="C39" s="15" t="s">
        <v>447</v>
      </c>
      <c r="D39" s="15" t="s">
        <v>1077</v>
      </c>
      <c r="E39" s="15" t="s">
        <v>15</v>
      </c>
      <c r="F39" s="17" t="s">
        <v>448</v>
      </c>
      <c r="G39" s="16" t="s">
        <v>448</v>
      </c>
      <c r="H39" s="16" t="s">
        <v>34</v>
      </c>
      <c r="I39" s="17"/>
      <c r="J39" s="25" t="str">
        <f>"172,5"</f>
        <v>172,5</v>
      </c>
      <c r="K39" s="26" t="str">
        <f>"111,2107"</f>
        <v>111,2107</v>
      </c>
      <c r="L39" s="15" t="s">
        <v>449</v>
      </c>
    </row>
    <row r="40" spans="1:12">
      <c r="A40" s="12" t="s">
        <v>429</v>
      </c>
      <c r="B40" s="12" t="s">
        <v>450</v>
      </c>
      <c r="C40" s="12" t="s">
        <v>431</v>
      </c>
      <c r="D40" s="12" t="s">
        <v>1078</v>
      </c>
      <c r="E40" s="12" t="s">
        <v>15</v>
      </c>
      <c r="F40" s="13" t="s">
        <v>432</v>
      </c>
      <c r="G40" s="13" t="s">
        <v>72</v>
      </c>
      <c r="H40" s="13" t="s">
        <v>186</v>
      </c>
      <c r="I40" s="14"/>
      <c r="J40" s="23" t="str">
        <f>"255,0"</f>
        <v>255,0</v>
      </c>
      <c r="K40" s="24" t="str">
        <f>"169,7052"</f>
        <v>169,7052</v>
      </c>
      <c r="L40" s="12" t="s">
        <v>1070</v>
      </c>
    </row>
    <row r="42" spans="1:12" ht="16">
      <c r="A42" s="49" t="s">
        <v>55</v>
      </c>
      <c r="B42" s="49"/>
      <c r="C42" s="49"/>
      <c r="D42" s="49"/>
      <c r="E42" s="49"/>
      <c r="F42" s="49"/>
      <c r="G42" s="49"/>
      <c r="H42" s="49"/>
      <c r="I42" s="49"/>
    </row>
    <row r="43" spans="1:12">
      <c r="A43" s="9" t="s">
        <v>274</v>
      </c>
      <c r="B43" s="9" t="s">
        <v>275</v>
      </c>
      <c r="C43" s="9" t="s">
        <v>276</v>
      </c>
      <c r="D43" s="9" t="s">
        <v>1084</v>
      </c>
      <c r="E43" s="9" t="s">
        <v>15</v>
      </c>
      <c r="F43" s="11" t="s">
        <v>17</v>
      </c>
      <c r="G43" s="11" t="s">
        <v>84</v>
      </c>
      <c r="H43" s="11" t="s">
        <v>260</v>
      </c>
      <c r="I43" s="10"/>
      <c r="J43" s="21" t="str">
        <f>"137,5"</f>
        <v>137,5</v>
      </c>
      <c r="K43" s="22" t="str">
        <f>"85,8963"</f>
        <v>85,8963</v>
      </c>
      <c r="L43" s="9" t="s">
        <v>277</v>
      </c>
    </row>
    <row r="44" spans="1:12">
      <c r="A44" s="15" t="s">
        <v>452</v>
      </c>
      <c r="B44" s="15" t="s">
        <v>453</v>
      </c>
      <c r="C44" s="15" t="s">
        <v>454</v>
      </c>
      <c r="D44" s="15" t="s">
        <v>1077</v>
      </c>
      <c r="E44" s="15" t="s">
        <v>455</v>
      </c>
      <c r="F44" s="16" t="s">
        <v>72</v>
      </c>
      <c r="G44" s="16" t="s">
        <v>190</v>
      </c>
      <c r="H44" s="17"/>
      <c r="I44" s="17"/>
      <c r="J44" s="25" t="str">
        <f>"272,5"</f>
        <v>272,5</v>
      </c>
      <c r="K44" s="26" t="str">
        <f>"167,0697"</f>
        <v>167,0697</v>
      </c>
      <c r="L44" s="15"/>
    </row>
    <row r="45" spans="1:12">
      <c r="A45" s="15" t="s">
        <v>457</v>
      </c>
      <c r="B45" s="15" t="s">
        <v>458</v>
      </c>
      <c r="C45" s="15" t="s">
        <v>459</v>
      </c>
      <c r="D45" s="15" t="s">
        <v>1078</v>
      </c>
      <c r="E45" s="15" t="s">
        <v>211</v>
      </c>
      <c r="F45" s="16" t="s">
        <v>145</v>
      </c>
      <c r="G45" s="16" t="s">
        <v>86</v>
      </c>
      <c r="H45" s="16" t="s">
        <v>460</v>
      </c>
      <c r="I45" s="17"/>
      <c r="J45" s="25" t="str">
        <f>"247,5"</f>
        <v>247,5</v>
      </c>
      <c r="K45" s="26" t="str">
        <f>"158,6028"</f>
        <v>158,6028</v>
      </c>
      <c r="L45" s="15"/>
    </row>
    <row r="46" spans="1:12">
      <c r="A46" s="15" t="s">
        <v>462</v>
      </c>
      <c r="B46" s="15" t="s">
        <v>463</v>
      </c>
      <c r="C46" s="15" t="s">
        <v>464</v>
      </c>
      <c r="D46" s="15" t="s">
        <v>1078</v>
      </c>
      <c r="E46" s="15" t="s">
        <v>15</v>
      </c>
      <c r="F46" s="16" t="s">
        <v>271</v>
      </c>
      <c r="G46" s="16" t="s">
        <v>51</v>
      </c>
      <c r="H46" s="17" t="s">
        <v>53</v>
      </c>
      <c r="I46" s="17"/>
      <c r="J46" s="25" t="str">
        <f>"220,0"</f>
        <v>220,0</v>
      </c>
      <c r="K46" s="26" t="str">
        <f>"137,2430"</f>
        <v>137,2430</v>
      </c>
      <c r="L46" s="15" t="s">
        <v>1071</v>
      </c>
    </row>
    <row r="47" spans="1:12">
      <c r="A47" s="12" t="s">
        <v>466</v>
      </c>
      <c r="B47" s="12" t="s">
        <v>467</v>
      </c>
      <c r="C47" s="12" t="s">
        <v>71</v>
      </c>
      <c r="D47" s="12" t="s">
        <v>1082</v>
      </c>
      <c r="E47" s="12" t="s">
        <v>468</v>
      </c>
      <c r="F47" s="13" t="s">
        <v>111</v>
      </c>
      <c r="G47" s="14" t="s">
        <v>355</v>
      </c>
      <c r="H47" s="14" t="s">
        <v>355</v>
      </c>
      <c r="I47" s="14"/>
      <c r="J47" s="23" t="str">
        <f>"210,0"</f>
        <v>210,0</v>
      </c>
      <c r="K47" s="24" t="str">
        <f>"141,1938"</f>
        <v>141,1938</v>
      </c>
      <c r="L47" s="12" t="s">
        <v>324</v>
      </c>
    </row>
    <row r="49" spans="1:12" ht="16">
      <c r="A49" s="49" t="s">
        <v>88</v>
      </c>
      <c r="B49" s="49"/>
      <c r="C49" s="49"/>
      <c r="D49" s="49"/>
      <c r="E49" s="49"/>
      <c r="F49" s="49"/>
      <c r="G49" s="49"/>
      <c r="H49" s="49"/>
      <c r="I49" s="49"/>
    </row>
    <row r="50" spans="1:12">
      <c r="A50" s="9" t="s">
        <v>470</v>
      </c>
      <c r="B50" s="9" t="s">
        <v>471</v>
      </c>
      <c r="C50" s="9" t="s">
        <v>472</v>
      </c>
      <c r="D50" s="9" t="s">
        <v>1084</v>
      </c>
      <c r="E50" s="9" t="s">
        <v>385</v>
      </c>
      <c r="F50" s="11" t="s">
        <v>283</v>
      </c>
      <c r="G50" s="11" t="s">
        <v>355</v>
      </c>
      <c r="H50" s="10" t="s">
        <v>145</v>
      </c>
      <c r="I50" s="10"/>
      <c r="J50" s="21" t="str">
        <f>"222,5"</f>
        <v>222,5</v>
      </c>
      <c r="K50" s="22" t="str">
        <f>"132,1428"</f>
        <v>132,1428</v>
      </c>
      <c r="L50" s="9" t="s">
        <v>1072</v>
      </c>
    </row>
    <row r="51" spans="1:12">
      <c r="A51" s="15" t="s">
        <v>474</v>
      </c>
      <c r="B51" s="15" t="s">
        <v>475</v>
      </c>
      <c r="C51" s="15" t="s">
        <v>476</v>
      </c>
      <c r="D51" s="15" t="s">
        <v>1077</v>
      </c>
      <c r="E51" s="15" t="s">
        <v>341</v>
      </c>
      <c r="F51" s="16" t="s">
        <v>65</v>
      </c>
      <c r="G51" s="16" t="s">
        <v>112</v>
      </c>
      <c r="H51" s="17" t="s">
        <v>60</v>
      </c>
      <c r="I51" s="17"/>
      <c r="J51" s="25" t="str">
        <f>"280,0"</f>
        <v>280,0</v>
      </c>
      <c r="K51" s="26" t="str">
        <f>"165,2840"</f>
        <v>165,2840</v>
      </c>
      <c r="L51" s="15" t="s">
        <v>477</v>
      </c>
    </row>
    <row r="52" spans="1:12">
      <c r="A52" s="15" t="s">
        <v>479</v>
      </c>
      <c r="B52" s="15" t="s">
        <v>480</v>
      </c>
      <c r="C52" s="15" t="s">
        <v>481</v>
      </c>
      <c r="D52" s="15" t="s">
        <v>1077</v>
      </c>
      <c r="E52" s="15" t="s">
        <v>482</v>
      </c>
      <c r="F52" s="16" t="s">
        <v>64</v>
      </c>
      <c r="G52" s="17" t="s">
        <v>65</v>
      </c>
      <c r="H52" s="17"/>
      <c r="I52" s="17"/>
      <c r="J52" s="25" t="str">
        <f>"260,0"</f>
        <v>260,0</v>
      </c>
      <c r="K52" s="26" t="str">
        <f>"153,7640"</f>
        <v>153,7640</v>
      </c>
      <c r="L52" s="15"/>
    </row>
    <row r="53" spans="1:12">
      <c r="A53" s="12" t="s">
        <v>484</v>
      </c>
      <c r="B53" s="12" t="s">
        <v>485</v>
      </c>
      <c r="C53" s="12" t="s">
        <v>486</v>
      </c>
      <c r="D53" s="12" t="s">
        <v>1078</v>
      </c>
      <c r="E53" s="12" t="s">
        <v>487</v>
      </c>
      <c r="F53" s="13" t="s">
        <v>51</v>
      </c>
      <c r="G53" s="13" t="s">
        <v>53</v>
      </c>
      <c r="H53" s="13" t="s">
        <v>186</v>
      </c>
      <c r="I53" s="14"/>
      <c r="J53" s="23" t="str">
        <f>"255,0"</f>
        <v>255,0</v>
      </c>
      <c r="K53" s="24" t="str">
        <f>"152,3880"</f>
        <v>152,3880</v>
      </c>
      <c r="L53" s="12" t="s">
        <v>1073</v>
      </c>
    </row>
    <row r="55" spans="1:12" ht="16">
      <c r="A55" s="49" t="s">
        <v>98</v>
      </c>
      <c r="B55" s="49"/>
      <c r="C55" s="49"/>
      <c r="D55" s="49"/>
      <c r="E55" s="49"/>
      <c r="F55" s="49"/>
      <c r="G55" s="49"/>
      <c r="H55" s="49"/>
      <c r="I55" s="49"/>
    </row>
    <row r="56" spans="1:12">
      <c r="A56" s="6" t="s">
        <v>489</v>
      </c>
      <c r="B56" s="6" t="s">
        <v>490</v>
      </c>
      <c r="C56" s="6" t="s">
        <v>491</v>
      </c>
      <c r="D56" s="6" t="s">
        <v>1077</v>
      </c>
      <c r="E56" s="6" t="s">
        <v>15</v>
      </c>
      <c r="F56" s="7" t="s">
        <v>72</v>
      </c>
      <c r="G56" s="8" t="s">
        <v>65</v>
      </c>
      <c r="H56" s="8" t="s">
        <v>65</v>
      </c>
      <c r="I56" s="8"/>
      <c r="J56" s="19" t="str">
        <f>"250,0"</f>
        <v>250,0</v>
      </c>
      <c r="K56" s="20" t="str">
        <f>"146,3000"</f>
        <v>146,3000</v>
      </c>
      <c r="L56" s="6" t="s">
        <v>492</v>
      </c>
    </row>
    <row r="58" spans="1:12" ht="16">
      <c r="A58" s="49" t="s">
        <v>150</v>
      </c>
      <c r="B58" s="49"/>
      <c r="C58" s="49"/>
      <c r="D58" s="49"/>
      <c r="E58" s="49"/>
      <c r="F58" s="49"/>
      <c r="G58" s="49"/>
      <c r="H58" s="49"/>
      <c r="I58" s="49"/>
    </row>
    <row r="59" spans="1:12">
      <c r="A59" s="6" t="s">
        <v>494</v>
      </c>
      <c r="B59" s="6" t="s">
        <v>495</v>
      </c>
      <c r="C59" s="6" t="s">
        <v>496</v>
      </c>
      <c r="D59" s="6" t="s">
        <v>1084</v>
      </c>
      <c r="E59" s="6" t="s">
        <v>15</v>
      </c>
      <c r="F59" s="7" t="s">
        <v>53</v>
      </c>
      <c r="G59" s="7" t="s">
        <v>305</v>
      </c>
      <c r="H59" s="8" t="s">
        <v>93</v>
      </c>
      <c r="I59" s="8"/>
      <c r="J59" s="19" t="str">
        <f>"265,0"</f>
        <v>265,0</v>
      </c>
      <c r="K59" s="20" t="str">
        <f>"143,4710"</f>
        <v>143,4710</v>
      </c>
      <c r="L59" s="6" t="s">
        <v>1074</v>
      </c>
    </row>
    <row r="69" spans="1:4" ht="18">
      <c r="A69" s="27" t="s">
        <v>114</v>
      </c>
      <c r="B69" s="27"/>
    </row>
    <row r="70" spans="1:4" ht="16">
      <c r="A70" s="28" t="s">
        <v>115</v>
      </c>
      <c r="B70" s="28"/>
    </row>
    <row r="71" spans="1:4" ht="14">
      <c r="A71" s="30"/>
      <c r="B71" s="31" t="s">
        <v>497</v>
      </c>
    </row>
    <row r="72" spans="1:4" ht="14">
      <c r="A72" s="32" t="s">
        <v>117</v>
      </c>
      <c r="B72" s="32" t="s">
        <v>118</v>
      </c>
      <c r="C72" s="32" t="s">
        <v>119</v>
      </c>
      <c r="D72" s="32" t="s">
        <v>369</v>
      </c>
    </row>
    <row r="73" spans="1:4">
      <c r="A73" s="29" t="s">
        <v>402</v>
      </c>
      <c r="B73" s="4" t="s">
        <v>128</v>
      </c>
      <c r="C73" s="4" t="s">
        <v>187</v>
      </c>
      <c r="D73" s="4" t="s">
        <v>155</v>
      </c>
    </row>
    <row r="75" spans="1:4" ht="14">
      <c r="A75" s="30"/>
      <c r="B75" s="31" t="s">
        <v>116</v>
      </c>
    </row>
    <row r="76" spans="1:4" ht="14">
      <c r="A76" s="32" t="s">
        <v>117</v>
      </c>
      <c r="B76" s="32" t="s">
        <v>118</v>
      </c>
      <c r="C76" s="32" t="s">
        <v>119</v>
      </c>
      <c r="D76" s="32" t="s">
        <v>369</v>
      </c>
    </row>
    <row r="77" spans="1:4">
      <c r="A77" s="29" t="s">
        <v>402</v>
      </c>
      <c r="B77" s="4" t="s">
        <v>116</v>
      </c>
      <c r="C77" s="4" t="s">
        <v>187</v>
      </c>
      <c r="D77" s="4" t="s">
        <v>155</v>
      </c>
    </row>
    <row r="78" spans="1:4">
      <c r="A78" s="29" t="s">
        <v>381</v>
      </c>
      <c r="B78" s="4" t="s">
        <v>116</v>
      </c>
      <c r="C78" s="4" t="s">
        <v>123</v>
      </c>
      <c r="D78" s="4" t="s">
        <v>83</v>
      </c>
    </row>
    <row r="79" spans="1:4">
      <c r="A79" s="29" t="s">
        <v>417</v>
      </c>
      <c r="B79" s="4" t="s">
        <v>116</v>
      </c>
      <c r="C79" s="4" t="s">
        <v>370</v>
      </c>
      <c r="D79" s="4" t="s">
        <v>63</v>
      </c>
    </row>
    <row r="80" spans="1:4">
      <c r="A80" s="29" t="s">
        <v>377</v>
      </c>
      <c r="B80" s="4" t="s">
        <v>116</v>
      </c>
      <c r="C80" s="4" t="s">
        <v>189</v>
      </c>
      <c r="D80" s="4" t="s">
        <v>169</v>
      </c>
    </row>
    <row r="81" spans="1:4">
      <c r="A81" s="29" t="s">
        <v>387</v>
      </c>
      <c r="B81" s="4" t="s">
        <v>116</v>
      </c>
      <c r="C81" s="4" t="s">
        <v>123</v>
      </c>
      <c r="D81" s="4" t="s">
        <v>250</v>
      </c>
    </row>
    <row r="82" spans="1:4">
      <c r="A82" s="29" t="s">
        <v>392</v>
      </c>
      <c r="B82" s="4" t="s">
        <v>116</v>
      </c>
      <c r="C82" s="4" t="s">
        <v>306</v>
      </c>
      <c r="D82" s="4" t="s">
        <v>198</v>
      </c>
    </row>
    <row r="84" spans="1:4" ht="14">
      <c r="A84" s="30"/>
      <c r="B84" s="31" t="s">
        <v>138</v>
      </c>
    </row>
    <row r="85" spans="1:4" ht="14">
      <c r="A85" s="32" t="s">
        <v>117</v>
      </c>
      <c r="B85" s="32" t="s">
        <v>118</v>
      </c>
      <c r="C85" s="32" t="s">
        <v>119</v>
      </c>
      <c r="D85" s="32" t="s">
        <v>369</v>
      </c>
    </row>
    <row r="86" spans="1:4">
      <c r="A86" s="29" t="s">
        <v>397</v>
      </c>
      <c r="B86" s="4" t="s">
        <v>139</v>
      </c>
      <c r="C86" s="4" t="s">
        <v>306</v>
      </c>
      <c r="D86" s="4" t="s">
        <v>18</v>
      </c>
    </row>
    <row r="87" spans="1:4">
      <c r="A87" s="29" t="s">
        <v>373</v>
      </c>
      <c r="B87" s="4" t="s">
        <v>498</v>
      </c>
      <c r="C87" s="4" t="s">
        <v>499</v>
      </c>
      <c r="D87" s="4" t="s">
        <v>170</v>
      </c>
    </row>
    <row r="88" spans="1:4">
      <c r="A88" s="29" t="s">
        <v>413</v>
      </c>
      <c r="B88" s="4" t="s">
        <v>139</v>
      </c>
      <c r="C88" s="4" t="s">
        <v>121</v>
      </c>
      <c r="D88" s="4" t="s">
        <v>282</v>
      </c>
    </row>
    <row r="89" spans="1:4">
      <c r="A89" s="29" t="s">
        <v>409</v>
      </c>
      <c r="B89" s="4" t="s">
        <v>498</v>
      </c>
      <c r="C89" s="4" t="s">
        <v>187</v>
      </c>
      <c r="D89" s="4" t="s">
        <v>31</v>
      </c>
    </row>
    <row r="92" spans="1:4" ht="16">
      <c r="A92" s="28" t="s">
        <v>126</v>
      </c>
      <c r="B92" s="28"/>
    </row>
    <row r="93" spans="1:4" ht="14">
      <c r="A93" s="30"/>
      <c r="B93" s="31" t="s">
        <v>158</v>
      </c>
    </row>
    <row r="94" spans="1:4" ht="14">
      <c r="A94" s="32" t="s">
        <v>117</v>
      </c>
      <c r="B94" s="32" t="s">
        <v>118</v>
      </c>
      <c r="C94" s="32" t="s">
        <v>119</v>
      </c>
      <c r="D94" s="32" t="s">
        <v>369</v>
      </c>
    </row>
    <row r="95" spans="1:4">
      <c r="A95" s="29" t="s">
        <v>493</v>
      </c>
      <c r="B95" s="4" t="s">
        <v>159</v>
      </c>
      <c r="C95" s="4" t="s">
        <v>160</v>
      </c>
      <c r="D95" s="4" t="s">
        <v>305</v>
      </c>
    </row>
    <row r="96" spans="1:4">
      <c r="A96" s="29" t="s">
        <v>469</v>
      </c>
      <c r="B96" s="4" t="s">
        <v>159</v>
      </c>
      <c r="C96" s="4" t="s">
        <v>131</v>
      </c>
      <c r="D96" s="4" t="s">
        <v>355</v>
      </c>
    </row>
    <row r="97" spans="1:4">
      <c r="A97" s="29" t="s">
        <v>256</v>
      </c>
      <c r="B97" s="4" t="s">
        <v>159</v>
      </c>
      <c r="C97" s="4" t="s">
        <v>308</v>
      </c>
      <c r="D97" s="4" t="s">
        <v>81</v>
      </c>
    </row>
    <row r="98" spans="1:4">
      <c r="A98" s="29" t="s">
        <v>273</v>
      </c>
      <c r="B98" s="4" t="s">
        <v>159</v>
      </c>
      <c r="C98" s="4" t="s">
        <v>129</v>
      </c>
      <c r="D98" s="4" t="s">
        <v>260</v>
      </c>
    </row>
    <row r="100" spans="1:4" ht="14">
      <c r="A100" s="30"/>
      <c r="B100" s="31" t="s">
        <v>116</v>
      </c>
    </row>
    <row r="101" spans="1:4" ht="14">
      <c r="A101" s="32" t="s">
        <v>117</v>
      </c>
      <c r="B101" s="32" t="s">
        <v>118</v>
      </c>
      <c r="C101" s="32" t="s">
        <v>119</v>
      </c>
      <c r="D101" s="32" t="s">
        <v>369</v>
      </c>
    </row>
    <row r="102" spans="1:4">
      <c r="A102" s="29" t="s">
        <v>451</v>
      </c>
      <c r="B102" s="4" t="s">
        <v>116</v>
      </c>
      <c r="C102" s="4" t="s">
        <v>129</v>
      </c>
      <c r="D102" s="4" t="s">
        <v>190</v>
      </c>
    </row>
    <row r="103" spans="1:4">
      <c r="A103" s="29" t="s">
        <v>473</v>
      </c>
      <c r="B103" s="4" t="s">
        <v>116</v>
      </c>
      <c r="C103" s="4" t="s">
        <v>131</v>
      </c>
      <c r="D103" s="4" t="s">
        <v>112</v>
      </c>
    </row>
    <row r="104" spans="1:4">
      <c r="A104" s="29" t="s">
        <v>428</v>
      </c>
      <c r="B104" s="4" t="s">
        <v>116</v>
      </c>
      <c r="C104" s="4" t="s">
        <v>136</v>
      </c>
      <c r="D104" s="4" t="s">
        <v>186</v>
      </c>
    </row>
    <row r="105" spans="1:4">
      <c r="A105" s="29" t="s">
        <v>267</v>
      </c>
      <c r="B105" s="4" t="s">
        <v>116</v>
      </c>
      <c r="C105" s="4" t="s">
        <v>136</v>
      </c>
      <c r="D105" s="4" t="s">
        <v>148</v>
      </c>
    </row>
    <row r="106" spans="1:4">
      <c r="A106" s="29" t="s">
        <v>478</v>
      </c>
      <c r="B106" s="4" t="s">
        <v>116</v>
      </c>
      <c r="C106" s="4" t="s">
        <v>131</v>
      </c>
      <c r="D106" s="4" t="s">
        <v>64</v>
      </c>
    </row>
    <row r="107" spans="1:4">
      <c r="A107" s="29" t="s">
        <v>434</v>
      </c>
      <c r="B107" s="4" t="s">
        <v>116</v>
      </c>
      <c r="C107" s="4" t="s">
        <v>136</v>
      </c>
      <c r="D107" s="4" t="s">
        <v>52</v>
      </c>
    </row>
    <row r="108" spans="1:4">
      <c r="A108" s="29" t="s">
        <v>488</v>
      </c>
      <c r="B108" s="4" t="s">
        <v>116</v>
      </c>
      <c r="C108" s="4" t="s">
        <v>191</v>
      </c>
      <c r="D108" s="4" t="s">
        <v>72</v>
      </c>
    </row>
    <row r="109" spans="1:4">
      <c r="A109" s="29" t="s">
        <v>439</v>
      </c>
      <c r="B109" s="4" t="s">
        <v>116</v>
      </c>
      <c r="C109" s="4" t="s">
        <v>136</v>
      </c>
      <c r="D109" s="4" t="s">
        <v>271</v>
      </c>
    </row>
    <row r="110" spans="1:4">
      <c r="A110" s="29" t="s">
        <v>444</v>
      </c>
      <c r="B110" s="4" t="s">
        <v>116</v>
      </c>
      <c r="C110" s="4" t="s">
        <v>136</v>
      </c>
      <c r="D110" s="4" t="s">
        <v>34</v>
      </c>
    </row>
    <row r="112" spans="1:4" ht="14">
      <c r="A112" s="30"/>
      <c r="B112" s="31" t="s">
        <v>138</v>
      </c>
    </row>
    <row r="113" spans="1:4" ht="14">
      <c r="A113" s="32" t="s">
        <v>117</v>
      </c>
      <c r="B113" s="32" t="s">
        <v>118</v>
      </c>
      <c r="C113" s="32" t="s">
        <v>119</v>
      </c>
      <c r="D113" s="32" t="s">
        <v>369</v>
      </c>
    </row>
    <row r="114" spans="1:4">
      <c r="A114" s="29" t="s">
        <v>422</v>
      </c>
      <c r="B114" s="4" t="s">
        <v>500</v>
      </c>
      <c r="C114" s="4" t="s">
        <v>308</v>
      </c>
      <c r="D114" s="4" t="s">
        <v>155</v>
      </c>
    </row>
    <row r="115" spans="1:4">
      <c r="A115" s="29" t="s">
        <v>428</v>
      </c>
      <c r="B115" s="4" t="s">
        <v>139</v>
      </c>
      <c r="C115" s="4" t="s">
        <v>136</v>
      </c>
      <c r="D115" s="4" t="s">
        <v>186</v>
      </c>
    </row>
    <row r="116" spans="1:4">
      <c r="A116" s="29" t="s">
        <v>456</v>
      </c>
      <c r="B116" s="4" t="s">
        <v>139</v>
      </c>
      <c r="C116" s="4" t="s">
        <v>129</v>
      </c>
      <c r="D116" s="4" t="s">
        <v>460</v>
      </c>
    </row>
    <row r="117" spans="1:4">
      <c r="A117" s="29" t="s">
        <v>483</v>
      </c>
      <c r="B117" s="4" t="s">
        <v>139</v>
      </c>
      <c r="C117" s="4" t="s">
        <v>131</v>
      </c>
      <c r="D117" s="4" t="s">
        <v>186</v>
      </c>
    </row>
    <row r="118" spans="1:4">
      <c r="A118" s="29" t="s">
        <v>465</v>
      </c>
      <c r="B118" s="4" t="s">
        <v>498</v>
      </c>
      <c r="C118" s="4" t="s">
        <v>129</v>
      </c>
      <c r="D118" s="4" t="s">
        <v>111</v>
      </c>
    </row>
    <row r="119" spans="1:4">
      <c r="A119" s="29" t="s">
        <v>461</v>
      </c>
      <c r="B119" s="4" t="s">
        <v>139</v>
      </c>
      <c r="C119" s="4" t="s">
        <v>129</v>
      </c>
      <c r="D119" s="4" t="s">
        <v>51</v>
      </c>
    </row>
  </sheetData>
  <mergeCells count="23">
    <mergeCell ref="J3:J4"/>
    <mergeCell ref="K3:K4"/>
    <mergeCell ref="L3:L4"/>
    <mergeCell ref="A5:I5"/>
    <mergeCell ref="A1:L2"/>
    <mergeCell ref="A3:A4"/>
    <mergeCell ref="B3:B4"/>
    <mergeCell ref="C3:C4"/>
    <mergeCell ref="D3:D4"/>
    <mergeCell ref="E3:E4"/>
    <mergeCell ref="F3:I3"/>
    <mergeCell ref="A58:I58"/>
    <mergeCell ref="A8:I8"/>
    <mergeCell ref="A11:I11"/>
    <mergeCell ref="A15:I15"/>
    <mergeCell ref="A19:I19"/>
    <mergeCell ref="A24:I24"/>
    <mergeCell ref="A27:I27"/>
    <mergeCell ref="A30:I30"/>
    <mergeCell ref="A34:I34"/>
    <mergeCell ref="A42:I42"/>
    <mergeCell ref="A49:I49"/>
    <mergeCell ref="A55:I5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"/>
  <sheetViews>
    <sheetView workbookViewId="0">
      <selection sqref="A1:L2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11.83203125" style="4" bestFit="1" customWidth="1"/>
    <col min="5" max="5" width="30.33203125" style="4" bestFit="1" customWidth="1"/>
    <col min="6" max="8" width="5.5" style="3" customWidth="1"/>
    <col min="9" max="9" width="4.83203125" style="3" customWidth="1"/>
    <col min="10" max="10" width="11.33203125" style="18" bestFit="1" customWidth="1"/>
    <col min="11" max="11" width="8.5" style="2" bestFit="1" customWidth="1"/>
    <col min="12" max="12" width="15.83203125" style="4" bestFit="1" customWidth="1"/>
    <col min="13" max="16384" width="9.1640625" style="3"/>
  </cols>
  <sheetData>
    <row r="1" spans="1:12" s="2" customFormat="1" ht="29" customHeight="1">
      <c r="A1" s="34" t="s">
        <v>564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</row>
    <row r="2" spans="1:12" s="2" customFormat="1" ht="62" customHeight="1" thickBo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1:12" s="1" customFormat="1" ht="12.75" customHeight="1">
      <c r="A3" s="40" t="s">
        <v>0</v>
      </c>
      <c r="B3" s="42" t="s">
        <v>1075</v>
      </c>
      <c r="C3" s="42" t="s">
        <v>6</v>
      </c>
      <c r="D3" s="44" t="s">
        <v>1076</v>
      </c>
      <c r="E3" s="44" t="s">
        <v>5</v>
      </c>
      <c r="F3" s="44" t="s">
        <v>8</v>
      </c>
      <c r="G3" s="44"/>
      <c r="H3" s="44"/>
      <c r="I3" s="44"/>
      <c r="J3" s="44" t="s">
        <v>371</v>
      </c>
      <c r="K3" s="44" t="s">
        <v>3</v>
      </c>
      <c r="L3" s="45" t="s">
        <v>2</v>
      </c>
    </row>
    <row r="4" spans="1:12" s="1" customFormat="1" ht="21" customHeight="1" thickBot="1">
      <c r="A4" s="41"/>
      <c r="B4" s="43"/>
      <c r="C4" s="43"/>
      <c r="D4" s="43"/>
      <c r="E4" s="43"/>
      <c r="F4" s="33">
        <v>1</v>
      </c>
      <c r="G4" s="33">
        <v>2</v>
      </c>
      <c r="H4" s="33">
        <v>3</v>
      </c>
      <c r="I4" s="33" t="s">
        <v>4</v>
      </c>
      <c r="J4" s="43"/>
      <c r="K4" s="43"/>
      <c r="L4" s="46"/>
    </row>
    <row r="5" spans="1:12" ht="16">
      <c r="A5" s="47" t="s">
        <v>241</v>
      </c>
      <c r="B5" s="48"/>
      <c r="C5" s="48"/>
      <c r="D5" s="48"/>
      <c r="E5" s="48"/>
      <c r="F5" s="48"/>
      <c r="G5" s="48"/>
      <c r="H5" s="48"/>
      <c r="I5" s="48"/>
    </row>
    <row r="6" spans="1:12">
      <c r="A6" s="6" t="s">
        <v>565</v>
      </c>
      <c r="B6" s="6" t="s">
        <v>566</v>
      </c>
      <c r="C6" s="6" t="s">
        <v>567</v>
      </c>
      <c r="D6" s="6" t="s">
        <v>1078</v>
      </c>
      <c r="E6" s="6" t="s">
        <v>15</v>
      </c>
      <c r="F6" s="7" t="s">
        <v>20</v>
      </c>
      <c r="G6" s="7" t="s">
        <v>568</v>
      </c>
      <c r="H6" s="7" t="s">
        <v>21</v>
      </c>
      <c r="I6" s="8"/>
      <c r="J6" s="19" t="str">
        <f>"50,0"</f>
        <v>50,0</v>
      </c>
      <c r="K6" s="20" t="str">
        <f>"47,7173"</f>
        <v>47,7173</v>
      </c>
      <c r="L6" s="6" t="s">
        <v>569</v>
      </c>
    </row>
    <row r="8" spans="1:12" ht="16">
      <c r="A8" s="49" t="s">
        <v>45</v>
      </c>
      <c r="B8" s="49"/>
      <c r="C8" s="49"/>
      <c r="D8" s="49"/>
      <c r="E8" s="49"/>
      <c r="F8" s="49"/>
      <c r="G8" s="49"/>
      <c r="H8" s="49"/>
      <c r="I8" s="49"/>
    </row>
    <row r="9" spans="1:12">
      <c r="A9" s="6" t="s">
        <v>570</v>
      </c>
      <c r="B9" s="6" t="s">
        <v>571</v>
      </c>
      <c r="C9" s="6" t="s">
        <v>572</v>
      </c>
      <c r="D9" s="6" t="s">
        <v>1079</v>
      </c>
      <c r="E9" s="6" t="s">
        <v>527</v>
      </c>
      <c r="F9" s="7" t="s">
        <v>147</v>
      </c>
      <c r="G9" s="7" t="s">
        <v>36</v>
      </c>
      <c r="H9" s="7" t="s">
        <v>109</v>
      </c>
      <c r="I9" s="8"/>
      <c r="J9" s="19" t="str">
        <f>"195,0"</f>
        <v>195,0</v>
      </c>
      <c r="K9" s="20" t="str">
        <f>"125,0535"</f>
        <v>125,0535</v>
      </c>
      <c r="L9" s="6" t="s">
        <v>529</v>
      </c>
    </row>
    <row r="11" spans="1:12" ht="16">
      <c r="A11" s="49" t="s">
        <v>55</v>
      </c>
      <c r="B11" s="49"/>
      <c r="C11" s="49"/>
      <c r="D11" s="49"/>
      <c r="E11" s="49"/>
      <c r="F11" s="49"/>
      <c r="G11" s="49"/>
      <c r="H11" s="49"/>
      <c r="I11" s="49"/>
    </row>
    <row r="12" spans="1:12">
      <c r="A12" s="9" t="s">
        <v>573</v>
      </c>
      <c r="B12" s="9" t="s">
        <v>539</v>
      </c>
      <c r="C12" s="9" t="s">
        <v>540</v>
      </c>
      <c r="D12" s="9" t="s">
        <v>1077</v>
      </c>
      <c r="E12" s="9" t="s">
        <v>385</v>
      </c>
      <c r="F12" s="11" t="s">
        <v>110</v>
      </c>
      <c r="G12" s="11" t="s">
        <v>283</v>
      </c>
      <c r="H12" s="10" t="s">
        <v>51</v>
      </c>
      <c r="I12" s="10"/>
      <c r="J12" s="21" t="str">
        <f>"215,0"</f>
        <v>215,0</v>
      </c>
      <c r="K12" s="22" t="str">
        <f>"130,8920"</f>
        <v>130,8920</v>
      </c>
      <c r="L12" s="9" t="s">
        <v>541</v>
      </c>
    </row>
    <row r="13" spans="1:12">
      <c r="A13" s="15" t="s">
        <v>574</v>
      </c>
      <c r="B13" s="15" t="s">
        <v>575</v>
      </c>
      <c r="C13" s="15" t="s">
        <v>576</v>
      </c>
      <c r="D13" s="15" t="s">
        <v>1077</v>
      </c>
      <c r="E13" s="15" t="s">
        <v>15</v>
      </c>
      <c r="F13" s="17" t="s">
        <v>73</v>
      </c>
      <c r="G13" s="17" t="s">
        <v>73</v>
      </c>
      <c r="H13" s="17" t="s">
        <v>73</v>
      </c>
      <c r="I13" s="17"/>
      <c r="J13" s="25" t="str">
        <f>"0.00"</f>
        <v>0.00</v>
      </c>
      <c r="K13" s="26" t="str">
        <f>"0,0000"</f>
        <v>0,0000</v>
      </c>
      <c r="L13" s="15" t="s">
        <v>75</v>
      </c>
    </row>
    <row r="14" spans="1:12">
      <c r="A14" s="12" t="s">
        <v>573</v>
      </c>
      <c r="B14" s="12" t="s">
        <v>577</v>
      </c>
      <c r="C14" s="12" t="s">
        <v>540</v>
      </c>
      <c r="D14" s="12" t="s">
        <v>1078</v>
      </c>
      <c r="E14" s="12" t="s">
        <v>385</v>
      </c>
      <c r="F14" s="13" t="s">
        <v>110</v>
      </c>
      <c r="G14" s="13" t="s">
        <v>283</v>
      </c>
      <c r="H14" s="14" t="s">
        <v>51</v>
      </c>
      <c r="I14" s="14"/>
      <c r="J14" s="23" t="str">
        <f>"215,0"</f>
        <v>215,0</v>
      </c>
      <c r="K14" s="24" t="str">
        <f>"132,2009"</f>
        <v>132,2009</v>
      </c>
      <c r="L14" s="12" t="s">
        <v>541</v>
      </c>
    </row>
    <row r="16" spans="1:12" ht="16">
      <c r="A16" s="49" t="s">
        <v>88</v>
      </c>
      <c r="B16" s="49"/>
      <c r="C16" s="49"/>
      <c r="D16" s="49"/>
      <c r="E16" s="49"/>
      <c r="F16" s="49"/>
      <c r="G16" s="49"/>
      <c r="H16" s="49"/>
      <c r="I16" s="49"/>
    </row>
    <row r="17" spans="1:12">
      <c r="A17" s="6" t="s">
        <v>578</v>
      </c>
      <c r="B17" s="6" t="s">
        <v>579</v>
      </c>
      <c r="C17" s="6" t="s">
        <v>580</v>
      </c>
      <c r="D17" s="6" t="s">
        <v>1080</v>
      </c>
      <c r="E17" s="6" t="s">
        <v>527</v>
      </c>
      <c r="F17" s="7" t="s">
        <v>53</v>
      </c>
      <c r="G17" s="8" t="s">
        <v>72</v>
      </c>
      <c r="H17" s="8" t="s">
        <v>72</v>
      </c>
      <c r="I17" s="8"/>
      <c r="J17" s="19" t="str">
        <f>"240,0"</f>
        <v>240,0</v>
      </c>
      <c r="K17" s="20" t="str">
        <f>"166,1104"</f>
        <v>166,1104</v>
      </c>
      <c r="L17" s="6"/>
    </row>
    <row r="19" spans="1:12" ht="16">
      <c r="A19" s="49" t="s">
        <v>98</v>
      </c>
      <c r="B19" s="49"/>
      <c r="C19" s="49"/>
      <c r="D19" s="49"/>
      <c r="E19" s="49"/>
      <c r="F19" s="49"/>
      <c r="G19" s="49"/>
      <c r="H19" s="49"/>
      <c r="I19" s="49"/>
    </row>
    <row r="20" spans="1:12">
      <c r="A20" s="9" t="s">
        <v>547</v>
      </c>
      <c r="B20" s="9" t="s">
        <v>548</v>
      </c>
      <c r="C20" s="9" t="s">
        <v>549</v>
      </c>
      <c r="D20" s="9" t="s">
        <v>1077</v>
      </c>
      <c r="E20" s="9" t="s">
        <v>550</v>
      </c>
      <c r="F20" s="11" t="s">
        <v>65</v>
      </c>
      <c r="G20" s="10" t="s">
        <v>112</v>
      </c>
      <c r="H20" s="10" t="s">
        <v>533</v>
      </c>
      <c r="I20" s="10"/>
      <c r="J20" s="21" t="str">
        <f>"270,0"</f>
        <v>270,0</v>
      </c>
      <c r="K20" s="22" t="str">
        <f>"157,5720"</f>
        <v>157,5720</v>
      </c>
      <c r="L20" s="9" t="s">
        <v>553</v>
      </c>
    </row>
    <row r="21" spans="1:12">
      <c r="A21" s="12" t="s">
        <v>581</v>
      </c>
      <c r="B21" s="12" t="s">
        <v>555</v>
      </c>
      <c r="C21" s="12" t="s">
        <v>556</v>
      </c>
      <c r="D21" s="12" t="s">
        <v>1077</v>
      </c>
      <c r="E21" s="12" t="s">
        <v>557</v>
      </c>
      <c r="F21" s="14" t="s">
        <v>305</v>
      </c>
      <c r="G21" s="14" t="s">
        <v>305</v>
      </c>
      <c r="H21" s="14" t="s">
        <v>305</v>
      </c>
      <c r="I21" s="14"/>
      <c r="J21" s="23" t="str">
        <f>"0.00"</f>
        <v>0.00</v>
      </c>
      <c r="K21" s="24" t="str">
        <f>"0,0000"</f>
        <v>0,0000</v>
      </c>
      <c r="L21" s="12"/>
    </row>
    <row r="31" spans="1:12" ht="18">
      <c r="A31" s="27" t="s">
        <v>114</v>
      </c>
      <c r="B31" s="27"/>
    </row>
    <row r="32" spans="1:12" ht="16">
      <c r="A32" s="28" t="s">
        <v>115</v>
      </c>
      <c r="B32" s="28"/>
    </row>
    <row r="33" spans="1:4" ht="14">
      <c r="A33" s="30"/>
      <c r="B33" s="31" t="s">
        <v>138</v>
      </c>
    </row>
    <row r="34" spans="1:4" ht="14">
      <c r="A34" s="32" t="s">
        <v>117</v>
      </c>
      <c r="B34" s="32" t="s">
        <v>118</v>
      </c>
      <c r="C34" s="32" t="s">
        <v>119</v>
      </c>
      <c r="D34" s="32" t="s">
        <v>369</v>
      </c>
    </row>
    <row r="35" spans="1:4">
      <c r="A35" s="29" t="s">
        <v>582</v>
      </c>
      <c r="B35" s="4" t="s">
        <v>139</v>
      </c>
      <c r="C35" s="4" t="s">
        <v>308</v>
      </c>
      <c r="D35" s="4" t="s">
        <v>21</v>
      </c>
    </row>
    <row r="38" spans="1:4" ht="16">
      <c r="A38" s="28" t="s">
        <v>126</v>
      </c>
      <c r="B38" s="28"/>
    </row>
    <row r="39" spans="1:4" ht="14">
      <c r="A39" s="30"/>
      <c r="B39" s="31" t="s">
        <v>127</v>
      </c>
    </row>
    <row r="40" spans="1:4" ht="14">
      <c r="A40" s="32" t="s">
        <v>117</v>
      </c>
      <c r="B40" s="32" t="s">
        <v>118</v>
      </c>
      <c r="C40" s="32" t="s">
        <v>119</v>
      </c>
      <c r="D40" s="32" t="s">
        <v>369</v>
      </c>
    </row>
    <row r="41" spans="1:4">
      <c r="A41" s="29" t="s">
        <v>583</v>
      </c>
      <c r="B41" s="4" t="s">
        <v>128</v>
      </c>
      <c r="C41" s="4" t="s">
        <v>136</v>
      </c>
      <c r="D41" s="4" t="s">
        <v>109</v>
      </c>
    </row>
    <row r="43" spans="1:4" ht="14">
      <c r="A43" s="30"/>
      <c r="B43" s="31" t="s">
        <v>116</v>
      </c>
    </row>
    <row r="44" spans="1:4" ht="14">
      <c r="A44" s="32" t="s">
        <v>117</v>
      </c>
      <c r="B44" s="32" t="s">
        <v>118</v>
      </c>
      <c r="C44" s="32" t="s">
        <v>119</v>
      </c>
      <c r="D44" s="32" t="s">
        <v>369</v>
      </c>
    </row>
    <row r="45" spans="1:4">
      <c r="A45" s="29" t="s">
        <v>558</v>
      </c>
      <c r="B45" s="4" t="s">
        <v>116</v>
      </c>
      <c r="C45" s="4" t="s">
        <v>191</v>
      </c>
      <c r="D45" s="4" t="s">
        <v>65</v>
      </c>
    </row>
    <row r="46" spans="1:4">
      <c r="A46" s="29" t="s">
        <v>584</v>
      </c>
      <c r="B46" s="4" t="s">
        <v>116</v>
      </c>
      <c r="C46" s="4" t="s">
        <v>129</v>
      </c>
      <c r="D46" s="4" t="s">
        <v>283</v>
      </c>
    </row>
    <row r="48" spans="1:4" ht="14">
      <c r="A48" s="30"/>
      <c r="B48" s="31" t="s">
        <v>138</v>
      </c>
    </row>
    <row r="49" spans="1:4" ht="14">
      <c r="A49" s="32" t="s">
        <v>117</v>
      </c>
      <c r="B49" s="32" t="s">
        <v>118</v>
      </c>
      <c r="C49" s="32" t="s">
        <v>119</v>
      </c>
      <c r="D49" s="32" t="s">
        <v>369</v>
      </c>
    </row>
    <row r="50" spans="1:4">
      <c r="A50" s="29" t="s">
        <v>585</v>
      </c>
      <c r="B50" s="4" t="s">
        <v>309</v>
      </c>
      <c r="C50" s="4" t="s">
        <v>131</v>
      </c>
      <c r="D50" s="4" t="s">
        <v>53</v>
      </c>
    </row>
    <row r="51" spans="1:4">
      <c r="A51" s="29" t="s">
        <v>584</v>
      </c>
      <c r="B51" s="4" t="s">
        <v>139</v>
      </c>
      <c r="C51" s="4" t="s">
        <v>129</v>
      </c>
      <c r="D51" s="4" t="s">
        <v>283</v>
      </c>
    </row>
  </sheetData>
  <mergeCells count="15">
    <mergeCell ref="A19:I19"/>
    <mergeCell ref="A1:L2"/>
    <mergeCell ref="A3:A4"/>
    <mergeCell ref="B3:B4"/>
    <mergeCell ref="C3:C4"/>
    <mergeCell ref="D3:D4"/>
    <mergeCell ref="E3:E4"/>
    <mergeCell ref="F3:I3"/>
    <mergeCell ref="J3:J4"/>
    <mergeCell ref="K3:K4"/>
    <mergeCell ref="L3:L4"/>
    <mergeCell ref="A5:I5"/>
    <mergeCell ref="A8:I8"/>
    <mergeCell ref="A11:I11"/>
    <mergeCell ref="A16:I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9"/>
  <sheetViews>
    <sheetView workbookViewId="0">
      <selection activeCell="D33" sqref="D33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11.83203125" style="4" bestFit="1" customWidth="1"/>
    <col min="5" max="5" width="30.6640625" style="4" bestFit="1" customWidth="1"/>
    <col min="6" max="9" width="5.5" style="3" customWidth="1"/>
    <col min="10" max="10" width="11.33203125" style="18" bestFit="1" customWidth="1"/>
    <col min="11" max="11" width="8.5" style="2" bestFit="1" customWidth="1"/>
    <col min="12" max="12" width="17.6640625" style="4" bestFit="1" customWidth="1"/>
    <col min="13" max="16384" width="9.1640625" style="3"/>
  </cols>
  <sheetData>
    <row r="1" spans="1:12" s="2" customFormat="1" ht="29" customHeight="1">
      <c r="A1" s="34" t="s">
        <v>586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</row>
    <row r="2" spans="1:12" s="2" customFormat="1" ht="62" customHeight="1" thickBo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1:12" s="1" customFormat="1" ht="12.75" customHeight="1">
      <c r="A3" s="40" t="s">
        <v>0</v>
      </c>
      <c r="B3" s="42" t="s">
        <v>1075</v>
      </c>
      <c r="C3" s="42" t="s">
        <v>6</v>
      </c>
      <c r="D3" s="44" t="s">
        <v>1076</v>
      </c>
      <c r="E3" s="44" t="s">
        <v>5</v>
      </c>
      <c r="F3" s="44" t="s">
        <v>8</v>
      </c>
      <c r="G3" s="44"/>
      <c r="H3" s="44"/>
      <c r="I3" s="44"/>
      <c r="J3" s="44" t="s">
        <v>371</v>
      </c>
      <c r="K3" s="44" t="s">
        <v>3</v>
      </c>
      <c r="L3" s="45" t="s">
        <v>2</v>
      </c>
    </row>
    <row r="4" spans="1:12" s="1" customFormat="1" ht="21" customHeight="1" thickBot="1">
      <c r="A4" s="41"/>
      <c r="B4" s="43"/>
      <c r="C4" s="43"/>
      <c r="D4" s="43"/>
      <c r="E4" s="43"/>
      <c r="F4" s="33">
        <v>1</v>
      </c>
      <c r="G4" s="33">
        <v>2</v>
      </c>
      <c r="H4" s="33">
        <v>3</v>
      </c>
      <c r="I4" s="33" t="s">
        <v>4</v>
      </c>
      <c r="J4" s="43"/>
      <c r="K4" s="43"/>
      <c r="L4" s="46"/>
    </row>
    <row r="5" spans="1:12" ht="16">
      <c r="A5" s="47" t="s">
        <v>24</v>
      </c>
      <c r="B5" s="48"/>
      <c r="C5" s="48"/>
      <c r="D5" s="48"/>
      <c r="E5" s="48"/>
      <c r="F5" s="48"/>
      <c r="G5" s="48"/>
      <c r="H5" s="48"/>
      <c r="I5" s="48"/>
    </row>
    <row r="6" spans="1:12">
      <c r="A6" s="9" t="s">
        <v>587</v>
      </c>
      <c r="B6" s="9" t="s">
        <v>588</v>
      </c>
      <c r="C6" s="9" t="s">
        <v>589</v>
      </c>
      <c r="D6" s="9" t="s">
        <v>1077</v>
      </c>
      <c r="E6" s="9" t="s">
        <v>15</v>
      </c>
      <c r="F6" s="11" t="s">
        <v>505</v>
      </c>
      <c r="G6" s="10" t="s">
        <v>260</v>
      </c>
      <c r="H6" s="10" t="s">
        <v>260</v>
      </c>
      <c r="I6" s="10"/>
      <c r="J6" s="21" t="str">
        <f>"127,5"</f>
        <v>127,5</v>
      </c>
      <c r="K6" s="22" t="str">
        <f>"92,2463"</f>
        <v>92,2463</v>
      </c>
      <c r="L6" s="9" t="s">
        <v>590</v>
      </c>
    </row>
    <row r="7" spans="1:12">
      <c r="A7" s="12" t="s">
        <v>591</v>
      </c>
      <c r="B7" s="12" t="s">
        <v>592</v>
      </c>
      <c r="C7" s="12" t="s">
        <v>593</v>
      </c>
      <c r="D7" s="12" t="s">
        <v>1081</v>
      </c>
      <c r="E7" s="12" t="s">
        <v>15</v>
      </c>
      <c r="F7" s="13" t="s">
        <v>169</v>
      </c>
      <c r="G7" s="13" t="s">
        <v>199</v>
      </c>
      <c r="H7" s="13" t="s">
        <v>156</v>
      </c>
      <c r="I7" s="14"/>
      <c r="J7" s="23" t="str">
        <f>"95,0"</f>
        <v>95,0</v>
      </c>
      <c r="K7" s="24" t="str">
        <f>"119,4199"</f>
        <v>119,4199</v>
      </c>
      <c r="L7" s="12" t="s">
        <v>594</v>
      </c>
    </row>
    <row r="9" spans="1:12" ht="16">
      <c r="A9" s="49" t="s">
        <v>45</v>
      </c>
      <c r="B9" s="49"/>
      <c r="C9" s="49"/>
      <c r="D9" s="49"/>
      <c r="E9" s="49"/>
      <c r="F9" s="49"/>
      <c r="G9" s="49"/>
      <c r="H9" s="49"/>
      <c r="I9" s="49"/>
    </row>
    <row r="10" spans="1:12">
      <c r="A10" s="9" t="s">
        <v>595</v>
      </c>
      <c r="B10" s="9" t="s">
        <v>596</v>
      </c>
      <c r="C10" s="9" t="s">
        <v>437</v>
      </c>
      <c r="D10" s="9" t="s">
        <v>1077</v>
      </c>
      <c r="E10" s="9" t="s">
        <v>597</v>
      </c>
      <c r="F10" s="11" t="s">
        <v>30</v>
      </c>
      <c r="G10" s="10" t="s">
        <v>82</v>
      </c>
      <c r="H10" s="11" t="s">
        <v>271</v>
      </c>
      <c r="I10" s="10"/>
      <c r="J10" s="21" t="str">
        <f>"200,0"</f>
        <v>200,0</v>
      </c>
      <c r="K10" s="22" t="str">
        <f>"127,7600"</f>
        <v>127,7600</v>
      </c>
      <c r="L10" s="9" t="s">
        <v>598</v>
      </c>
    </row>
    <row r="11" spans="1:12">
      <c r="A11" s="15" t="s">
        <v>599</v>
      </c>
      <c r="B11" s="15" t="s">
        <v>600</v>
      </c>
      <c r="C11" s="15" t="s">
        <v>601</v>
      </c>
      <c r="D11" s="15" t="s">
        <v>1078</v>
      </c>
      <c r="E11" s="15" t="s">
        <v>15</v>
      </c>
      <c r="F11" s="16" t="s">
        <v>155</v>
      </c>
      <c r="G11" s="16" t="s">
        <v>602</v>
      </c>
      <c r="H11" s="16" t="s">
        <v>43</v>
      </c>
      <c r="I11" s="17"/>
      <c r="J11" s="25" t="str">
        <f>"150,0"</f>
        <v>150,0</v>
      </c>
      <c r="K11" s="26" t="str">
        <f>"98,3550"</f>
        <v>98,3550</v>
      </c>
      <c r="L11" s="15" t="s">
        <v>603</v>
      </c>
    </row>
    <row r="12" spans="1:12">
      <c r="A12" s="15" t="s">
        <v>604</v>
      </c>
      <c r="B12" s="15" t="s">
        <v>605</v>
      </c>
      <c r="C12" s="15" t="s">
        <v>606</v>
      </c>
      <c r="D12" s="15" t="s">
        <v>1078</v>
      </c>
      <c r="E12" s="15" t="s">
        <v>597</v>
      </c>
      <c r="F12" s="16" t="s">
        <v>85</v>
      </c>
      <c r="G12" s="16" t="s">
        <v>22</v>
      </c>
      <c r="H12" s="17" t="s">
        <v>155</v>
      </c>
      <c r="I12" s="17"/>
      <c r="J12" s="25" t="str">
        <f>"140,0"</f>
        <v>140,0</v>
      </c>
      <c r="K12" s="26" t="str">
        <f>"89,8380"</f>
        <v>89,8380</v>
      </c>
      <c r="L12" s="15" t="s">
        <v>607</v>
      </c>
    </row>
    <row r="13" spans="1:12">
      <c r="A13" s="15" t="s">
        <v>608</v>
      </c>
      <c r="B13" s="15" t="s">
        <v>287</v>
      </c>
      <c r="C13" s="15" t="s">
        <v>609</v>
      </c>
      <c r="D13" s="15" t="s">
        <v>1078</v>
      </c>
      <c r="E13" s="15" t="s">
        <v>15</v>
      </c>
      <c r="F13" s="17" t="s">
        <v>16</v>
      </c>
      <c r="G13" s="17"/>
      <c r="H13" s="17"/>
      <c r="I13" s="17"/>
      <c r="J13" s="25" t="str">
        <f>"0.00"</f>
        <v>0.00</v>
      </c>
      <c r="K13" s="26" t="str">
        <f>"0,0000"</f>
        <v>0,0000</v>
      </c>
      <c r="L13" s="15"/>
    </row>
    <row r="14" spans="1:12">
      <c r="A14" s="12" t="s">
        <v>610</v>
      </c>
      <c r="B14" s="12" t="s">
        <v>611</v>
      </c>
      <c r="C14" s="12" t="s">
        <v>612</v>
      </c>
      <c r="D14" s="12" t="s">
        <v>1081</v>
      </c>
      <c r="E14" s="12" t="s">
        <v>15</v>
      </c>
      <c r="F14" s="13" t="s">
        <v>83</v>
      </c>
      <c r="G14" s="13" t="s">
        <v>85</v>
      </c>
      <c r="H14" s="14" t="s">
        <v>155</v>
      </c>
      <c r="I14" s="14"/>
      <c r="J14" s="23" t="str">
        <f>"135,0"</f>
        <v>135,0</v>
      </c>
      <c r="K14" s="24" t="str">
        <f>"149,6180"</f>
        <v>149,6180</v>
      </c>
      <c r="L14" s="12" t="s">
        <v>594</v>
      </c>
    </row>
    <row r="16" spans="1:12" ht="16">
      <c r="A16" s="49" t="s">
        <v>55</v>
      </c>
      <c r="B16" s="49"/>
      <c r="C16" s="49"/>
      <c r="D16" s="49"/>
      <c r="E16" s="49"/>
      <c r="F16" s="49"/>
      <c r="G16" s="49"/>
      <c r="H16" s="49"/>
      <c r="I16" s="49"/>
    </row>
    <row r="17" spans="1:12">
      <c r="A17" s="9" t="s">
        <v>613</v>
      </c>
      <c r="B17" s="9" t="s">
        <v>614</v>
      </c>
      <c r="C17" s="9" t="s">
        <v>615</v>
      </c>
      <c r="D17" s="9" t="s">
        <v>1079</v>
      </c>
      <c r="E17" s="9" t="s">
        <v>15</v>
      </c>
      <c r="F17" s="11" t="s">
        <v>81</v>
      </c>
      <c r="G17" s="11" t="s">
        <v>35</v>
      </c>
      <c r="H17" s="11" t="s">
        <v>82</v>
      </c>
      <c r="I17" s="10"/>
      <c r="J17" s="21" t="str">
        <f>"185,0"</f>
        <v>185,0</v>
      </c>
      <c r="K17" s="22" t="str">
        <f>"113,8120"</f>
        <v>113,8120</v>
      </c>
      <c r="L17" s="9" t="s">
        <v>616</v>
      </c>
    </row>
    <row r="18" spans="1:12">
      <c r="A18" s="15" t="s">
        <v>617</v>
      </c>
      <c r="B18" s="15" t="s">
        <v>618</v>
      </c>
      <c r="C18" s="15" t="s">
        <v>619</v>
      </c>
      <c r="D18" s="15" t="s">
        <v>1077</v>
      </c>
      <c r="E18" s="15" t="s">
        <v>15</v>
      </c>
      <c r="F18" s="16" t="s">
        <v>62</v>
      </c>
      <c r="G18" s="16" t="s">
        <v>73</v>
      </c>
      <c r="H18" s="17" t="s">
        <v>30</v>
      </c>
      <c r="I18" s="17"/>
      <c r="J18" s="25" t="str">
        <f>"162,5"</f>
        <v>162,5</v>
      </c>
      <c r="K18" s="26" t="str">
        <f>"100,0187"</f>
        <v>100,0187</v>
      </c>
      <c r="L18" s="15" t="s">
        <v>620</v>
      </c>
    </row>
    <row r="19" spans="1:12">
      <c r="A19" s="15" t="s">
        <v>621</v>
      </c>
      <c r="B19" s="15" t="s">
        <v>622</v>
      </c>
      <c r="C19" s="15" t="s">
        <v>353</v>
      </c>
      <c r="D19" s="15" t="s">
        <v>1078</v>
      </c>
      <c r="E19" s="15" t="s">
        <v>623</v>
      </c>
      <c r="F19" s="16" t="s">
        <v>30</v>
      </c>
      <c r="G19" s="17" t="s">
        <v>35</v>
      </c>
      <c r="H19" s="17" t="s">
        <v>35</v>
      </c>
      <c r="I19" s="17"/>
      <c r="J19" s="25" t="str">
        <f>"170,0"</f>
        <v>170,0</v>
      </c>
      <c r="K19" s="26" t="str">
        <f>"107,2302"</f>
        <v>107,2302</v>
      </c>
      <c r="L19" s="15"/>
    </row>
    <row r="20" spans="1:12">
      <c r="A20" s="12" t="s">
        <v>624</v>
      </c>
      <c r="B20" s="12" t="s">
        <v>625</v>
      </c>
      <c r="C20" s="12" t="s">
        <v>71</v>
      </c>
      <c r="D20" s="12" t="s">
        <v>1082</v>
      </c>
      <c r="E20" s="12" t="s">
        <v>15</v>
      </c>
      <c r="F20" s="13" t="s">
        <v>62</v>
      </c>
      <c r="G20" s="13" t="s">
        <v>63</v>
      </c>
      <c r="H20" s="14" t="s">
        <v>30</v>
      </c>
      <c r="I20" s="14"/>
      <c r="J20" s="23" t="str">
        <f>"165,0"</f>
        <v>165,0</v>
      </c>
      <c r="K20" s="24" t="str">
        <f>"110,9380"</f>
        <v>110,9380</v>
      </c>
      <c r="L20" s="12" t="s">
        <v>607</v>
      </c>
    </row>
    <row r="22" spans="1:12" ht="16">
      <c r="A22" s="49" t="s">
        <v>88</v>
      </c>
      <c r="B22" s="49"/>
      <c r="C22" s="49"/>
      <c r="D22" s="49"/>
      <c r="E22" s="49"/>
      <c r="F22" s="49"/>
      <c r="G22" s="49"/>
      <c r="H22" s="49"/>
      <c r="I22" s="49"/>
    </row>
    <row r="23" spans="1:12">
      <c r="A23" s="9" t="s">
        <v>626</v>
      </c>
      <c r="B23" s="9" t="s">
        <v>627</v>
      </c>
      <c r="C23" s="9" t="s">
        <v>628</v>
      </c>
      <c r="D23" s="9" t="s">
        <v>1077</v>
      </c>
      <c r="E23" s="9" t="s">
        <v>629</v>
      </c>
      <c r="F23" s="11" t="s">
        <v>52</v>
      </c>
      <c r="G23" s="11" t="s">
        <v>53</v>
      </c>
      <c r="H23" s="11" t="s">
        <v>72</v>
      </c>
      <c r="I23" s="10" t="s">
        <v>630</v>
      </c>
      <c r="J23" s="21" t="str">
        <f>"250,0"</f>
        <v>250,0</v>
      </c>
      <c r="K23" s="22" t="str">
        <f>"147,9000"</f>
        <v>147,9000</v>
      </c>
      <c r="L23" s="9" t="s">
        <v>75</v>
      </c>
    </row>
    <row r="24" spans="1:12">
      <c r="A24" s="15" t="s">
        <v>631</v>
      </c>
      <c r="B24" s="15" t="s">
        <v>632</v>
      </c>
      <c r="C24" s="15" t="s">
        <v>92</v>
      </c>
      <c r="D24" s="15" t="s">
        <v>1078</v>
      </c>
      <c r="E24" s="15" t="s">
        <v>15</v>
      </c>
      <c r="F24" s="16" t="s">
        <v>35</v>
      </c>
      <c r="G24" s="16" t="s">
        <v>36</v>
      </c>
      <c r="H24" s="17" t="s">
        <v>271</v>
      </c>
      <c r="I24" s="17"/>
      <c r="J24" s="25" t="str">
        <f>"190,0"</f>
        <v>190,0</v>
      </c>
      <c r="K24" s="26" t="str">
        <f>"112,9740"</f>
        <v>112,9740</v>
      </c>
      <c r="L24" s="15"/>
    </row>
    <row r="25" spans="1:12">
      <c r="A25" s="15" t="s">
        <v>633</v>
      </c>
      <c r="B25" s="15" t="s">
        <v>634</v>
      </c>
      <c r="C25" s="15" t="s">
        <v>635</v>
      </c>
      <c r="D25" s="15" t="s">
        <v>1082</v>
      </c>
      <c r="E25" s="15" t="s">
        <v>15</v>
      </c>
      <c r="F25" s="16" t="s">
        <v>43</v>
      </c>
      <c r="G25" s="16" t="s">
        <v>62</v>
      </c>
      <c r="H25" s="16" t="s">
        <v>29</v>
      </c>
      <c r="I25" s="17"/>
      <c r="J25" s="25" t="str">
        <f>"160,0"</f>
        <v>160,0</v>
      </c>
      <c r="K25" s="26" t="str">
        <f>"100,3516"</f>
        <v>100,3516</v>
      </c>
      <c r="L25" s="15"/>
    </row>
    <row r="26" spans="1:12">
      <c r="A26" s="12" t="s">
        <v>636</v>
      </c>
      <c r="B26" s="12" t="s">
        <v>637</v>
      </c>
      <c r="C26" s="12" t="s">
        <v>638</v>
      </c>
      <c r="D26" s="12" t="s">
        <v>1080</v>
      </c>
      <c r="E26" s="12" t="s">
        <v>639</v>
      </c>
      <c r="F26" s="13" t="s">
        <v>147</v>
      </c>
      <c r="G26" s="13" t="s">
        <v>96</v>
      </c>
      <c r="H26" s="13" t="s">
        <v>640</v>
      </c>
      <c r="I26" s="14"/>
      <c r="J26" s="23" t="str">
        <f>"202,5"</f>
        <v>202,5</v>
      </c>
      <c r="K26" s="24" t="str">
        <f>"135,5330"</f>
        <v>135,5330</v>
      </c>
      <c r="L26" s="12" t="s">
        <v>1058</v>
      </c>
    </row>
    <row r="28" spans="1:12" ht="16">
      <c r="A28" s="49" t="s">
        <v>98</v>
      </c>
      <c r="B28" s="49"/>
      <c r="C28" s="49"/>
      <c r="D28" s="49"/>
      <c r="E28" s="49"/>
      <c r="F28" s="49"/>
      <c r="G28" s="49"/>
      <c r="H28" s="49"/>
      <c r="I28" s="49"/>
    </row>
    <row r="29" spans="1:12">
      <c r="A29" s="9" t="s">
        <v>641</v>
      </c>
      <c r="B29" s="9" t="s">
        <v>642</v>
      </c>
      <c r="C29" s="9" t="s">
        <v>643</v>
      </c>
      <c r="D29" s="9" t="s">
        <v>1077</v>
      </c>
      <c r="E29" s="9" t="s">
        <v>354</v>
      </c>
      <c r="F29" s="11" t="s">
        <v>51</v>
      </c>
      <c r="G29" s="11" t="s">
        <v>52</v>
      </c>
      <c r="H29" s="11" t="s">
        <v>86</v>
      </c>
      <c r="I29" s="10"/>
      <c r="J29" s="21" t="str">
        <f>"237,5"</f>
        <v>237,5</v>
      </c>
      <c r="K29" s="22" t="str">
        <f>"138,2013"</f>
        <v>138,2013</v>
      </c>
      <c r="L29" s="9"/>
    </row>
    <row r="30" spans="1:12">
      <c r="A30" s="15" t="s">
        <v>644</v>
      </c>
      <c r="B30" s="15" t="s">
        <v>645</v>
      </c>
      <c r="C30" s="15" t="s">
        <v>646</v>
      </c>
      <c r="D30" s="15" t="s">
        <v>1077</v>
      </c>
      <c r="E30" s="15" t="s">
        <v>336</v>
      </c>
      <c r="F30" s="17" t="s">
        <v>647</v>
      </c>
      <c r="G30" s="16" t="s">
        <v>355</v>
      </c>
      <c r="H30" s="17" t="s">
        <v>272</v>
      </c>
      <c r="I30" s="17"/>
      <c r="J30" s="25" t="str">
        <f>"222,5"</f>
        <v>222,5</v>
      </c>
      <c r="K30" s="26" t="str">
        <f>"129,1167"</f>
        <v>129,1167</v>
      </c>
      <c r="L30" s="15" t="s">
        <v>648</v>
      </c>
    </row>
    <row r="31" spans="1:12">
      <c r="A31" s="15" t="s">
        <v>649</v>
      </c>
      <c r="B31" s="15" t="s">
        <v>650</v>
      </c>
      <c r="C31" s="15" t="s">
        <v>651</v>
      </c>
      <c r="D31" s="15" t="s">
        <v>1082</v>
      </c>
      <c r="E31" s="15" t="s">
        <v>42</v>
      </c>
      <c r="F31" s="17" t="s">
        <v>155</v>
      </c>
      <c r="G31" s="16" t="s">
        <v>155</v>
      </c>
      <c r="H31" s="16" t="s">
        <v>73</v>
      </c>
      <c r="I31" s="17"/>
      <c r="J31" s="25" t="str">
        <f>"162,5"</f>
        <v>162,5</v>
      </c>
      <c r="K31" s="26" t="str">
        <f>"102,0375"</f>
        <v>102,0375</v>
      </c>
      <c r="L31" s="15" t="s">
        <v>255</v>
      </c>
    </row>
    <row r="32" spans="1:12">
      <c r="A32" s="12" t="s">
        <v>652</v>
      </c>
      <c r="B32" s="12" t="s">
        <v>653</v>
      </c>
      <c r="C32" s="12" t="s">
        <v>654</v>
      </c>
      <c r="D32" s="12" t="s">
        <v>1083</v>
      </c>
      <c r="E32" s="12" t="s">
        <v>15</v>
      </c>
      <c r="F32" s="13" t="s">
        <v>63</v>
      </c>
      <c r="G32" s="13" t="s">
        <v>34</v>
      </c>
      <c r="H32" s="13" t="s">
        <v>81</v>
      </c>
      <c r="I32" s="14"/>
      <c r="J32" s="23" t="str">
        <f>"175,0"</f>
        <v>175,0</v>
      </c>
      <c r="K32" s="24" t="str">
        <f>"140,0000"</f>
        <v>140,0000</v>
      </c>
      <c r="L32" s="12" t="s">
        <v>655</v>
      </c>
    </row>
    <row r="42" spans="1:4" ht="18">
      <c r="A42" s="27" t="s">
        <v>114</v>
      </c>
      <c r="B42" s="27"/>
    </row>
    <row r="43" spans="1:4" ht="16">
      <c r="A43" s="28" t="s">
        <v>126</v>
      </c>
      <c r="B43" s="28"/>
    </row>
    <row r="44" spans="1:4" ht="14">
      <c r="A44" s="30"/>
      <c r="B44" s="31" t="s">
        <v>127</v>
      </c>
    </row>
    <row r="45" spans="1:4" ht="14">
      <c r="A45" s="32" t="s">
        <v>117</v>
      </c>
      <c r="B45" s="32" t="s">
        <v>118</v>
      </c>
      <c r="C45" s="32" t="s">
        <v>119</v>
      </c>
      <c r="D45" s="32" t="s">
        <v>369</v>
      </c>
    </row>
    <row r="46" spans="1:4">
      <c r="A46" s="29" t="s">
        <v>656</v>
      </c>
      <c r="B46" s="4" t="s">
        <v>128</v>
      </c>
      <c r="C46" s="4" t="s">
        <v>129</v>
      </c>
      <c r="D46" s="4" t="s">
        <v>82</v>
      </c>
    </row>
    <row r="48" spans="1:4" ht="14">
      <c r="A48" s="30"/>
      <c r="B48" s="31" t="s">
        <v>116</v>
      </c>
    </row>
    <row r="49" spans="1:4" ht="14">
      <c r="A49" s="32" t="s">
        <v>117</v>
      </c>
      <c r="B49" s="32" t="s">
        <v>118</v>
      </c>
      <c r="C49" s="32" t="s">
        <v>119</v>
      </c>
      <c r="D49" s="32" t="s">
        <v>369</v>
      </c>
    </row>
    <row r="50" spans="1:4">
      <c r="A50" s="29" t="s">
        <v>657</v>
      </c>
      <c r="B50" s="4" t="s">
        <v>116</v>
      </c>
      <c r="C50" s="4" t="s">
        <v>131</v>
      </c>
      <c r="D50" s="4" t="s">
        <v>72</v>
      </c>
    </row>
    <row r="51" spans="1:4">
      <c r="A51" s="29" t="s">
        <v>658</v>
      </c>
      <c r="B51" s="4" t="s">
        <v>116</v>
      </c>
      <c r="C51" s="4" t="s">
        <v>191</v>
      </c>
      <c r="D51" s="4" t="s">
        <v>86</v>
      </c>
    </row>
    <row r="52" spans="1:4">
      <c r="A52" s="29" t="s">
        <v>659</v>
      </c>
      <c r="B52" s="4" t="s">
        <v>116</v>
      </c>
      <c r="C52" s="4" t="s">
        <v>191</v>
      </c>
      <c r="D52" s="4" t="s">
        <v>355</v>
      </c>
    </row>
    <row r="53" spans="1:4">
      <c r="A53" s="29" t="s">
        <v>660</v>
      </c>
      <c r="B53" s="4" t="s">
        <v>116</v>
      </c>
      <c r="C53" s="4" t="s">
        <v>136</v>
      </c>
      <c r="D53" s="4" t="s">
        <v>271</v>
      </c>
    </row>
    <row r="54" spans="1:4">
      <c r="A54" s="29" t="s">
        <v>661</v>
      </c>
      <c r="B54" s="4" t="s">
        <v>116</v>
      </c>
      <c r="C54" s="4" t="s">
        <v>129</v>
      </c>
      <c r="D54" s="4" t="s">
        <v>73</v>
      </c>
    </row>
    <row r="55" spans="1:4">
      <c r="A55" s="29" t="s">
        <v>662</v>
      </c>
      <c r="B55" s="4" t="s">
        <v>116</v>
      </c>
      <c r="C55" s="4" t="s">
        <v>121</v>
      </c>
      <c r="D55" s="4" t="s">
        <v>505</v>
      </c>
    </row>
    <row r="57" spans="1:4" ht="14">
      <c r="A57" s="30"/>
      <c r="B57" s="31" t="s">
        <v>138</v>
      </c>
    </row>
    <row r="58" spans="1:4" ht="14">
      <c r="A58" s="32" t="s">
        <v>117</v>
      </c>
      <c r="B58" s="32" t="s">
        <v>118</v>
      </c>
      <c r="C58" s="32" t="s">
        <v>119</v>
      </c>
      <c r="D58" s="32" t="s">
        <v>369</v>
      </c>
    </row>
    <row r="59" spans="1:4">
      <c r="A59" s="29" t="s">
        <v>663</v>
      </c>
      <c r="B59" s="4" t="s">
        <v>664</v>
      </c>
      <c r="C59" s="4" t="s">
        <v>136</v>
      </c>
      <c r="D59" s="4" t="s">
        <v>85</v>
      </c>
    </row>
    <row r="60" spans="1:4">
      <c r="A60" s="29" t="s">
        <v>665</v>
      </c>
      <c r="B60" s="4" t="s">
        <v>666</v>
      </c>
      <c r="C60" s="4" t="s">
        <v>191</v>
      </c>
      <c r="D60" s="4" t="s">
        <v>81</v>
      </c>
    </row>
    <row r="61" spans="1:4">
      <c r="A61" s="29" t="s">
        <v>667</v>
      </c>
      <c r="B61" s="4" t="s">
        <v>309</v>
      </c>
      <c r="C61" s="4" t="s">
        <v>131</v>
      </c>
      <c r="D61" s="4" t="s">
        <v>640</v>
      </c>
    </row>
    <row r="62" spans="1:4">
      <c r="A62" s="29" t="s">
        <v>668</v>
      </c>
      <c r="B62" s="4" t="s">
        <v>664</v>
      </c>
      <c r="C62" s="4" t="s">
        <v>121</v>
      </c>
      <c r="D62" s="4" t="s">
        <v>156</v>
      </c>
    </row>
    <row r="63" spans="1:4">
      <c r="A63" s="29" t="s">
        <v>669</v>
      </c>
      <c r="B63" s="4" t="s">
        <v>139</v>
      </c>
      <c r="C63" s="4" t="s">
        <v>131</v>
      </c>
      <c r="D63" s="4" t="s">
        <v>36</v>
      </c>
    </row>
    <row r="64" spans="1:4">
      <c r="A64" s="29" t="s">
        <v>670</v>
      </c>
      <c r="B64" s="4" t="s">
        <v>498</v>
      </c>
      <c r="C64" s="4" t="s">
        <v>129</v>
      </c>
      <c r="D64" s="4" t="s">
        <v>63</v>
      </c>
    </row>
    <row r="65" spans="1:4">
      <c r="A65" s="29" t="s">
        <v>671</v>
      </c>
      <c r="B65" s="4" t="s">
        <v>139</v>
      </c>
      <c r="C65" s="4" t="s">
        <v>129</v>
      </c>
      <c r="D65" s="4" t="s">
        <v>30</v>
      </c>
    </row>
    <row r="66" spans="1:4">
      <c r="A66" s="29" t="s">
        <v>672</v>
      </c>
      <c r="B66" s="4" t="s">
        <v>498</v>
      </c>
      <c r="C66" s="4" t="s">
        <v>191</v>
      </c>
      <c r="D66" s="4" t="s">
        <v>73</v>
      </c>
    </row>
    <row r="67" spans="1:4">
      <c r="A67" s="29" t="s">
        <v>673</v>
      </c>
      <c r="B67" s="4" t="s">
        <v>498</v>
      </c>
      <c r="C67" s="4" t="s">
        <v>131</v>
      </c>
      <c r="D67" s="4" t="s">
        <v>29</v>
      </c>
    </row>
    <row r="68" spans="1:4">
      <c r="A68" s="29" t="s">
        <v>674</v>
      </c>
      <c r="B68" s="4" t="s">
        <v>139</v>
      </c>
      <c r="C68" s="4" t="s">
        <v>136</v>
      </c>
      <c r="D68" s="4" t="s">
        <v>43</v>
      </c>
    </row>
    <row r="69" spans="1:4">
      <c r="A69" s="29" t="s">
        <v>675</v>
      </c>
      <c r="B69" s="4" t="s">
        <v>139</v>
      </c>
      <c r="C69" s="4" t="s">
        <v>136</v>
      </c>
      <c r="D69" s="4" t="s">
        <v>22</v>
      </c>
    </row>
  </sheetData>
  <mergeCells count="15">
    <mergeCell ref="A28:I28"/>
    <mergeCell ref="A1:L2"/>
    <mergeCell ref="A3:A4"/>
    <mergeCell ref="B3:B4"/>
    <mergeCell ref="C3:C4"/>
    <mergeCell ref="D3:D4"/>
    <mergeCell ref="E3:E4"/>
    <mergeCell ref="F3:I3"/>
    <mergeCell ref="J3:J4"/>
    <mergeCell ref="K3:K4"/>
    <mergeCell ref="L3:L4"/>
    <mergeCell ref="A5:I5"/>
    <mergeCell ref="A9:I9"/>
    <mergeCell ref="A16:I16"/>
    <mergeCell ref="A22:I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2"/>
  <sheetViews>
    <sheetView workbookViewId="0">
      <selection sqref="A1:L2"/>
    </sheetView>
  </sheetViews>
  <sheetFormatPr baseColWidth="10" defaultColWidth="9.1640625" defaultRowHeight="13"/>
  <cols>
    <col min="1" max="1" width="26" style="4" bestFit="1" customWidth="1"/>
    <col min="2" max="2" width="28.5" style="4" bestFit="1" customWidth="1"/>
    <col min="3" max="3" width="15.5" style="4" bestFit="1" customWidth="1"/>
    <col min="4" max="4" width="11.83203125" style="4" bestFit="1" customWidth="1"/>
    <col min="5" max="5" width="29.1640625" style="4" bestFit="1" customWidth="1"/>
    <col min="6" max="8" width="5.5" style="3" customWidth="1"/>
    <col min="9" max="9" width="4.83203125" style="3" customWidth="1"/>
    <col min="10" max="10" width="7.83203125" style="18" bestFit="1" customWidth="1"/>
    <col min="11" max="11" width="8.5" style="2" bestFit="1" customWidth="1"/>
    <col min="12" max="12" width="14.5" style="4" bestFit="1" customWidth="1"/>
    <col min="13" max="16384" width="9.1640625" style="3"/>
  </cols>
  <sheetData>
    <row r="1" spans="1:12" s="2" customFormat="1" ht="29" customHeight="1">
      <c r="A1" s="34" t="s">
        <v>677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</row>
    <row r="2" spans="1:12" s="2" customFormat="1" ht="62" customHeight="1" thickBo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1:12" s="1" customFormat="1" ht="12.75" customHeight="1">
      <c r="A3" s="40" t="s">
        <v>0</v>
      </c>
      <c r="B3" s="42" t="s">
        <v>1075</v>
      </c>
      <c r="C3" s="42" t="s">
        <v>6</v>
      </c>
      <c r="D3" s="44" t="s">
        <v>1076</v>
      </c>
      <c r="E3" s="44" t="s">
        <v>5</v>
      </c>
      <c r="F3" s="44" t="s">
        <v>8</v>
      </c>
      <c r="G3" s="44"/>
      <c r="H3" s="44"/>
      <c r="I3" s="44"/>
      <c r="J3" s="44" t="s">
        <v>371</v>
      </c>
      <c r="K3" s="44" t="s">
        <v>3</v>
      </c>
      <c r="L3" s="45" t="s">
        <v>2</v>
      </c>
    </row>
    <row r="4" spans="1:12" s="1" customFormat="1" ht="21" customHeight="1" thickBot="1">
      <c r="A4" s="41"/>
      <c r="B4" s="43"/>
      <c r="C4" s="43"/>
      <c r="D4" s="43"/>
      <c r="E4" s="43"/>
      <c r="F4" s="33">
        <v>1</v>
      </c>
      <c r="G4" s="33">
        <v>2</v>
      </c>
      <c r="H4" s="33">
        <v>3</v>
      </c>
      <c r="I4" s="33" t="s">
        <v>4</v>
      </c>
      <c r="J4" s="43"/>
      <c r="K4" s="43"/>
      <c r="L4" s="46"/>
    </row>
    <row r="5" spans="1:12" ht="16">
      <c r="A5" s="47" t="s">
        <v>241</v>
      </c>
      <c r="B5" s="48"/>
      <c r="C5" s="48"/>
      <c r="D5" s="48"/>
      <c r="E5" s="48"/>
      <c r="F5" s="48"/>
      <c r="G5" s="48"/>
      <c r="H5" s="48"/>
      <c r="I5" s="48"/>
    </row>
    <row r="6" spans="1:12">
      <c r="A6" s="6" t="s">
        <v>678</v>
      </c>
      <c r="B6" s="6" t="s">
        <v>679</v>
      </c>
      <c r="C6" s="6" t="s">
        <v>680</v>
      </c>
      <c r="D6" s="6" t="s">
        <v>1079</v>
      </c>
      <c r="E6" s="6" t="s">
        <v>168</v>
      </c>
      <c r="F6" s="7" t="s">
        <v>85</v>
      </c>
      <c r="G6" s="8" t="s">
        <v>282</v>
      </c>
      <c r="H6" s="8" t="s">
        <v>602</v>
      </c>
      <c r="I6" s="8"/>
      <c r="J6" s="19" t="str">
        <f>"135,0"</f>
        <v>135,0</v>
      </c>
      <c r="K6" s="20" t="str">
        <f>"91,9485"</f>
        <v>91,9485</v>
      </c>
      <c r="L6" s="6" t="s">
        <v>1059</v>
      </c>
    </row>
    <row r="8" spans="1:12" ht="16">
      <c r="A8" s="49" t="s">
        <v>45</v>
      </c>
      <c r="B8" s="49"/>
      <c r="C8" s="49"/>
      <c r="D8" s="49"/>
      <c r="E8" s="49"/>
      <c r="F8" s="49"/>
      <c r="G8" s="49"/>
      <c r="H8" s="49"/>
      <c r="I8" s="49"/>
    </row>
    <row r="9" spans="1:12">
      <c r="A9" s="6" t="s">
        <v>681</v>
      </c>
      <c r="B9" s="6" t="s">
        <v>682</v>
      </c>
      <c r="C9" s="6" t="s">
        <v>683</v>
      </c>
      <c r="D9" s="6" t="s">
        <v>1077</v>
      </c>
      <c r="E9" s="6" t="s">
        <v>15</v>
      </c>
      <c r="F9" s="8" t="s">
        <v>684</v>
      </c>
      <c r="G9" s="8" t="s">
        <v>684</v>
      </c>
      <c r="H9" s="8" t="s">
        <v>684</v>
      </c>
      <c r="I9" s="8"/>
      <c r="J9" s="19" t="str">
        <f>"0.00"</f>
        <v>0.00</v>
      </c>
      <c r="K9" s="20" t="str">
        <f>"0,0000"</f>
        <v>0,0000</v>
      </c>
      <c r="L9" s="6"/>
    </row>
    <row r="11" spans="1:12" ht="16">
      <c r="A11" s="49" t="s">
        <v>55</v>
      </c>
      <c r="B11" s="49"/>
      <c r="C11" s="49"/>
      <c r="D11" s="49"/>
      <c r="E11" s="49"/>
      <c r="F11" s="49"/>
      <c r="G11" s="49"/>
      <c r="H11" s="49"/>
      <c r="I11" s="49"/>
    </row>
    <row r="12" spans="1:12">
      <c r="A12" s="9" t="s">
        <v>685</v>
      </c>
      <c r="B12" s="9" t="s">
        <v>535</v>
      </c>
      <c r="C12" s="9" t="s">
        <v>536</v>
      </c>
      <c r="D12" s="9" t="s">
        <v>1077</v>
      </c>
      <c r="E12" s="9" t="s">
        <v>537</v>
      </c>
      <c r="F12" s="10" t="s">
        <v>53</v>
      </c>
      <c r="G12" s="11" t="s">
        <v>53</v>
      </c>
      <c r="H12" s="10" t="s">
        <v>686</v>
      </c>
      <c r="I12" s="10"/>
      <c r="J12" s="21" t="str">
        <f>"240,0"</f>
        <v>240,0</v>
      </c>
      <c r="K12" s="22" t="str">
        <f>"147,2640"</f>
        <v>147,2640</v>
      </c>
      <c r="L12" s="9" t="s">
        <v>538</v>
      </c>
    </row>
    <row r="13" spans="1:12">
      <c r="A13" s="12" t="s">
        <v>687</v>
      </c>
      <c r="B13" s="12" t="s">
        <v>688</v>
      </c>
      <c r="C13" s="12" t="s">
        <v>689</v>
      </c>
      <c r="D13" s="12" t="s">
        <v>1077</v>
      </c>
      <c r="E13" s="12" t="s">
        <v>527</v>
      </c>
      <c r="F13" s="13" t="s">
        <v>271</v>
      </c>
      <c r="G13" s="13" t="s">
        <v>111</v>
      </c>
      <c r="H13" s="14" t="s">
        <v>647</v>
      </c>
      <c r="I13" s="14"/>
      <c r="J13" s="23" t="str">
        <f>"210,0"</f>
        <v>210,0</v>
      </c>
      <c r="K13" s="24" t="str">
        <f>"132,6150"</f>
        <v>132,6150</v>
      </c>
      <c r="L13" s="12" t="s">
        <v>690</v>
      </c>
    </row>
    <row r="23" spans="1:4" ht="18">
      <c r="A23" s="27" t="s">
        <v>114</v>
      </c>
      <c r="B23" s="27"/>
    </row>
    <row r="24" spans="1:4" ht="16">
      <c r="A24" s="28" t="s">
        <v>126</v>
      </c>
      <c r="B24" s="28"/>
    </row>
    <row r="25" spans="1:4" ht="14">
      <c r="A25" s="30"/>
      <c r="B25" s="31" t="s">
        <v>127</v>
      </c>
    </row>
    <row r="26" spans="1:4" ht="14">
      <c r="A26" s="32" t="s">
        <v>117</v>
      </c>
      <c r="B26" s="32" t="s">
        <v>118</v>
      </c>
      <c r="C26" s="32" t="s">
        <v>119</v>
      </c>
      <c r="D26" s="32" t="s">
        <v>369</v>
      </c>
    </row>
    <row r="27" spans="1:4">
      <c r="A27" s="29" t="s">
        <v>691</v>
      </c>
      <c r="B27" s="4" t="s">
        <v>128</v>
      </c>
      <c r="C27" s="4" t="s">
        <v>308</v>
      </c>
      <c r="D27" s="4" t="s">
        <v>85</v>
      </c>
    </row>
    <row r="29" spans="1:4" ht="14">
      <c r="A29" s="30"/>
      <c r="B29" s="31" t="s">
        <v>116</v>
      </c>
    </row>
    <row r="30" spans="1:4" ht="14">
      <c r="A30" s="32" t="s">
        <v>117</v>
      </c>
      <c r="B30" s="32" t="s">
        <v>118</v>
      </c>
      <c r="C30" s="32" t="s">
        <v>119</v>
      </c>
      <c r="D30" s="32" t="s">
        <v>369</v>
      </c>
    </row>
    <row r="31" spans="1:4">
      <c r="A31" s="29" t="s">
        <v>692</v>
      </c>
      <c r="B31" s="4" t="s">
        <v>116</v>
      </c>
      <c r="C31" s="4" t="s">
        <v>129</v>
      </c>
      <c r="D31" s="4" t="s">
        <v>53</v>
      </c>
    </row>
    <row r="32" spans="1:4">
      <c r="A32" s="29" t="s">
        <v>693</v>
      </c>
      <c r="B32" s="4" t="s">
        <v>116</v>
      </c>
      <c r="C32" s="4" t="s">
        <v>129</v>
      </c>
      <c r="D32" s="4" t="s">
        <v>111</v>
      </c>
    </row>
  </sheetData>
  <mergeCells count="13">
    <mergeCell ref="L3:L4"/>
    <mergeCell ref="A5:I5"/>
    <mergeCell ref="A8:I8"/>
    <mergeCell ref="A11:I11"/>
    <mergeCell ref="A1:L2"/>
    <mergeCell ref="A3:A4"/>
    <mergeCell ref="B3:B4"/>
    <mergeCell ref="C3:C4"/>
    <mergeCell ref="D3:D4"/>
    <mergeCell ref="E3:E4"/>
    <mergeCell ref="F3:I3"/>
    <mergeCell ref="J3:J4"/>
    <mergeCell ref="K3:K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39"/>
  <sheetViews>
    <sheetView topLeftCell="A97" workbookViewId="0">
      <selection activeCell="D129" sqref="D129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11.83203125" style="4" bestFit="1" customWidth="1"/>
    <col min="5" max="5" width="32.83203125" style="4" bestFit="1" customWidth="1"/>
    <col min="6" max="8" width="5.5" style="3" customWidth="1"/>
    <col min="9" max="9" width="4.83203125" style="3" customWidth="1"/>
    <col min="10" max="10" width="7.83203125" style="18" bestFit="1" customWidth="1"/>
    <col min="11" max="11" width="8.5" style="2" bestFit="1" customWidth="1"/>
    <col min="12" max="12" width="28.6640625" style="4" bestFit="1" customWidth="1"/>
    <col min="13" max="16384" width="9.1640625" style="3"/>
  </cols>
  <sheetData>
    <row r="1" spans="1:12" s="2" customFormat="1" ht="29" customHeight="1">
      <c r="A1" s="34" t="s">
        <v>694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</row>
    <row r="2" spans="1:12" s="2" customFormat="1" ht="62" customHeight="1" thickBo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1:12" s="1" customFormat="1" ht="12.75" customHeight="1">
      <c r="A3" s="40" t="s">
        <v>0</v>
      </c>
      <c r="B3" s="42" t="s">
        <v>1075</v>
      </c>
      <c r="C3" s="42" t="s">
        <v>6</v>
      </c>
      <c r="D3" s="44" t="s">
        <v>1076</v>
      </c>
      <c r="E3" s="44" t="s">
        <v>5</v>
      </c>
      <c r="F3" s="44" t="s">
        <v>8</v>
      </c>
      <c r="G3" s="44"/>
      <c r="H3" s="44"/>
      <c r="I3" s="44"/>
      <c r="J3" s="44" t="s">
        <v>371</v>
      </c>
      <c r="K3" s="44" t="s">
        <v>3</v>
      </c>
      <c r="L3" s="45" t="s">
        <v>2</v>
      </c>
    </row>
    <row r="4" spans="1:12" s="1" customFormat="1" ht="21" customHeight="1" thickBot="1">
      <c r="A4" s="41"/>
      <c r="B4" s="43"/>
      <c r="C4" s="43"/>
      <c r="D4" s="43"/>
      <c r="E4" s="43"/>
      <c r="F4" s="33">
        <v>1</v>
      </c>
      <c r="G4" s="33">
        <v>2</v>
      </c>
      <c r="H4" s="33">
        <v>3</v>
      </c>
      <c r="I4" s="33" t="s">
        <v>4</v>
      </c>
      <c r="J4" s="43"/>
      <c r="K4" s="43"/>
      <c r="L4" s="46"/>
    </row>
    <row r="5" spans="1:12" ht="16">
      <c r="A5" s="47" t="s">
        <v>372</v>
      </c>
      <c r="B5" s="48"/>
      <c r="C5" s="48"/>
      <c r="D5" s="48"/>
      <c r="E5" s="48"/>
      <c r="F5" s="48"/>
      <c r="G5" s="48"/>
      <c r="H5" s="48"/>
      <c r="I5" s="48"/>
    </row>
    <row r="6" spans="1:12">
      <c r="A6" s="9" t="s">
        <v>695</v>
      </c>
      <c r="B6" s="9" t="s">
        <v>696</v>
      </c>
      <c r="C6" s="9" t="s">
        <v>697</v>
      </c>
      <c r="D6" s="9" t="s">
        <v>1084</v>
      </c>
      <c r="E6" s="9" t="s">
        <v>15</v>
      </c>
      <c r="F6" s="11" t="s">
        <v>20</v>
      </c>
      <c r="G6" s="10" t="s">
        <v>205</v>
      </c>
      <c r="H6" s="10" t="s">
        <v>205</v>
      </c>
      <c r="I6" s="10"/>
      <c r="J6" s="21" t="str">
        <f>"45,0"</f>
        <v>45,0</v>
      </c>
      <c r="K6" s="22" t="str">
        <f>"59,8725"</f>
        <v>59,8725</v>
      </c>
      <c r="L6" s="9" t="s">
        <v>698</v>
      </c>
    </row>
    <row r="7" spans="1:12">
      <c r="A7" s="15" t="s">
        <v>699</v>
      </c>
      <c r="B7" s="15" t="s">
        <v>700</v>
      </c>
      <c r="C7" s="15" t="s">
        <v>701</v>
      </c>
      <c r="D7" s="15" t="s">
        <v>1079</v>
      </c>
      <c r="E7" s="15" t="s">
        <v>15</v>
      </c>
      <c r="F7" s="16" t="s">
        <v>19</v>
      </c>
      <c r="G7" s="17" t="s">
        <v>20</v>
      </c>
      <c r="H7" s="17" t="s">
        <v>20</v>
      </c>
      <c r="I7" s="17"/>
      <c r="J7" s="25" t="str">
        <f>"40,0"</f>
        <v>40,0</v>
      </c>
      <c r="K7" s="26" t="str">
        <f>"53,7120"</f>
        <v>53,7120</v>
      </c>
      <c r="L7" s="15" t="s">
        <v>702</v>
      </c>
    </row>
    <row r="8" spans="1:12">
      <c r="A8" s="12" t="s">
        <v>703</v>
      </c>
      <c r="B8" s="12" t="s">
        <v>704</v>
      </c>
      <c r="C8" s="12" t="s">
        <v>705</v>
      </c>
      <c r="D8" s="12" t="s">
        <v>1077</v>
      </c>
      <c r="E8" s="12" t="s">
        <v>15</v>
      </c>
      <c r="F8" s="13" t="s">
        <v>171</v>
      </c>
      <c r="G8" s="13" t="s">
        <v>172</v>
      </c>
      <c r="H8" s="14" t="s">
        <v>44</v>
      </c>
      <c r="I8" s="14"/>
      <c r="J8" s="23" t="str">
        <f>"57,5"</f>
        <v>57,5</v>
      </c>
      <c r="K8" s="24" t="str">
        <f>"76,6245"</f>
        <v>76,6245</v>
      </c>
      <c r="L8" s="12" t="s">
        <v>706</v>
      </c>
    </row>
    <row r="10" spans="1:12" ht="16">
      <c r="A10" s="49" t="s">
        <v>163</v>
      </c>
      <c r="B10" s="49"/>
      <c r="C10" s="49"/>
      <c r="D10" s="49"/>
      <c r="E10" s="49"/>
      <c r="F10" s="49"/>
      <c r="G10" s="49"/>
      <c r="H10" s="49"/>
      <c r="I10" s="49"/>
    </row>
    <row r="11" spans="1:12">
      <c r="A11" s="6" t="s">
        <v>707</v>
      </c>
      <c r="B11" s="6" t="s">
        <v>708</v>
      </c>
      <c r="C11" s="6" t="s">
        <v>709</v>
      </c>
      <c r="D11" s="6" t="s">
        <v>1077</v>
      </c>
      <c r="E11" s="6" t="s">
        <v>15</v>
      </c>
      <c r="F11" s="7" t="s">
        <v>568</v>
      </c>
      <c r="G11" s="7" t="s">
        <v>21</v>
      </c>
      <c r="H11" s="8" t="s">
        <v>205</v>
      </c>
      <c r="I11" s="8"/>
      <c r="J11" s="19" t="str">
        <f>"50,0"</f>
        <v>50,0</v>
      </c>
      <c r="K11" s="20" t="str">
        <f>"64,2300"</f>
        <v>64,2300</v>
      </c>
      <c r="L11" s="6" t="s">
        <v>710</v>
      </c>
    </row>
    <row r="13" spans="1:12" ht="16">
      <c r="A13" s="49" t="s">
        <v>10</v>
      </c>
      <c r="B13" s="49"/>
      <c r="C13" s="49"/>
      <c r="D13" s="49"/>
      <c r="E13" s="49"/>
      <c r="F13" s="49"/>
      <c r="G13" s="49"/>
      <c r="H13" s="49"/>
      <c r="I13" s="49"/>
    </row>
    <row r="14" spans="1:12">
      <c r="A14" s="9" t="s">
        <v>711</v>
      </c>
      <c r="B14" s="9" t="s">
        <v>712</v>
      </c>
      <c r="C14" s="9" t="s">
        <v>713</v>
      </c>
      <c r="D14" s="9" t="s">
        <v>1077</v>
      </c>
      <c r="E14" s="9" t="s">
        <v>15</v>
      </c>
      <c r="F14" s="11" t="s">
        <v>172</v>
      </c>
      <c r="G14" s="11" t="s">
        <v>44</v>
      </c>
      <c r="H14" s="10" t="s">
        <v>239</v>
      </c>
      <c r="I14" s="10"/>
      <c r="J14" s="21" t="str">
        <f>"60,0"</f>
        <v>60,0</v>
      </c>
      <c r="K14" s="22" t="str">
        <f>"72,8460"</f>
        <v>72,8460</v>
      </c>
      <c r="L14" s="9" t="s">
        <v>1060</v>
      </c>
    </row>
    <row r="15" spans="1:12">
      <c r="A15" s="15" t="s">
        <v>714</v>
      </c>
      <c r="B15" s="15" t="s">
        <v>383</v>
      </c>
      <c r="C15" s="15" t="s">
        <v>384</v>
      </c>
      <c r="D15" s="15" t="s">
        <v>1077</v>
      </c>
      <c r="E15" s="15" t="s">
        <v>385</v>
      </c>
      <c r="F15" s="17" t="s">
        <v>33</v>
      </c>
      <c r="G15" s="17" t="s">
        <v>33</v>
      </c>
      <c r="H15" s="17" t="s">
        <v>33</v>
      </c>
      <c r="I15" s="17"/>
      <c r="J15" s="25" t="str">
        <f>"0.00"</f>
        <v>0.00</v>
      </c>
      <c r="K15" s="26" t="str">
        <f>"0,0000"</f>
        <v>0,0000</v>
      </c>
      <c r="L15" s="15" t="s">
        <v>386</v>
      </c>
    </row>
    <row r="16" spans="1:12">
      <c r="A16" s="12" t="s">
        <v>715</v>
      </c>
      <c r="B16" s="12" t="s">
        <v>716</v>
      </c>
      <c r="C16" s="12" t="s">
        <v>504</v>
      </c>
      <c r="D16" s="12" t="s">
        <v>1080</v>
      </c>
      <c r="E16" s="12" t="s">
        <v>15</v>
      </c>
      <c r="F16" s="13" t="s">
        <v>20</v>
      </c>
      <c r="G16" s="14" t="s">
        <v>568</v>
      </c>
      <c r="H16" s="13" t="s">
        <v>568</v>
      </c>
      <c r="I16" s="14"/>
      <c r="J16" s="23" t="str">
        <f>"47,5"</f>
        <v>47,5</v>
      </c>
      <c r="K16" s="24" t="str">
        <f>"64,6032"</f>
        <v>64,6032</v>
      </c>
      <c r="L16" s="12" t="s">
        <v>717</v>
      </c>
    </row>
    <row r="18" spans="1:12" ht="16">
      <c r="A18" s="49" t="s">
        <v>217</v>
      </c>
      <c r="B18" s="49"/>
      <c r="C18" s="49"/>
      <c r="D18" s="49"/>
      <c r="E18" s="49"/>
      <c r="F18" s="49"/>
      <c r="G18" s="49"/>
      <c r="H18" s="49"/>
      <c r="I18" s="49"/>
    </row>
    <row r="19" spans="1:12">
      <c r="A19" s="9" t="s">
        <v>718</v>
      </c>
      <c r="B19" s="9" t="s">
        <v>719</v>
      </c>
      <c r="C19" s="9" t="s">
        <v>720</v>
      </c>
      <c r="D19" s="9" t="s">
        <v>1077</v>
      </c>
      <c r="E19" s="9" t="s">
        <v>15</v>
      </c>
      <c r="F19" s="11" t="s">
        <v>205</v>
      </c>
      <c r="G19" s="10" t="s">
        <v>172</v>
      </c>
      <c r="H19" s="10" t="s">
        <v>172</v>
      </c>
      <c r="I19" s="10"/>
      <c r="J19" s="21" t="str">
        <f>"52,5"</f>
        <v>52,5</v>
      </c>
      <c r="K19" s="22" t="str">
        <f>"58,9102"</f>
        <v>58,9102</v>
      </c>
      <c r="L19" s="9" t="s">
        <v>228</v>
      </c>
    </row>
    <row r="20" spans="1:12">
      <c r="A20" s="12" t="s">
        <v>721</v>
      </c>
      <c r="B20" s="12" t="s">
        <v>722</v>
      </c>
      <c r="C20" s="12" t="s">
        <v>723</v>
      </c>
      <c r="D20" s="12" t="s">
        <v>1077</v>
      </c>
      <c r="E20" s="12" t="s">
        <v>42</v>
      </c>
      <c r="F20" s="13" t="s">
        <v>20</v>
      </c>
      <c r="G20" s="13" t="s">
        <v>21</v>
      </c>
      <c r="H20" s="14" t="s">
        <v>171</v>
      </c>
      <c r="I20" s="14"/>
      <c r="J20" s="23" t="str">
        <f>"50,0"</f>
        <v>50,0</v>
      </c>
      <c r="K20" s="24" t="str">
        <f>"56,5500"</f>
        <v>56,5500</v>
      </c>
      <c r="L20" s="12" t="s">
        <v>724</v>
      </c>
    </row>
    <row r="22" spans="1:12" ht="16">
      <c r="A22" s="49" t="s">
        <v>175</v>
      </c>
      <c r="B22" s="49"/>
      <c r="C22" s="49"/>
      <c r="D22" s="49"/>
      <c r="E22" s="49"/>
      <c r="F22" s="49"/>
      <c r="G22" s="49"/>
      <c r="H22" s="49"/>
      <c r="I22" s="49"/>
    </row>
    <row r="23" spans="1:12">
      <c r="A23" s="9" t="s">
        <v>725</v>
      </c>
      <c r="B23" s="9" t="s">
        <v>726</v>
      </c>
      <c r="C23" s="9" t="s">
        <v>232</v>
      </c>
      <c r="D23" s="9" t="s">
        <v>1084</v>
      </c>
      <c r="E23" s="9" t="s">
        <v>727</v>
      </c>
      <c r="F23" s="11" t="s">
        <v>568</v>
      </c>
      <c r="G23" s="11" t="s">
        <v>171</v>
      </c>
      <c r="H23" s="10" t="s">
        <v>172</v>
      </c>
      <c r="I23" s="10"/>
      <c r="J23" s="21" t="str">
        <f>"55,0"</f>
        <v>55,0</v>
      </c>
      <c r="K23" s="22" t="str">
        <f>"56,1935"</f>
        <v>56,1935</v>
      </c>
      <c r="L23" s="9" t="s">
        <v>728</v>
      </c>
    </row>
    <row r="24" spans="1:12">
      <c r="A24" s="15" t="s">
        <v>177</v>
      </c>
      <c r="B24" s="15" t="s">
        <v>178</v>
      </c>
      <c r="C24" s="15" t="s">
        <v>179</v>
      </c>
      <c r="D24" s="15" t="s">
        <v>1077</v>
      </c>
      <c r="E24" s="15" t="s">
        <v>15</v>
      </c>
      <c r="F24" s="16" t="s">
        <v>156</v>
      </c>
      <c r="G24" s="16" t="s">
        <v>170</v>
      </c>
      <c r="H24" s="16" t="s">
        <v>180</v>
      </c>
      <c r="I24" s="17"/>
      <c r="J24" s="25" t="str">
        <f>"102,5"</f>
        <v>102,5</v>
      </c>
      <c r="K24" s="26" t="str">
        <f>"106,6820"</f>
        <v>106,6820</v>
      </c>
      <c r="L24" s="15" t="s">
        <v>54</v>
      </c>
    </row>
    <row r="25" spans="1:12">
      <c r="A25" s="15" t="s">
        <v>729</v>
      </c>
      <c r="B25" s="15" t="s">
        <v>730</v>
      </c>
      <c r="C25" s="15" t="s">
        <v>731</v>
      </c>
      <c r="D25" s="15" t="s">
        <v>1077</v>
      </c>
      <c r="E25" s="15" t="s">
        <v>455</v>
      </c>
      <c r="F25" s="16" t="s">
        <v>212</v>
      </c>
      <c r="G25" s="17" t="s">
        <v>204</v>
      </c>
      <c r="H25" s="17" t="s">
        <v>204</v>
      </c>
      <c r="I25" s="17"/>
      <c r="J25" s="25" t="str">
        <f>"67,5"</f>
        <v>67,5</v>
      </c>
      <c r="K25" s="26" t="str">
        <f>"69,1875"</f>
        <v>69,1875</v>
      </c>
      <c r="L25" s="15" t="s">
        <v>732</v>
      </c>
    </row>
    <row r="26" spans="1:12">
      <c r="A26" s="12" t="s">
        <v>733</v>
      </c>
      <c r="B26" s="12" t="s">
        <v>734</v>
      </c>
      <c r="C26" s="12" t="s">
        <v>735</v>
      </c>
      <c r="D26" s="12" t="s">
        <v>1077</v>
      </c>
      <c r="E26" s="12" t="s">
        <v>354</v>
      </c>
      <c r="F26" s="14" t="s">
        <v>44</v>
      </c>
      <c r="G26" s="13" t="s">
        <v>239</v>
      </c>
      <c r="H26" s="13" t="s">
        <v>31</v>
      </c>
      <c r="I26" s="14"/>
      <c r="J26" s="23" t="str">
        <f>"65,0"</f>
        <v>65,0</v>
      </c>
      <c r="K26" s="24" t="str">
        <f>"70,3170"</f>
        <v>70,3170</v>
      </c>
      <c r="L26" s="12" t="s">
        <v>736</v>
      </c>
    </row>
    <row r="28" spans="1:12" ht="16">
      <c r="A28" s="49" t="s">
        <v>24</v>
      </c>
      <c r="B28" s="49"/>
      <c r="C28" s="49"/>
      <c r="D28" s="49"/>
      <c r="E28" s="49"/>
      <c r="F28" s="49"/>
      <c r="G28" s="49"/>
      <c r="H28" s="49"/>
      <c r="I28" s="49"/>
    </row>
    <row r="29" spans="1:12">
      <c r="A29" s="9" t="s">
        <v>737</v>
      </c>
      <c r="B29" s="9" t="s">
        <v>738</v>
      </c>
      <c r="C29" s="9" t="s">
        <v>739</v>
      </c>
      <c r="D29" s="9" t="s">
        <v>1084</v>
      </c>
      <c r="E29" s="9" t="s">
        <v>550</v>
      </c>
      <c r="F29" s="11" t="s">
        <v>171</v>
      </c>
      <c r="G29" s="11" t="s">
        <v>172</v>
      </c>
      <c r="H29" s="10" t="s">
        <v>239</v>
      </c>
      <c r="I29" s="10"/>
      <c r="J29" s="21" t="str">
        <f>"57,5"</f>
        <v>57,5</v>
      </c>
      <c r="K29" s="22" t="str">
        <f>"56,1717"</f>
        <v>56,1717</v>
      </c>
      <c r="L29" s="9" t="s">
        <v>740</v>
      </c>
    </row>
    <row r="30" spans="1:12">
      <c r="A30" s="12" t="s">
        <v>235</v>
      </c>
      <c r="B30" s="12" t="s">
        <v>236</v>
      </c>
      <c r="C30" s="12" t="s">
        <v>237</v>
      </c>
      <c r="D30" s="12" t="s">
        <v>1085</v>
      </c>
      <c r="E30" s="12" t="s">
        <v>238</v>
      </c>
      <c r="F30" s="13" t="s">
        <v>172</v>
      </c>
      <c r="G30" s="13" t="s">
        <v>239</v>
      </c>
      <c r="H30" s="13" t="s">
        <v>31</v>
      </c>
      <c r="I30" s="14"/>
      <c r="J30" s="23" t="str">
        <f>"65,0"</f>
        <v>65,0</v>
      </c>
      <c r="K30" s="24" t="str">
        <f>"75,6915"</f>
        <v>75,6915</v>
      </c>
      <c r="L30" s="12" t="s">
        <v>240</v>
      </c>
    </row>
    <row r="32" spans="1:12" ht="16">
      <c r="A32" s="49" t="s">
        <v>241</v>
      </c>
      <c r="B32" s="49"/>
      <c r="C32" s="49"/>
      <c r="D32" s="49"/>
      <c r="E32" s="49"/>
      <c r="F32" s="49"/>
      <c r="G32" s="49"/>
      <c r="H32" s="49"/>
      <c r="I32" s="49"/>
    </row>
    <row r="33" spans="1:12">
      <c r="A33" s="9" t="s">
        <v>741</v>
      </c>
      <c r="B33" s="9" t="s">
        <v>742</v>
      </c>
      <c r="C33" s="9" t="s">
        <v>743</v>
      </c>
      <c r="D33" s="9" t="s">
        <v>1077</v>
      </c>
      <c r="E33" s="9" t="s">
        <v>15</v>
      </c>
      <c r="F33" s="11" t="s">
        <v>226</v>
      </c>
      <c r="G33" s="10" t="s">
        <v>744</v>
      </c>
      <c r="H33" s="11" t="s">
        <v>744</v>
      </c>
      <c r="I33" s="10"/>
      <c r="J33" s="21" t="str">
        <f>"27,5"</f>
        <v>27,5</v>
      </c>
      <c r="K33" s="22" t="str">
        <f>"24,9590"</f>
        <v>24,9590</v>
      </c>
      <c r="L33" s="9"/>
    </row>
    <row r="34" spans="1:12">
      <c r="A34" s="12" t="s">
        <v>745</v>
      </c>
      <c r="B34" s="12" t="s">
        <v>746</v>
      </c>
      <c r="C34" s="12" t="s">
        <v>747</v>
      </c>
      <c r="D34" s="12" t="s">
        <v>1082</v>
      </c>
      <c r="E34" s="12" t="s">
        <v>197</v>
      </c>
      <c r="F34" s="13" t="s">
        <v>171</v>
      </c>
      <c r="G34" s="13" t="s">
        <v>172</v>
      </c>
      <c r="H34" s="14" t="s">
        <v>44</v>
      </c>
      <c r="I34" s="14"/>
      <c r="J34" s="23" t="str">
        <f>"57,5"</f>
        <v>57,5</v>
      </c>
      <c r="K34" s="24" t="str">
        <f>"57,6172"</f>
        <v>57,6172</v>
      </c>
      <c r="L34" s="12" t="s">
        <v>748</v>
      </c>
    </row>
    <row r="36" spans="1:12" ht="16">
      <c r="A36" s="49" t="s">
        <v>10</v>
      </c>
      <c r="B36" s="49"/>
      <c r="C36" s="49"/>
      <c r="D36" s="49"/>
      <c r="E36" s="49"/>
      <c r="F36" s="49"/>
      <c r="G36" s="49"/>
      <c r="H36" s="49"/>
      <c r="I36" s="49"/>
    </row>
    <row r="37" spans="1:12">
      <c r="A37" s="9" t="s">
        <v>749</v>
      </c>
      <c r="B37" s="9" t="s">
        <v>750</v>
      </c>
      <c r="C37" s="9" t="s">
        <v>751</v>
      </c>
      <c r="D37" s="9" t="s">
        <v>1084</v>
      </c>
      <c r="E37" s="9" t="s">
        <v>15</v>
      </c>
      <c r="F37" s="11" t="s">
        <v>213</v>
      </c>
      <c r="G37" s="11" t="s">
        <v>214</v>
      </c>
      <c r="H37" s="11" t="s">
        <v>19</v>
      </c>
      <c r="I37" s="10"/>
      <c r="J37" s="21" t="str">
        <f>"40,0"</f>
        <v>40,0</v>
      </c>
      <c r="K37" s="22" t="str">
        <f>"39,7320"</f>
        <v>39,7320</v>
      </c>
      <c r="L37" s="9" t="s">
        <v>702</v>
      </c>
    </row>
    <row r="38" spans="1:12">
      <c r="A38" s="12" t="s">
        <v>752</v>
      </c>
      <c r="B38" s="12" t="s">
        <v>753</v>
      </c>
      <c r="C38" s="12" t="s">
        <v>754</v>
      </c>
      <c r="D38" s="12" t="s">
        <v>1077</v>
      </c>
      <c r="E38" s="12" t="s">
        <v>15</v>
      </c>
      <c r="F38" s="14" t="s">
        <v>199</v>
      </c>
      <c r="G38" s="14" t="s">
        <v>199</v>
      </c>
      <c r="H38" s="13" t="s">
        <v>199</v>
      </c>
      <c r="I38" s="14"/>
      <c r="J38" s="23" t="str">
        <f>"90,0"</f>
        <v>90,0</v>
      </c>
      <c r="K38" s="24" t="str">
        <f>"84,0060"</f>
        <v>84,0060</v>
      </c>
      <c r="L38" s="12" t="s">
        <v>755</v>
      </c>
    </row>
    <row r="40" spans="1:12" ht="16">
      <c r="A40" s="49" t="s">
        <v>217</v>
      </c>
      <c r="B40" s="49"/>
      <c r="C40" s="49"/>
      <c r="D40" s="49"/>
      <c r="E40" s="49"/>
      <c r="F40" s="49"/>
      <c r="G40" s="49"/>
      <c r="H40" s="49"/>
      <c r="I40" s="49"/>
    </row>
    <row r="41" spans="1:12">
      <c r="A41" s="9" t="s">
        <v>756</v>
      </c>
      <c r="B41" s="9" t="s">
        <v>757</v>
      </c>
      <c r="C41" s="9" t="s">
        <v>221</v>
      </c>
      <c r="D41" s="9" t="s">
        <v>1084</v>
      </c>
      <c r="E41" s="9" t="s">
        <v>758</v>
      </c>
      <c r="F41" s="11" t="s">
        <v>199</v>
      </c>
      <c r="G41" s="11" t="s">
        <v>156</v>
      </c>
      <c r="H41" s="10" t="s">
        <v>170</v>
      </c>
      <c r="I41" s="10"/>
      <c r="J41" s="21" t="str">
        <f>"95,0"</f>
        <v>95,0</v>
      </c>
      <c r="K41" s="22" t="str">
        <f>"81,0255"</f>
        <v>81,0255</v>
      </c>
      <c r="L41" s="9" t="s">
        <v>75</v>
      </c>
    </row>
    <row r="42" spans="1:12">
      <c r="A42" s="12" t="s">
        <v>759</v>
      </c>
      <c r="B42" s="12" t="s">
        <v>760</v>
      </c>
      <c r="C42" s="12" t="s">
        <v>761</v>
      </c>
      <c r="D42" s="12" t="s">
        <v>1084</v>
      </c>
      <c r="E42" s="12" t="s">
        <v>15</v>
      </c>
      <c r="F42" s="13" t="s">
        <v>31</v>
      </c>
      <c r="G42" s="13" t="s">
        <v>32</v>
      </c>
      <c r="H42" s="13" t="s">
        <v>33</v>
      </c>
      <c r="I42" s="14"/>
      <c r="J42" s="23" t="str">
        <f>"75,0"</f>
        <v>75,0</v>
      </c>
      <c r="K42" s="24" t="str">
        <f>"66,2250"</f>
        <v>66,2250</v>
      </c>
      <c r="L42" s="12" t="s">
        <v>1061</v>
      </c>
    </row>
    <row r="44" spans="1:12" ht="16">
      <c r="A44" s="49" t="s">
        <v>175</v>
      </c>
      <c r="B44" s="49"/>
      <c r="C44" s="49"/>
      <c r="D44" s="49"/>
      <c r="E44" s="49"/>
      <c r="F44" s="49"/>
      <c r="G44" s="49"/>
      <c r="H44" s="49"/>
      <c r="I44" s="49"/>
    </row>
    <row r="45" spans="1:12">
      <c r="A45" s="9" t="s">
        <v>762</v>
      </c>
      <c r="B45" s="9" t="s">
        <v>763</v>
      </c>
      <c r="C45" s="9" t="s">
        <v>764</v>
      </c>
      <c r="D45" s="9" t="s">
        <v>1077</v>
      </c>
      <c r="E45" s="9" t="s">
        <v>15</v>
      </c>
      <c r="F45" s="11" t="s">
        <v>85</v>
      </c>
      <c r="G45" s="10" t="s">
        <v>22</v>
      </c>
      <c r="H45" s="10"/>
      <c r="I45" s="10"/>
      <c r="J45" s="21" t="str">
        <f>"135,0"</f>
        <v>135,0</v>
      </c>
      <c r="K45" s="22" t="str">
        <f>"104,7060"</f>
        <v>104,7060</v>
      </c>
      <c r="L45" s="9"/>
    </row>
    <row r="46" spans="1:12">
      <c r="A46" s="15" t="s">
        <v>765</v>
      </c>
      <c r="B46" s="15" t="s">
        <v>766</v>
      </c>
      <c r="C46" s="15" t="s">
        <v>735</v>
      </c>
      <c r="D46" s="15" t="s">
        <v>1080</v>
      </c>
      <c r="E46" s="15" t="s">
        <v>767</v>
      </c>
      <c r="F46" s="16" t="s">
        <v>768</v>
      </c>
      <c r="G46" s="16" t="s">
        <v>170</v>
      </c>
      <c r="H46" s="17" t="s">
        <v>180</v>
      </c>
      <c r="I46" s="17"/>
      <c r="J46" s="25" t="str">
        <f>"100,0"</f>
        <v>100,0</v>
      </c>
      <c r="K46" s="26" t="str">
        <f>"93,0555"</f>
        <v>93,0555</v>
      </c>
      <c r="L46" s="15" t="s">
        <v>769</v>
      </c>
    </row>
    <row r="47" spans="1:12">
      <c r="A47" s="12" t="s">
        <v>770</v>
      </c>
      <c r="B47" s="12" t="s">
        <v>771</v>
      </c>
      <c r="C47" s="12" t="s">
        <v>772</v>
      </c>
      <c r="D47" s="12" t="s">
        <v>1086</v>
      </c>
      <c r="E47" s="12" t="s">
        <v>438</v>
      </c>
      <c r="F47" s="13" t="s">
        <v>32</v>
      </c>
      <c r="G47" s="13" t="s">
        <v>33</v>
      </c>
      <c r="H47" s="14" t="s">
        <v>204</v>
      </c>
      <c r="I47" s="14"/>
      <c r="J47" s="23" t="str">
        <f>"75,0"</f>
        <v>75,0</v>
      </c>
      <c r="K47" s="24" t="str">
        <f>"115,7417"</f>
        <v>115,7417</v>
      </c>
      <c r="L47" s="12" t="s">
        <v>773</v>
      </c>
    </row>
    <row r="49" spans="1:12" ht="16">
      <c r="A49" s="49" t="s">
        <v>24</v>
      </c>
      <c r="B49" s="49"/>
      <c r="C49" s="49"/>
      <c r="D49" s="49"/>
      <c r="E49" s="49"/>
      <c r="F49" s="49"/>
      <c r="G49" s="49"/>
      <c r="H49" s="49"/>
      <c r="I49" s="49"/>
    </row>
    <row r="50" spans="1:12">
      <c r="A50" s="9" t="s">
        <v>774</v>
      </c>
      <c r="B50" s="9" t="s">
        <v>775</v>
      </c>
      <c r="C50" s="9" t="s">
        <v>776</v>
      </c>
      <c r="D50" s="9" t="s">
        <v>1084</v>
      </c>
      <c r="E50" s="9" t="s">
        <v>727</v>
      </c>
      <c r="F50" s="11" t="s">
        <v>206</v>
      </c>
      <c r="G50" s="11" t="s">
        <v>17</v>
      </c>
      <c r="H50" s="10" t="s">
        <v>83</v>
      </c>
      <c r="I50" s="10"/>
      <c r="J50" s="21" t="str">
        <f>"120,0"</f>
        <v>120,0</v>
      </c>
      <c r="K50" s="22" t="str">
        <f>"88,4040"</f>
        <v>88,4040</v>
      </c>
      <c r="L50" s="9" t="s">
        <v>728</v>
      </c>
    </row>
    <row r="51" spans="1:12">
      <c r="A51" s="15" t="s">
        <v>777</v>
      </c>
      <c r="B51" s="15" t="s">
        <v>778</v>
      </c>
      <c r="C51" s="15" t="s">
        <v>779</v>
      </c>
      <c r="D51" s="15" t="s">
        <v>1084</v>
      </c>
      <c r="E51" s="15" t="s">
        <v>385</v>
      </c>
      <c r="F51" s="17" t="s">
        <v>170</v>
      </c>
      <c r="G51" s="17" t="s">
        <v>180</v>
      </c>
      <c r="H51" s="16" t="s">
        <v>180</v>
      </c>
      <c r="I51" s="17"/>
      <c r="J51" s="25" t="str">
        <f>"102,5"</f>
        <v>102,5</v>
      </c>
      <c r="K51" s="26" t="str">
        <f>"73,5847"</f>
        <v>73,5847</v>
      </c>
      <c r="L51" s="15" t="s">
        <v>736</v>
      </c>
    </row>
    <row r="52" spans="1:12">
      <c r="A52" s="15" t="s">
        <v>780</v>
      </c>
      <c r="B52" s="15" t="s">
        <v>781</v>
      </c>
      <c r="C52" s="15" t="s">
        <v>782</v>
      </c>
      <c r="D52" s="15" t="s">
        <v>1079</v>
      </c>
      <c r="E52" s="15" t="s">
        <v>527</v>
      </c>
      <c r="F52" s="16" t="s">
        <v>783</v>
      </c>
      <c r="G52" s="17" t="s">
        <v>206</v>
      </c>
      <c r="H52" s="17" t="s">
        <v>206</v>
      </c>
      <c r="I52" s="17"/>
      <c r="J52" s="25" t="str">
        <f>"107,5"</f>
        <v>107,5</v>
      </c>
      <c r="K52" s="26" t="str">
        <f>"81,4635"</f>
        <v>81,4635</v>
      </c>
      <c r="L52" s="15" t="s">
        <v>690</v>
      </c>
    </row>
    <row r="53" spans="1:12">
      <c r="A53" s="15" t="s">
        <v>784</v>
      </c>
      <c r="B53" s="15" t="s">
        <v>785</v>
      </c>
      <c r="C53" s="15" t="s">
        <v>786</v>
      </c>
      <c r="D53" s="15" t="s">
        <v>1079</v>
      </c>
      <c r="E53" s="15" t="s">
        <v>15</v>
      </c>
      <c r="F53" s="17" t="s">
        <v>18</v>
      </c>
      <c r="G53" s="17" t="s">
        <v>18</v>
      </c>
      <c r="H53" s="17" t="s">
        <v>18</v>
      </c>
      <c r="I53" s="17"/>
      <c r="J53" s="25" t="str">
        <f>"0.00"</f>
        <v>0.00</v>
      </c>
      <c r="K53" s="26" t="str">
        <f>"0,0000"</f>
        <v>0,0000</v>
      </c>
      <c r="L53" s="15" t="s">
        <v>787</v>
      </c>
    </row>
    <row r="54" spans="1:12">
      <c r="A54" s="15" t="s">
        <v>788</v>
      </c>
      <c r="B54" s="15" t="s">
        <v>789</v>
      </c>
      <c r="C54" s="15" t="s">
        <v>790</v>
      </c>
      <c r="D54" s="15" t="s">
        <v>1077</v>
      </c>
      <c r="E54" s="15" t="s">
        <v>15</v>
      </c>
      <c r="F54" s="16" t="s">
        <v>22</v>
      </c>
      <c r="G54" s="16" t="s">
        <v>155</v>
      </c>
      <c r="H54" s="16" t="s">
        <v>43</v>
      </c>
      <c r="I54" s="17"/>
      <c r="J54" s="25" t="str">
        <f>"150,0"</f>
        <v>150,0</v>
      </c>
      <c r="K54" s="26" t="str">
        <f>"107,2800"</f>
        <v>107,2800</v>
      </c>
      <c r="L54" s="15" t="s">
        <v>791</v>
      </c>
    </row>
    <row r="55" spans="1:12">
      <c r="A55" s="15" t="s">
        <v>792</v>
      </c>
      <c r="B55" s="15" t="s">
        <v>793</v>
      </c>
      <c r="C55" s="15" t="s">
        <v>786</v>
      </c>
      <c r="D55" s="15" t="s">
        <v>1077</v>
      </c>
      <c r="E55" s="15" t="s">
        <v>15</v>
      </c>
      <c r="F55" s="16" t="s">
        <v>16</v>
      </c>
      <c r="G55" s="16" t="s">
        <v>173</v>
      </c>
      <c r="H55" s="17" t="s">
        <v>17</v>
      </c>
      <c r="I55" s="17"/>
      <c r="J55" s="25" t="str">
        <f>"115,0"</f>
        <v>115,0</v>
      </c>
      <c r="K55" s="26" t="str">
        <f>"82,9610"</f>
        <v>82,9610</v>
      </c>
      <c r="L55" s="15" t="s">
        <v>706</v>
      </c>
    </row>
    <row r="56" spans="1:12">
      <c r="A56" s="15" t="s">
        <v>794</v>
      </c>
      <c r="B56" s="15" t="s">
        <v>795</v>
      </c>
      <c r="C56" s="15" t="s">
        <v>796</v>
      </c>
      <c r="D56" s="15" t="s">
        <v>1077</v>
      </c>
      <c r="E56" s="15" t="s">
        <v>238</v>
      </c>
      <c r="F56" s="16" t="s">
        <v>31</v>
      </c>
      <c r="G56" s="16" t="s">
        <v>32</v>
      </c>
      <c r="H56" s="17" t="s">
        <v>33</v>
      </c>
      <c r="I56" s="17"/>
      <c r="J56" s="25" t="str">
        <f>"70,0"</f>
        <v>70,0</v>
      </c>
      <c r="K56" s="26" t="str">
        <f>"50,7920"</f>
        <v>50,7920</v>
      </c>
      <c r="L56" s="15" t="s">
        <v>797</v>
      </c>
    </row>
    <row r="57" spans="1:12">
      <c r="A57" s="15" t="s">
        <v>798</v>
      </c>
      <c r="B57" s="15" t="s">
        <v>450</v>
      </c>
      <c r="C57" s="15" t="s">
        <v>786</v>
      </c>
      <c r="D57" s="15" t="s">
        <v>1078</v>
      </c>
      <c r="E57" s="15" t="s">
        <v>15</v>
      </c>
      <c r="F57" s="16" t="s">
        <v>169</v>
      </c>
      <c r="G57" s="17" t="s">
        <v>199</v>
      </c>
      <c r="H57" s="16" t="s">
        <v>199</v>
      </c>
      <c r="I57" s="17"/>
      <c r="J57" s="25" t="str">
        <f>"90,0"</f>
        <v>90,0</v>
      </c>
      <c r="K57" s="26" t="str">
        <f>"66,9387"</f>
        <v>66,9387</v>
      </c>
      <c r="L57" s="15" t="s">
        <v>799</v>
      </c>
    </row>
    <row r="58" spans="1:12">
      <c r="A58" s="12" t="s">
        <v>800</v>
      </c>
      <c r="B58" s="12" t="s">
        <v>801</v>
      </c>
      <c r="C58" s="12" t="s">
        <v>237</v>
      </c>
      <c r="D58" s="12" t="s">
        <v>1087</v>
      </c>
      <c r="E58" s="12" t="s">
        <v>426</v>
      </c>
      <c r="F58" s="13" t="s">
        <v>204</v>
      </c>
      <c r="G58" s="13" t="s">
        <v>198</v>
      </c>
      <c r="H58" s="14"/>
      <c r="I58" s="14"/>
      <c r="J58" s="23" t="str">
        <f>"80,0"</f>
        <v>80,0</v>
      </c>
      <c r="K58" s="24" t="str">
        <f>"122,1681"</f>
        <v>122,1681</v>
      </c>
      <c r="L58" s="12"/>
    </row>
    <row r="60" spans="1:12" ht="16">
      <c r="A60" s="49" t="s">
        <v>241</v>
      </c>
      <c r="B60" s="49"/>
      <c r="C60" s="49"/>
      <c r="D60" s="49"/>
      <c r="E60" s="49"/>
      <c r="F60" s="49"/>
      <c r="G60" s="49"/>
      <c r="H60" s="49"/>
      <c r="I60" s="49"/>
    </row>
    <row r="61" spans="1:12">
      <c r="A61" s="9" t="s">
        <v>802</v>
      </c>
      <c r="B61" s="9" t="s">
        <v>803</v>
      </c>
      <c r="C61" s="9" t="s">
        <v>804</v>
      </c>
      <c r="D61" s="9" t="s">
        <v>1077</v>
      </c>
      <c r="E61" s="9" t="s">
        <v>15</v>
      </c>
      <c r="F61" s="11" t="s">
        <v>85</v>
      </c>
      <c r="G61" s="11" t="s">
        <v>22</v>
      </c>
      <c r="H61" s="11" t="s">
        <v>602</v>
      </c>
      <c r="I61" s="10"/>
      <c r="J61" s="21" t="str">
        <f>"147,5"</f>
        <v>147,5</v>
      </c>
      <c r="K61" s="22" t="str">
        <f>"99,9903"</f>
        <v>99,9903</v>
      </c>
      <c r="L61" s="9"/>
    </row>
    <row r="62" spans="1:12">
      <c r="A62" s="15" t="s">
        <v>805</v>
      </c>
      <c r="B62" s="15" t="s">
        <v>806</v>
      </c>
      <c r="C62" s="15" t="s">
        <v>807</v>
      </c>
      <c r="D62" s="15" t="s">
        <v>1077</v>
      </c>
      <c r="E62" s="15" t="s">
        <v>15</v>
      </c>
      <c r="F62" s="16" t="s">
        <v>260</v>
      </c>
      <c r="G62" s="16" t="s">
        <v>282</v>
      </c>
      <c r="H62" s="17" t="s">
        <v>602</v>
      </c>
      <c r="I62" s="17"/>
      <c r="J62" s="25" t="str">
        <f>"142,5"</f>
        <v>142,5</v>
      </c>
      <c r="K62" s="26" t="str">
        <f>"95,7457"</f>
        <v>95,7457</v>
      </c>
      <c r="L62" s="15" t="s">
        <v>808</v>
      </c>
    </row>
    <row r="63" spans="1:12">
      <c r="A63" s="15" t="s">
        <v>809</v>
      </c>
      <c r="B63" s="15" t="s">
        <v>810</v>
      </c>
      <c r="C63" s="15" t="s">
        <v>743</v>
      </c>
      <c r="D63" s="15" t="s">
        <v>1077</v>
      </c>
      <c r="E63" s="15" t="s">
        <v>15</v>
      </c>
      <c r="F63" s="16" t="s">
        <v>18</v>
      </c>
      <c r="G63" s="16" t="s">
        <v>260</v>
      </c>
      <c r="H63" s="17" t="s">
        <v>602</v>
      </c>
      <c r="I63" s="17"/>
      <c r="J63" s="25" t="str">
        <f>"137,5"</f>
        <v>137,5</v>
      </c>
      <c r="K63" s="26" t="str">
        <f>"93,0050"</f>
        <v>93,0050</v>
      </c>
      <c r="L63" s="15" t="s">
        <v>811</v>
      </c>
    </row>
    <row r="64" spans="1:12">
      <c r="A64" s="15" t="s">
        <v>812</v>
      </c>
      <c r="B64" s="15" t="s">
        <v>813</v>
      </c>
      <c r="C64" s="15" t="s">
        <v>814</v>
      </c>
      <c r="D64" s="15" t="s">
        <v>1088</v>
      </c>
      <c r="E64" s="15" t="s">
        <v>15</v>
      </c>
      <c r="F64" s="16" t="s">
        <v>18</v>
      </c>
      <c r="G64" s="16" t="s">
        <v>260</v>
      </c>
      <c r="H64" s="16" t="s">
        <v>282</v>
      </c>
      <c r="I64" s="17"/>
      <c r="J64" s="25" t="str">
        <f>"142,5"</f>
        <v>142,5</v>
      </c>
      <c r="K64" s="26" t="str">
        <f>"154,9697"</f>
        <v>154,9697</v>
      </c>
      <c r="L64" s="15" t="s">
        <v>815</v>
      </c>
    </row>
    <row r="65" spans="1:12">
      <c r="A65" s="12" t="s">
        <v>423</v>
      </c>
      <c r="B65" s="12" t="s">
        <v>424</v>
      </c>
      <c r="C65" s="12" t="s">
        <v>425</v>
      </c>
      <c r="D65" s="12" t="s">
        <v>1086</v>
      </c>
      <c r="E65" s="12" t="s">
        <v>426</v>
      </c>
      <c r="F65" s="13" t="s">
        <v>198</v>
      </c>
      <c r="G65" s="14" t="s">
        <v>216</v>
      </c>
      <c r="H65" s="14"/>
      <c r="I65" s="14"/>
      <c r="J65" s="23" t="str">
        <f>"80,0"</f>
        <v>80,0</v>
      </c>
      <c r="K65" s="24" t="str">
        <f>"100,7048"</f>
        <v>100,7048</v>
      </c>
      <c r="L65" s="12" t="s">
        <v>427</v>
      </c>
    </row>
    <row r="67" spans="1:12" ht="16">
      <c r="A67" s="49" t="s">
        <v>45</v>
      </c>
      <c r="B67" s="49"/>
      <c r="C67" s="49"/>
      <c r="D67" s="49"/>
      <c r="E67" s="49"/>
      <c r="F67" s="49"/>
      <c r="G67" s="49"/>
      <c r="H67" s="49"/>
      <c r="I67" s="49"/>
    </row>
    <row r="68" spans="1:12">
      <c r="A68" s="9" t="s">
        <v>816</v>
      </c>
      <c r="B68" s="9" t="s">
        <v>817</v>
      </c>
      <c r="C68" s="9" t="s">
        <v>437</v>
      </c>
      <c r="D68" s="9" t="s">
        <v>1079</v>
      </c>
      <c r="E68" s="9" t="s">
        <v>818</v>
      </c>
      <c r="F68" s="11" t="s">
        <v>62</v>
      </c>
      <c r="G68" s="10" t="s">
        <v>29</v>
      </c>
      <c r="H68" s="10" t="s">
        <v>29</v>
      </c>
      <c r="I68" s="10"/>
      <c r="J68" s="21" t="str">
        <f>"155,0"</f>
        <v>155,0</v>
      </c>
      <c r="K68" s="22" t="str">
        <f>"99,0140"</f>
        <v>99,0140</v>
      </c>
      <c r="L68" s="9" t="s">
        <v>819</v>
      </c>
    </row>
    <row r="69" spans="1:12">
      <c r="A69" s="15" t="s">
        <v>820</v>
      </c>
      <c r="B69" s="15" t="s">
        <v>821</v>
      </c>
      <c r="C69" s="15" t="s">
        <v>822</v>
      </c>
      <c r="D69" s="15" t="s">
        <v>1079</v>
      </c>
      <c r="E69" s="15" t="s">
        <v>15</v>
      </c>
      <c r="F69" s="16" t="s">
        <v>17</v>
      </c>
      <c r="G69" s="16" t="s">
        <v>505</v>
      </c>
      <c r="H69" s="17" t="s">
        <v>85</v>
      </c>
      <c r="I69" s="17"/>
      <c r="J69" s="25" t="str">
        <f>"127,5"</f>
        <v>127,5</v>
      </c>
      <c r="K69" s="26" t="str">
        <f>"82,3523"</f>
        <v>82,3523</v>
      </c>
      <c r="L69" s="15"/>
    </row>
    <row r="70" spans="1:12">
      <c r="A70" s="15" t="s">
        <v>823</v>
      </c>
      <c r="B70" s="15" t="s">
        <v>824</v>
      </c>
      <c r="C70" s="15" t="s">
        <v>825</v>
      </c>
      <c r="D70" s="15" t="s">
        <v>1077</v>
      </c>
      <c r="E70" s="15" t="s">
        <v>15</v>
      </c>
      <c r="F70" s="16" t="s">
        <v>63</v>
      </c>
      <c r="G70" s="16" t="s">
        <v>30</v>
      </c>
      <c r="H70" s="16" t="s">
        <v>34</v>
      </c>
      <c r="I70" s="17"/>
      <c r="J70" s="25" t="str">
        <f>"172,5"</f>
        <v>172,5</v>
      </c>
      <c r="K70" s="26" t="str">
        <f>"114,3330"</f>
        <v>114,3330</v>
      </c>
      <c r="L70" s="15"/>
    </row>
    <row r="71" spans="1:12">
      <c r="A71" s="15" t="s">
        <v>826</v>
      </c>
      <c r="B71" s="15" t="s">
        <v>827</v>
      </c>
      <c r="C71" s="15" t="s">
        <v>822</v>
      </c>
      <c r="D71" s="15" t="s">
        <v>1077</v>
      </c>
      <c r="E71" s="15" t="s">
        <v>828</v>
      </c>
      <c r="F71" s="16" t="s">
        <v>43</v>
      </c>
      <c r="G71" s="16" t="s">
        <v>62</v>
      </c>
      <c r="H71" s="16" t="s">
        <v>29</v>
      </c>
      <c r="I71" s="17"/>
      <c r="J71" s="25" t="str">
        <f>"160,0"</f>
        <v>160,0</v>
      </c>
      <c r="K71" s="26" t="str">
        <f>"103,3440"</f>
        <v>103,3440</v>
      </c>
      <c r="L71" s="15"/>
    </row>
    <row r="72" spans="1:12">
      <c r="A72" s="15" t="s">
        <v>829</v>
      </c>
      <c r="B72" s="15" t="s">
        <v>830</v>
      </c>
      <c r="C72" s="15" t="s">
        <v>831</v>
      </c>
      <c r="D72" s="15" t="s">
        <v>1077</v>
      </c>
      <c r="E72" s="15" t="s">
        <v>15</v>
      </c>
      <c r="F72" s="16" t="s">
        <v>43</v>
      </c>
      <c r="G72" s="16" t="s">
        <v>448</v>
      </c>
      <c r="H72" s="17" t="s">
        <v>73</v>
      </c>
      <c r="I72" s="17"/>
      <c r="J72" s="25" t="str">
        <f>"157,5"</f>
        <v>157,5</v>
      </c>
      <c r="K72" s="26" t="str">
        <f>"102,8160"</f>
        <v>102,8160</v>
      </c>
      <c r="L72" s="15" t="s">
        <v>832</v>
      </c>
    </row>
    <row r="73" spans="1:12">
      <c r="A73" s="15" t="s">
        <v>833</v>
      </c>
      <c r="B73" s="15" t="s">
        <v>834</v>
      </c>
      <c r="C73" s="15" t="s">
        <v>835</v>
      </c>
      <c r="D73" s="15" t="s">
        <v>1077</v>
      </c>
      <c r="E73" s="15" t="s">
        <v>836</v>
      </c>
      <c r="F73" s="16" t="s">
        <v>155</v>
      </c>
      <c r="G73" s="16" t="s">
        <v>62</v>
      </c>
      <c r="H73" s="17" t="s">
        <v>448</v>
      </c>
      <c r="I73" s="17"/>
      <c r="J73" s="25" t="str">
        <f>"155,0"</f>
        <v>155,0</v>
      </c>
      <c r="K73" s="26" t="str">
        <f>"99,2310"</f>
        <v>99,2310</v>
      </c>
      <c r="L73" s="15"/>
    </row>
    <row r="74" spans="1:12">
      <c r="A74" s="15" t="s">
        <v>837</v>
      </c>
      <c r="B74" s="15" t="s">
        <v>269</v>
      </c>
      <c r="C74" s="15" t="s">
        <v>270</v>
      </c>
      <c r="D74" s="15" t="s">
        <v>1077</v>
      </c>
      <c r="E74" s="15" t="s">
        <v>15</v>
      </c>
      <c r="F74" s="16" t="s">
        <v>18</v>
      </c>
      <c r="G74" s="16" t="s">
        <v>22</v>
      </c>
      <c r="H74" s="16" t="s">
        <v>43</v>
      </c>
      <c r="I74" s="17"/>
      <c r="J74" s="25" t="str">
        <f>"150,0"</f>
        <v>150,0</v>
      </c>
      <c r="K74" s="26" t="str">
        <f>"99,7050"</f>
        <v>99,7050</v>
      </c>
      <c r="L74" s="15"/>
    </row>
    <row r="75" spans="1:12">
      <c r="A75" s="15" t="s">
        <v>838</v>
      </c>
      <c r="B75" s="15" t="s">
        <v>839</v>
      </c>
      <c r="C75" s="15" t="s">
        <v>840</v>
      </c>
      <c r="D75" s="15" t="s">
        <v>1077</v>
      </c>
      <c r="E75" s="15" t="s">
        <v>15</v>
      </c>
      <c r="F75" s="17" t="s">
        <v>85</v>
      </c>
      <c r="G75" s="16" t="s">
        <v>85</v>
      </c>
      <c r="H75" s="16" t="s">
        <v>22</v>
      </c>
      <c r="I75" s="17"/>
      <c r="J75" s="25" t="str">
        <f>"140,0"</f>
        <v>140,0</v>
      </c>
      <c r="K75" s="26" t="str">
        <f>"90,0480"</f>
        <v>90,0480</v>
      </c>
      <c r="L75" s="15"/>
    </row>
    <row r="76" spans="1:12">
      <c r="A76" s="15" t="s">
        <v>841</v>
      </c>
      <c r="B76" s="15" t="s">
        <v>842</v>
      </c>
      <c r="C76" s="15" t="s">
        <v>572</v>
      </c>
      <c r="D76" s="15" t="s">
        <v>1077</v>
      </c>
      <c r="E76" s="15" t="s">
        <v>15</v>
      </c>
      <c r="F76" s="16" t="s">
        <v>85</v>
      </c>
      <c r="G76" s="17" t="s">
        <v>62</v>
      </c>
      <c r="H76" s="17" t="s">
        <v>62</v>
      </c>
      <c r="I76" s="17"/>
      <c r="J76" s="25" t="str">
        <f>"135,0"</f>
        <v>135,0</v>
      </c>
      <c r="K76" s="26" t="str">
        <f>"86,5755"</f>
        <v>86,5755</v>
      </c>
      <c r="L76" s="15"/>
    </row>
    <row r="77" spans="1:12">
      <c r="A77" s="15" t="s">
        <v>843</v>
      </c>
      <c r="B77" s="15" t="s">
        <v>844</v>
      </c>
      <c r="C77" s="15" t="s">
        <v>822</v>
      </c>
      <c r="D77" s="15" t="s">
        <v>1077</v>
      </c>
      <c r="E77" s="15" t="s">
        <v>15</v>
      </c>
      <c r="F77" s="16" t="s">
        <v>17</v>
      </c>
      <c r="G77" s="16" t="s">
        <v>505</v>
      </c>
      <c r="H77" s="17" t="s">
        <v>85</v>
      </c>
      <c r="I77" s="17"/>
      <c r="J77" s="25" t="str">
        <f>"127,5"</f>
        <v>127,5</v>
      </c>
      <c r="K77" s="26" t="str">
        <f>"82,3523"</f>
        <v>82,3523</v>
      </c>
      <c r="L77" s="15"/>
    </row>
    <row r="78" spans="1:12">
      <c r="A78" s="15" t="s">
        <v>823</v>
      </c>
      <c r="B78" s="15" t="s">
        <v>845</v>
      </c>
      <c r="C78" s="15" t="s">
        <v>825</v>
      </c>
      <c r="D78" s="15" t="s">
        <v>1078</v>
      </c>
      <c r="E78" s="15" t="s">
        <v>15</v>
      </c>
      <c r="F78" s="16" t="s">
        <v>63</v>
      </c>
      <c r="G78" s="16" t="s">
        <v>30</v>
      </c>
      <c r="H78" s="16" t="s">
        <v>34</v>
      </c>
      <c r="I78" s="17"/>
      <c r="J78" s="25" t="str">
        <f>"172,5"</f>
        <v>172,5</v>
      </c>
      <c r="K78" s="26" t="str">
        <f>"115,4763"</f>
        <v>115,4763</v>
      </c>
      <c r="L78" s="15"/>
    </row>
    <row r="79" spans="1:12">
      <c r="A79" s="15" t="s">
        <v>846</v>
      </c>
      <c r="B79" s="15" t="s">
        <v>847</v>
      </c>
      <c r="C79" s="15" t="s">
        <v>848</v>
      </c>
      <c r="D79" s="15" t="s">
        <v>1082</v>
      </c>
      <c r="E79" s="15" t="s">
        <v>15</v>
      </c>
      <c r="F79" s="16" t="s">
        <v>18</v>
      </c>
      <c r="G79" s="17" t="s">
        <v>85</v>
      </c>
      <c r="H79" s="17" t="s">
        <v>85</v>
      </c>
      <c r="I79" s="17"/>
      <c r="J79" s="25" t="str">
        <f>"130,0"</f>
        <v>130,0</v>
      </c>
      <c r="K79" s="26" t="str">
        <f>"91,2461"</f>
        <v>91,2461</v>
      </c>
      <c r="L79" s="15"/>
    </row>
    <row r="80" spans="1:12">
      <c r="A80" s="15" t="s">
        <v>849</v>
      </c>
      <c r="B80" s="15" t="s">
        <v>850</v>
      </c>
      <c r="C80" s="15" t="s">
        <v>683</v>
      </c>
      <c r="D80" s="15" t="s">
        <v>1082</v>
      </c>
      <c r="E80" s="15" t="s">
        <v>211</v>
      </c>
      <c r="F80" s="16" t="s">
        <v>83</v>
      </c>
      <c r="G80" s="17" t="s">
        <v>84</v>
      </c>
      <c r="H80" s="17" t="s">
        <v>84</v>
      </c>
      <c r="I80" s="17"/>
      <c r="J80" s="25" t="str">
        <f>"125,0"</f>
        <v>125,0</v>
      </c>
      <c r="K80" s="26" t="str">
        <f>"84,3341"</f>
        <v>84,3341</v>
      </c>
      <c r="L80" s="15" t="s">
        <v>851</v>
      </c>
    </row>
    <row r="81" spans="1:12">
      <c r="A81" s="15" t="s">
        <v>852</v>
      </c>
      <c r="B81" s="15" t="s">
        <v>853</v>
      </c>
      <c r="C81" s="15" t="s">
        <v>854</v>
      </c>
      <c r="D81" s="15" t="s">
        <v>1080</v>
      </c>
      <c r="E81" s="15" t="s">
        <v>15</v>
      </c>
      <c r="F81" s="17" t="s">
        <v>155</v>
      </c>
      <c r="G81" s="16" t="s">
        <v>155</v>
      </c>
      <c r="H81" s="17" t="s">
        <v>62</v>
      </c>
      <c r="I81" s="17"/>
      <c r="J81" s="25" t="str">
        <f>"145,0"</f>
        <v>145,0</v>
      </c>
      <c r="K81" s="26" t="str">
        <f>"104,8312"</f>
        <v>104,8312</v>
      </c>
      <c r="L81" s="15" t="s">
        <v>855</v>
      </c>
    </row>
    <row r="82" spans="1:12">
      <c r="A82" s="15" t="s">
        <v>856</v>
      </c>
      <c r="B82" s="15" t="s">
        <v>857</v>
      </c>
      <c r="C82" s="15" t="s">
        <v>509</v>
      </c>
      <c r="D82" s="15" t="s">
        <v>1080</v>
      </c>
      <c r="E82" s="15" t="s">
        <v>15</v>
      </c>
      <c r="F82" s="17" t="s">
        <v>768</v>
      </c>
      <c r="G82" s="16" t="s">
        <v>768</v>
      </c>
      <c r="H82" s="16" t="s">
        <v>180</v>
      </c>
      <c r="I82" s="17"/>
      <c r="J82" s="25" t="str">
        <f>"102,5"</f>
        <v>102,5</v>
      </c>
      <c r="K82" s="26" t="str">
        <f>"77,9617"</f>
        <v>77,9617</v>
      </c>
      <c r="L82" s="15" t="s">
        <v>858</v>
      </c>
    </row>
    <row r="83" spans="1:12">
      <c r="A83" s="12" t="s">
        <v>859</v>
      </c>
      <c r="B83" s="12" t="s">
        <v>860</v>
      </c>
      <c r="C83" s="12" t="s">
        <v>861</v>
      </c>
      <c r="D83" s="12" t="s">
        <v>1083</v>
      </c>
      <c r="E83" s="12" t="s">
        <v>15</v>
      </c>
      <c r="F83" s="14" t="s">
        <v>173</v>
      </c>
      <c r="G83" s="14" t="s">
        <v>173</v>
      </c>
      <c r="H83" s="14" t="s">
        <v>173</v>
      </c>
      <c r="I83" s="14"/>
      <c r="J83" s="23" t="str">
        <f>"0.00"</f>
        <v>0.00</v>
      </c>
      <c r="K83" s="24" t="str">
        <f>"0,0000"</f>
        <v>0,0000</v>
      </c>
      <c r="L83" s="12" t="s">
        <v>862</v>
      </c>
    </row>
    <row r="85" spans="1:12" ht="16">
      <c r="A85" s="49" t="s">
        <v>55</v>
      </c>
      <c r="B85" s="49"/>
      <c r="C85" s="49"/>
      <c r="D85" s="49"/>
      <c r="E85" s="49"/>
      <c r="F85" s="49"/>
      <c r="G85" s="49"/>
      <c r="H85" s="49"/>
      <c r="I85" s="49"/>
    </row>
    <row r="86" spans="1:12">
      <c r="A86" s="9" t="s">
        <v>274</v>
      </c>
      <c r="B86" s="9" t="s">
        <v>275</v>
      </c>
      <c r="C86" s="9" t="s">
        <v>276</v>
      </c>
      <c r="D86" s="9" t="s">
        <v>1084</v>
      </c>
      <c r="E86" s="9" t="s">
        <v>15</v>
      </c>
      <c r="F86" s="11" t="s">
        <v>172</v>
      </c>
      <c r="G86" s="11" t="s">
        <v>44</v>
      </c>
      <c r="H86" s="11" t="s">
        <v>239</v>
      </c>
      <c r="I86" s="10"/>
      <c r="J86" s="21" t="str">
        <f>"62,5"</f>
        <v>62,5</v>
      </c>
      <c r="K86" s="22" t="str">
        <f>"39,0438"</f>
        <v>39,0438</v>
      </c>
      <c r="L86" s="9" t="s">
        <v>277</v>
      </c>
    </row>
    <row r="87" spans="1:12">
      <c r="A87" s="15" t="s">
        <v>863</v>
      </c>
      <c r="B87" s="15" t="s">
        <v>864</v>
      </c>
      <c r="C87" s="15" t="s">
        <v>865</v>
      </c>
      <c r="D87" s="15" t="s">
        <v>1079</v>
      </c>
      <c r="E87" s="15" t="s">
        <v>15</v>
      </c>
      <c r="F87" s="16" t="s">
        <v>43</v>
      </c>
      <c r="G87" s="16" t="s">
        <v>29</v>
      </c>
      <c r="H87" s="17" t="s">
        <v>63</v>
      </c>
      <c r="I87" s="17"/>
      <c r="J87" s="25" t="str">
        <f>"160,0"</f>
        <v>160,0</v>
      </c>
      <c r="K87" s="26" t="str">
        <f>"98,1440"</f>
        <v>98,1440</v>
      </c>
      <c r="L87" s="15" t="s">
        <v>866</v>
      </c>
    </row>
    <row r="88" spans="1:12">
      <c r="A88" s="15" t="s">
        <v>867</v>
      </c>
      <c r="B88" s="15" t="s">
        <v>868</v>
      </c>
      <c r="C88" s="15" t="s">
        <v>869</v>
      </c>
      <c r="D88" s="15" t="s">
        <v>1077</v>
      </c>
      <c r="E88" s="15" t="s">
        <v>15</v>
      </c>
      <c r="F88" s="16" t="s">
        <v>147</v>
      </c>
      <c r="G88" s="17" t="s">
        <v>684</v>
      </c>
      <c r="H88" s="17" t="s">
        <v>684</v>
      </c>
      <c r="I88" s="17"/>
      <c r="J88" s="25" t="str">
        <f>"182,5"</f>
        <v>182,5</v>
      </c>
      <c r="K88" s="26" t="str">
        <f>"111,7995"</f>
        <v>111,7995</v>
      </c>
      <c r="L88" s="15" t="s">
        <v>870</v>
      </c>
    </row>
    <row r="89" spans="1:12">
      <c r="A89" s="15" t="s">
        <v>871</v>
      </c>
      <c r="B89" s="15" t="s">
        <v>872</v>
      </c>
      <c r="C89" s="15" t="s">
        <v>873</v>
      </c>
      <c r="D89" s="15" t="s">
        <v>1077</v>
      </c>
      <c r="E89" s="15" t="s">
        <v>874</v>
      </c>
      <c r="F89" s="16" t="s">
        <v>62</v>
      </c>
      <c r="G89" s="16" t="s">
        <v>63</v>
      </c>
      <c r="H89" s="16" t="s">
        <v>30</v>
      </c>
      <c r="I89" s="17"/>
      <c r="J89" s="25" t="str">
        <f>"170,0"</f>
        <v>170,0</v>
      </c>
      <c r="K89" s="26" t="str">
        <f>"107,5250"</f>
        <v>107,5250</v>
      </c>
      <c r="L89" s="15" t="s">
        <v>875</v>
      </c>
    </row>
    <row r="90" spans="1:12">
      <c r="A90" s="15" t="s">
        <v>876</v>
      </c>
      <c r="B90" s="15" t="s">
        <v>877</v>
      </c>
      <c r="C90" s="15" t="s">
        <v>865</v>
      </c>
      <c r="D90" s="15" t="s">
        <v>1077</v>
      </c>
      <c r="E90" s="15" t="s">
        <v>15</v>
      </c>
      <c r="F90" s="16" t="s">
        <v>448</v>
      </c>
      <c r="G90" s="16" t="s">
        <v>63</v>
      </c>
      <c r="H90" s="16" t="s">
        <v>30</v>
      </c>
      <c r="I90" s="17"/>
      <c r="J90" s="25" t="str">
        <f>"170,0"</f>
        <v>170,0</v>
      </c>
      <c r="K90" s="26" t="str">
        <f>"104,2780"</f>
        <v>104,2780</v>
      </c>
      <c r="L90" s="15" t="s">
        <v>878</v>
      </c>
    </row>
    <row r="91" spans="1:12">
      <c r="A91" s="15" t="s">
        <v>879</v>
      </c>
      <c r="B91" s="15" t="s">
        <v>880</v>
      </c>
      <c r="C91" s="15" t="s">
        <v>615</v>
      </c>
      <c r="D91" s="15" t="s">
        <v>1077</v>
      </c>
      <c r="E91" s="15" t="s">
        <v>15</v>
      </c>
      <c r="F91" s="16" t="s">
        <v>29</v>
      </c>
      <c r="G91" s="16" t="s">
        <v>63</v>
      </c>
      <c r="H91" s="17" t="s">
        <v>30</v>
      </c>
      <c r="I91" s="17"/>
      <c r="J91" s="25" t="str">
        <f>"165,0"</f>
        <v>165,0</v>
      </c>
      <c r="K91" s="26" t="str">
        <f>"101,5080"</f>
        <v>101,5080</v>
      </c>
      <c r="L91" s="15" t="s">
        <v>881</v>
      </c>
    </row>
    <row r="92" spans="1:12">
      <c r="A92" s="15" t="s">
        <v>882</v>
      </c>
      <c r="B92" s="15" t="s">
        <v>883</v>
      </c>
      <c r="C92" s="15" t="s">
        <v>865</v>
      </c>
      <c r="D92" s="15" t="s">
        <v>1077</v>
      </c>
      <c r="E92" s="15" t="s">
        <v>15</v>
      </c>
      <c r="F92" s="16" t="s">
        <v>43</v>
      </c>
      <c r="G92" s="16" t="s">
        <v>29</v>
      </c>
      <c r="H92" s="17" t="s">
        <v>63</v>
      </c>
      <c r="I92" s="17"/>
      <c r="J92" s="25" t="str">
        <f>"160,0"</f>
        <v>160,0</v>
      </c>
      <c r="K92" s="26" t="str">
        <f>"98,1440"</f>
        <v>98,1440</v>
      </c>
      <c r="L92" s="15" t="s">
        <v>866</v>
      </c>
    </row>
    <row r="93" spans="1:12">
      <c r="A93" s="15" t="s">
        <v>884</v>
      </c>
      <c r="B93" s="15" t="s">
        <v>885</v>
      </c>
      <c r="C93" s="15" t="s">
        <v>886</v>
      </c>
      <c r="D93" s="15" t="s">
        <v>1077</v>
      </c>
      <c r="E93" s="15" t="s">
        <v>15</v>
      </c>
      <c r="F93" s="16" t="s">
        <v>282</v>
      </c>
      <c r="G93" s="16" t="s">
        <v>43</v>
      </c>
      <c r="H93" s="17" t="s">
        <v>62</v>
      </c>
      <c r="I93" s="17"/>
      <c r="J93" s="25" t="str">
        <f>"150,0"</f>
        <v>150,0</v>
      </c>
      <c r="K93" s="26" t="str">
        <f>"92,9550"</f>
        <v>92,9550</v>
      </c>
      <c r="L93" s="15" t="s">
        <v>887</v>
      </c>
    </row>
    <row r="94" spans="1:12">
      <c r="A94" s="15" t="s">
        <v>888</v>
      </c>
      <c r="B94" s="15" t="s">
        <v>889</v>
      </c>
      <c r="C94" s="15" t="s">
        <v>71</v>
      </c>
      <c r="D94" s="15" t="s">
        <v>1078</v>
      </c>
      <c r="E94" s="15" t="s">
        <v>890</v>
      </c>
      <c r="F94" s="16" t="s">
        <v>29</v>
      </c>
      <c r="G94" s="16" t="s">
        <v>63</v>
      </c>
      <c r="H94" s="17" t="s">
        <v>30</v>
      </c>
      <c r="I94" s="17"/>
      <c r="J94" s="25" t="str">
        <f>"165,0"</f>
        <v>165,0</v>
      </c>
      <c r="K94" s="26" t="str">
        <f>"101,1285"</f>
        <v>101,1285</v>
      </c>
      <c r="L94" s="15"/>
    </row>
    <row r="95" spans="1:12">
      <c r="A95" s="15" t="s">
        <v>891</v>
      </c>
      <c r="B95" s="15" t="s">
        <v>892</v>
      </c>
      <c r="C95" s="15" t="s">
        <v>71</v>
      </c>
      <c r="D95" s="15" t="s">
        <v>1078</v>
      </c>
      <c r="E95" s="15" t="s">
        <v>15</v>
      </c>
      <c r="F95" s="16" t="s">
        <v>260</v>
      </c>
      <c r="G95" s="17" t="s">
        <v>155</v>
      </c>
      <c r="H95" s="17" t="s">
        <v>155</v>
      </c>
      <c r="I95" s="17"/>
      <c r="J95" s="25" t="str">
        <f>"137,5"</f>
        <v>137,5</v>
      </c>
      <c r="K95" s="26" t="str">
        <f>"85,9592"</f>
        <v>85,9592</v>
      </c>
      <c r="L95" s="15"/>
    </row>
    <row r="96" spans="1:12">
      <c r="A96" s="15" t="s">
        <v>893</v>
      </c>
      <c r="B96" s="15" t="s">
        <v>894</v>
      </c>
      <c r="C96" s="15" t="s">
        <v>895</v>
      </c>
      <c r="D96" s="15" t="s">
        <v>1078</v>
      </c>
      <c r="E96" s="15" t="s">
        <v>828</v>
      </c>
      <c r="F96" s="16" t="s">
        <v>170</v>
      </c>
      <c r="G96" s="16" t="s">
        <v>783</v>
      </c>
      <c r="H96" s="16" t="s">
        <v>206</v>
      </c>
      <c r="I96" s="17"/>
      <c r="J96" s="25" t="str">
        <f>"112,5"</f>
        <v>112,5</v>
      </c>
      <c r="K96" s="26" t="str">
        <f>"69,8512"</f>
        <v>69,8512</v>
      </c>
      <c r="L96" s="15" t="s">
        <v>896</v>
      </c>
    </row>
    <row r="97" spans="1:12">
      <c r="A97" s="15" t="s">
        <v>897</v>
      </c>
      <c r="B97" s="15" t="s">
        <v>898</v>
      </c>
      <c r="C97" s="15" t="s">
        <v>144</v>
      </c>
      <c r="D97" s="15" t="s">
        <v>1078</v>
      </c>
      <c r="E97" s="15" t="s">
        <v>597</v>
      </c>
      <c r="F97" s="16" t="s">
        <v>169</v>
      </c>
      <c r="G97" s="16" t="s">
        <v>199</v>
      </c>
      <c r="H97" s="17" t="s">
        <v>156</v>
      </c>
      <c r="I97" s="17"/>
      <c r="J97" s="25" t="str">
        <f>"90,0"</f>
        <v>90,0</v>
      </c>
      <c r="K97" s="26" t="str">
        <f>"55,9337"</f>
        <v>55,9337</v>
      </c>
      <c r="L97" s="15" t="s">
        <v>899</v>
      </c>
    </row>
    <row r="98" spans="1:12">
      <c r="A98" s="15" t="s">
        <v>900</v>
      </c>
      <c r="B98" s="15" t="s">
        <v>901</v>
      </c>
      <c r="C98" s="15" t="s">
        <v>902</v>
      </c>
      <c r="D98" s="15" t="s">
        <v>1082</v>
      </c>
      <c r="E98" s="15" t="s">
        <v>15</v>
      </c>
      <c r="F98" s="16" t="s">
        <v>43</v>
      </c>
      <c r="G98" s="17" t="s">
        <v>29</v>
      </c>
      <c r="H98" s="17" t="s">
        <v>29</v>
      </c>
      <c r="I98" s="17"/>
      <c r="J98" s="25" t="str">
        <f>"150,0"</f>
        <v>150,0</v>
      </c>
      <c r="K98" s="26" t="str">
        <f>"96,8648"</f>
        <v>96,8648</v>
      </c>
      <c r="L98" s="15" t="s">
        <v>607</v>
      </c>
    </row>
    <row r="99" spans="1:12">
      <c r="A99" s="15" t="s">
        <v>903</v>
      </c>
      <c r="B99" s="15" t="s">
        <v>904</v>
      </c>
      <c r="C99" s="15" t="s">
        <v>905</v>
      </c>
      <c r="D99" s="15" t="s">
        <v>1082</v>
      </c>
      <c r="E99" s="15" t="s">
        <v>639</v>
      </c>
      <c r="F99" s="16" t="s">
        <v>22</v>
      </c>
      <c r="G99" s="17" t="s">
        <v>282</v>
      </c>
      <c r="H99" s="17" t="s">
        <v>282</v>
      </c>
      <c r="I99" s="17"/>
      <c r="J99" s="25" t="str">
        <f>"140,0"</f>
        <v>140,0</v>
      </c>
      <c r="K99" s="26" t="str">
        <f>"91,6183"</f>
        <v>91,6183</v>
      </c>
      <c r="L99" s="15" t="s">
        <v>906</v>
      </c>
    </row>
    <row r="100" spans="1:12">
      <c r="A100" s="15" t="s">
        <v>907</v>
      </c>
      <c r="B100" s="15" t="s">
        <v>908</v>
      </c>
      <c r="C100" s="15" t="s">
        <v>144</v>
      </c>
      <c r="D100" s="15" t="s">
        <v>1082</v>
      </c>
      <c r="E100" s="15" t="s">
        <v>385</v>
      </c>
      <c r="F100" s="16" t="s">
        <v>84</v>
      </c>
      <c r="G100" s="16" t="s">
        <v>85</v>
      </c>
      <c r="H100" s="17" t="s">
        <v>260</v>
      </c>
      <c r="I100" s="17"/>
      <c r="J100" s="25" t="str">
        <f>"135,0"</f>
        <v>135,0</v>
      </c>
      <c r="K100" s="26" t="str">
        <f>"91,5504"</f>
        <v>91,5504</v>
      </c>
      <c r="L100" s="15" t="s">
        <v>386</v>
      </c>
    </row>
    <row r="101" spans="1:12">
      <c r="A101" s="12" t="s">
        <v>909</v>
      </c>
      <c r="B101" s="12" t="s">
        <v>910</v>
      </c>
      <c r="C101" s="12" t="s">
        <v>619</v>
      </c>
      <c r="D101" s="12" t="s">
        <v>1085</v>
      </c>
      <c r="E101" s="12" t="s">
        <v>15</v>
      </c>
      <c r="F101" s="13" t="s">
        <v>260</v>
      </c>
      <c r="G101" s="13" t="s">
        <v>155</v>
      </c>
      <c r="H101" s="13" t="s">
        <v>43</v>
      </c>
      <c r="I101" s="14"/>
      <c r="J101" s="23" t="str">
        <f>"150,0"</f>
        <v>150,0</v>
      </c>
      <c r="K101" s="24" t="str">
        <f>"113,0981"</f>
        <v>113,0981</v>
      </c>
      <c r="L101" s="12"/>
    </row>
    <row r="103" spans="1:12" ht="16">
      <c r="A103" s="49" t="s">
        <v>88</v>
      </c>
      <c r="B103" s="49"/>
      <c r="C103" s="49"/>
      <c r="D103" s="49"/>
      <c r="E103" s="49"/>
      <c r="F103" s="49"/>
      <c r="G103" s="49"/>
      <c r="H103" s="49"/>
      <c r="I103" s="49"/>
    </row>
    <row r="104" spans="1:12">
      <c r="A104" s="9" t="s">
        <v>911</v>
      </c>
      <c r="B104" s="9" t="s">
        <v>912</v>
      </c>
      <c r="C104" s="9" t="s">
        <v>913</v>
      </c>
      <c r="D104" s="9" t="s">
        <v>1079</v>
      </c>
      <c r="E104" s="9" t="s">
        <v>341</v>
      </c>
      <c r="F104" s="11" t="s">
        <v>29</v>
      </c>
      <c r="G104" s="10" t="s">
        <v>63</v>
      </c>
      <c r="H104" s="10" t="s">
        <v>63</v>
      </c>
      <c r="I104" s="10"/>
      <c r="J104" s="21" t="str">
        <f>"160,0"</f>
        <v>160,0</v>
      </c>
      <c r="K104" s="22" t="str">
        <f>"95,9040"</f>
        <v>95,9040</v>
      </c>
      <c r="L104" s="9" t="s">
        <v>914</v>
      </c>
    </row>
    <row r="105" spans="1:12">
      <c r="A105" s="15" t="s">
        <v>915</v>
      </c>
      <c r="B105" s="15" t="s">
        <v>916</v>
      </c>
      <c r="C105" s="15" t="s">
        <v>917</v>
      </c>
      <c r="D105" s="15" t="s">
        <v>1077</v>
      </c>
      <c r="E105" s="15" t="s">
        <v>676</v>
      </c>
      <c r="F105" s="16" t="s">
        <v>35</v>
      </c>
      <c r="G105" s="16" t="s">
        <v>82</v>
      </c>
      <c r="H105" s="16" t="s">
        <v>36</v>
      </c>
      <c r="I105" s="17"/>
      <c r="J105" s="25" t="str">
        <f>"190,0"</f>
        <v>190,0</v>
      </c>
      <c r="K105" s="26" t="str">
        <f>"113,6580"</f>
        <v>113,6580</v>
      </c>
      <c r="L105" s="15"/>
    </row>
    <row r="106" spans="1:12">
      <c r="A106" s="15" t="s">
        <v>918</v>
      </c>
      <c r="B106" s="15" t="s">
        <v>919</v>
      </c>
      <c r="C106" s="15" t="s">
        <v>920</v>
      </c>
      <c r="D106" s="15" t="s">
        <v>1077</v>
      </c>
      <c r="E106" s="15" t="s">
        <v>921</v>
      </c>
      <c r="F106" s="16" t="s">
        <v>81</v>
      </c>
      <c r="G106" s="16" t="s">
        <v>147</v>
      </c>
      <c r="H106" s="17" t="s">
        <v>82</v>
      </c>
      <c r="I106" s="17"/>
      <c r="J106" s="25" t="str">
        <f>"182,5"</f>
        <v>182,5</v>
      </c>
      <c r="K106" s="26" t="str">
        <f>"108,0583"</f>
        <v>108,0583</v>
      </c>
      <c r="L106" s="15" t="s">
        <v>922</v>
      </c>
    </row>
    <row r="107" spans="1:12">
      <c r="A107" s="15" t="s">
        <v>923</v>
      </c>
      <c r="B107" s="15" t="s">
        <v>924</v>
      </c>
      <c r="C107" s="15" t="s">
        <v>925</v>
      </c>
      <c r="D107" s="15" t="s">
        <v>1077</v>
      </c>
      <c r="E107" s="15" t="s">
        <v>15</v>
      </c>
      <c r="F107" s="16" t="s">
        <v>63</v>
      </c>
      <c r="G107" s="16" t="s">
        <v>30</v>
      </c>
      <c r="H107" s="17" t="s">
        <v>81</v>
      </c>
      <c r="I107" s="17"/>
      <c r="J107" s="25" t="str">
        <f>"170,0"</f>
        <v>170,0</v>
      </c>
      <c r="K107" s="26" t="str">
        <f>"102,6630"</f>
        <v>102,6630</v>
      </c>
      <c r="L107" s="15" t="s">
        <v>1062</v>
      </c>
    </row>
    <row r="108" spans="1:12">
      <c r="A108" s="15" t="s">
        <v>926</v>
      </c>
      <c r="B108" s="15" t="s">
        <v>927</v>
      </c>
      <c r="C108" s="15" t="s">
        <v>928</v>
      </c>
      <c r="D108" s="15" t="s">
        <v>1077</v>
      </c>
      <c r="E108" s="15" t="s">
        <v>15</v>
      </c>
      <c r="F108" s="16" t="s">
        <v>43</v>
      </c>
      <c r="G108" s="16" t="s">
        <v>62</v>
      </c>
      <c r="H108" s="17" t="s">
        <v>29</v>
      </c>
      <c r="I108" s="17"/>
      <c r="J108" s="25" t="str">
        <f>"155,0"</f>
        <v>155,0</v>
      </c>
      <c r="K108" s="26" t="str">
        <f>"93,2945"</f>
        <v>93,2945</v>
      </c>
      <c r="L108" s="15" t="s">
        <v>255</v>
      </c>
    </row>
    <row r="109" spans="1:12">
      <c r="A109" s="15" t="s">
        <v>929</v>
      </c>
      <c r="B109" s="15" t="s">
        <v>930</v>
      </c>
      <c r="C109" s="15" t="s">
        <v>931</v>
      </c>
      <c r="D109" s="15" t="s">
        <v>1078</v>
      </c>
      <c r="E109" s="15" t="s">
        <v>15</v>
      </c>
      <c r="F109" s="16" t="s">
        <v>85</v>
      </c>
      <c r="G109" s="16" t="s">
        <v>155</v>
      </c>
      <c r="H109" s="16" t="s">
        <v>62</v>
      </c>
      <c r="I109" s="17"/>
      <c r="J109" s="25" t="str">
        <f>"155,0"</f>
        <v>155,0</v>
      </c>
      <c r="K109" s="26" t="str">
        <f>"95,8027"</f>
        <v>95,8027</v>
      </c>
      <c r="L109" s="15" t="s">
        <v>932</v>
      </c>
    </row>
    <row r="110" spans="1:12">
      <c r="A110" s="15" t="s">
        <v>933</v>
      </c>
      <c r="B110" s="15" t="s">
        <v>934</v>
      </c>
      <c r="C110" s="15" t="s">
        <v>935</v>
      </c>
      <c r="D110" s="15" t="s">
        <v>1078</v>
      </c>
      <c r="E110" s="15" t="s">
        <v>15</v>
      </c>
      <c r="F110" s="16" t="s">
        <v>155</v>
      </c>
      <c r="G110" s="16" t="s">
        <v>43</v>
      </c>
      <c r="H110" s="17" t="s">
        <v>448</v>
      </c>
      <c r="I110" s="17"/>
      <c r="J110" s="25" t="str">
        <f>"150,0"</f>
        <v>150,0</v>
      </c>
      <c r="K110" s="26" t="str">
        <f>"92,5715"</f>
        <v>92,5715</v>
      </c>
      <c r="L110" s="15" t="s">
        <v>936</v>
      </c>
    </row>
    <row r="111" spans="1:12">
      <c r="A111" s="15" t="s">
        <v>937</v>
      </c>
      <c r="B111" s="15" t="s">
        <v>938</v>
      </c>
      <c r="C111" s="15" t="s">
        <v>939</v>
      </c>
      <c r="D111" s="15" t="s">
        <v>1078</v>
      </c>
      <c r="E111" s="15" t="s">
        <v>15</v>
      </c>
      <c r="F111" s="17" t="s">
        <v>30</v>
      </c>
      <c r="G111" s="17" t="s">
        <v>30</v>
      </c>
      <c r="H111" s="17"/>
      <c r="I111" s="17"/>
      <c r="J111" s="25" t="str">
        <f>"0.00"</f>
        <v>0.00</v>
      </c>
      <c r="K111" s="26" t="str">
        <f>"0,0000"</f>
        <v>0,0000</v>
      </c>
      <c r="L111" s="15" t="s">
        <v>940</v>
      </c>
    </row>
    <row r="112" spans="1:12">
      <c r="A112" s="15" t="s">
        <v>941</v>
      </c>
      <c r="B112" s="15" t="s">
        <v>942</v>
      </c>
      <c r="C112" s="15" t="s">
        <v>943</v>
      </c>
      <c r="D112" s="15" t="s">
        <v>1082</v>
      </c>
      <c r="E112" s="15" t="s">
        <v>15</v>
      </c>
      <c r="F112" s="16" t="s">
        <v>81</v>
      </c>
      <c r="G112" s="16" t="s">
        <v>147</v>
      </c>
      <c r="H112" s="17" t="s">
        <v>684</v>
      </c>
      <c r="I112" s="17"/>
      <c r="J112" s="25" t="str">
        <f>"182,5"</f>
        <v>182,5</v>
      </c>
      <c r="K112" s="26" t="str">
        <f>"114,2133"</f>
        <v>114,2133</v>
      </c>
      <c r="L112" s="15" t="s">
        <v>944</v>
      </c>
    </row>
    <row r="113" spans="1:12">
      <c r="A113" s="15" t="s">
        <v>945</v>
      </c>
      <c r="B113" s="15" t="s">
        <v>946</v>
      </c>
      <c r="C113" s="15" t="s">
        <v>925</v>
      </c>
      <c r="D113" s="15" t="s">
        <v>1082</v>
      </c>
      <c r="E113" s="15" t="s">
        <v>15</v>
      </c>
      <c r="F113" s="16" t="s">
        <v>63</v>
      </c>
      <c r="G113" s="16" t="s">
        <v>30</v>
      </c>
      <c r="H113" s="17" t="s">
        <v>81</v>
      </c>
      <c r="I113" s="17"/>
      <c r="J113" s="25" t="str">
        <f>"170,0"</f>
        <v>170,0</v>
      </c>
      <c r="K113" s="26" t="str">
        <f>"108,3095"</f>
        <v>108,3095</v>
      </c>
      <c r="L113" s="15" t="s">
        <v>1062</v>
      </c>
    </row>
    <row r="114" spans="1:12">
      <c r="A114" s="15" t="s">
        <v>947</v>
      </c>
      <c r="B114" s="15" t="s">
        <v>948</v>
      </c>
      <c r="C114" s="15" t="s">
        <v>949</v>
      </c>
      <c r="D114" s="15" t="s">
        <v>1082</v>
      </c>
      <c r="E114" s="15" t="s">
        <v>42</v>
      </c>
      <c r="F114" s="16" t="s">
        <v>18</v>
      </c>
      <c r="G114" s="17" t="s">
        <v>260</v>
      </c>
      <c r="H114" s="17" t="s">
        <v>260</v>
      </c>
      <c r="I114" s="17"/>
      <c r="J114" s="25" t="str">
        <f>"130,0"</f>
        <v>130,0</v>
      </c>
      <c r="K114" s="26" t="str">
        <f>"84,5677"</f>
        <v>84,5677</v>
      </c>
      <c r="L114" s="15" t="s">
        <v>950</v>
      </c>
    </row>
    <row r="115" spans="1:12">
      <c r="A115" s="15" t="s">
        <v>951</v>
      </c>
      <c r="B115" s="15" t="s">
        <v>952</v>
      </c>
      <c r="C115" s="15" t="s">
        <v>953</v>
      </c>
      <c r="D115" s="15" t="s">
        <v>1080</v>
      </c>
      <c r="E115" s="15" t="s">
        <v>597</v>
      </c>
      <c r="F115" s="17" t="s">
        <v>63</v>
      </c>
      <c r="G115" s="16" t="s">
        <v>30</v>
      </c>
      <c r="H115" s="17" t="s">
        <v>81</v>
      </c>
      <c r="I115" s="17"/>
      <c r="J115" s="25" t="str">
        <f>"170,0"</f>
        <v>170,0</v>
      </c>
      <c r="K115" s="26" t="str">
        <f>"114,3763"</f>
        <v>114,3763</v>
      </c>
      <c r="L115" s="15" t="s">
        <v>954</v>
      </c>
    </row>
    <row r="116" spans="1:12">
      <c r="A116" s="12" t="s">
        <v>955</v>
      </c>
      <c r="B116" s="12" t="s">
        <v>956</v>
      </c>
      <c r="C116" s="12" t="s">
        <v>957</v>
      </c>
      <c r="D116" s="12" t="s">
        <v>1085</v>
      </c>
      <c r="E116" s="12" t="s">
        <v>958</v>
      </c>
      <c r="F116" s="13" t="s">
        <v>170</v>
      </c>
      <c r="G116" s="13" t="s">
        <v>16</v>
      </c>
      <c r="H116" s="13" t="s">
        <v>173</v>
      </c>
      <c r="I116" s="14"/>
      <c r="J116" s="23" t="str">
        <f>"115,0"</f>
        <v>115,0</v>
      </c>
      <c r="K116" s="24" t="str">
        <f>"84,6701"</f>
        <v>84,6701</v>
      </c>
      <c r="L116" s="12" t="s">
        <v>728</v>
      </c>
    </row>
    <row r="118" spans="1:12" ht="16">
      <c r="A118" s="49" t="s">
        <v>98</v>
      </c>
      <c r="B118" s="49"/>
      <c r="C118" s="49"/>
      <c r="D118" s="49"/>
      <c r="E118" s="49"/>
      <c r="F118" s="49"/>
      <c r="G118" s="49"/>
      <c r="H118" s="49"/>
      <c r="I118" s="49"/>
    </row>
    <row r="119" spans="1:12">
      <c r="A119" s="9" t="s">
        <v>959</v>
      </c>
      <c r="B119" s="9" t="s">
        <v>960</v>
      </c>
      <c r="C119" s="9" t="s">
        <v>961</v>
      </c>
      <c r="D119" s="9" t="s">
        <v>1077</v>
      </c>
      <c r="E119" s="9" t="s">
        <v>15</v>
      </c>
      <c r="F119" s="11" t="s">
        <v>81</v>
      </c>
      <c r="G119" s="11" t="s">
        <v>35</v>
      </c>
      <c r="H119" s="10" t="s">
        <v>82</v>
      </c>
      <c r="I119" s="10"/>
      <c r="J119" s="21" t="str">
        <f>"180,0"</f>
        <v>180,0</v>
      </c>
      <c r="K119" s="22" t="str">
        <f>"102,5640"</f>
        <v>102,5640</v>
      </c>
      <c r="L119" s="9" t="s">
        <v>962</v>
      </c>
    </row>
    <row r="120" spans="1:12">
      <c r="A120" s="15" t="s">
        <v>963</v>
      </c>
      <c r="B120" s="15" t="s">
        <v>964</v>
      </c>
      <c r="C120" s="15" t="s">
        <v>965</v>
      </c>
      <c r="D120" s="15" t="s">
        <v>1077</v>
      </c>
      <c r="E120" s="15" t="s">
        <v>15</v>
      </c>
      <c r="F120" s="17" t="s">
        <v>62</v>
      </c>
      <c r="G120" s="17" t="s">
        <v>62</v>
      </c>
      <c r="H120" s="17" t="s">
        <v>62</v>
      </c>
      <c r="I120" s="17"/>
      <c r="J120" s="25" t="str">
        <f>"0.00"</f>
        <v>0.00</v>
      </c>
      <c r="K120" s="26" t="str">
        <f>"0,0000"</f>
        <v>0,0000</v>
      </c>
      <c r="L120" s="15" t="s">
        <v>966</v>
      </c>
    </row>
    <row r="121" spans="1:12">
      <c r="A121" s="15" t="s">
        <v>967</v>
      </c>
      <c r="B121" s="15" t="s">
        <v>968</v>
      </c>
      <c r="C121" s="15" t="s">
        <v>969</v>
      </c>
      <c r="D121" s="15" t="s">
        <v>1078</v>
      </c>
      <c r="E121" s="15" t="s">
        <v>727</v>
      </c>
      <c r="F121" s="16" t="s">
        <v>30</v>
      </c>
      <c r="G121" s="16" t="s">
        <v>35</v>
      </c>
      <c r="H121" s="16" t="s">
        <v>82</v>
      </c>
      <c r="I121" s="17"/>
      <c r="J121" s="25" t="str">
        <f>"185,0"</f>
        <v>185,0</v>
      </c>
      <c r="K121" s="26" t="str">
        <f>"110,6537"</f>
        <v>110,6537</v>
      </c>
      <c r="L121" s="15" t="s">
        <v>728</v>
      </c>
    </row>
    <row r="122" spans="1:12">
      <c r="A122" s="15" t="s">
        <v>970</v>
      </c>
      <c r="B122" s="15" t="s">
        <v>971</v>
      </c>
      <c r="C122" s="15" t="s">
        <v>972</v>
      </c>
      <c r="D122" s="15" t="s">
        <v>1078</v>
      </c>
      <c r="E122" s="15" t="s">
        <v>455</v>
      </c>
      <c r="F122" s="16" t="s">
        <v>83</v>
      </c>
      <c r="G122" s="17" t="s">
        <v>18</v>
      </c>
      <c r="H122" s="17" t="s">
        <v>18</v>
      </c>
      <c r="I122" s="17"/>
      <c r="J122" s="25" t="str">
        <f>"125,0"</f>
        <v>125,0</v>
      </c>
      <c r="K122" s="26" t="str">
        <f>"73,5165"</f>
        <v>73,5165</v>
      </c>
      <c r="L122" s="15" t="s">
        <v>973</v>
      </c>
    </row>
    <row r="123" spans="1:12">
      <c r="A123" s="12" t="s">
        <v>974</v>
      </c>
      <c r="B123" s="12" t="s">
        <v>975</v>
      </c>
      <c r="C123" s="12" t="s">
        <v>976</v>
      </c>
      <c r="D123" s="12" t="s">
        <v>1083</v>
      </c>
      <c r="E123" s="12" t="s">
        <v>977</v>
      </c>
      <c r="F123" s="13" t="s">
        <v>260</v>
      </c>
      <c r="G123" s="13" t="s">
        <v>22</v>
      </c>
      <c r="H123" s="14"/>
      <c r="I123" s="14"/>
      <c r="J123" s="23" t="str">
        <f>"140,0"</f>
        <v>140,0</v>
      </c>
      <c r="K123" s="24" t="str">
        <f>"111,7415"</f>
        <v>111,7415</v>
      </c>
      <c r="L123" s="12" t="s">
        <v>978</v>
      </c>
    </row>
    <row r="125" spans="1:12" ht="16">
      <c r="A125" s="49" t="s">
        <v>103</v>
      </c>
      <c r="B125" s="49"/>
      <c r="C125" s="49"/>
      <c r="D125" s="49"/>
      <c r="E125" s="49"/>
      <c r="F125" s="49"/>
      <c r="G125" s="49"/>
      <c r="H125" s="49"/>
      <c r="I125" s="49"/>
    </row>
    <row r="126" spans="1:12">
      <c r="A126" s="9" t="s">
        <v>979</v>
      </c>
      <c r="B126" s="9" t="s">
        <v>980</v>
      </c>
      <c r="C126" s="9" t="s">
        <v>981</v>
      </c>
      <c r="D126" s="9" t="s">
        <v>1077</v>
      </c>
      <c r="E126" s="9" t="s">
        <v>15</v>
      </c>
      <c r="F126" s="11" t="s">
        <v>63</v>
      </c>
      <c r="G126" s="11" t="s">
        <v>30</v>
      </c>
      <c r="H126" s="11" t="s">
        <v>81</v>
      </c>
      <c r="I126" s="10"/>
      <c r="J126" s="21" t="str">
        <f>"175,0"</f>
        <v>175,0</v>
      </c>
      <c r="K126" s="22" t="str">
        <f>"98,8225"</f>
        <v>98,8225</v>
      </c>
      <c r="L126" s="9"/>
    </row>
    <row r="127" spans="1:12">
      <c r="A127" s="15" t="s">
        <v>982</v>
      </c>
      <c r="B127" s="15" t="s">
        <v>983</v>
      </c>
      <c r="C127" s="15" t="s">
        <v>984</v>
      </c>
      <c r="D127" s="15" t="s">
        <v>1077</v>
      </c>
      <c r="E127" s="15" t="s">
        <v>15</v>
      </c>
      <c r="F127" s="16" t="s">
        <v>155</v>
      </c>
      <c r="G127" s="16" t="s">
        <v>406</v>
      </c>
      <c r="H127" s="17" t="s">
        <v>29</v>
      </c>
      <c r="I127" s="17"/>
      <c r="J127" s="25" t="str">
        <f>"152,5"</f>
        <v>152,5</v>
      </c>
      <c r="K127" s="26" t="str">
        <f>"86,4827"</f>
        <v>86,4827</v>
      </c>
      <c r="L127" s="15" t="s">
        <v>985</v>
      </c>
    </row>
    <row r="128" spans="1:12">
      <c r="A128" s="12" t="s">
        <v>986</v>
      </c>
      <c r="B128" s="12" t="s">
        <v>987</v>
      </c>
      <c r="C128" s="12" t="s">
        <v>988</v>
      </c>
      <c r="D128" s="12" t="s">
        <v>1085</v>
      </c>
      <c r="E128" s="12" t="s">
        <v>15</v>
      </c>
      <c r="F128" s="13" t="s">
        <v>30</v>
      </c>
      <c r="G128" s="14" t="s">
        <v>81</v>
      </c>
      <c r="H128" s="14" t="s">
        <v>81</v>
      </c>
      <c r="I128" s="14"/>
      <c r="J128" s="23" t="str">
        <f>"170,0"</f>
        <v>170,0</v>
      </c>
      <c r="K128" s="24" t="str">
        <f>"119,8054"</f>
        <v>119,8054</v>
      </c>
      <c r="L128" s="12"/>
    </row>
    <row r="138" spans="1:4" ht="18">
      <c r="A138" s="27" t="s">
        <v>114</v>
      </c>
      <c r="B138" s="27"/>
    </row>
    <row r="139" spans="1:4" ht="16">
      <c r="A139" s="28" t="s">
        <v>115</v>
      </c>
      <c r="B139" s="28"/>
    </row>
    <row r="140" spans="1:4" ht="14">
      <c r="A140" s="30"/>
      <c r="B140" s="31" t="s">
        <v>304</v>
      </c>
    </row>
    <row r="141" spans="1:4" ht="14">
      <c r="A141" s="32" t="s">
        <v>117</v>
      </c>
      <c r="B141" s="32" t="s">
        <v>118</v>
      </c>
      <c r="C141" s="32" t="s">
        <v>119</v>
      </c>
      <c r="D141" s="32" t="s">
        <v>369</v>
      </c>
    </row>
    <row r="142" spans="1:4">
      <c r="A142" s="29" t="s">
        <v>989</v>
      </c>
      <c r="B142" s="4" t="s">
        <v>159</v>
      </c>
      <c r="C142" s="4" t="s">
        <v>499</v>
      </c>
      <c r="D142" s="4" t="s">
        <v>20</v>
      </c>
    </row>
    <row r="143" spans="1:4">
      <c r="A143" s="29" t="s">
        <v>990</v>
      </c>
      <c r="B143" s="4" t="s">
        <v>159</v>
      </c>
      <c r="C143" s="4" t="s">
        <v>187</v>
      </c>
      <c r="D143" s="4" t="s">
        <v>171</v>
      </c>
    </row>
    <row r="144" spans="1:4">
      <c r="A144" s="29" t="s">
        <v>991</v>
      </c>
      <c r="B144" s="4" t="s">
        <v>159</v>
      </c>
      <c r="C144" s="4" t="s">
        <v>121</v>
      </c>
      <c r="D144" s="4" t="s">
        <v>172</v>
      </c>
    </row>
    <row r="146" spans="1:4" ht="14">
      <c r="A146" s="30"/>
      <c r="B146" s="31" t="s">
        <v>497</v>
      </c>
    </row>
    <row r="147" spans="1:4" ht="14">
      <c r="A147" s="32" t="s">
        <v>117</v>
      </c>
      <c r="B147" s="32" t="s">
        <v>118</v>
      </c>
      <c r="C147" s="32" t="s">
        <v>119</v>
      </c>
      <c r="D147" s="32" t="s">
        <v>369</v>
      </c>
    </row>
    <row r="148" spans="1:4">
      <c r="A148" s="29" t="s">
        <v>992</v>
      </c>
      <c r="B148" s="4" t="s">
        <v>128</v>
      </c>
      <c r="C148" s="4" t="s">
        <v>499</v>
      </c>
      <c r="D148" s="4" t="s">
        <v>19</v>
      </c>
    </row>
    <row r="150" spans="1:4" ht="14">
      <c r="A150" s="30"/>
      <c r="B150" s="31" t="s">
        <v>116</v>
      </c>
    </row>
    <row r="151" spans="1:4" ht="14">
      <c r="A151" s="32" t="s">
        <v>117</v>
      </c>
      <c r="B151" s="32" t="s">
        <v>118</v>
      </c>
      <c r="C151" s="32" t="s">
        <v>119</v>
      </c>
      <c r="D151" s="32" t="s">
        <v>369</v>
      </c>
    </row>
    <row r="152" spans="1:4">
      <c r="A152" s="29" t="s">
        <v>176</v>
      </c>
      <c r="B152" s="4" t="s">
        <v>116</v>
      </c>
      <c r="C152" s="4" t="s">
        <v>187</v>
      </c>
      <c r="D152" s="4" t="s">
        <v>180</v>
      </c>
    </row>
    <row r="153" spans="1:4">
      <c r="A153" s="29" t="s">
        <v>993</v>
      </c>
      <c r="B153" s="4" t="s">
        <v>116</v>
      </c>
      <c r="C153" s="4" t="s">
        <v>499</v>
      </c>
      <c r="D153" s="4" t="s">
        <v>172</v>
      </c>
    </row>
    <row r="154" spans="1:4">
      <c r="A154" s="29" t="s">
        <v>994</v>
      </c>
      <c r="B154" s="4" t="s">
        <v>116</v>
      </c>
      <c r="C154" s="4" t="s">
        <v>123</v>
      </c>
      <c r="D154" s="4" t="s">
        <v>44</v>
      </c>
    </row>
    <row r="155" spans="1:4">
      <c r="A155" s="29" t="s">
        <v>995</v>
      </c>
      <c r="B155" s="4" t="s">
        <v>116</v>
      </c>
      <c r="C155" s="4" t="s">
        <v>187</v>
      </c>
      <c r="D155" s="4" t="s">
        <v>31</v>
      </c>
    </row>
    <row r="156" spans="1:4">
      <c r="A156" s="29" t="s">
        <v>996</v>
      </c>
      <c r="B156" s="4" t="s">
        <v>116</v>
      </c>
      <c r="C156" s="4" t="s">
        <v>187</v>
      </c>
      <c r="D156" s="4" t="s">
        <v>212</v>
      </c>
    </row>
    <row r="157" spans="1:4">
      <c r="A157" s="29" t="s">
        <v>997</v>
      </c>
      <c r="B157" s="4" t="s">
        <v>116</v>
      </c>
      <c r="C157" s="4" t="s">
        <v>189</v>
      </c>
      <c r="D157" s="4" t="s">
        <v>21</v>
      </c>
    </row>
    <row r="158" spans="1:4">
      <c r="A158" s="29" t="s">
        <v>998</v>
      </c>
      <c r="B158" s="4" t="s">
        <v>116</v>
      </c>
      <c r="C158" s="4" t="s">
        <v>306</v>
      </c>
      <c r="D158" s="4" t="s">
        <v>205</v>
      </c>
    </row>
    <row r="159" spans="1:4">
      <c r="A159" s="29" t="s">
        <v>999</v>
      </c>
      <c r="B159" s="4" t="s">
        <v>116</v>
      </c>
      <c r="C159" s="4" t="s">
        <v>306</v>
      </c>
      <c r="D159" s="4" t="s">
        <v>21</v>
      </c>
    </row>
    <row r="160" spans="1:4">
      <c r="A160" s="29" t="s">
        <v>1000</v>
      </c>
      <c r="B160" s="4" t="s">
        <v>116</v>
      </c>
      <c r="C160" s="4" t="s">
        <v>308</v>
      </c>
      <c r="D160" s="4" t="s">
        <v>744</v>
      </c>
    </row>
    <row r="162" spans="1:4" ht="14">
      <c r="A162" s="30"/>
      <c r="B162" s="31" t="s">
        <v>138</v>
      </c>
    </row>
    <row r="163" spans="1:4" ht="14">
      <c r="A163" s="32" t="s">
        <v>117</v>
      </c>
      <c r="B163" s="32" t="s">
        <v>118</v>
      </c>
      <c r="C163" s="32" t="s">
        <v>119</v>
      </c>
      <c r="D163" s="32" t="s">
        <v>369</v>
      </c>
    </row>
    <row r="164" spans="1:4">
      <c r="A164" s="29" t="s">
        <v>234</v>
      </c>
      <c r="B164" s="4" t="s">
        <v>311</v>
      </c>
      <c r="C164" s="4" t="s">
        <v>121</v>
      </c>
      <c r="D164" s="4" t="s">
        <v>31</v>
      </c>
    </row>
    <row r="165" spans="1:4">
      <c r="A165" s="29" t="s">
        <v>1001</v>
      </c>
      <c r="B165" s="4" t="s">
        <v>309</v>
      </c>
      <c r="C165" s="4" t="s">
        <v>123</v>
      </c>
      <c r="D165" s="4" t="s">
        <v>568</v>
      </c>
    </row>
    <row r="166" spans="1:4">
      <c r="A166" s="29" t="s">
        <v>1002</v>
      </c>
      <c r="B166" s="4" t="s">
        <v>498</v>
      </c>
      <c r="C166" s="4" t="s">
        <v>308</v>
      </c>
      <c r="D166" s="4" t="s">
        <v>172</v>
      </c>
    </row>
    <row r="169" spans="1:4" ht="16">
      <c r="A169" s="28" t="s">
        <v>126</v>
      </c>
      <c r="B169" s="28"/>
    </row>
    <row r="170" spans="1:4" ht="14">
      <c r="A170" s="30"/>
      <c r="B170" s="31" t="s">
        <v>158</v>
      </c>
    </row>
    <row r="171" spans="1:4" ht="14">
      <c r="A171" s="32" t="s">
        <v>117</v>
      </c>
      <c r="B171" s="32" t="s">
        <v>118</v>
      </c>
      <c r="C171" s="32" t="s">
        <v>119</v>
      </c>
      <c r="D171" s="32" t="s">
        <v>369</v>
      </c>
    </row>
    <row r="172" spans="1:4">
      <c r="A172" s="29" t="s">
        <v>1003</v>
      </c>
      <c r="B172" s="4" t="s">
        <v>159</v>
      </c>
      <c r="C172" s="4" t="s">
        <v>121</v>
      </c>
      <c r="D172" s="4" t="s">
        <v>17</v>
      </c>
    </row>
    <row r="173" spans="1:4">
      <c r="A173" s="29" t="s">
        <v>1004</v>
      </c>
      <c r="B173" s="4" t="s">
        <v>159</v>
      </c>
      <c r="C173" s="4" t="s">
        <v>306</v>
      </c>
      <c r="D173" s="4" t="s">
        <v>156</v>
      </c>
    </row>
    <row r="174" spans="1:4">
      <c r="A174" s="29" t="s">
        <v>1005</v>
      </c>
      <c r="B174" s="4" t="s">
        <v>159</v>
      </c>
      <c r="C174" s="4" t="s">
        <v>121</v>
      </c>
      <c r="D174" s="4" t="s">
        <v>180</v>
      </c>
    </row>
    <row r="175" spans="1:4">
      <c r="A175" s="29" t="s">
        <v>1006</v>
      </c>
      <c r="B175" s="4" t="s">
        <v>159</v>
      </c>
      <c r="C175" s="4" t="s">
        <v>306</v>
      </c>
      <c r="D175" s="4" t="s">
        <v>33</v>
      </c>
    </row>
    <row r="176" spans="1:4">
      <c r="A176" s="29" t="s">
        <v>1007</v>
      </c>
      <c r="B176" s="4" t="s">
        <v>159</v>
      </c>
      <c r="C176" s="4" t="s">
        <v>123</v>
      </c>
      <c r="D176" s="4" t="s">
        <v>19</v>
      </c>
    </row>
    <row r="177" spans="1:4">
      <c r="A177" s="29" t="s">
        <v>273</v>
      </c>
      <c r="B177" s="4" t="s">
        <v>159</v>
      </c>
      <c r="C177" s="4" t="s">
        <v>129</v>
      </c>
      <c r="D177" s="4" t="s">
        <v>239</v>
      </c>
    </row>
    <row r="179" spans="1:4" ht="14">
      <c r="A179" s="30"/>
      <c r="B179" s="31" t="s">
        <v>127</v>
      </c>
    </row>
    <row r="180" spans="1:4" ht="14">
      <c r="A180" s="32" t="s">
        <v>117</v>
      </c>
      <c r="B180" s="32" t="s">
        <v>118</v>
      </c>
      <c r="C180" s="32" t="s">
        <v>119</v>
      </c>
      <c r="D180" s="32" t="s">
        <v>369</v>
      </c>
    </row>
    <row r="181" spans="1:4">
      <c r="A181" s="29" t="s">
        <v>1008</v>
      </c>
      <c r="B181" s="4" t="s">
        <v>128</v>
      </c>
      <c r="C181" s="4" t="s">
        <v>136</v>
      </c>
      <c r="D181" s="4" t="s">
        <v>62</v>
      </c>
    </row>
    <row r="182" spans="1:4">
      <c r="A182" s="29" t="s">
        <v>1009</v>
      </c>
      <c r="B182" s="4" t="s">
        <v>128</v>
      </c>
      <c r="C182" s="4" t="s">
        <v>129</v>
      </c>
      <c r="D182" s="4" t="s">
        <v>29</v>
      </c>
    </row>
    <row r="183" spans="1:4">
      <c r="A183" s="29" t="s">
        <v>1010</v>
      </c>
      <c r="B183" s="4" t="s">
        <v>128</v>
      </c>
      <c r="C183" s="4" t="s">
        <v>131</v>
      </c>
      <c r="D183" s="4" t="s">
        <v>29</v>
      </c>
    </row>
    <row r="184" spans="1:4">
      <c r="A184" s="29" t="s">
        <v>1011</v>
      </c>
      <c r="B184" s="4" t="s">
        <v>128</v>
      </c>
      <c r="C184" s="4" t="s">
        <v>136</v>
      </c>
      <c r="D184" s="4" t="s">
        <v>505</v>
      </c>
    </row>
    <row r="185" spans="1:4">
      <c r="A185" s="29" t="s">
        <v>1012</v>
      </c>
      <c r="B185" s="4" t="s">
        <v>128</v>
      </c>
      <c r="C185" s="4" t="s">
        <v>121</v>
      </c>
      <c r="D185" s="4" t="s">
        <v>783</v>
      </c>
    </row>
    <row r="187" spans="1:4" ht="14">
      <c r="A187" s="30"/>
      <c r="B187" s="31" t="s">
        <v>116</v>
      </c>
    </row>
    <row r="188" spans="1:4" ht="14">
      <c r="A188" s="32" t="s">
        <v>117</v>
      </c>
      <c r="B188" s="32" t="s">
        <v>118</v>
      </c>
      <c r="C188" s="32" t="s">
        <v>119</v>
      </c>
      <c r="D188" s="32" t="s">
        <v>369</v>
      </c>
    </row>
    <row r="189" spans="1:4">
      <c r="A189" s="29" t="s">
        <v>1013</v>
      </c>
      <c r="B189" s="4" t="s">
        <v>116</v>
      </c>
      <c r="C189" s="4" t="s">
        <v>136</v>
      </c>
      <c r="D189" s="4" t="s">
        <v>34</v>
      </c>
    </row>
    <row r="190" spans="1:4">
      <c r="A190" s="29" t="s">
        <v>1014</v>
      </c>
      <c r="B190" s="4" t="s">
        <v>116</v>
      </c>
      <c r="C190" s="4" t="s">
        <v>131</v>
      </c>
      <c r="D190" s="4" t="s">
        <v>36</v>
      </c>
    </row>
    <row r="191" spans="1:4">
      <c r="A191" s="29" t="s">
        <v>1015</v>
      </c>
      <c r="B191" s="4" t="s">
        <v>116</v>
      </c>
      <c r="C191" s="4" t="s">
        <v>129</v>
      </c>
      <c r="D191" s="4" t="s">
        <v>147</v>
      </c>
    </row>
    <row r="192" spans="1:4">
      <c r="A192" s="29" t="s">
        <v>1016</v>
      </c>
      <c r="B192" s="4" t="s">
        <v>116</v>
      </c>
      <c r="C192" s="4" t="s">
        <v>131</v>
      </c>
      <c r="D192" s="4" t="s">
        <v>147</v>
      </c>
    </row>
    <row r="193" spans="1:4">
      <c r="A193" s="29" t="s">
        <v>1017</v>
      </c>
      <c r="B193" s="4" t="s">
        <v>116</v>
      </c>
      <c r="C193" s="4" t="s">
        <v>129</v>
      </c>
      <c r="D193" s="4" t="s">
        <v>30</v>
      </c>
    </row>
    <row r="194" spans="1:4">
      <c r="A194" s="29" t="s">
        <v>1018</v>
      </c>
      <c r="B194" s="4" t="s">
        <v>116</v>
      </c>
      <c r="C194" s="4" t="s">
        <v>121</v>
      </c>
      <c r="D194" s="4" t="s">
        <v>43</v>
      </c>
    </row>
    <row r="195" spans="1:4">
      <c r="A195" s="29" t="s">
        <v>1019</v>
      </c>
      <c r="B195" s="4" t="s">
        <v>116</v>
      </c>
      <c r="C195" s="4" t="s">
        <v>187</v>
      </c>
      <c r="D195" s="4" t="s">
        <v>85</v>
      </c>
    </row>
    <row r="196" spans="1:4">
      <c r="A196" s="29" t="s">
        <v>1020</v>
      </c>
      <c r="B196" s="4" t="s">
        <v>116</v>
      </c>
      <c r="C196" s="4" t="s">
        <v>129</v>
      </c>
      <c r="D196" s="4" t="s">
        <v>30</v>
      </c>
    </row>
    <row r="197" spans="1:4">
      <c r="A197" s="29" t="s">
        <v>1021</v>
      </c>
      <c r="B197" s="4" t="s">
        <v>116</v>
      </c>
      <c r="C197" s="4" t="s">
        <v>136</v>
      </c>
      <c r="D197" s="4" t="s">
        <v>29</v>
      </c>
    </row>
    <row r="198" spans="1:4">
      <c r="A198" s="29" t="s">
        <v>1022</v>
      </c>
      <c r="B198" s="4" t="s">
        <v>116</v>
      </c>
      <c r="C198" s="4" t="s">
        <v>136</v>
      </c>
      <c r="D198" s="4" t="s">
        <v>448</v>
      </c>
    </row>
    <row r="199" spans="1:4">
      <c r="A199" s="29" t="s">
        <v>1023</v>
      </c>
      <c r="B199" s="4" t="s">
        <v>116</v>
      </c>
      <c r="C199" s="4" t="s">
        <v>131</v>
      </c>
      <c r="D199" s="4" t="s">
        <v>30</v>
      </c>
    </row>
    <row r="200" spans="1:4">
      <c r="A200" s="29" t="s">
        <v>1024</v>
      </c>
      <c r="B200" s="4" t="s">
        <v>116</v>
      </c>
      <c r="C200" s="4" t="s">
        <v>191</v>
      </c>
      <c r="D200" s="4" t="s">
        <v>35</v>
      </c>
    </row>
    <row r="201" spans="1:4">
      <c r="A201" s="29" t="s">
        <v>1025</v>
      </c>
      <c r="B201" s="4" t="s">
        <v>116</v>
      </c>
      <c r="C201" s="4" t="s">
        <v>129</v>
      </c>
      <c r="D201" s="4" t="s">
        <v>63</v>
      </c>
    </row>
    <row r="202" spans="1:4">
      <c r="A202" s="29" t="s">
        <v>1026</v>
      </c>
      <c r="B202" s="4" t="s">
        <v>116</v>
      </c>
      <c r="C202" s="4" t="s">
        <v>308</v>
      </c>
      <c r="D202" s="4" t="s">
        <v>602</v>
      </c>
    </row>
    <row r="203" spans="1:4">
      <c r="A203" s="29" t="s">
        <v>267</v>
      </c>
      <c r="B203" s="4" t="s">
        <v>116</v>
      </c>
      <c r="C203" s="4" t="s">
        <v>136</v>
      </c>
      <c r="D203" s="4" t="s">
        <v>43</v>
      </c>
    </row>
    <row r="204" spans="1:4">
      <c r="A204" s="29" t="s">
        <v>1027</v>
      </c>
      <c r="B204" s="4" t="s">
        <v>116</v>
      </c>
      <c r="C204" s="4" t="s">
        <v>136</v>
      </c>
      <c r="D204" s="4" t="s">
        <v>62</v>
      </c>
    </row>
    <row r="205" spans="1:4">
      <c r="A205" s="29" t="s">
        <v>1028</v>
      </c>
      <c r="B205" s="4" t="s">
        <v>116</v>
      </c>
      <c r="C205" s="4" t="s">
        <v>133</v>
      </c>
      <c r="D205" s="4" t="s">
        <v>81</v>
      </c>
    </row>
    <row r="206" spans="1:4">
      <c r="A206" s="29" t="s">
        <v>1009</v>
      </c>
      <c r="B206" s="4" t="s">
        <v>116</v>
      </c>
      <c r="C206" s="4" t="s">
        <v>129</v>
      </c>
      <c r="D206" s="4" t="s">
        <v>29</v>
      </c>
    </row>
    <row r="207" spans="1:4">
      <c r="A207" s="29" t="s">
        <v>1029</v>
      </c>
      <c r="B207" s="4" t="s">
        <v>116</v>
      </c>
      <c r="C207" s="4" t="s">
        <v>308</v>
      </c>
      <c r="D207" s="4" t="s">
        <v>282</v>
      </c>
    </row>
    <row r="208" spans="1:4">
      <c r="A208" s="29" t="s">
        <v>1030</v>
      </c>
      <c r="B208" s="4" t="s">
        <v>116</v>
      </c>
      <c r="C208" s="4" t="s">
        <v>131</v>
      </c>
      <c r="D208" s="4" t="s">
        <v>62</v>
      </c>
    </row>
    <row r="209" spans="1:4">
      <c r="A209" s="29" t="s">
        <v>1031</v>
      </c>
      <c r="B209" s="4" t="s">
        <v>116</v>
      </c>
      <c r="C209" s="4" t="s">
        <v>308</v>
      </c>
      <c r="D209" s="4" t="s">
        <v>260</v>
      </c>
    </row>
    <row r="210" spans="1:4">
      <c r="A210" s="29" t="s">
        <v>1032</v>
      </c>
      <c r="B210" s="4" t="s">
        <v>116</v>
      </c>
      <c r="C210" s="4" t="s">
        <v>129</v>
      </c>
      <c r="D210" s="4" t="s">
        <v>43</v>
      </c>
    </row>
    <row r="211" spans="1:4">
      <c r="A211" s="29" t="s">
        <v>1033</v>
      </c>
      <c r="B211" s="4" t="s">
        <v>116</v>
      </c>
      <c r="C211" s="4" t="s">
        <v>136</v>
      </c>
      <c r="D211" s="4" t="s">
        <v>22</v>
      </c>
    </row>
    <row r="212" spans="1:4">
      <c r="A212" s="29" t="s">
        <v>1034</v>
      </c>
      <c r="B212" s="4" t="s">
        <v>116</v>
      </c>
      <c r="C212" s="4" t="s">
        <v>136</v>
      </c>
      <c r="D212" s="4" t="s">
        <v>85</v>
      </c>
    </row>
    <row r="214" spans="1:4" ht="14">
      <c r="A214" s="30"/>
      <c r="B214" s="31" t="s">
        <v>138</v>
      </c>
    </row>
    <row r="215" spans="1:4" ht="14">
      <c r="A215" s="32" t="s">
        <v>117</v>
      </c>
      <c r="B215" s="32" t="s">
        <v>118</v>
      </c>
      <c r="C215" s="32" t="s">
        <v>119</v>
      </c>
      <c r="D215" s="32" t="s">
        <v>369</v>
      </c>
    </row>
    <row r="216" spans="1:4">
      <c r="A216" s="29" t="s">
        <v>1035</v>
      </c>
      <c r="B216" s="4" t="s">
        <v>1036</v>
      </c>
      <c r="C216" s="4" t="s">
        <v>308</v>
      </c>
      <c r="D216" s="4" t="s">
        <v>282</v>
      </c>
    </row>
    <row r="217" spans="1:4">
      <c r="A217" s="29" t="s">
        <v>1037</v>
      </c>
      <c r="B217" s="4" t="s">
        <v>1038</v>
      </c>
      <c r="C217" s="4" t="s">
        <v>121</v>
      </c>
      <c r="D217" s="4" t="s">
        <v>198</v>
      </c>
    </row>
    <row r="218" spans="1:4">
      <c r="A218" s="29" t="s">
        <v>1039</v>
      </c>
      <c r="B218" s="4" t="s">
        <v>311</v>
      </c>
      <c r="C218" s="4" t="s">
        <v>133</v>
      </c>
      <c r="D218" s="4" t="s">
        <v>30</v>
      </c>
    </row>
    <row r="219" spans="1:4">
      <c r="A219" s="29" t="s">
        <v>1040</v>
      </c>
      <c r="B219" s="4" t="s">
        <v>500</v>
      </c>
      <c r="C219" s="4" t="s">
        <v>187</v>
      </c>
      <c r="D219" s="4" t="s">
        <v>33</v>
      </c>
    </row>
    <row r="220" spans="1:4">
      <c r="A220" s="29" t="s">
        <v>1013</v>
      </c>
      <c r="B220" s="4" t="s">
        <v>139</v>
      </c>
      <c r="C220" s="4" t="s">
        <v>136</v>
      </c>
      <c r="D220" s="4" t="s">
        <v>34</v>
      </c>
    </row>
    <row r="221" spans="1:4">
      <c r="A221" s="29" t="s">
        <v>1041</v>
      </c>
      <c r="B221" s="4" t="s">
        <v>309</v>
      </c>
      <c r="C221" s="4" t="s">
        <v>131</v>
      </c>
      <c r="D221" s="4" t="s">
        <v>30</v>
      </c>
    </row>
    <row r="222" spans="1:4">
      <c r="A222" s="29" t="s">
        <v>1042</v>
      </c>
      <c r="B222" s="4" t="s">
        <v>498</v>
      </c>
      <c r="C222" s="4" t="s">
        <v>131</v>
      </c>
      <c r="D222" s="4" t="s">
        <v>147</v>
      </c>
    </row>
    <row r="223" spans="1:4">
      <c r="A223" s="29" t="s">
        <v>1043</v>
      </c>
      <c r="B223" s="4" t="s">
        <v>311</v>
      </c>
      <c r="C223" s="4" t="s">
        <v>129</v>
      </c>
      <c r="D223" s="4" t="s">
        <v>43</v>
      </c>
    </row>
    <row r="224" spans="1:4">
      <c r="A224" s="29" t="s">
        <v>1044</v>
      </c>
      <c r="B224" s="4" t="s">
        <v>666</v>
      </c>
      <c r="C224" s="4" t="s">
        <v>191</v>
      </c>
      <c r="D224" s="4" t="s">
        <v>22</v>
      </c>
    </row>
    <row r="225" spans="1:4">
      <c r="A225" s="29" t="s">
        <v>1045</v>
      </c>
      <c r="B225" s="4" t="s">
        <v>139</v>
      </c>
      <c r="C225" s="4" t="s">
        <v>191</v>
      </c>
      <c r="D225" s="4" t="s">
        <v>82</v>
      </c>
    </row>
    <row r="226" spans="1:4">
      <c r="A226" s="29" t="s">
        <v>1023</v>
      </c>
      <c r="B226" s="4" t="s">
        <v>498</v>
      </c>
      <c r="C226" s="4" t="s">
        <v>131</v>
      </c>
      <c r="D226" s="4" t="s">
        <v>30</v>
      </c>
    </row>
    <row r="227" spans="1:4">
      <c r="A227" s="29" t="s">
        <v>1046</v>
      </c>
      <c r="B227" s="4" t="s">
        <v>309</v>
      </c>
      <c r="C227" s="4" t="s">
        <v>136</v>
      </c>
      <c r="D227" s="4" t="s">
        <v>155</v>
      </c>
    </row>
    <row r="228" spans="1:4">
      <c r="A228" s="29" t="s">
        <v>1047</v>
      </c>
      <c r="B228" s="4" t="s">
        <v>139</v>
      </c>
      <c r="C228" s="4" t="s">
        <v>129</v>
      </c>
      <c r="D228" s="4" t="s">
        <v>63</v>
      </c>
    </row>
    <row r="229" spans="1:4">
      <c r="A229" s="29" t="s">
        <v>422</v>
      </c>
      <c r="B229" s="4" t="s">
        <v>500</v>
      </c>
      <c r="C229" s="4" t="s">
        <v>308</v>
      </c>
      <c r="D229" s="4" t="s">
        <v>198</v>
      </c>
    </row>
    <row r="230" spans="1:4">
      <c r="A230" s="29" t="s">
        <v>1048</v>
      </c>
      <c r="B230" s="4" t="s">
        <v>498</v>
      </c>
      <c r="C230" s="4" t="s">
        <v>129</v>
      </c>
      <c r="D230" s="4" t="s">
        <v>43</v>
      </c>
    </row>
    <row r="231" spans="1:4">
      <c r="A231" s="29" t="s">
        <v>1049</v>
      </c>
      <c r="B231" s="4" t="s">
        <v>139</v>
      </c>
      <c r="C231" s="4" t="s">
        <v>131</v>
      </c>
      <c r="D231" s="4" t="s">
        <v>62</v>
      </c>
    </row>
    <row r="232" spans="1:4">
      <c r="A232" s="29" t="s">
        <v>1050</v>
      </c>
      <c r="B232" s="4" t="s">
        <v>309</v>
      </c>
      <c r="C232" s="4" t="s">
        <v>187</v>
      </c>
      <c r="D232" s="4" t="s">
        <v>170</v>
      </c>
    </row>
    <row r="233" spans="1:4">
      <c r="A233" s="29" t="s">
        <v>1051</v>
      </c>
      <c r="B233" s="4" t="s">
        <v>139</v>
      </c>
      <c r="C233" s="4" t="s">
        <v>131</v>
      </c>
      <c r="D233" s="4" t="s">
        <v>43</v>
      </c>
    </row>
    <row r="234" spans="1:4">
      <c r="A234" s="29" t="s">
        <v>1052</v>
      </c>
      <c r="B234" s="4" t="s">
        <v>498</v>
      </c>
      <c r="C234" s="4" t="s">
        <v>129</v>
      </c>
      <c r="D234" s="4" t="s">
        <v>22</v>
      </c>
    </row>
    <row r="235" spans="1:4">
      <c r="A235" s="29" t="s">
        <v>1053</v>
      </c>
      <c r="B235" s="4" t="s">
        <v>498</v>
      </c>
      <c r="C235" s="4" t="s">
        <v>129</v>
      </c>
      <c r="D235" s="4" t="s">
        <v>85</v>
      </c>
    </row>
    <row r="236" spans="1:4">
      <c r="A236" s="29" t="s">
        <v>1054</v>
      </c>
      <c r="B236" s="4" t="s">
        <v>498</v>
      </c>
      <c r="C236" s="4" t="s">
        <v>136</v>
      </c>
      <c r="D236" s="4" t="s">
        <v>18</v>
      </c>
    </row>
    <row r="237" spans="1:4">
      <c r="A237" s="29" t="s">
        <v>1055</v>
      </c>
      <c r="B237" s="4" t="s">
        <v>139</v>
      </c>
      <c r="C237" s="4" t="s">
        <v>129</v>
      </c>
      <c r="D237" s="4" t="s">
        <v>260</v>
      </c>
    </row>
    <row r="238" spans="1:4">
      <c r="A238" s="29" t="s">
        <v>1056</v>
      </c>
      <c r="B238" s="4" t="s">
        <v>311</v>
      </c>
      <c r="C238" s="4" t="s">
        <v>131</v>
      </c>
      <c r="D238" s="4" t="s">
        <v>173</v>
      </c>
    </row>
    <row r="239" spans="1:4">
      <c r="A239" s="29" t="s">
        <v>1057</v>
      </c>
      <c r="B239" s="4" t="s">
        <v>498</v>
      </c>
      <c r="C239" s="4" t="s">
        <v>131</v>
      </c>
      <c r="D239" s="4" t="s">
        <v>18</v>
      </c>
    </row>
  </sheetData>
  <mergeCells count="27">
    <mergeCell ref="A125:I125"/>
    <mergeCell ref="A28:I28"/>
    <mergeCell ref="A32:I32"/>
    <mergeCell ref="A36:I36"/>
    <mergeCell ref="A40:I40"/>
    <mergeCell ref="A44:I44"/>
    <mergeCell ref="A49:I49"/>
    <mergeCell ref="A60:I60"/>
    <mergeCell ref="A67:I67"/>
    <mergeCell ref="A85:I85"/>
    <mergeCell ref="A103:I103"/>
    <mergeCell ref="A118:I118"/>
    <mergeCell ref="A22:I22"/>
    <mergeCell ref="A1:L2"/>
    <mergeCell ref="A3:A4"/>
    <mergeCell ref="B3:B4"/>
    <mergeCell ref="C3:C4"/>
    <mergeCell ref="D3:D4"/>
    <mergeCell ref="E3:E4"/>
    <mergeCell ref="F3:I3"/>
    <mergeCell ref="J3:J4"/>
    <mergeCell ref="K3:K4"/>
    <mergeCell ref="L3:L4"/>
    <mergeCell ref="A5:I5"/>
    <mergeCell ref="A10:I10"/>
    <mergeCell ref="A13:I13"/>
    <mergeCell ref="A18:I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5">
    <pageSetUpPr fitToPage="1"/>
  </sheetPr>
  <dimension ref="A1:T62"/>
  <sheetViews>
    <sheetView workbookViewId="0">
      <selection activeCell="D29" sqref="D29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8.5" style="4" bestFit="1" customWidth="1"/>
    <col min="5" max="5" width="28.83203125" style="4" bestFit="1" customWidth="1"/>
    <col min="6" max="8" width="5.5" style="3" customWidth="1"/>
    <col min="9" max="9" width="4.83203125" style="3" customWidth="1"/>
    <col min="10" max="12" width="5.5" style="3" customWidth="1"/>
    <col min="13" max="13" width="4.83203125" style="3" customWidth="1"/>
    <col min="14" max="16" width="5.5" style="3" customWidth="1"/>
    <col min="17" max="17" width="4.83203125" style="3" customWidth="1"/>
    <col min="18" max="18" width="7.83203125" style="18" bestFit="1" customWidth="1"/>
    <col min="19" max="19" width="8.5" style="2" bestFit="1" customWidth="1"/>
    <col min="20" max="20" width="16.6640625" style="4" bestFit="1" customWidth="1"/>
    <col min="21" max="16384" width="9.1640625" style="3"/>
  </cols>
  <sheetData>
    <row r="1" spans="1:20" s="2" customFormat="1" ht="29" customHeight="1">
      <c r="A1" s="34" t="s">
        <v>516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0" s="2" customFormat="1" ht="62" customHeight="1" thickBo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/>
    </row>
    <row r="3" spans="1:20" s="1" customFormat="1" ht="12.75" customHeight="1">
      <c r="A3" s="40" t="s">
        <v>0</v>
      </c>
      <c r="B3" s="42" t="s">
        <v>1075</v>
      </c>
      <c r="C3" s="42" t="s">
        <v>6</v>
      </c>
      <c r="D3" s="44" t="s">
        <v>1076</v>
      </c>
      <c r="E3" s="44" t="s">
        <v>5</v>
      </c>
      <c r="F3" s="44" t="s">
        <v>7</v>
      </c>
      <c r="G3" s="44"/>
      <c r="H3" s="44"/>
      <c r="I3" s="44"/>
      <c r="J3" s="44" t="s">
        <v>8</v>
      </c>
      <c r="K3" s="44"/>
      <c r="L3" s="44"/>
      <c r="M3" s="44"/>
      <c r="N3" s="44" t="s">
        <v>9</v>
      </c>
      <c r="O3" s="44"/>
      <c r="P3" s="44"/>
      <c r="Q3" s="44"/>
      <c r="R3" s="44" t="s">
        <v>1</v>
      </c>
      <c r="S3" s="44" t="s">
        <v>3</v>
      </c>
      <c r="T3" s="45" t="s">
        <v>2</v>
      </c>
    </row>
    <row r="4" spans="1:20" s="1" customFormat="1" ht="21" customHeight="1" thickBot="1">
      <c r="A4" s="41"/>
      <c r="B4" s="43"/>
      <c r="C4" s="43"/>
      <c r="D4" s="43"/>
      <c r="E4" s="43"/>
      <c r="F4" s="5">
        <v>1</v>
      </c>
      <c r="G4" s="5">
        <v>2</v>
      </c>
      <c r="H4" s="5">
        <v>3</v>
      </c>
      <c r="I4" s="5" t="s">
        <v>4</v>
      </c>
      <c r="J4" s="5">
        <v>1</v>
      </c>
      <c r="K4" s="5">
        <v>2</v>
      </c>
      <c r="L4" s="5">
        <v>3</v>
      </c>
      <c r="M4" s="5" t="s">
        <v>4</v>
      </c>
      <c r="N4" s="5">
        <v>1</v>
      </c>
      <c r="O4" s="5">
        <v>2</v>
      </c>
      <c r="P4" s="5">
        <v>3</v>
      </c>
      <c r="Q4" s="5" t="s">
        <v>4</v>
      </c>
      <c r="R4" s="43"/>
      <c r="S4" s="43"/>
      <c r="T4" s="46"/>
    </row>
    <row r="5" spans="1:20" ht="16">
      <c r="A5" s="47" t="s">
        <v>10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20">
      <c r="A6" s="6" t="s">
        <v>12</v>
      </c>
      <c r="B6" s="6" t="s">
        <v>13</v>
      </c>
      <c r="C6" s="6" t="s">
        <v>14</v>
      </c>
      <c r="D6" s="6" t="s">
        <v>1077</v>
      </c>
      <c r="E6" s="6" t="s">
        <v>15</v>
      </c>
      <c r="F6" s="7" t="s">
        <v>16</v>
      </c>
      <c r="G6" s="7" t="s">
        <v>17</v>
      </c>
      <c r="H6" s="7" t="s">
        <v>18</v>
      </c>
      <c r="I6" s="8"/>
      <c r="J6" s="7" t="s">
        <v>19</v>
      </c>
      <c r="K6" s="7" t="s">
        <v>20</v>
      </c>
      <c r="L6" s="7" t="s">
        <v>21</v>
      </c>
      <c r="M6" s="8"/>
      <c r="N6" s="7" t="s">
        <v>17</v>
      </c>
      <c r="O6" s="7" t="s">
        <v>18</v>
      </c>
      <c r="P6" s="7" t="s">
        <v>22</v>
      </c>
      <c r="Q6" s="8"/>
      <c r="R6" s="19" t="str">
        <f>"320,0"</f>
        <v>320,0</v>
      </c>
      <c r="S6" s="20" t="str">
        <f>"389,0880"</f>
        <v>389,0880</v>
      </c>
      <c r="T6" s="6" t="s">
        <v>23</v>
      </c>
    </row>
    <row r="8" spans="1:20" ht="16">
      <c r="A8" s="49" t="s">
        <v>24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20">
      <c r="A9" s="9" t="s">
        <v>26</v>
      </c>
      <c r="B9" s="9" t="s">
        <v>27</v>
      </c>
      <c r="C9" s="9" t="s">
        <v>28</v>
      </c>
      <c r="D9" s="9" t="s">
        <v>1077</v>
      </c>
      <c r="E9" s="9" t="s">
        <v>15</v>
      </c>
      <c r="F9" s="10" t="s">
        <v>29</v>
      </c>
      <c r="G9" s="11" t="s">
        <v>29</v>
      </c>
      <c r="H9" s="11" t="s">
        <v>30</v>
      </c>
      <c r="I9" s="10"/>
      <c r="J9" s="11" t="s">
        <v>31</v>
      </c>
      <c r="K9" s="11" t="s">
        <v>32</v>
      </c>
      <c r="L9" s="11" t="s">
        <v>33</v>
      </c>
      <c r="M9" s="10"/>
      <c r="N9" s="11" t="s">
        <v>34</v>
      </c>
      <c r="O9" s="11" t="s">
        <v>35</v>
      </c>
      <c r="P9" s="11" t="s">
        <v>36</v>
      </c>
      <c r="Q9" s="10"/>
      <c r="R9" s="21" t="str">
        <f>"435,0"</f>
        <v>435,0</v>
      </c>
      <c r="S9" s="22" t="str">
        <f>"427,7790"</f>
        <v>427,7790</v>
      </c>
      <c r="T9" s="9" t="s">
        <v>37</v>
      </c>
    </row>
    <row r="10" spans="1:20">
      <c r="A10" s="12" t="s">
        <v>39</v>
      </c>
      <c r="B10" s="12" t="s">
        <v>40</v>
      </c>
      <c r="C10" s="12" t="s">
        <v>41</v>
      </c>
      <c r="D10" s="12" t="s">
        <v>1077</v>
      </c>
      <c r="E10" s="12" t="s">
        <v>42</v>
      </c>
      <c r="F10" s="13" t="s">
        <v>43</v>
      </c>
      <c r="G10" s="13" t="s">
        <v>29</v>
      </c>
      <c r="H10" s="14"/>
      <c r="I10" s="14"/>
      <c r="J10" s="13" t="s">
        <v>44</v>
      </c>
      <c r="K10" s="13" t="s">
        <v>31</v>
      </c>
      <c r="L10" s="14" t="s">
        <v>32</v>
      </c>
      <c r="M10" s="14"/>
      <c r="N10" s="13" t="s">
        <v>43</v>
      </c>
      <c r="O10" s="13" t="s">
        <v>29</v>
      </c>
      <c r="P10" s="14"/>
      <c r="Q10" s="14"/>
      <c r="R10" s="23" t="str">
        <f>"385,0"</f>
        <v>385,0</v>
      </c>
      <c r="S10" s="24" t="str">
        <f>"380,7650"</f>
        <v>380,7650</v>
      </c>
      <c r="T10" s="12" t="s">
        <v>37</v>
      </c>
    </row>
    <row r="12" spans="1:20" ht="16">
      <c r="A12" s="49" t="s">
        <v>45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</row>
    <row r="13" spans="1:20">
      <c r="A13" s="6" t="s">
        <v>47</v>
      </c>
      <c r="B13" s="6" t="s">
        <v>48</v>
      </c>
      <c r="C13" s="6" t="s">
        <v>49</v>
      </c>
      <c r="D13" s="6" t="s">
        <v>1077</v>
      </c>
      <c r="E13" s="6" t="s">
        <v>50</v>
      </c>
      <c r="F13" s="7" t="s">
        <v>51</v>
      </c>
      <c r="G13" s="7" t="s">
        <v>52</v>
      </c>
      <c r="H13" s="7" t="s">
        <v>53</v>
      </c>
      <c r="I13" s="8"/>
      <c r="J13" s="7" t="s">
        <v>22</v>
      </c>
      <c r="K13" s="7" t="s">
        <v>43</v>
      </c>
      <c r="L13" s="8"/>
      <c r="M13" s="8"/>
      <c r="N13" s="7" t="s">
        <v>51</v>
      </c>
      <c r="O13" s="7" t="s">
        <v>52</v>
      </c>
      <c r="P13" s="8" t="s">
        <v>53</v>
      </c>
      <c r="Q13" s="8"/>
      <c r="R13" s="19" t="str">
        <f>"620,0"</f>
        <v>620,0</v>
      </c>
      <c r="S13" s="20" t="str">
        <f>"400,9540"</f>
        <v>400,9540</v>
      </c>
      <c r="T13" s="6" t="s">
        <v>54</v>
      </c>
    </row>
    <row r="15" spans="1:20" ht="16">
      <c r="A15" s="49" t="s">
        <v>55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</row>
    <row r="16" spans="1:20">
      <c r="A16" s="9" t="s">
        <v>57</v>
      </c>
      <c r="B16" s="9" t="s">
        <v>58</v>
      </c>
      <c r="C16" s="9" t="s">
        <v>59</v>
      </c>
      <c r="D16" s="9" t="s">
        <v>1079</v>
      </c>
      <c r="E16" s="9" t="s">
        <v>15</v>
      </c>
      <c r="F16" s="11" t="s">
        <v>60</v>
      </c>
      <c r="G16" s="10" t="s">
        <v>61</v>
      </c>
      <c r="H16" s="10" t="s">
        <v>61</v>
      </c>
      <c r="I16" s="10"/>
      <c r="J16" s="11" t="s">
        <v>62</v>
      </c>
      <c r="K16" s="11" t="s">
        <v>63</v>
      </c>
      <c r="L16" s="10" t="s">
        <v>34</v>
      </c>
      <c r="M16" s="10"/>
      <c r="N16" s="11" t="s">
        <v>53</v>
      </c>
      <c r="O16" s="11" t="s">
        <v>64</v>
      </c>
      <c r="P16" s="11" t="s">
        <v>65</v>
      </c>
      <c r="Q16" s="10"/>
      <c r="R16" s="21" t="str">
        <f>"725,0"</f>
        <v>725,0</v>
      </c>
      <c r="S16" s="22" t="str">
        <f>"442,6850"</f>
        <v>442,6850</v>
      </c>
      <c r="T16" s="9" t="s">
        <v>66</v>
      </c>
    </row>
    <row r="17" spans="1:20">
      <c r="A17" s="15" t="s">
        <v>57</v>
      </c>
      <c r="B17" s="15" t="s">
        <v>67</v>
      </c>
      <c r="C17" s="15" t="s">
        <v>59</v>
      </c>
      <c r="D17" s="15" t="s">
        <v>1077</v>
      </c>
      <c r="E17" s="15" t="s">
        <v>15</v>
      </c>
      <c r="F17" s="16" t="s">
        <v>60</v>
      </c>
      <c r="G17" s="17" t="s">
        <v>61</v>
      </c>
      <c r="H17" s="17" t="s">
        <v>61</v>
      </c>
      <c r="I17" s="17"/>
      <c r="J17" s="16" t="s">
        <v>62</v>
      </c>
      <c r="K17" s="16" t="s">
        <v>63</v>
      </c>
      <c r="L17" s="17" t="s">
        <v>34</v>
      </c>
      <c r="M17" s="17"/>
      <c r="N17" s="16" t="s">
        <v>53</v>
      </c>
      <c r="O17" s="16" t="s">
        <v>64</v>
      </c>
      <c r="P17" s="16" t="s">
        <v>65</v>
      </c>
      <c r="Q17" s="17"/>
      <c r="R17" s="25" t="str">
        <f>"725,0"</f>
        <v>725,0</v>
      </c>
      <c r="S17" s="26" t="str">
        <f>"442,6850"</f>
        <v>442,6850</v>
      </c>
      <c r="T17" s="15" t="s">
        <v>66</v>
      </c>
    </row>
    <row r="18" spans="1:20">
      <c r="A18" s="15" t="s">
        <v>69</v>
      </c>
      <c r="B18" s="15" t="s">
        <v>70</v>
      </c>
      <c r="C18" s="15" t="s">
        <v>71</v>
      </c>
      <c r="D18" s="15" t="s">
        <v>1077</v>
      </c>
      <c r="E18" s="15" t="s">
        <v>15</v>
      </c>
      <c r="F18" s="16" t="s">
        <v>72</v>
      </c>
      <c r="G18" s="16" t="s">
        <v>64</v>
      </c>
      <c r="H18" s="17" t="s">
        <v>65</v>
      </c>
      <c r="I18" s="17"/>
      <c r="J18" s="16" t="s">
        <v>43</v>
      </c>
      <c r="K18" s="16" t="s">
        <v>73</v>
      </c>
      <c r="L18" s="16" t="s">
        <v>30</v>
      </c>
      <c r="M18" s="17"/>
      <c r="N18" s="16" t="s">
        <v>64</v>
      </c>
      <c r="O18" s="16" t="s">
        <v>65</v>
      </c>
      <c r="P18" s="16" t="s">
        <v>74</v>
      </c>
      <c r="Q18" s="17"/>
      <c r="R18" s="25" t="str">
        <f>"707,5"</f>
        <v>707,5</v>
      </c>
      <c r="S18" s="26" t="str">
        <f>"433,6268"</f>
        <v>433,6268</v>
      </c>
      <c r="T18" s="15" t="s">
        <v>75</v>
      </c>
    </row>
    <row r="19" spans="1:20">
      <c r="A19" s="12" t="s">
        <v>77</v>
      </c>
      <c r="B19" s="12" t="s">
        <v>78</v>
      </c>
      <c r="C19" s="12" t="s">
        <v>79</v>
      </c>
      <c r="D19" s="12" t="s">
        <v>1078</v>
      </c>
      <c r="E19" s="12" t="s">
        <v>80</v>
      </c>
      <c r="F19" s="13" t="s">
        <v>63</v>
      </c>
      <c r="G19" s="13" t="s">
        <v>81</v>
      </c>
      <c r="H19" s="13" t="s">
        <v>82</v>
      </c>
      <c r="I19" s="14"/>
      <c r="J19" s="13" t="s">
        <v>83</v>
      </c>
      <c r="K19" s="13" t="s">
        <v>84</v>
      </c>
      <c r="L19" s="13" t="s">
        <v>85</v>
      </c>
      <c r="M19" s="14"/>
      <c r="N19" s="13" t="s">
        <v>51</v>
      </c>
      <c r="O19" s="13" t="s">
        <v>52</v>
      </c>
      <c r="P19" s="13" t="s">
        <v>86</v>
      </c>
      <c r="Q19" s="14"/>
      <c r="R19" s="23" t="str">
        <f>"557,5"</f>
        <v>557,5</v>
      </c>
      <c r="S19" s="24" t="str">
        <f>"347,8114"</f>
        <v>347,8114</v>
      </c>
      <c r="T19" s="12" t="s">
        <v>87</v>
      </c>
    </row>
    <row r="21" spans="1:20" ht="16">
      <c r="A21" s="49" t="s">
        <v>88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</row>
    <row r="22" spans="1:20">
      <c r="A22" s="6" t="s">
        <v>90</v>
      </c>
      <c r="B22" s="6" t="s">
        <v>91</v>
      </c>
      <c r="C22" s="6" t="s">
        <v>92</v>
      </c>
      <c r="D22" s="6" t="s">
        <v>1077</v>
      </c>
      <c r="E22" s="6" t="s">
        <v>15</v>
      </c>
      <c r="F22" s="7" t="s">
        <v>93</v>
      </c>
      <c r="G22" s="7" t="s">
        <v>60</v>
      </c>
      <c r="H22" s="8" t="s">
        <v>94</v>
      </c>
      <c r="I22" s="8"/>
      <c r="J22" s="7" t="s">
        <v>35</v>
      </c>
      <c r="K22" s="7" t="s">
        <v>95</v>
      </c>
      <c r="L22" s="8" t="s">
        <v>96</v>
      </c>
      <c r="M22" s="8"/>
      <c r="N22" s="7" t="s">
        <v>93</v>
      </c>
      <c r="O22" s="7" t="s">
        <v>60</v>
      </c>
      <c r="P22" s="7" t="s">
        <v>97</v>
      </c>
      <c r="Q22" s="8"/>
      <c r="R22" s="19" t="str">
        <f>"785,0"</f>
        <v>785,0</v>
      </c>
      <c r="S22" s="20" t="str">
        <f>"466,7610"</f>
        <v>466,7610</v>
      </c>
      <c r="T22" s="6" t="s">
        <v>87</v>
      </c>
    </row>
    <row r="24" spans="1:20" ht="16">
      <c r="A24" s="49" t="s">
        <v>98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</row>
    <row r="25" spans="1:20">
      <c r="A25" s="6" t="s">
        <v>99</v>
      </c>
      <c r="B25" s="6" t="s">
        <v>100</v>
      </c>
      <c r="C25" s="6" t="s">
        <v>101</v>
      </c>
      <c r="D25" s="6" t="s">
        <v>1077</v>
      </c>
      <c r="E25" s="6" t="s">
        <v>15</v>
      </c>
      <c r="F25" s="8" t="s">
        <v>102</v>
      </c>
      <c r="G25" s="8" t="s">
        <v>102</v>
      </c>
      <c r="H25" s="8" t="s">
        <v>102</v>
      </c>
      <c r="I25" s="8"/>
      <c r="J25" s="8" t="s">
        <v>30</v>
      </c>
      <c r="K25" s="8"/>
      <c r="L25" s="8"/>
      <c r="M25" s="8"/>
      <c r="N25" s="8" t="s">
        <v>65</v>
      </c>
      <c r="O25" s="8"/>
      <c r="P25" s="8"/>
      <c r="Q25" s="8"/>
      <c r="R25" s="19" t="str">
        <f>"0.00"</f>
        <v>0.00</v>
      </c>
      <c r="S25" s="20" t="str">
        <f>"0,0000"</f>
        <v>0,0000</v>
      </c>
      <c r="T25" s="6" t="s">
        <v>37</v>
      </c>
    </row>
    <row r="27" spans="1:20" ht="16">
      <c r="A27" s="49" t="s">
        <v>103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1:20">
      <c r="A28" s="6" t="s">
        <v>105</v>
      </c>
      <c r="B28" s="6" t="s">
        <v>106</v>
      </c>
      <c r="C28" s="6" t="s">
        <v>107</v>
      </c>
      <c r="D28" s="6" t="s">
        <v>1077</v>
      </c>
      <c r="E28" s="6" t="s">
        <v>15</v>
      </c>
      <c r="F28" s="7" t="s">
        <v>65</v>
      </c>
      <c r="G28" s="7" t="s">
        <v>60</v>
      </c>
      <c r="H28" s="7" t="s">
        <v>108</v>
      </c>
      <c r="I28" s="8"/>
      <c r="J28" s="7" t="s">
        <v>109</v>
      </c>
      <c r="K28" s="7" t="s">
        <v>110</v>
      </c>
      <c r="L28" s="8" t="s">
        <v>111</v>
      </c>
      <c r="M28" s="8"/>
      <c r="N28" s="7" t="s">
        <v>112</v>
      </c>
      <c r="O28" s="7" t="s">
        <v>102</v>
      </c>
      <c r="P28" s="7" t="s">
        <v>94</v>
      </c>
      <c r="Q28" s="8"/>
      <c r="R28" s="19" t="str">
        <f>"817,5"</f>
        <v>817,5</v>
      </c>
      <c r="S28" s="20" t="str">
        <f>"463,1955"</f>
        <v>463,1955</v>
      </c>
      <c r="T28" s="6" t="s">
        <v>113</v>
      </c>
    </row>
    <row r="38" spans="1:4" ht="18">
      <c r="A38" s="27" t="s">
        <v>114</v>
      </c>
      <c r="B38" s="27"/>
    </row>
    <row r="39" spans="1:4" ht="16">
      <c r="A39" s="28" t="s">
        <v>115</v>
      </c>
      <c r="B39" s="28"/>
    </row>
    <row r="40" spans="1:4" ht="14">
      <c r="A40" s="30"/>
      <c r="B40" s="31" t="s">
        <v>116</v>
      </c>
    </row>
    <row r="41" spans="1:4" ht="14">
      <c r="A41" s="32" t="s">
        <v>117</v>
      </c>
      <c r="B41" s="32" t="s">
        <v>118</v>
      </c>
      <c r="C41" s="32" t="s">
        <v>119</v>
      </c>
      <c r="D41" s="32" t="s">
        <v>120</v>
      </c>
    </row>
    <row r="42" spans="1:4">
      <c r="A42" s="29" t="s">
        <v>25</v>
      </c>
      <c r="B42" s="4" t="s">
        <v>116</v>
      </c>
      <c r="C42" s="4" t="s">
        <v>121</v>
      </c>
      <c r="D42" s="4" t="s">
        <v>122</v>
      </c>
    </row>
    <row r="43" spans="1:4">
      <c r="A43" s="29" t="s">
        <v>11</v>
      </c>
      <c r="B43" s="4" t="s">
        <v>116</v>
      </c>
      <c r="C43" s="4" t="s">
        <v>123</v>
      </c>
      <c r="D43" s="4" t="s">
        <v>124</v>
      </c>
    </row>
    <row r="44" spans="1:4">
      <c r="A44" s="29" t="s">
        <v>38</v>
      </c>
      <c r="B44" s="4" t="s">
        <v>116</v>
      </c>
      <c r="C44" s="4" t="s">
        <v>121</v>
      </c>
      <c r="D44" s="4" t="s">
        <v>125</v>
      </c>
    </row>
    <row r="47" spans="1:4" ht="16">
      <c r="A47" s="28" t="s">
        <v>126</v>
      </c>
      <c r="B47" s="28"/>
    </row>
    <row r="48" spans="1:4" ht="14">
      <c r="A48" s="30"/>
      <c r="B48" s="31" t="s">
        <v>127</v>
      </c>
    </row>
    <row r="49" spans="1:4" ht="14">
      <c r="A49" s="32" t="s">
        <v>117</v>
      </c>
      <c r="B49" s="32" t="s">
        <v>118</v>
      </c>
      <c r="C49" s="32" t="s">
        <v>119</v>
      </c>
      <c r="D49" s="32" t="s">
        <v>120</v>
      </c>
    </row>
    <row r="50" spans="1:4">
      <c r="A50" s="29" t="s">
        <v>56</v>
      </c>
      <c r="B50" s="4" t="s">
        <v>128</v>
      </c>
      <c r="C50" s="4" t="s">
        <v>129</v>
      </c>
      <c r="D50" s="4" t="s">
        <v>130</v>
      </c>
    </row>
    <row r="52" spans="1:4" ht="14">
      <c r="A52" s="30"/>
      <c r="B52" s="31" t="s">
        <v>116</v>
      </c>
    </row>
    <row r="53" spans="1:4" ht="14">
      <c r="A53" s="32" t="s">
        <v>117</v>
      </c>
      <c r="B53" s="32" t="s">
        <v>118</v>
      </c>
      <c r="C53" s="32" t="s">
        <v>119</v>
      </c>
      <c r="D53" s="32" t="s">
        <v>120</v>
      </c>
    </row>
    <row r="54" spans="1:4">
      <c r="A54" s="29" t="s">
        <v>89</v>
      </c>
      <c r="B54" s="4" t="s">
        <v>116</v>
      </c>
      <c r="C54" s="4" t="s">
        <v>131</v>
      </c>
      <c r="D54" s="4" t="s">
        <v>132</v>
      </c>
    </row>
    <row r="55" spans="1:4">
      <c r="A55" s="29" t="s">
        <v>104</v>
      </c>
      <c r="B55" s="4" t="s">
        <v>116</v>
      </c>
      <c r="C55" s="4" t="s">
        <v>133</v>
      </c>
      <c r="D55" s="4" t="s">
        <v>134</v>
      </c>
    </row>
    <row r="56" spans="1:4">
      <c r="A56" s="29" t="s">
        <v>56</v>
      </c>
      <c r="B56" s="4" t="s">
        <v>116</v>
      </c>
      <c r="C56" s="4" t="s">
        <v>129</v>
      </c>
      <c r="D56" s="4" t="s">
        <v>130</v>
      </c>
    </row>
    <row r="57" spans="1:4">
      <c r="A57" s="29" t="s">
        <v>68</v>
      </c>
      <c r="B57" s="4" t="s">
        <v>116</v>
      </c>
      <c r="C57" s="4" t="s">
        <v>129</v>
      </c>
      <c r="D57" s="4" t="s">
        <v>135</v>
      </c>
    </row>
    <row r="58" spans="1:4">
      <c r="A58" s="29" t="s">
        <v>46</v>
      </c>
      <c r="B58" s="4" t="s">
        <v>116</v>
      </c>
      <c r="C58" s="4" t="s">
        <v>136</v>
      </c>
      <c r="D58" s="4" t="s">
        <v>137</v>
      </c>
    </row>
    <row r="60" spans="1:4" ht="14">
      <c r="A60" s="30"/>
      <c r="B60" s="31" t="s">
        <v>138</v>
      </c>
    </row>
    <row r="61" spans="1:4" ht="14">
      <c r="A61" s="32" t="s">
        <v>117</v>
      </c>
      <c r="B61" s="32" t="s">
        <v>118</v>
      </c>
      <c r="C61" s="32" t="s">
        <v>119</v>
      </c>
      <c r="D61" s="32" t="s">
        <v>120</v>
      </c>
    </row>
    <row r="62" spans="1:4">
      <c r="A62" s="29" t="s">
        <v>76</v>
      </c>
      <c r="B62" s="4" t="s">
        <v>139</v>
      </c>
      <c r="C62" s="4" t="s">
        <v>129</v>
      </c>
      <c r="D62" s="4" t="s">
        <v>140</v>
      </c>
    </row>
  </sheetData>
  <mergeCells count="19">
    <mergeCell ref="D3:D4"/>
    <mergeCell ref="R3:R4"/>
    <mergeCell ref="S3:S4"/>
    <mergeCell ref="A1:T2"/>
    <mergeCell ref="F3:I3"/>
    <mergeCell ref="J3:M3"/>
    <mergeCell ref="N3:Q3"/>
    <mergeCell ref="A3:A4"/>
    <mergeCell ref="B3:B4"/>
    <mergeCell ref="C3:C4"/>
    <mergeCell ref="T3:T4"/>
    <mergeCell ref="E3:E4"/>
    <mergeCell ref="A24:Q24"/>
    <mergeCell ref="A27:Q27"/>
    <mergeCell ref="A5:Q5"/>
    <mergeCell ref="A8:Q8"/>
    <mergeCell ref="A12:Q12"/>
    <mergeCell ref="A15:Q15"/>
    <mergeCell ref="A21:Q21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7"/>
  <sheetViews>
    <sheetView workbookViewId="0">
      <selection sqref="A1:T2"/>
    </sheetView>
  </sheetViews>
  <sheetFormatPr baseColWidth="10" defaultColWidth="9.1640625" defaultRowHeight="13"/>
  <cols>
    <col min="1" max="1" width="26" style="4" bestFit="1" customWidth="1"/>
    <col min="2" max="2" width="26.5" style="4" bestFit="1" customWidth="1"/>
    <col min="3" max="3" width="15.5" style="4" bestFit="1" customWidth="1"/>
    <col min="4" max="4" width="8.5" style="4" bestFit="1" customWidth="1"/>
    <col min="5" max="5" width="17.33203125" style="4" bestFit="1" customWidth="1"/>
    <col min="6" max="8" width="5.5" style="3" customWidth="1"/>
    <col min="9" max="9" width="4.83203125" style="3" customWidth="1"/>
    <col min="10" max="12" width="5.5" style="3" customWidth="1"/>
    <col min="13" max="13" width="4.83203125" style="3" customWidth="1"/>
    <col min="14" max="16" width="5.5" style="3" customWidth="1"/>
    <col min="17" max="17" width="4.83203125" style="3" customWidth="1"/>
    <col min="18" max="18" width="7.83203125" style="18" bestFit="1" customWidth="1"/>
    <col min="19" max="19" width="8.5" style="2" bestFit="1" customWidth="1"/>
    <col min="20" max="20" width="17.6640625" style="4" bestFit="1" customWidth="1"/>
    <col min="21" max="16384" width="9.1640625" style="3"/>
  </cols>
  <sheetData>
    <row r="1" spans="1:20" s="2" customFormat="1" ht="29" customHeight="1">
      <c r="A1" s="34" t="s">
        <v>517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0" s="2" customFormat="1" ht="62" customHeight="1" thickBo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/>
    </row>
    <row r="3" spans="1:20" s="1" customFormat="1" ht="12.75" customHeight="1">
      <c r="A3" s="40" t="s">
        <v>0</v>
      </c>
      <c r="B3" s="42" t="s">
        <v>1075</v>
      </c>
      <c r="C3" s="42" t="s">
        <v>6</v>
      </c>
      <c r="D3" s="44" t="s">
        <v>1076</v>
      </c>
      <c r="E3" s="44" t="s">
        <v>5</v>
      </c>
      <c r="F3" s="44" t="s">
        <v>7</v>
      </c>
      <c r="G3" s="44"/>
      <c r="H3" s="44"/>
      <c r="I3" s="44"/>
      <c r="J3" s="44" t="s">
        <v>8</v>
      </c>
      <c r="K3" s="44"/>
      <c r="L3" s="44"/>
      <c r="M3" s="44"/>
      <c r="N3" s="44" t="s">
        <v>9</v>
      </c>
      <c r="O3" s="44"/>
      <c r="P3" s="44"/>
      <c r="Q3" s="44"/>
      <c r="R3" s="44" t="s">
        <v>1</v>
      </c>
      <c r="S3" s="44" t="s">
        <v>3</v>
      </c>
      <c r="T3" s="45" t="s">
        <v>2</v>
      </c>
    </row>
    <row r="4" spans="1:20" s="1" customFormat="1" ht="21" customHeight="1" thickBot="1">
      <c r="A4" s="41"/>
      <c r="B4" s="43"/>
      <c r="C4" s="43"/>
      <c r="D4" s="43"/>
      <c r="E4" s="43"/>
      <c r="F4" s="5">
        <v>1</v>
      </c>
      <c r="G4" s="5">
        <v>2</v>
      </c>
      <c r="H4" s="5">
        <v>3</v>
      </c>
      <c r="I4" s="5" t="s">
        <v>4</v>
      </c>
      <c r="J4" s="5">
        <v>1</v>
      </c>
      <c r="K4" s="5">
        <v>2</v>
      </c>
      <c r="L4" s="5">
        <v>3</v>
      </c>
      <c r="M4" s="5" t="s">
        <v>4</v>
      </c>
      <c r="N4" s="5">
        <v>1</v>
      </c>
      <c r="O4" s="5">
        <v>2</v>
      </c>
      <c r="P4" s="5">
        <v>3</v>
      </c>
      <c r="Q4" s="5" t="s">
        <v>4</v>
      </c>
      <c r="R4" s="43"/>
      <c r="S4" s="43"/>
      <c r="T4" s="46"/>
    </row>
    <row r="5" spans="1:20" ht="16">
      <c r="A5" s="47" t="s">
        <v>55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20">
      <c r="A6" s="6" t="s">
        <v>142</v>
      </c>
      <c r="B6" s="6" t="s">
        <v>143</v>
      </c>
      <c r="C6" s="6" t="s">
        <v>144</v>
      </c>
      <c r="D6" s="6" t="s">
        <v>1077</v>
      </c>
      <c r="E6" s="6" t="s">
        <v>15</v>
      </c>
      <c r="F6" s="7" t="s">
        <v>145</v>
      </c>
      <c r="G6" s="7" t="s">
        <v>53</v>
      </c>
      <c r="H6" s="8" t="s">
        <v>146</v>
      </c>
      <c r="I6" s="8"/>
      <c r="J6" s="7" t="s">
        <v>30</v>
      </c>
      <c r="K6" s="8" t="s">
        <v>147</v>
      </c>
      <c r="L6" s="8" t="s">
        <v>147</v>
      </c>
      <c r="M6" s="8"/>
      <c r="N6" s="7" t="s">
        <v>148</v>
      </c>
      <c r="O6" s="8" t="s">
        <v>72</v>
      </c>
      <c r="P6" s="8"/>
      <c r="Q6" s="8"/>
      <c r="R6" s="19" t="str">
        <f>"645,0"</f>
        <v>645,0</v>
      </c>
      <c r="S6" s="20" t="str">
        <f>"392,9985"</f>
        <v>392,9985</v>
      </c>
      <c r="T6" s="6" t="s">
        <v>149</v>
      </c>
    </row>
    <row r="8" spans="1:20" ht="16">
      <c r="A8" s="49" t="s">
        <v>150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20">
      <c r="A9" s="6" t="s">
        <v>152</v>
      </c>
      <c r="B9" s="6" t="s">
        <v>153</v>
      </c>
      <c r="C9" s="6" t="s">
        <v>154</v>
      </c>
      <c r="D9" s="6" t="s">
        <v>1084</v>
      </c>
      <c r="E9" s="6" t="s">
        <v>15</v>
      </c>
      <c r="F9" s="7" t="s">
        <v>155</v>
      </c>
      <c r="G9" s="8" t="s">
        <v>29</v>
      </c>
      <c r="H9" s="7" t="s">
        <v>29</v>
      </c>
      <c r="I9" s="8"/>
      <c r="J9" s="7" t="s">
        <v>156</v>
      </c>
      <c r="K9" s="7" t="s">
        <v>157</v>
      </c>
      <c r="L9" s="7" t="s">
        <v>16</v>
      </c>
      <c r="M9" s="8"/>
      <c r="N9" s="7" t="s">
        <v>35</v>
      </c>
      <c r="O9" s="7" t="s">
        <v>95</v>
      </c>
      <c r="P9" s="7" t="s">
        <v>96</v>
      </c>
      <c r="Q9" s="8"/>
      <c r="R9" s="19" t="str">
        <f>"467,5"</f>
        <v>467,5</v>
      </c>
      <c r="S9" s="20" t="str">
        <f>"259,0885"</f>
        <v>259,0885</v>
      </c>
      <c r="T9" s="6" t="s">
        <v>1063</v>
      </c>
    </row>
    <row r="19" spans="1:4" ht="18">
      <c r="A19" s="27" t="s">
        <v>114</v>
      </c>
      <c r="B19" s="27"/>
    </row>
    <row r="20" spans="1:4" ht="16">
      <c r="A20" s="28" t="s">
        <v>126</v>
      </c>
      <c r="B20" s="28"/>
    </row>
    <row r="21" spans="1:4" ht="14">
      <c r="A21" s="30"/>
      <c r="B21" s="31" t="s">
        <v>158</v>
      </c>
    </row>
    <row r="22" spans="1:4" ht="14">
      <c r="A22" s="32" t="s">
        <v>117</v>
      </c>
      <c r="B22" s="32" t="s">
        <v>118</v>
      </c>
      <c r="C22" s="32" t="s">
        <v>119</v>
      </c>
      <c r="D22" s="32" t="s">
        <v>120</v>
      </c>
    </row>
    <row r="23" spans="1:4">
      <c r="A23" s="29" t="s">
        <v>151</v>
      </c>
      <c r="B23" s="4" t="s">
        <v>159</v>
      </c>
      <c r="C23" s="4" t="s">
        <v>160</v>
      </c>
      <c r="D23" s="4" t="s">
        <v>161</v>
      </c>
    </row>
    <row r="25" spans="1:4" ht="14">
      <c r="A25" s="30"/>
      <c r="B25" s="31" t="s">
        <v>116</v>
      </c>
    </row>
    <row r="26" spans="1:4" ht="14">
      <c r="A26" s="32" t="s">
        <v>117</v>
      </c>
      <c r="B26" s="32" t="s">
        <v>118</v>
      </c>
      <c r="C26" s="32" t="s">
        <v>119</v>
      </c>
      <c r="D26" s="32" t="s">
        <v>120</v>
      </c>
    </row>
    <row r="27" spans="1:4">
      <c r="A27" s="29" t="s">
        <v>141</v>
      </c>
      <c r="B27" s="4" t="s">
        <v>116</v>
      </c>
      <c r="C27" s="4" t="s">
        <v>129</v>
      </c>
      <c r="D27" s="4" t="s">
        <v>162</v>
      </c>
    </row>
  </sheetData>
  <mergeCells count="14">
    <mergeCell ref="A1:T2"/>
    <mergeCell ref="A3:A4"/>
    <mergeCell ref="B3:B4"/>
    <mergeCell ref="C3:C4"/>
    <mergeCell ref="D3:D4"/>
    <mergeCell ref="E3:E4"/>
    <mergeCell ref="F3:I3"/>
    <mergeCell ref="J3:M3"/>
    <mergeCell ref="N3:Q3"/>
    <mergeCell ref="A8:Q8"/>
    <mergeCell ref="R3:R4"/>
    <mergeCell ref="S3:S4"/>
    <mergeCell ref="T3:T4"/>
    <mergeCell ref="A5:Q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4"/>
  <sheetViews>
    <sheetView workbookViewId="0">
      <selection activeCell="D28" sqref="D28"/>
    </sheetView>
  </sheetViews>
  <sheetFormatPr baseColWidth="10" defaultColWidth="9.1640625" defaultRowHeight="13"/>
  <cols>
    <col min="1" max="1" width="26" style="4" bestFit="1" customWidth="1"/>
    <col min="2" max="2" width="29.6640625" style="4" bestFit="1" customWidth="1"/>
    <col min="3" max="3" width="15.5" style="4" bestFit="1" customWidth="1"/>
    <col min="4" max="4" width="11.83203125" style="4" bestFit="1" customWidth="1"/>
    <col min="5" max="5" width="31.5" style="4" bestFit="1" customWidth="1"/>
    <col min="6" max="8" width="5.5" style="3" customWidth="1"/>
    <col min="9" max="9" width="4.83203125" style="3" customWidth="1"/>
    <col min="10" max="10" width="11.33203125" style="18" bestFit="1" customWidth="1"/>
    <col min="11" max="11" width="8.5" style="2" bestFit="1" customWidth="1"/>
    <col min="12" max="12" width="16.33203125" style="4" bestFit="1" customWidth="1"/>
    <col min="13" max="16384" width="9.1640625" style="3"/>
  </cols>
  <sheetData>
    <row r="1" spans="1:12" s="2" customFormat="1" ht="29" customHeight="1">
      <c r="A1" s="34" t="s">
        <v>518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6"/>
    </row>
    <row r="2" spans="1:12" s="2" customFormat="1" ht="62" customHeight="1" thickBo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1:12" s="1" customFormat="1" ht="12.75" customHeight="1">
      <c r="A3" s="40" t="s">
        <v>0</v>
      </c>
      <c r="B3" s="42" t="s">
        <v>1075</v>
      </c>
      <c r="C3" s="42" t="s">
        <v>6</v>
      </c>
      <c r="D3" s="44" t="s">
        <v>1076</v>
      </c>
      <c r="E3" s="44" t="s">
        <v>5</v>
      </c>
      <c r="F3" s="44" t="s">
        <v>9</v>
      </c>
      <c r="G3" s="44"/>
      <c r="H3" s="44"/>
      <c r="I3" s="44"/>
      <c r="J3" s="44" t="s">
        <v>371</v>
      </c>
      <c r="K3" s="44" t="s">
        <v>3</v>
      </c>
      <c r="L3" s="45" t="s">
        <v>2</v>
      </c>
    </row>
    <row r="4" spans="1:12" s="1" customFormat="1" ht="21" customHeight="1" thickBot="1">
      <c r="A4" s="41"/>
      <c r="B4" s="43"/>
      <c r="C4" s="43"/>
      <c r="D4" s="43"/>
      <c r="E4" s="43"/>
      <c r="F4" s="5">
        <v>1</v>
      </c>
      <c r="G4" s="5">
        <v>2</v>
      </c>
      <c r="H4" s="5">
        <v>3</v>
      </c>
      <c r="I4" s="5" t="s">
        <v>4</v>
      </c>
      <c r="J4" s="43"/>
      <c r="K4" s="43"/>
      <c r="L4" s="46"/>
    </row>
    <row r="5" spans="1:12" ht="16">
      <c r="A5" s="47" t="s">
        <v>10</v>
      </c>
      <c r="B5" s="48"/>
      <c r="C5" s="48"/>
      <c r="D5" s="48"/>
      <c r="E5" s="48"/>
      <c r="F5" s="48"/>
      <c r="G5" s="48"/>
      <c r="H5" s="48"/>
      <c r="I5" s="48"/>
    </row>
    <row r="6" spans="1:12">
      <c r="A6" s="6" t="s">
        <v>12</v>
      </c>
      <c r="B6" s="6" t="s">
        <v>13</v>
      </c>
      <c r="C6" s="6" t="s">
        <v>14</v>
      </c>
      <c r="D6" s="6" t="s">
        <v>1077</v>
      </c>
      <c r="E6" s="6" t="s">
        <v>15</v>
      </c>
      <c r="F6" s="7" t="s">
        <v>17</v>
      </c>
      <c r="G6" s="7" t="s">
        <v>18</v>
      </c>
      <c r="H6" s="7" t="s">
        <v>22</v>
      </c>
      <c r="I6" s="8"/>
      <c r="J6" s="19" t="str">
        <f>"140,0"</f>
        <v>140,0</v>
      </c>
      <c r="K6" s="20" t="str">
        <f>"170,2260"</f>
        <v>170,2260</v>
      </c>
      <c r="L6" s="6" t="s">
        <v>37</v>
      </c>
    </row>
    <row r="8" spans="1:12" ht="16">
      <c r="A8" s="49" t="s">
        <v>24</v>
      </c>
      <c r="B8" s="49"/>
      <c r="C8" s="49"/>
      <c r="D8" s="49"/>
      <c r="E8" s="49"/>
      <c r="F8" s="49"/>
      <c r="G8" s="49"/>
      <c r="H8" s="49"/>
      <c r="I8" s="49"/>
    </row>
    <row r="9" spans="1:12">
      <c r="A9" s="6" t="s">
        <v>26</v>
      </c>
      <c r="B9" s="6" t="s">
        <v>27</v>
      </c>
      <c r="C9" s="6" t="s">
        <v>28</v>
      </c>
      <c r="D9" s="6" t="s">
        <v>1077</v>
      </c>
      <c r="E9" s="6" t="s">
        <v>15</v>
      </c>
      <c r="F9" s="7" t="s">
        <v>34</v>
      </c>
      <c r="G9" s="7" t="s">
        <v>35</v>
      </c>
      <c r="H9" s="7" t="s">
        <v>36</v>
      </c>
      <c r="I9" s="8"/>
      <c r="J9" s="19" t="str">
        <f>"190,0"</f>
        <v>190,0</v>
      </c>
      <c r="K9" s="20" t="str">
        <f>"186,8460"</f>
        <v>186,8460</v>
      </c>
      <c r="L9" s="6" t="s">
        <v>37</v>
      </c>
    </row>
    <row r="11" spans="1:12" ht="16">
      <c r="A11" s="49" t="s">
        <v>325</v>
      </c>
      <c r="B11" s="49"/>
      <c r="C11" s="49"/>
      <c r="D11" s="49"/>
      <c r="E11" s="49"/>
      <c r="F11" s="49"/>
      <c r="G11" s="49"/>
      <c r="H11" s="49"/>
      <c r="I11" s="49"/>
    </row>
    <row r="12" spans="1:12">
      <c r="A12" s="6" t="s">
        <v>327</v>
      </c>
      <c r="B12" s="6" t="s">
        <v>328</v>
      </c>
      <c r="C12" s="6" t="s">
        <v>329</v>
      </c>
      <c r="D12" s="6" t="s">
        <v>1078</v>
      </c>
      <c r="E12" s="6" t="s">
        <v>330</v>
      </c>
      <c r="F12" s="7" t="s">
        <v>63</v>
      </c>
      <c r="G12" s="7" t="s">
        <v>81</v>
      </c>
      <c r="H12" s="7" t="s">
        <v>147</v>
      </c>
      <c r="I12" s="8"/>
      <c r="J12" s="19" t="str">
        <f>"182,5"</f>
        <v>182,5</v>
      </c>
      <c r="K12" s="20" t="str">
        <f>"159,7725"</f>
        <v>159,7725</v>
      </c>
      <c r="L12" s="6" t="s">
        <v>331</v>
      </c>
    </row>
    <row r="14" spans="1:12" ht="16">
      <c r="A14" s="49" t="s">
        <v>241</v>
      </c>
      <c r="B14" s="49"/>
      <c r="C14" s="49"/>
      <c r="D14" s="49"/>
      <c r="E14" s="49"/>
      <c r="F14" s="49"/>
      <c r="G14" s="49"/>
      <c r="H14" s="49"/>
      <c r="I14" s="49"/>
    </row>
    <row r="15" spans="1:12">
      <c r="A15" s="6" t="s">
        <v>333</v>
      </c>
      <c r="B15" s="6" t="s">
        <v>334</v>
      </c>
      <c r="C15" s="6" t="s">
        <v>335</v>
      </c>
      <c r="D15" s="6" t="s">
        <v>1084</v>
      </c>
      <c r="E15" s="6" t="s">
        <v>336</v>
      </c>
      <c r="F15" s="7" t="s">
        <v>157</v>
      </c>
      <c r="G15" s="7" t="s">
        <v>83</v>
      </c>
      <c r="H15" s="7" t="s">
        <v>18</v>
      </c>
      <c r="I15" s="8"/>
      <c r="J15" s="19" t="str">
        <f>"130,0"</f>
        <v>130,0</v>
      </c>
      <c r="K15" s="20" t="str">
        <f>"89,3230"</f>
        <v>89,3230</v>
      </c>
      <c r="L15" s="6" t="s">
        <v>337</v>
      </c>
    </row>
    <row r="17" spans="1:12" ht="16">
      <c r="A17" s="49" t="s">
        <v>55</v>
      </c>
      <c r="B17" s="49"/>
      <c r="C17" s="49"/>
      <c r="D17" s="49"/>
      <c r="E17" s="49"/>
      <c r="F17" s="49"/>
      <c r="G17" s="49"/>
      <c r="H17" s="49"/>
      <c r="I17" s="49"/>
    </row>
    <row r="18" spans="1:12">
      <c r="A18" s="9" t="s">
        <v>339</v>
      </c>
      <c r="B18" s="9" t="s">
        <v>340</v>
      </c>
      <c r="C18" s="9" t="s">
        <v>59</v>
      </c>
      <c r="D18" s="9" t="s">
        <v>1077</v>
      </c>
      <c r="E18" s="9" t="s">
        <v>341</v>
      </c>
      <c r="F18" s="11" t="s">
        <v>61</v>
      </c>
      <c r="G18" s="11" t="s">
        <v>342</v>
      </c>
      <c r="H18" s="10" t="s">
        <v>343</v>
      </c>
      <c r="I18" s="10"/>
      <c r="J18" s="21" t="str">
        <f>"317,5"</f>
        <v>317,5</v>
      </c>
      <c r="K18" s="22" t="str">
        <f>"193,8655"</f>
        <v>193,8655</v>
      </c>
      <c r="L18" s="9"/>
    </row>
    <row r="19" spans="1:12">
      <c r="A19" s="15" t="s">
        <v>345</v>
      </c>
      <c r="B19" s="15" t="s">
        <v>346</v>
      </c>
      <c r="C19" s="15" t="s">
        <v>347</v>
      </c>
      <c r="D19" s="15" t="s">
        <v>1077</v>
      </c>
      <c r="E19" s="15" t="s">
        <v>348</v>
      </c>
      <c r="F19" s="16" t="s">
        <v>146</v>
      </c>
      <c r="G19" s="16" t="s">
        <v>305</v>
      </c>
      <c r="H19" s="16" t="s">
        <v>93</v>
      </c>
      <c r="I19" s="17"/>
      <c r="J19" s="25" t="str">
        <f>"275,0"</f>
        <v>275,0</v>
      </c>
      <c r="K19" s="26" t="str">
        <f>"169,4825"</f>
        <v>169,4825</v>
      </c>
      <c r="L19" s="15" t="s">
        <v>349</v>
      </c>
    </row>
    <row r="20" spans="1:12">
      <c r="A20" s="12" t="s">
        <v>351</v>
      </c>
      <c r="B20" s="12" t="s">
        <v>352</v>
      </c>
      <c r="C20" s="12" t="s">
        <v>353</v>
      </c>
      <c r="D20" s="12" t="s">
        <v>1077</v>
      </c>
      <c r="E20" s="12" t="s">
        <v>354</v>
      </c>
      <c r="F20" s="13" t="s">
        <v>355</v>
      </c>
      <c r="G20" s="13" t="s">
        <v>148</v>
      </c>
      <c r="H20" s="13" t="s">
        <v>146</v>
      </c>
      <c r="I20" s="14"/>
      <c r="J20" s="23" t="str">
        <f>"245,0"</f>
        <v>245,0</v>
      </c>
      <c r="K20" s="24" t="str">
        <f>"149,8910"</f>
        <v>149,8910</v>
      </c>
      <c r="L20" s="12" t="s">
        <v>356</v>
      </c>
    </row>
    <row r="22" spans="1:12" ht="16">
      <c r="A22" s="49" t="s">
        <v>88</v>
      </c>
      <c r="B22" s="49"/>
      <c r="C22" s="49"/>
      <c r="D22" s="49"/>
      <c r="E22" s="49"/>
      <c r="F22" s="49"/>
      <c r="G22" s="49"/>
      <c r="H22" s="49"/>
      <c r="I22" s="49"/>
    </row>
    <row r="23" spans="1:12">
      <c r="A23" s="9" t="s">
        <v>358</v>
      </c>
      <c r="B23" s="9" t="s">
        <v>359</v>
      </c>
      <c r="C23" s="9" t="s">
        <v>294</v>
      </c>
      <c r="D23" s="9" t="s">
        <v>1077</v>
      </c>
      <c r="E23" s="9" t="s">
        <v>330</v>
      </c>
      <c r="F23" s="11" t="s">
        <v>60</v>
      </c>
      <c r="G23" s="11" t="s">
        <v>108</v>
      </c>
      <c r="H23" s="10" t="s">
        <v>61</v>
      </c>
      <c r="I23" s="10"/>
      <c r="J23" s="21" t="str">
        <f>"305,0"</f>
        <v>305,0</v>
      </c>
      <c r="K23" s="22" t="str">
        <f>"181,8410"</f>
        <v>181,8410</v>
      </c>
      <c r="L23" s="9"/>
    </row>
    <row r="24" spans="1:12">
      <c r="A24" s="12" t="s">
        <v>361</v>
      </c>
      <c r="B24" s="12" t="s">
        <v>362</v>
      </c>
      <c r="C24" s="12" t="s">
        <v>363</v>
      </c>
      <c r="D24" s="12" t="s">
        <v>1078</v>
      </c>
      <c r="E24" s="12" t="s">
        <v>15</v>
      </c>
      <c r="F24" s="13" t="s">
        <v>53</v>
      </c>
      <c r="G24" s="14" t="s">
        <v>64</v>
      </c>
      <c r="H24" s="14" t="s">
        <v>305</v>
      </c>
      <c r="I24" s="14"/>
      <c r="J24" s="23" t="str">
        <f>"240,0"</f>
        <v>240,0</v>
      </c>
      <c r="K24" s="24" t="str">
        <f>"145,0195"</f>
        <v>145,0195</v>
      </c>
      <c r="L24" s="12" t="s">
        <v>1059</v>
      </c>
    </row>
    <row r="26" spans="1:12" ht="16">
      <c r="A26" s="49" t="s">
        <v>98</v>
      </c>
      <c r="B26" s="49"/>
      <c r="C26" s="49"/>
      <c r="D26" s="49"/>
      <c r="E26" s="49"/>
      <c r="F26" s="49"/>
      <c r="G26" s="49"/>
      <c r="H26" s="49"/>
      <c r="I26" s="49"/>
    </row>
    <row r="27" spans="1:12">
      <c r="A27" s="6" t="s">
        <v>365</v>
      </c>
      <c r="B27" s="6" t="s">
        <v>366</v>
      </c>
      <c r="C27" s="6" t="s">
        <v>367</v>
      </c>
      <c r="D27" s="6" t="s">
        <v>1077</v>
      </c>
      <c r="E27" s="6" t="s">
        <v>15</v>
      </c>
      <c r="F27" s="7" t="s">
        <v>93</v>
      </c>
      <c r="G27" s="8" t="s">
        <v>368</v>
      </c>
      <c r="H27" s="8" t="s">
        <v>368</v>
      </c>
      <c r="I27" s="8"/>
      <c r="J27" s="19" t="str">
        <f>"275,0"</f>
        <v>275,0</v>
      </c>
      <c r="K27" s="20" t="str">
        <f>"157,3275"</f>
        <v>157,3275</v>
      </c>
      <c r="L27" s="6" t="s">
        <v>1064</v>
      </c>
    </row>
    <row r="37" spans="1:4" ht="18">
      <c r="A37" s="27" t="s">
        <v>114</v>
      </c>
      <c r="B37" s="27"/>
    </row>
    <row r="38" spans="1:4" ht="16">
      <c r="A38" s="28" t="s">
        <v>115</v>
      </c>
      <c r="B38" s="28"/>
    </row>
    <row r="39" spans="1:4" ht="14">
      <c r="A39" s="30"/>
      <c r="B39" s="31" t="s">
        <v>116</v>
      </c>
    </row>
    <row r="40" spans="1:4" ht="14">
      <c r="A40" s="32" t="s">
        <v>117</v>
      </c>
      <c r="B40" s="32" t="s">
        <v>118</v>
      </c>
      <c r="C40" s="32" t="s">
        <v>119</v>
      </c>
      <c r="D40" s="32" t="s">
        <v>369</v>
      </c>
    </row>
    <row r="41" spans="1:4">
      <c r="A41" s="29" t="s">
        <v>25</v>
      </c>
      <c r="B41" s="4" t="s">
        <v>116</v>
      </c>
      <c r="C41" s="4" t="s">
        <v>121</v>
      </c>
      <c r="D41" s="4" t="s">
        <v>36</v>
      </c>
    </row>
    <row r="42" spans="1:4">
      <c r="A42" s="29" t="s">
        <v>11</v>
      </c>
      <c r="B42" s="4" t="s">
        <v>116</v>
      </c>
      <c r="C42" s="4" t="s">
        <v>123</v>
      </c>
      <c r="D42" s="4" t="s">
        <v>22</v>
      </c>
    </row>
    <row r="44" spans="1:4" ht="14">
      <c r="A44" s="30"/>
      <c r="B44" s="31" t="s">
        <v>138</v>
      </c>
    </row>
    <row r="45" spans="1:4" ht="14">
      <c r="A45" s="32" t="s">
        <v>117</v>
      </c>
      <c r="B45" s="32" t="s">
        <v>118</v>
      </c>
      <c r="C45" s="32" t="s">
        <v>119</v>
      </c>
      <c r="D45" s="32" t="s">
        <v>369</v>
      </c>
    </row>
    <row r="46" spans="1:4">
      <c r="A46" s="29" t="s">
        <v>326</v>
      </c>
      <c r="B46" s="4" t="s">
        <v>139</v>
      </c>
      <c r="C46" s="4" t="s">
        <v>370</v>
      </c>
      <c r="D46" s="4" t="s">
        <v>147</v>
      </c>
    </row>
    <row r="49" spans="1:4" ht="16">
      <c r="A49" s="28" t="s">
        <v>126</v>
      </c>
      <c r="B49" s="28"/>
    </row>
    <row r="50" spans="1:4" ht="14">
      <c r="A50" s="30"/>
      <c r="B50" s="31" t="s">
        <v>158</v>
      </c>
    </row>
    <row r="51" spans="1:4" ht="14">
      <c r="A51" s="32" t="s">
        <v>117</v>
      </c>
      <c r="B51" s="32" t="s">
        <v>118</v>
      </c>
      <c r="C51" s="32" t="s">
        <v>119</v>
      </c>
      <c r="D51" s="32" t="s">
        <v>369</v>
      </c>
    </row>
    <row r="52" spans="1:4">
      <c r="A52" s="29" t="s">
        <v>332</v>
      </c>
      <c r="B52" s="4" t="s">
        <v>159</v>
      </c>
      <c r="C52" s="4" t="s">
        <v>308</v>
      </c>
      <c r="D52" s="4" t="s">
        <v>18</v>
      </c>
    </row>
    <row r="54" spans="1:4" ht="14">
      <c r="A54" s="30"/>
      <c r="B54" s="31" t="s">
        <v>116</v>
      </c>
    </row>
    <row r="55" spans="1:4" ht="14">
      <c r="A55" s="32" t="s">
        <v>117</v>
      </c>
      <c r="B55" s="32" t="s">
        <v>118</v>
      </c>
      <c r="C55" s="32" t="s">
        <v>119</v>
      </c>
      <c r="D55" s="32" t="s">
        <v>369</v>
      </c>
    </row>
    <row r="56" spans="1:4">
      <c r="A56" s="29" t="s">
        <v>338</v>
      </c>
      <c r="B56" s="4" t="s">
        <v>116</v>
      </c>
      <c r="C56" s="4" t="s">
        <v>129</v>
      </c>
      <c r="D56" s="4" t="s">
        <v>342</v>
      </c>
    </row>
    <row r="57" spans="1:4">
      <c r="A57" s="29" t="s">
        <v>357</v>
      </c>
      <c r="B57" s="4" t="s">
        <v>116</v>
      </c>
      <c r="C57" s="4" t="s">
        <v>131</v>
      </c>
      <c r="D57" s="4" t="s">
        <v>108</v>
      </c>
    </row>
    <row r="58" spans="1:4">
      <c r="A58" s="29" t="s">
        <v>344</v>
      </c>
      <c r="B58" s="4" t="s">
        <v>116</v>
      </c>
      <c r="C58" s="4" t="s">
        <v>129</v>
      </c>
      <c r="D58" s="4" t="s">
        <v>93</v>
      </c>
    </row>
    <row r="59" spans="1:4">
      <c r="A59" s="29" t="s">
        <v>364</v>
      </c>
      <c r="B59" s="4" t="s">
        <v>116</v>
      </c>
      <c r="C59" s="4" t="s">
        <v>191</v>
      </c>
      <c r="D59" s="4" t="s">
        <v>93</v>
      </c>
    </row>
    <row r="60" spans="1:4">
      <c r="A60" s="29" t="s">
        <v>350</v>
      </c>
      <c r="B60" s="4" t="s">
        <v>116</v>
      </c>
      <c r="C60" s="4" t="s">
        <v>129</v>
      </c>
      <c r="D60" s="4" t="s">
        <v>146</v>
      </c>
    </row>
    <row r="62" spans="1:4" ht="14">
      <c r="A62" s="30"/>
      <c r="B62" s="31" t="s">
        <v>138</v>
      </c>
    </row>
    <row r="63" spans="1:4" ht="14">
      <c r="A63" s="32" t="s">
        <v>117</v>
      </c>
      <c r="B63" s="32" t="s">
        <v>118</v>
      </c>
      <c r="C63" s="32" t="s">
        <v>119</v>
      </c>
      <c r="D63" s="32" t="s">
        <v>369</v>
      </c>
    </row>
    <row r="64" spans="1:4">
      <c r="A64" s="29" t="s">
        <v>360</v>
      </c>
      <c r="B64" s="4" t="s">
        <v>139</v>
      </c>
      <c r="C64" s="4" t="s">
        <v>131</v>
      </c>
      <c r="D64" s="4" t="s">
        <v>53</v>
      </c>
    </row>
  </sheetData>
  <mergeCells count="17">
    <mergeCell ref="A1:L2"/>
    <mergeCell ref="A3:A4"/>
    <mergeCell ref="B3:B4"/>
    <mergeCell ref="C3:C4"/>
    <mergeCell ref="D3:D4"/>
    <mergeCell ref="E3:E4"/>
    <mergeCell ref="F3:I3"/>
    <mergeCell ref="A26:I26"/>
    <mergeCell ref="J3:J4"/>
    <mergeCell ref="K3:K4"/>
    <mergeCell ref="L3:L4"/>
    <mergeCell ref="A5:I5"/>
    <mergeCell ref="A8:I8"/>
    <mergeCell ref="A11:I11"/>
    <mergeCell ref="A14:I14"/>
    <mergeCell ref="A17:I17"/>
    <mergeCell ref="A22:I2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16"/>
  <sheetViews>
    <sheetView workbookViewId="0">
      <selection sqref="A1:T2"/>
    </sheetView>
  </sheetViews>
  <sheetFormatPr baseColWidth="10" defaultColWidth="9.1640625" defaultRowHeight="13"/>
  <cols>
    <col min="1" max="1" width="26" style="4" bestFit="1" customWidth="1"/>
    <col min="2" max="2" width="26.33203125" style="4" bestFit="1" customWidth="1"/>
    <col min="3" max="3" width="15.5" style="4" bestFit="1" customWidth="1"/>
    <col min="4" max="4" width="6.5" style="4" bestFit="1" customWidth="1"/>
    <col min="5" max="5" width="17.33203125" style="4" bestFit="1" customWidth="1"/>
    <col min="6" max="8" width="5.5" style="3" customWidth="1"/>
    <col min="9" max="9" width="4.83203125" style="3" customWidth="1"/>
    <col min="10" max="10" width="5.5" style="3" customWidth="1"/>
    <col min="11" max="12" width="2.1640625" style="3" customWidth="1"/>
    <col min="13" max="13" width="4.83203125" style="3" customWidth="1"/>
    <col min="14" max="14" width="5.5" style="3" customWidth="1"/>
    <col min="15" max="16" width="2.1640625" style="3" customWidth="1"/>
    <col min="17" max="17" width="4.83203125" style="3" customWidth="1"/>
    <col min="18" max="18" width="7.83203125" style="18" bestFit="1" customWidth="1"/>
    <col min="19" max="19" width="6.5" style="2" bestFit="1" customWidth="1"/>
    <col min="20" max="20" width="11.5" style="4" bestFit="1" customWidth="1"/>
    <col min="21" max="16384" width="9.1640625" style="3"/>
  </cols>
  <sheetData>
    <row r="1" spans="1:20" s="2" customFormat="1" ht="29" customHeight="1">
      <c r="A1" s="34" t="s">
        <v>519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0" s="2" customFormat="1" ht="62" customHeight="1" thickBot="1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/>
    </row>
    <row r="3" spans="1:20" s="1" customFormat="1" ht="12.75" customHeight="1">
      <c r="A3" s="40" t="s">
        <v>0</v>
      </c>
      <c r="B3" s="42" t="s">
        <v>1075</v>
      </c>
      <c r="C3" s="42" t="s">
        <v>6</v>
      </c>
      <c r="D3" s="44" t="s">
        <v>1076</v>
      </c>
      <c r="E3" s="44" t="s">
        <v>5</v>
      </c>
      <c r="F3" s="44" t="s">
        <v>7</v>
      </c>
      <c r="G3" s="44"/>
      <c r="H3" s="44"/>
      <c r="I3" s="44"/>
      <c r="J3" s="44" t="s">
        <v>8</v>
      </c>
      <c r="K3" s="44"/>
      <c r="L3" s="44"/>
      <c r="M3" s="44"/>
      <c r="N3" s="44" t="s">
        <v>9</v>
      </c>
      <c r="O3" s="44"/>
      <c r="P3" s="44"/>
      <c r="Q3" s="44"/>
      <c r="R3" s="44" t="s">
        <v>1</v>
      </c>
      <c r="S3" s="44" t="s">
        <v>3</v>
      </c>
      <c r="T3" s="45" t="s">
        <v>2</v>
      </c>
    </row>
    <row r="4" spans="1:20" s="1" customFormat="1" ht="21" customHeight="1" thickBot="1">
      <c r="A4" s="41"/>
      <c r="B4" s="43"/>
      <c r="C4" s="43"/>
      <c r="D4" s="43"/>
      <c r="E4" s="43"/>
      <c r="F4" s="5">
        <v>1</v>
      </c>
      <c r="G4" s="5">
        <v>2</v>
      </c>
      <c r="H4" s="5">
        <v>3</v>
      </c>
      <c r="I4" s="5" t="s">
        <v>4</v>
      </c>
      <c r="J4" s="5">
        <v>1</v>
      </c>
      <c r="K4" s="5">
        <v>2</v>
      </c>
      <c r="L4" s="5">
        <v>3</v>
      </c>
      <c r="M4" s="5" t="s">
        <v>4</v>
      </c>
      <c r="N4" s="5">
        <v>1</v>
      </c>
      <c r="O4" s="5">
        <v>2</v>
      </c>
      <c r="P4" s="5">
        <v>3</v>
      </c>
      <c r="Q4" s="5" t="s">
        <v>4</v>
      </c>
      <c r="R4" s="43"/>
      <c r="S4" s="43"/>
      <c r="T4" s="46"/>
    </row>
    <row r="5" spans="1:20" ht="16">
      <c r="A5" s="47" t="s">
        <v>45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20">
      <c r="A6" s="6" t="s">
        <v>320</v>
      </c>
      <c r="B6" s="6" t="s">
        <v>321</v>
      </c>
      <c r="C6" s="6" t="s">
        <v>322</v>
      </c>
      <c r="D6" s="6" t="s">
        <v>1077</v>
      </c>
      <c r="E6" s="6" t="s">
        <v>15</v>
      </c>
      <c r="F6" s="8" t="s">
        <v>53</v>
      </c>
      <c r="G6" s="8" t="s">
        <v>146</v>
      </c>
      <c r="H6" s="8" t="s">
        <v>323</v>
      </c>
      <c r="I6" s="8"/>
      <c r="J6" s="8" t="s">
        <v>29</v>
      </c>
      <c r="K6" s="8"/>
      <c r="L6" s="8"/>
      <c r="M6" s="8"/>
      <c r="N6" s="8" t="s">
        <v>271</v>
      </c>
      <c r="O6" s="8"/>
      <c r="P6" s="8"/>
      <c r="Q6" s="8"/>
      <c r="R6" s="19" t="str">
        <f>"0.00"</f>
        <v>0.00</v>
      </c>
      <c r="S6" s="20" t="str">
        <f>"0,0000"</f>
        <v>0,0000</v>
      </c>
      <c r="T6" s="6" t="s">
        <v>324</v>
      </c>
    </row>
    <row r="16" spans="1:20" ht="18">
      <c r="A16" s="27" t="s">
        <v>114</v>
      </c>
      <c r="B16" s="27"/>
    </row>
  </sheetData>
  <mergeCells count="13">
    <mergeCell ref="R3:R4"/>
    <mergeCell ref="S3:S4"/>
    <mergeCell ref="T3:T4"/>
    <mergeCell ref="A5:Q5"/>
    <mergeCell ref="A1:T2"/>
    <mergeCell ref="A3:A4"/>
    <mergeCell ref="B3:B4"/>
    <mergeCell ref="C3:C4"/>
    <mergeCell ref="D3:D4"/>
    <mergeCell ref="E3:E4"/>
    <mergeCell ref="F3:I3"/>
    <mergeCell ref="J3:M3"/>
    <mergeCell ref="N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WPF PRO BP ELIT</vt:lpstr>
      <vt:lpstr>WPF PRO BP SP</vt:lpstr>
      <vt:lpstr>WPF PRO BP RAW</vt:lpstr>
      <vt:lpstr>WPF AM BP SP</vt:lpstr>
      <vt:lpstr>WPF AM BP RAW</vt:lpstr>
      <vt:lpstr>WPF PRO PL CL</vt:lpstr>
      <vt:lpstr>WPF PRO PL RAW</vt:lpstr>
      <vt:lpstr>WPF PRO DL RAW</vt:lpstr>
      <vt:lpstr>WPF AM PL SP</vt:lpstr>
      <vt:lpstr>WPF AM PL CL</vt:lpstr>
      <vt:lpstr>WPF AM PL RAW</vt:lpstr>
      <vt:lpstr>WPF AM DL SP</vt:lpstr>
      <vt:lpstr>WPF AM DL 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2021-03-05T12:28:04Z</dcterms:modified>
</cp:coreProperties>
</file>