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0\Протоколы 2020\"/>
    </mc:Choice>
  </mc:AlternateContent>
  <xr:revisionPtr revIDLastSave="0" documentId="13_ncr:1000001_{2A0F4375-F7F3-D749-9CA7-4AB5B28DFD96}" xr6:coauthVersionLast="45" xr6:coauthVersionMax="45" xr10:uidLastSave="{00000000-0000-0000-0000-000000000000}"/>
  <bookViews>
    <workbookView xWindow="480" yWindow="15" windowWidth="11340" windowHeight="9690" firstSheet="22" activeTab="31" xr2:uid="{00000000-000D-0000-FFFF-FFFF00000000}"/>
  </bookViews>
  <sheets>
    <sheet name="Русская тяга люб. 75 кг." sheetId="37" r:id="rId1"/>
    <sheet name="РЖ любители 75 кг." sheetId="36" r:id="rId2"/>
    <sheet name="РЖ любители 55 кг." sheetId="35" r:id="rId3"/>
    <sheet name="РЖ любители 35 кг." sheetId="34" r:id="rId4"/>
    <sheet name="РЖ Проф 55 кг." sheetId="33" r:id="rId5"/>
    <sheet name="Бицепс Профессионалы" sheetId="32" r:id="rId6"/>
    <sheet name="Бицепс Любители" sheetId="31" r:id="rId7"/>
    <sheet name="Жим стоя Любители" sheetId="30" r:id="rId8"/>
    <sheet name="ПРО В.Ж. м.повт. 1_2" sheetId="29" r:id="rId9"/>
    <sheet name="Проф. народный жим 1_2 вес" sheetId="28" r:id="rId10"/>
    <sheet name="Проф. народный жим 1 вес" sheetId="27" r:id="rId11"/>
    <sheet name="Люб. народный жим 1_2 вес" sheetId="26" r:id="rId12"/>
    <sheet name="Люб. народный жим 1 вес" sheetId="25" r:id="rId13"/>
    <sheet name="ПРО присед б.э." sheetId="24" r:id="rId14"/>
    <sheet name="Люб. присед б.э." sheetId="23" r:id="rId15"/>
    <sheet name="Люб. тяга софт экип." sheetId="22" r:id="rId16"/>
    <sheet name="ПРО тяга б.э." sheetId="21" r:id="rId17"/>
    <sheet name="Люб. тяга б.э." sheetId="20" r:id="rId18"/>
    <sheet name="ПРО тяга 1.слой" sheetId="19" r:id="rId19"/>
    <sheet name="ПРО жим софт мн.петельная" sheetId="18" r:id="rId20"/>
    <sheet name="ПРО жим софт 1 петельная" sheetId="17" r:id="rId21"/>
    <sheet name="Люб. жим 1 петельная" sheetId="16" r:id="rId22"/>
    <sheet name="ПРО жим б.э." sheetId="15" r:id="rId23"/>
    <sheet name="Люб. жим б.э." sheetId="14" r:id="rId24"/>
    <sheet name="Люб. жим 1.слой" sheetId="13" r:id="rId25"/>
    <sheet name="ПРО Военный жим класс." sheetId="12" r:id="rId26"/>
    <sheet name="Люб. Военный жим класс." sheetId="11" r:id="rId27"/>
    <sheet name="ПРО ПЛ. мн.петельная софт" sheetId="10" r:id="rId28"/>
    <sheet name="ПРО ПЛ. б.э." sheetId="9" r:id="rId29"/>
    <sheet name="Люб. ПЛ. б.э." sheetId="8" r:id="rId30"/>
    <sheet name="Люб. ПЛ. СОФТ СТАНДАРТ" sheetId="7" r:id="rId31"/>
    <sheet name="ПРО ПЛ. 1.слой" sheetId="6" r:id="rId32"/>
    <sheet name="СОВ ПЛ." sheetId="5" r:id="rId33"/>
    <sheet name="Командное первенство" sheetId="38" r:id="rId34"/>
  </sheets>
  <definedNames>
    <definedName name="_FilterDatabase" localSheetId="32" hidden="1">'СОВ ПЛ.'!$A$1:$S$3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37" l="1"/>
  <c r="I6" i="37"/>
  <c r="D6" i="37"/>
  <c r="J6" i="36"/>
  <c r="I6" i="36"/>
  <c r="D6" i="36"/>
  <c r="J8" i="35"/>
  <c r="I8" i="35"/>
  <c r="D8" i="35"/>
  <c r="J7" i="35"/>
  <c r="I7" i="35"/>
  <c r="D7" i="35"/>
  <c r="J6" i="35"/>
  <c r="I6" i="35"/>
  <c r="D6" i="35"/>
  <c r="J7" i="34"/>
  <c r="I7" i="34"/>
  <c r="D7" i="34"/>
  <c r="J6" i="34"/>
  <c r="I6" i="34"/>
  <c r="D6" i="34"/>
  <c r="J6" i="33"/>
  <c r="I6" i="33"/>
  <c r="D6" i="33"/>
  <c r="L6" i="32"/>
  <c r="K6" i="32"/>
  <c r="D6" i="32"/>
  <c r="L13" i="31"/>
  <c r="K13" i="31"/>
  <c r="D13" i="31"/>
  <c r="L12" i="31"/>
  <c r="K12" i="31"/>
  <c r="D12" i="31"/>
  <c r="L9" i="31"/>
  <c r="K9" i="31"/>
  <c r="D9" i="31"/>
  <c r="L6" i="31"/>
  <c r="K6" i="31"/>
  <c r="D6" i="31"/>
  <c r="L6" i="30"/>
  <c r="K6" i="30"/>
  <c r="D6" i="30"/>
  <c r="J6" i="29"/>
  <c r="I6" i="29"/>
  <c r="D6" i="29"/>
  <c r="J9" i="28"/>
  <c r="I9" i="28"/>
  <c r="D9" i="28"/>
  <c r="J6" i="28"/>
  <c r="I6" i="28"/>
  <c r="D6" i="28"/>
  <c r="J9" i="27"/>
  <c r="I9" i="27"/>
  <c r="D9" i="27"/>
  <c r="J6" i="27"/>
  <c r="I6" i="27"/>
  <c r="D6" i="27"/>
  <c r="J9" i="26"/>
  <c r="I9" i="26"/>
  <c r="D9" i="26"/>
  <c r="J6" i="26"/>
  <c r="I6" i="26"/>
  <c r="D6" i="26"/>
  <c r="J6" i="25"/>
  <c r="I6" i="25"/>
  <c r="D6" i="25"/>
  <c r="L6" i="24"/>
  <c r="K6" i="24"/>
  <c r="D6" i="24"/>
  <c r="L6" i="23"/>
  <c r="K6" i="23"/>
  <c r="D6" i="23"/>
  <c r="L9" i="22"/>
  <c r="K9" i="22"/>
  <c r="D9" i="22"/>
  <c r="L6" i="22"/>
  <c r="K6" i="22"/>
  <c r="D6" i="22"/>
  <c r="L12" i="21"/>
  <c r="K12" i="21"/>
  <c r="D12" i="21"/>
  <c r="L9" i="21"/>
  <c r="K9" i="21"/>
  <c r="D9" i="21"/>
  <c r="L6" i="21"/>
  <c r="K6" i="21"/>
  <c r="D6" i="21"/>
  <c r="L37" i="20"/>
  <c r="K37" i="20"/>
  <c r="D37" i="20"/>
  <c r="L36" i="20"/>
  <c r="K36" i="20"/>
  <c r="D36" i="20"/>
  <c r="L33" i="20"/>
  <c r="K33" i="20"/>
  <c r="D33" i="20"/>
  <c r="L32" i="20"/>
  <c r="K32" i="20"/>
  <c r="D32" i="20"/>
  <c r="L29" i="20"/>
  <c r="K29" i="20"/>
  <c r="D29" i="20"/>
  <c r="L26" i="20"/>
  <c r="K26" i="20"/>
  <c r="D26" i="20"/>
  <c r="L25" i="20"/>
  <c r="K25" i="20"/>
  <c r="D25" i="20"/>
  <c r="L24" i="20"/>
  <c r="K24" i="20"/>
  <c r="D24" i="20"/>
  <c r="L21" i="20"/>
  <c r="K21" i="20"/>
  <c r="D21" i="20"/>
  <c r="L20" i="20"/>
  <c r="K20" i="20"/>
  <c r="D20" i="20"/>
  <c r="L17" i="20"/>
  <c r="K17" i="20"/>
  <c r="D17" i="20"/>
  <c r="L16" i="20"/>
  <c r="K16" i="20"/>
  <c r="D16" i="20"/>
  <c r="L15" i="20"/>
  <c r="K15" i="20"/>
  <c r="D15" i="20"/>
  <c r="L12" i="20"/>
  <c r="K12" i="20"/>
  <c r="D12" i="20"/>
  <c r="L9" i="20"/>
  <c r="K9" i="20"/>
  <c r="D9" i="20"/>
  <c r="L6" i="20"/>
  <c r="K6" i="20"/>
  <c r="D6" i="20"/>
  <c r="L6" i="19"/>
  <c r="K6" i="19"/>
  <c r="D6" i="19"/>
  <c r="L6" i="18"/>
  <c r="K6" i="18"/>
  <c r="D6" i="18"/>
  <c r="L6" i="17"/>
  <c r="K6" i="17"/>
  <c r="D6" i="17"/>
  <c r="L9" i="16"/>
  <c r="K9" i="16"/>
  <c r="D9" i="16"/>
  <c r="L6" i="16"/>
  <c r="K6" i="16"/>
  <c r="D6" i="16"/>
  <c r="L21" i="15"/>
  <c r="K21" i="15"/>
  <c r="D21" i="15"/>
  <c r="L18" i="15"/>
  <c r="K18" i="15"/>
  <c r="D18" i="15"/>
  <c r="L15" i="15"/>
  <c r="K15" i="15"/>
  <c r="D15" i="15"/>
  <c r="L12" i="15"/>
  <c r="K12" i="15"/>
  <c r="D12" i="15"/>
  <c r="L9" i="15"/>
  <c r="K9" i="15"/>
  <c r="D9" i="15"/>
  <c r="L6" i="15"/>
  <c r="K6" i="15"/>
  <c r="D6" i="15"/>
  <c r="L50" i="14"/>
  <c r="K50" i="14"/>
  <c r="D50" i="14"/>
  <c r="L47" i="14"/>
  <c r="K47" i="14"/>
  <c r="D47" i="14"/>
  <c r="L46" i="14"/>
  <c r="K46" i="14"/>
  <c r="D46" i="14"/>
  <c r="L45" i="14"/>
  <c r="K45" i="14"/>
  <c r="D45" i="14"/>
  <c r="L44" i="14"/>
  <c r="K44" i="14"/>
  <c r="D44" i="14"/>
  <c r="L43" i="14"/>
  <c r="K43" i="14"/>
  <c r="D43" i="14"/>
  <c r="L40" i="14"/>
  <c r="K40" i="14"/>
  <c r="D40" i="14"/>
  <c r="L39" i="14"/>
  <c r="K39" i="14"/>
  <c r="D39" i="14"/>
  <c r="L36" i="14"/>
  <c r="K36" i="14"/>
  <c r="D36" i="14"/>
  <c r="L35" i="14"/>
  <c r="K35" i="14"/>
  <c r="D35" i="14"/>
  <c r="L32" i="14"/>
  <c r="K32" i="14"/>
  <c r="D32" i="14"/>
  <c r="L31" i="14"/>
  <c r="K31" i="14"/>
  <c r="D31" i="14"/>
  <c r="L30" i="14"/>
  <c r="K30" i="14"/>
  <c r="D30" i="14"/>
  <c r="L29" i="14"/>
  <c r="K29" i="14"/>
  <c r="D29" i="14"/>
  <c r="L28" i="14"/>
  <c r="K28" i="14"/>
  <c r="D28" i="14"/>
  <c r="L27" i="14"/>
  <c r="K27" i="14"/>
  <c r="D27" i="14"/>
  <c r="L26" i="14"/>
  <c r="K26" i="14"/>
  <c r="D26" i="14"/>
  <c r="L23" i="14"/>
  <c r="K23" i="14"/>
  <c r="D23" i="14"/>
  <c r="L22" i="14"/>
  <c r="K22" i="14"/>
  <c r="D22" i="14"/>
  <c r="L21" i="14"/>
  <c r="K21" i="14"/>
  <c r="D21" i="14"/>
  <c r="L20" i="14"/>
  <c r="K20" i="14"/>
  <c r="D20" i="14"/>
  <c r="L19" i="14"/>
  <c r="K19" i="14"/>
  <c r="D19" i="14"/>
  <c r="L16" i="14"/>
  <c r="K16" i="14"/>
  <c r="D16" i="14"/>
  <c r="L15" i="14"/>
  <c r="K15" i="14"/>
  <c r="D15" i="14"/>
  <c r="L12" i="14"/>
  <c r="K12" i="14"/>
  <c r="D12" i="14"/>
  <c r="L9" i="14"/>
  <c r="K9" i="14"/>
  <c r="D9" i="14"/>
  <c r="L6" i="14"/>
  <c r="K6" i="14"/>
  <c r="D6" i="14"/>
  <c r="L6" i="13"/>
  <c r="K6" i="13"/>
  <c r="D6" i="13"/>
  <c r="L6" i="12"/>
  <c r="K6" i="12"/>
  <c r="D6" i="12"/>
  <c r="L6" i="11"/>
  <c r="K6" i="11"/>
  <c r="D6" i="11"/>
  <c r="T6" i="10"/>
  <c r="S6" i="10"/>
  <c r="D6" i="10"/>
  <c r="T6" i="9"/>
  <c r="S6" i="9"/>
  <c r="D6" i="9"/>
  <c r="T12" i="8"/>
  <c r="S12" i="8"/>
  <c r="D12" i="8"/>
  <c r="T9" i="8"/>
  <c r="S9" i="8"/>
  <c r="D9" i="8"/>
  <c r="T6" i="8"/>
  <c r="S6" i="8"/>
  <c r="D6" i="8"/>
  <c r="T6" i="7"/>
  <c r="S6" i="7"/>
  <c r="D6" i="7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<sst xmlns="http://schemas.openxmlformats.org/spreadsheetml/2006/main" count="2841" uniqueCount="715">
  <si>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</si>
  <si>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</si>
  <si>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</si>
  <si>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</si>
  <si>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</si>
  <si>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</si>
  <si>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</si>
  <si>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</si>
  <si>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</si>
  <si>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</si>
  <si>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</si>
  <si>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Приволжского Федерального Округа
СОВ пауэрлифтинг
Самара/Самарская область 14 - 15 ноября 2020 г.</t>
  </si>
  <si>
    <t>Shv/Mel</t>
  </si>
  <si>
    <t>Приседание</t>
  </si>
  <si>
    <t>Жим лёжа</t>
  </si>
  <si>
    <t>Становая тяга</t>
  </si>
  <si>
    <t>ВЕСОВАЯ КАТЕГОРИЯ   90</t>
  </si>
  <si>
    <t>Исаев Андрей</t>
  </si>
  <si>
    <t>1. Исаев Андрей</t>
  </si>
  <si>
    <t>Мастера 50 - 54 (30.03.1970)/50</t>
  </si>
  <si>
    <t>85,50</t>
  </si>
  <si>
    <t xml:space="preserve">лично </t>
  </si>
  <si>
    <t xml:space="preserve">Новокуйбышевск/Самарская область </t>
  </si>
  <si>
    <t>100,0</t>
  </si>
  <si>
    <t>120,0</t>
  </si>
  <si>
    <t>85,0</t>
  </si>
  <si>
    <t>92,5</t>
  </si>
  <si>
    <t>97,5</t>
  </si>
  <si>
    <t>115,0</t>
  </si>
  <si>
    <t>130,0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</si>
  <si>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</si>
  <si>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</si>
  <si>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</si>
  <si>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</si>
  <si>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</si>
  <si>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</si>
  <si>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</si>
  <si>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</si>
  <si>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</si>
  <si>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</si>
  <si>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</si>
  <si>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</si>
  <si>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</si>
  <si>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</si>
  <si>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Мастера 50 - 54 </t>
  </si>
  <si>
    <t>90</t>
  </si>
  <si>
    <t>337,5</t>
  </si>
  <si>
    <t>239,3140</t>
  </si>
  <si>
    <t>Чемпионат Приволжского Федерального Округа
ПРО пауэрлифтинг в однослойной экипировке
Самара/Самарская область 14 - 15 ноября 2020 г.</t>
  </si>
  <si>
    <t>ВЕСОВАЯ КАТЕГОРИЯ   75</t>
  </si>
  <si>
    <t>Федоров Владимир</t>
  </si>
  <si>
    <t>1. Федоров Владимир</t>
  </si>
  <si>
    <t>Мастера 55 - 59 (17.07.1962)/58</t>
  </si>
  <si>
    <t>72,90</t>
  </si>
  <si>
    <t xml:space="preserve">Вольск/Саратовская область </t>
  </si>
  <si>
    <t>165,0</t>
  </si>
  <si>
    <t>175,0</t>
  </si>
  <si>
    <t>180,0</t>
  </si>
  <si>
    <t>90,0</t>
  </si>
  <si>
    <t>105,0</t>
  </si>
  <si>
    <t>195,0</t>
  </si>
  <si>
    <t>202,5</t>
  </si>
  <si>
    <t xml:space="preserve">Андреев Валентин Васильевич </t>
  </si>
  <si>
    <t xml:space="preserve">Мастера 55 - 59 </t>
  </si>
  <si>
    <t>75</t>
  </si>
  <si>
    <t>487,5</t>
  </si>
  <si>
    <t>508,6280</t>
  </si>
  <si>
    <t>ВЕСОВАЯ КАТЕГОРИЯ   100</t>
  </si>
  <si>
    <t>Ширяев Александр</t>
  </si>
  <si>
    <t>1. Ширяев Александр</t>
  </si>
  <si>
    <t>Юноши 16 - 17 (02.01.2003)/17</t>
  </si>
  <si>
    <t>95,65</t>
  </si>
  <si>
    <t xml:space="preserve">Кошелев жим </t>
  </si>
  <si>
    <t xml:space="preserve">Самара/Самарская область </t>
  </si>
  <si>
    <t>170,0</t>
  </si>
  <si>
    <t>190,0</t>
  </si>
  <si>
    <t>95,0</t>
  </si>
  <si>
    <t>185,0</t>
  </si>
  <si>
    <t xml:space="preserve">Хорошенко Николай </t>
  </si>
  <si>
    <t xml:space="preserve">Юноши </t>
  </si>
  <si>
    <t xml:space="preserve">Юноши 16 - 17 </t>
  </si>
  <si>
    <t>100</t>
  </si>
  <si>
    <t>465,0</t>
  </si>
  <si>
    <t>284,1699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</si>
  <si>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</si>
  <si>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</si>
  <si>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</si>
  <si>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</si>
  <si>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</si>
  <si>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Ширяев Александр </t>
  </si>
  <si>
    <t>Чемпионат Приволжского Федерального Округа
Любители пауэрлифтинг без экипировки
Самара/Самарская область 14 - 15 ноября 2020 г.</t>
  </si>
  <si>
    <t>ВЕСОВАЯ КАТЕГОРИЯ   60</t>
  </si>
  <si>
    <t>Валеев Артур</t>
  </si>
  <si>
    <t>1. Валеев Артур</t>
  </si>
  <si>
    <t>Юноши 16 - 17 (26.12.2002)/17</t>
  </si>
  <si>
    <t>58,45</t>
  </si>
  <si>
    <t xml:space="preserve">Туймазы </t>
  </si>
  <si>
    <t xml:space="preserve">Уфа/Башкортостан республика </t>
  </si>
  <si>
    <t>110,0</t>
  </si>
  <si>
    <t>60,0</t>
  </si>
  <si>
    <t>65,0</t>
  </si>
  <si>
    <t>70,0</t>
  </si>
  <si>
    <t>125,0</t>
  </si>
  <si>
    <t xml:space="preserve">Ильясов Марат </t>
  </si>
  <si>
    <t>Алексеев Максим</t>
  </si>
  <si>
    <t>1. Алексеев Максим</t>
  </si>
  <si>
    <t>Юноши 16 - 17 (19.01.2003)/17</t>
  </si>
  <si>
    <t>73,20</t>
  </si>
  <si>
    <t xml:space="preserve">Strong People </t>
  </si>
  <si>
    <t>140,0</t>
  </si>
  <si>
    <t>80,0</t>
  </si>
  <si>
    <t>87,5</t>
  </si>
  <si>
    <t>152,5</t>
  </si>
  <si>
    <t>157,5</t>
  </si>
  <si>
    <t xml:space="preserve">Егорова Ольга </t>
  </si>
  <si>
    <t>ВЕСОВАЯ КАТЕГОРИЯ   82.5</t>
  </si>
  <si>
    <t>Бурля Даниил</t>
  </si>
  <si>
    <t>1. Бурля Даниил</t>
  </si>
  <si>
    <t>Юноши 16 - 17 (28.12.2002)/17</t>
  </si>
  <si>
    <t>77,45</t>
  </si>
  <si>
    <t xml:space="preserve">Самсон </t>
  </si>
  <si>
    <t xml:space="preserve">Гугняков Александр </t>
  </si>
  <si>
    <t>382,5</t>
  </si>
  <si>
    <t>279,8339</t>
  </si>
  <si>
    <t>60</t>
  </si>
  <si>
    <t>305,0</t>
  </si>
  <si>
    <t>275,1478</t>
  </si>
  <si>
    <t>82.5</t>
  </si>
  <si>
    <t>335,0</t>
  </si>
  <si>
    <t>234,5368</t>
  </si>
  <si>
    <t xml:space="preserve">Алексеев Максим </t>
  </si>
  <si>
    <t xml:space="preserve">Бурля Даниил </t>
  </si>
  <si>
    <t xml:space="preserve">Валеев Артур </t>
  </si>
  <si>
    <t>Чемпионат Приволжского Федерального Округа
ПРО пауэрлифтинг без экипировки
Самара/Самарская область 14 - 15 ноября 2020 г.</t>
  </si>
  <si>
    <t>Дубов Алексей</t>
  </si>
  <si>
    <t>1. Дубов Алексей</t>
  </si>
  <si>
    <t>Мастера 55 - 59 (18.04.1963)/57</t>
  </si>
  <si>
    <t>90,00</t>
  </si>
  <si>
    <t>162,5</t>
  </si>
  <si>
    <t>172,5</t>
  </si>
  <si>
    <t>192,5</t>
  </si>
  <si>
    <t>215,0</t>
  </si>
  <si>
    <t xml:space="preserve">Балашов Владимир </t>
  </si>
  <si>
    <t>455,0</t>
  </si>
  <si>
    <t>394,1410</t>
  </si>
  <si>
    <t>Чемпионат Приволжского Федерального Округа
ПРО пауэрлифтинг в многопетельной софт экипировке
Самара/Самарская область 14 - 15 ноября 2020 г.</t>
  </si>
  <si>
    <t>-. Гаржа Леонид</t>
  </si>
  <si>
    <t>Мастера 50 - 54 (02.05.1970)/50</t>
  </si>
  <si>
    <t>89,70</t>
  </si>
  <si>
    <t xml:space="preserve">СК Графит </t>
  </si>
  <si>
    <t>150,0</t>
  </si>
  <si>
    <t>160,0</t>
  </si>
  <si>
    <t>210,0</t>
  </si>
  <si>
    <t>Чемпионат Приволжского Федерального Округа
Любители военный жим классический
Самара/Самарская область 14 - 15 ноября 2020 г.</t>
  </si>
  <si>
    <t>ВЕСОВАЯ КАТЕГОРИЯ   125</t>
  </si>
  <si>
    <t>Гусев Андрей</t>
  </si>
  <si>
    <t>1. Гусев Андрей</t>
  </si>
  <si>
    <t>Мастера 45 - 49 (25.03.1973)/47</t>
  </si>
  <si>
    <t>119,00</t>
  </si>
  <si>
    <t>177,5</t>
  </si>
  <si>
    <t xml:space="preserve">Арусланов Шамиль Харисович </t>
  </si>
  <si>
    <t xml:space="preserve">Результат </t>
  </si>
  <si>
    <t xml:space="preserve">Мастера 45 - 49 </t>
  </si>
  <si>
    <t>125</t>
  </si>
  <si>
    <t>102,3229</t>
  </si>
  <si>
    <t xml:space="preserve">Гусев Андрей </t>
  </si>
  <si>
    <t>Результат</t>
  </si>
  <si>
    <t>Чемпионат Приволжского Федерального Округа
ПРО военный жим классический
Самара/Самарская область 14 - 15 ноября 2020 г.</t>
  </si>
  <si>
    <t>Пургаев Дмитрий</t>
  </si>
  <si>
    <t>1. Пургаев Дмитрий</t>
  </si>
  <si>
    <t>Открытая (10.11.1983)/37</t>
  </si>
  <si>
    <t>116,00</t>
  </si>
  <si>
    <t xml:space="preserve">Кузнецк/Пензенская область </t>
  </si>
  <si>
    <t>200,0</t>
  </si>
  <si>
    <t>205,0</t>
  </si>
  <si>
    <t xml:space="preserve">Открытая </t>
  </si>
  <si>
    <t>106,1000</t>
  </si>
  <si>
    <t>Чемпионат Приволжского Федерального Округа
Любители жим лежа в однослойной экипировке
Самара/Самарская область 14 - 15 ноября 2020 г.</t>
  </si>
  <si>
    <t>Бакунц Гагик</t>
  </si>
  <si>
    <t>1. Бакунц Гагик</t>
  </si>
  <si>
    <t>Открытая (22.03.1990)/30</t>
  </si>
  <si>
    <t xml:space="preserve">Power Monsters Team </t>
  </si>
  <si>
    <t>212,5</t>
  </si>
  <si>
    <t>112,7312</t>
  </si>
  <si>
    <t xml:space="preserve">Бакунц Гагик </t>
  </si>
  <si>
    <t>Чемпионат Приволжского Федерального Округа
Любители жим лежа без экипировки
Самара/Самарская область 14 - 15 ноября 2020 г.</t>
  </si>
  <si>
    <t>ВЕСОВАЯ КАТЕГОРИЯ   52</t>
  </si>
  <si>
    <t>Кожуховская Ирина</t>
  </si>
  <si>
    <t>1. Кожуховская Ирина</t>
  </si>
  <si>
    <t>Открытая (05.07.1986)/34</t>
  </si>
  <si>
    <t>51,65</t>
  </si>
  <si>
    <t>62,5</t>
  </si>
  <si>
    <t xml:space="preserve">Гусев Андрей Юрьевич </t>
  </si>
  <si>
    <t>ВЕСОВАЯ КАТЕГОРИЯ   56</t>
  </si>
  <si>
    <t>Емануйлова Наталья</t>
  </si>
  <si>
    <t>1. Емануйлова Наталья</t>
  </si>
  <si>
    <t>Открытая (13.08.1981)/39</t>
  </si>
  <si>
    <t>55,70</t>
  </si>
  <si>
    <t xml:space="preserve">Город на Волге </t>
  </si>
  <si>
    <t xml:space="preserve">Октябрьск/Самарская область </t>
  </si>
  <si>
    <t>50,0</t>
  </si>
  <si>
    <t>57,5</t>
  </si>
  <si>
    <t xml:space="preserve">Кутуков Алексей </t>
  </si>
  <si>
    <t>Янковский Никита</t>
  </si>
  <si>
    <t>1. Янковский Никита</t>
  </si>
  <si>
    <t>Юноши 0-13 (10.04.2007)/13</t>
  </si>
  <si>
    <t>40,00</t>
  </si>
  <si>
    <t>30,0</t>
  </si>
  <si>
    <t>35,0</t>
  </si>
  <si>
    <t>40,0</t>
  </si>
  <si>
    <t>ВЕСОВАЯ КАТЕГОРИЯ   67.5</t>
  </si>
  <si>
    <t>Банин Даниил</t>
  </si>
  <si>
    <t>1. Банин Даниил</t>
  </si>
  <si>
    <t>64,60</t>
  </si>
  <si>
    <t>45,0</t>
  </si>
  <si>
    <t>55,0</t>
  </si>
  <si>
    <t xml:space="preserve">Дубов Алексей </t>
  </si>
  <si>
    <t>Арешев Антон</t>
  </si>
  <si>
    <t>1. Арешев Антон</t>
  </si>
  <si>
    <t>Открытая (26.03.1992)/28</t>
  </si>
  <si>
    <t>66,80</t>
  </si>
  <si>
    <t>127,5</t>
  </si>
  <si>
    <t>137,5</t>
  </si>
  <si>
    <t>Муравьев Кирилл</t>
  </si>
  <si>
    <t>1. Муравьев Кирилл</t>
  </si>
  <si>
    <t>Юноши 16 - 17 (07.02.2004)/16</t>
  </si>
  <si>
    <t>73,40</t>
  </si>
  <si>
    <t>Гугняков Александр</t>
  </si>
  <si>
    <t>1. Гугняков Александр</t>
  </si>
  <si>
    <t>Открытая (17.09.1974)/46</t>
  </si>
  <si>
    <t>71,30</t>
  </si>
  <si>
    <t>155,0</t>
  </si>
  <si>
    <t>Сидорук Роман</t>
  </si>
  <si>
    <t>2. Сидорук Роман</t>
  </si>
  <si>
    <t>Открытая (11.02.1992)/28</t>
  </si>
  <si>
    <t>72,50</t>
  </si>
  <si>
    <t>132,5</t>
  </si>
  <si>
    <t>Ильясов Марат</t>
  </si>
  <si>
    <t>3. Ильясов Марат</t>
  </si>
  <si>
    <t>Открытая (03.06.1992)/28</t>
  </si>
  <si>
    <t>74,00</t>
  </si>
  <si>
    <t>Подгорнов Олег</t>
  </si>
  <si>
    <t>4. Подгорнов Олег</t>
  </si>
  <si>
    <t>Открытая (02.12.1987)/32</t>
  </si>
  <si>
    <t>74,55</t>
  </si>
  <si>
    <t>Гафаров Азат</t>
  </si>
  <si>
    <t>1. Гафаров Азат</t>
  </si>
  <si>
    <t>Юноши 16 - 17 (01.06.2004)/16</t>
  </si>
  <si>
    <t>78,40</t>
  </si>
  <si>
    <t>75,0</t>
  </si>
  <si>
    <t>Алексеев Александр</t>
  </si>
  <si>
    <t>1. Алексеев Александр</t>
  </si>
  <si>
    <t>Юниоры 20 - 23 (12.10.1997)/23</t>
  </si>
  <si>
    <t>80,70</t>
  </si>
  <si>
    <t>135,0</t>
  </si>
  <si>
    <t>Осипов Алексей</t>
  </si>
  <si>
    <t>1. Осипов Алексей</t>
  </si>
  <si>
    <t>Открытая (21.07.1993)/27</t>
  </si>
  <si>
    <t>78,80</t>
  </si>
  <si>
    <t xml:space="preserve">Чапаевск/Самарская область </t>
  </si>
  <si>
    <t>147,5</t>
  </si>
  <si>
    <t>Князев Андрей</t>
  </si>
  <si>
    <t>2. Князев Андрей</t>
  </si>
  <si>
    <t>Открытая (10.03.1982)/38</t>
  </si>
  <si>
    <t>79,60</t>
  </si>
  <si>
    <t xml:space="preserve">Русланов Шамиль </t>
  </si>
  <si>
    <t>Пресняков Андрей</t>
  </si>
  <si>
    <t>3. Пресняков Андрей</t>
  </si>
  <si>
    <t>Открытая (19.01.1987)/33</t>
  </si>
  <si>
    <t>Островский Денис</t>
  </si>
  <si>
    <t>4. Островский Денис</t>
  </si>
  <si>
    <t>Открытая (03.07.1993)/27</t>
  </si>
  <si>
    <t>79,20</t>
  </si>
  <si>
    <t xml:space="preserve">Hardcore </t>
  </si>
  <si>
    <t xml:space="preserve">Образцов Сергей </t>
  </si>
  <si>
    <t>Соколов Сергей</t>
  </si>
  <si>
    <t>1. Соколов Сергей</t>
  </si>
  <si>
    <t>Мастера 60 - 64 (24.02.1956)/64</t>
  </si>
  <si>
    <t>81,70</t>
  </si>
  <si>
    <t xml:space="preserve">Геракл </t>
  </si>
  <si>
    <t xml:space="preserve">Сызрань/Самарская область </t>
  </si>
  <si>
    <t>107,5</t>
  </si>
  <si>
    <t xml:space="preserve">Пеганин Юрий </t>
  </si>
  <si>
    <t>Ненашев Сергей</t>
  </si>
  <si>
    <t>1. Ненашев Сергей</t>
  </si>
  <si>
    <t>Юноши 16 - 17 (04.03.2004)/16</t>
  </si>
  <si>
    <t>91,80</t>
  </si>
  <si>
    <t>72,5</t>
  </si>
  <si>
    <t>77,5</t>
  </si>
  <si>
    <t>82,5</t>
  </si>
  <si>
    <t xml:space="preserve">Арусланов Шамиль </t>
  </si>
  <si>
    <t>Зарипов Рафаиль</t>
  </si>
  <si>
    <t>1. Зарипов Рафаиль</t>
  </si>
  <si>
    <t>Юноши 18 - 19 (16.04.2001)/19</t>
  </si>
  <si>
    <t>97,50</t>
  </si>
  <si>
    <t>142,5</t>
  </si>
  <si>
    <t>ВЕСОВАЯ КАТЕГОРИЯ   110</t>
  </si>
  <si>
    <t>Попов Сергей</t>
  </si>
  <si>
    <t>1. Попов Сергей</t>
  </si>
  <si>
    <t>Открытая (15.08.1995)/25</t>
  </si>
  <si>
    <t>103,85</t>
  </si>
  <si>
    <t>227,5</t>
  </si>
  <si>
    <t>Усачев Илья</t>
  </si>
  <si>
    <t>2. Усачев Илья</t>
  </si>
  <si>
    <t>Открытая (26.01.1986)/34</t>
  </si>
  <si>
    <t>109,80</t>
  </si>
  <si>
    <t>Носанов Дмитрий</t>
  </si>
  <si>
    <t>1. Носанов Дмитрий</t>
  </si>
  <si>
    <t>Юноши 18 - 19 (19.11.2000)/19</t>
  </si>
  <si>
    <t>122,90</t>
  </si>
  <si>
    <t>Адамов Владимир</t>
  </si>
  <si>
    <t>1. Адамов Владимир</t>
  </si>
  <si>
    <t>Открытая (25.04.1986)/34</t>
  </si>
  <si>
    <t>114,50</t>
  </si>
  <si>
    <t>Хисамов Денис</t>
  </si>
  <si>
    <t>2. Хисамов Денис</t>
  </si>
  <si>
    <t>Открытая (14.06.1986)/34</t>
  </si>
  <si>
    <t>123,50</t>
  </si>
  <si>
    <t xml:space="preserve">Закирянов Денис </t>
  </si>
  <si>
    <t>Богданов Алексей</t>
  </si>
  <si>
    <t>3. Богданов Алексей</t>
  </si>
  <si>
    <t>Открытая (25.07.1981)/39</t>
  </si>
  <si>
    <t>120,60</t>
  </si>
  <si>
    <t>Сафронов Олег</t>
  </si>
  <si>
    <t>1. Сафронов Олег</t>
  </si>
  <si>
    <t>Мастера 50 - 54 (07.07.1966)/54</t>
  </si>
  <si>
    <t>115,30</t>
  </si>
  <si>
    <t>145,0</t>
  </si>
  <si>
    <t>ВЕСОВАЯ КАТЕГОРИЯ   140+</t>
  </si>
  <si>
    <t>Демьянчук Юрий</t>
  </si>
  <si>
    <t>1. Демьянчук Юрий</t>
  </si>
  <si>
    <t>Открытая (03.10.1978)/42</t>
  </si>
  <si>
    <t>143,00</t>
  </si>
  <si>
    <t xml:space="preserve">Женщины </t>
  </si>
  <si>
    <t>52</t>
  </si>
  <si>
    <t>60,9187</t>
  </si>
  <si>
    <t>56</t>
  </si>
  <si>
    <t>45,8000</t>
  </si>
  <si>
    <t xml:space="preserve">Юноши 18 - 19 </t>
  </si>
  <si>
    <t>95,3498</t>
  </si>
  <si>
    <t>83,0661</t>
  </si>
  <si>
    <t>68,7492</t>
  </si>
  <si>
    <t xml:space="preserve">Юноши 0-13 </t>
  </si>
  <si>
    <t>64,6144</t>
  </si>
  <si>
    <t>54,4434</t>
  </si>
  <si>
    <t>53,9400</t>
  </si>
  <si>
    <t>67.5</t>
  </si>
  <si>
    <t>40,8078</t>
  </si>
  <si>
    <t xml:space="preserve">Юниоры </t>
  </si>
  <si>
    <t xml:space="preserve">Юниоры 20 - 23 </t>
  </si>
  <si>
    <t>81,7700</t>
  </si>
  <si>
    <t>110</t>
  </si>
  <si>
    <t>124,1695</t>
  </si>
  <si>
    <t>109,0373</t>
  </si>
  <si>
    <t>103,7010</t>
  </si>
  <si>
    <t>97,5848</t>
  </si>
  <si>
    <t>96,6060</t>
  </si>
  <si>
    <t>93,4192</t>
  </si>
  <si>
    <t>140+</t>
  </si>
  <si>
    <t>92,5370</t>
  </si>
  <si>
    <t>90,4710</t>
  </si>
  <si>
    <t>88,9280</t>
  </si>
  <si>
    <t>86,3115</t>
  </si>
  <si>
    <t>83,9500</t>
  </si>
  <si>
    <t>83,4562</t>
  </si>
  <si>
    <t>80,2760</t>
  </si>
  <si>
    <t>78,6250</t>
  </si>
  <si>
    <t>73,3240</t>
  </si>
  <si>
    <t xml:space="preserve">Мастера 60 - 64 </t>
  </si>
  <si>
    <t>125,0040</t>
  </si>
  <si>
    <t>102,4226</t>
  </si>
  <si>
    <t>Чемпионат Приволжского Федерального Округа
ПРО жим лежа без экипировки
Самара/Самарская область 14 - 15 ноября 2020 г.</t>
  </si>
  <si>
    <t>Королькова Анна</t>
  </si>
  <si>
    <t>1. Королькова Анна</t>
  </si>
  <si>
    <t>Девушки 14-15 (02.06.2005)/15</t>
  </si>
  <si>
    <t>55,55</t>
  </si>
  <si>
    <t>37,5</t>
  </si>
  <si>
    <t>42,5</t>
  </si>
  <si>
    <t>47,5</t>
  </si>
  <si>
    <t>Чернева Марина</t>
  </si>
  <si>
    <t>1. Чернева Марина</t>
  </si>
  <si>
    <t>Мастера 50 - 54 (27.09.1970)/50</t>
  </si>
  <si>
    <t>82,10</t>
  </si>
  <si>
    <t xml:space="preserve">Димитровград/Ульяновская область </t>
  </si>
  <si>
    <t>Головин Иван</t>
  </si>
  <si>
    <t>1. Головин Иван</t>
  </si>
  <si>
    <t>Юноши 16 - 17 (28.12.2003)/16</t>
  </si>
  <si>
    <t>65,30</t>
  </si>
  <si>
    <t>102,5</t>
  </si>
  <si>
    <t>Губанов Александр</t>
  </si>
  <si>
    <t>1. Губанов Александр</t>
  </si>
  <si>
    <t>Мастера 65 - 69 (06.02.1951)/69</t>
  </si>
  <si>
    <t>79,15</t>
  </si>
  <si>
    <t>Ковалев Анатолий</t>
  </si>
  <si>
    <t>1. Ковалев Анатолий</t>
  </si>
  <si>
    <t>Мастера 80+ (21.08.1936)/84</t>
  </si>
  <si>
    <t>85,40</t>
  </si>
  <si>
    <t>Михин Михаил</t>
  </si>
  <si>
    <t>1. Михин Михаил</t>
  </si>
  <si>
    <t>Мастера 50 - 54 (21.07.1969)/51</t>
  </si>
  <si>
    <t xml:space="preserve">Девушки </t>
  </si>
  <si>
    <t xml:space="preserve">Юноши 14-15 </t>
  </si>
  <si>
    <t>51,4539</t>
  </si>
  <si>
    <t>71,3442</t>
  </si>
  <si>
    <t>86,6487</t>
  </si>
  <si>
    <t xml:space="preserve">Мастера 65 - 69 </t>
  </si>
  <si>
    <t>117,5777</t>
  </si>
  <si>
    <t>97,8521</t>
  </si>
  <si>
    <t xml:space="preserve">Мастера 80+ </t>
  </si>
  <si>
    <t>57,4750</t>
  </si>
  <si>
    <t xml:space="preserve">36(12+12+12) </t>
  </si>
  <si>
    <t xml:space="preserve">Михин Михаил, Головин Иван, Королькова Анна </t>
  </si>
  <si>
    <t>Чемпионат Приволжского Федерального Округа
Любители жим лежа в Софт экипировка однопетельная
Самара/Самарская область 14 - 15 ноября 2020 г.</t>
  </si>
  <si>
    <t>Байрамян Армен</t>
  </si>
  <si>
    <t>1. Байрамян Армен</t>
  </si>
  <si>
    <t>Мастера 50 - 54 (04.09.1970)/50</t>
  </si>
  <si>
    <t>119,50</t>
  </si>
  <si>
    <t xml:space="preserve">Ульяновск/Ульяновская область </t>
  </si>
  <si>
    <t xml:space="preserve">Съёмщиков Игорь </t>
  </si>
  <si>
    <t>Мастера 40 - 44 (03.10.1978)/42</t>
  </si>
  <si>
    <t>250,0</t>
  </si>
  <si>
    <t>270,0</t>
  </si>
  <si>
    <t>129,9144</t>
  </si>
  <si>
    <t xml:space="preserve">Мастера 40 - 44 </t>
  </si>
  <si>
    <t>126,1754</t>
  </si>
  <si>
    <t>Чемпионат Приволжского Федерального Округа
ПРО жим лежа Софт экипировка однопетельная
Самара/Самарская область 14 - 15 ноября 2020 г.</t>
  </si>
  <si>
    <t>99,0892</t>
  </si>
  <si>
    <t>Чемпионат Приволжского Федерального Округа
ПРО жим лежа в Софт экипировка многопетельная
Самара/Самарская область 14 - 15 ноября 2020 г.</t>
  </si>
  <si>
    <t>Чемпионат Приволжского Федерального Округа
ПРО становая тяга в однослойной экипировке
Самара/Самарская область 14 - 15 ноября 2020 г.</t>
  </si>
  <si>
    <t>Андреев Валентин</t>
  </si>
  <si>
    <t>1. Андреев Валентин</t>
  </si>
  <si>
    <t>Мастера 70 - 74 (06.05.1948)/72</t>
  </si>
  <si>
    <t>87,85</t>
  </si>
  <si>
    <t xml:space="preserve">Энгельс/Саратовская область </t>
  </si>
  <si>
    <t>220,0</t>
  </si>
  <si>
    <t xml:space="preserve">Мастера 70 - 74 </t>
  </si>
  <si>
    <t>265,1706</t>
  </si>
  <si>
    <t>Чемпионат Приволжского Федерального Округа
Любители становая тяга без экипировки
Самара/Самарская область 14 - 15 ноября 2020 г.</t>
  </si>
  <si>
    <t>Колодченко Анна</t>
  </si>
  <si>
    <t>1. Колодченко Анна</t>
  </si>
  <si>
    <t>Открытая (22.05.1989)/31</t>
  </si>
  <si>
    <t>52,5</t>
  </si>
  <si>
    <t>Банина Альфиря</t>
  </si>
  <si>
    <t>1. Банина Альфиря</t>
  </si>
  <si>
    <t>Мастера 40 - 44 (09.09.1979)/41</t>
  </si>
  <si>
    <t>79,10</t>
  </si>
  <si>
    <t>117,5</t>
  </si>
  <si>
    <t>Ахметзянов Игорь</t>
  </si>
  <si>
    <t>1. Ахметзянов Игорь</t>
  </si>
  <si>
    <t>Юноши 14-15 (11.09.2005)/15</t>
  </si>
  <si>
    <t>69,85</t>
  </si>
  <si>
    <t>Кудрявцев Сергей</t>
  </si>
  <si>
    <t>1. Кудрявцев Сергей</t>
  </si>
  <si>
    <t>Юноши 18 - 19 (05.02.2001)/19</t>
  </si>
  <si>
    <t>73,10</t>
  </si>
  <si>
    <t>Лычев Андрей</t>
  </si>
  <si>
    <t>1. Лычев Андрей</t>
  </si>
  <si>
    <t>Мастера 40 - 44 (25.02.1979)/41</t>
  </si>
  <si>
    <t>78,90</t>
  </si>
  <si>
    <t>207,5</t>
  </si>
  <si>
    <t>Зарин Александр</t>
  </si>
  <si>
    <t>1. Зарин Александр</t>
  </si>
  <si>
    <t>Открытая (27.06.1994)/26</t>
  </si>
  <si>
    <t>225,0</t>
  </si>
  <si>
    <t>240,0</t>
  </si>
  <si>
    <t>257,5</t>
  </si>
  <si>
    <t>Янчишен Сергей</t>
  </si>
  <si>
    <t>2. Янчишен Сергей</t>
  </si>
  <si>
    <t>Открытая (22.08.1980)/40</t>
  </si>
  <si>
    <t>88,00</t>
  </si>
  <si>
    <t>1. Янчишен Сергей</t>
  </si>
  <si>
    <t>Мастера 40 - 44 (22.08.1980)/40</t>
  </si>
  <si>
    <t>Майоров Никита</t>
  </si>
  <si>
    <t>1. Майоров Никита</t>
  </si>
  <si>
    <t>Открытая (18.05.1992)/28</t>
  </si>
  <si>
    <t>98,50</t>
  </si>
  <si>
    <t>235,0</t>
  </si>
  <si>
    <t xml:space="preserve">Попов Сергей </t>
  </si>
  <si>
    <t>1. Усачев Илья</t>
  </si>
  <si>
    <t>230,0</t>
  </si>
  <si>
    <t>Чистяков Николай</t>
  </si>
  <si>
    <t>2. Чистяков Николай</t>
  </si>
  <si>
    <t>Открытая (01.10.1984)/36</t>
  </si>
  <si>
    <t>108,90</t>
  </si>
  <si>
    <t>242,5</t>
  </si>
  <si>
    <t>262,5</t>
  </si>
  <si>
    <t>267,5</t>
  </si>
  <si>
    <t>Ростов Олег</t>
  </si>
  <si>
    <t>2. Ростов Олег</t>
  </si>
  <si>
    <t>Мастера 45 - 49 (07.08.1973)/47</t>
  </si>
  <si>
    <t>117,30</t>
  </si>
  <si>
    <t>245,0</t>
  </si>
  <si>
    <t>57,2500</t>
  </si>
  <si>
    <t>59,2181</t>
  </si>
  <si>
    <t>126,9590</t>
  </si>
  <si>
    <t>116,3669</t>
  </si>
  <si>
    <t>115,2257</t>
  </si>
  <si>
    <t>95,8983</t>
  </si>
  <si>
    <t>83,4799</t>
  </si>
  <si>
    <t>145,0800</t>
  </si>
  <si>
    <t>134,1750</t>
  </si>
  <si>
    <t>130,5700</t>
  </si>
  <si>
    <t>130,4165</t>
  </si>
  <si>
    <t>119,9270</t>
  </si>
  <si>
    <t>154,2049</t>
  </si>
  <si>
    <t>141,6357</t>
  </si>
  <si>
    <t>133,0735</t>
  </si>
  <si>
    <t xml:space="preserve">33(12+12+9) </t>
  </si>
  <si>
    <t xml:space="preserve">Майоров Никита, Зарин Александр, Чистяков Николай </t>
  </si>
  <si>
    <t xml:space="preserve">33(12+9+12) </t>
  </si>
  <si>
    <t xml:space="preserve">Лычев Андрей, Янчишен Сергей, Янчишен Сергей </t>
  </si>
  <si>
    <t xml:space="preserve">24(12+12) </t>
  </si>
  <si>
    <t xml:space="preserve">Алексеев Максим, Колодченко Анна </t>
  </si>
  <si>
    <t xml:space="preserve">Гусев Андрей, Кудрявцев Сергей </t>
  </si>
  <si>
    <t xml:space="preserve">Гафаров Азат, Ахметзянов Игорь </t>
  </si>
  <si>
    <t xml:space="preserve">Усачев Илья </t>
  </si>
  <si>
    <t>Чемпионат Приволжского Федерального Округа
ПРО становая тяга без экипировки
Самара/Самарская область 14 - 15 ноября 2020 г.</t>
  </si>
  <si>
    <t>Шайхутдинов Ильнар</t>
  </si>
  <si>
    <t>1. Шайхутдинов Ильнар</t>
  </si>
  <si>
    <t>Открытая (30.10.1990)/30</t>
  </si>
  <si>
    <t>80,15</t>
  </si>
  <si>
    <t xml:space="preserve">Бугульма/Татарстан республика </t>
  </si>
  <si>
    <t>255,0</t>
  </si>
  <si>
    <t>265,0</t>
  </si>
  <si>
    <t>Кучма Алексей</t>
  </si>
  <si>
    <t>1. Кучма Алексей</t>
  </si>
  <si>
    <t>Мастера 40 - 44 (04.01.1979)/41</t>
  </si>
  <si>
    <t xml:space="preserve">Медведь </t>
  </si>
  <si>
    <t xml:space="preserve">Кинель-Черкассы/Самарская область </t>
  </si>
  <si>
    <t>300,0</t>
  </si>
  <si>
    <t>310,0</t>
  </si>
  <si>
    <t xml:space="preserve">Анненкова Лариса </t>
  </si>
  <si>
    <t>161,1855</t>
  </si>
  <si>
    <t>175,4144</t>
  </si>
  <si>
    <t>163,9845</t>
  </si>
  <si>
    <t xml:space="preserve">Кучма Алексей </t>
  </si>
  <si>
    <t>Чемпионат Приволжского Федерального Округа
Любители становая тяга в софт экипировке
Самара/Самарская область 14 - 15 ноября 2020 г.</t>
  </si>
  <si>
    <t>Шилин Александр</t>
  </si>
  <si>
    <t>1. Шилин Александр</t>
  </si>
  <si>
    <t>Открытая (23.08.1988)/32</t>
  </si>
  <si>
    <t>89,40</t>
  </si>
  <si>
    <t>197,5</t>
  </si>
  <si>
    <t>1. Чистяков Николай</t>
  </si>
  <si>
    <t>116,0708</t>
  </si>
  <si>
    <t xml:space="preserve">Шилин Александр, Чистяков Николай </t>
  </si>
  <si>
    <t>Чемпионат Приволжского Федерального Округа
Любители присед без экипировки
Самара/Самарская область 14 - 15 ноября 2020 г.</t>
  </si>
  <si>
    <t>112,2109</t>
  </si>
  <si>
    <t xml:space="preserve">Ахметзянов Игорь </t>
  </si>
  <si>
    <t>Чемпионат Приволжского Федерального Округа
ПРО присед без экипировки
Самара/Самарская область 14 - 15 ноября 2020 г.</t>
  </si>
  <si>
    <t>140,7647</t>
  </si>
  <si>
    <t>Чемпионат Приволжского Федерального Округа
Любители народный жим (1 вес)
Самара/Самарская область 14 - 15 ноября 2020 г.</t>
  </si>
  <si>
    <t>НАП Н.Ж.</t>
  </si>
  <si>
    <t>Народный жим</t>
  </si>
  <si>
    <t>1. Князев Андрей</t>
  </si>
  <si>
    <t>21,0</t>
  </si>
  <si>
    <t xml:space="preserve">НАП Н.Ж. </t>
  </si>
  <si>
    <t>1680,0</t>
  </si>
  <si>
    <t>1316,9520</t>
  </si>
  <si>
    <t xml:space="preserve">Князев Андрей </t>
  </si>
  <si>
    <t>Тоннаж</t>
  </si>
  <si>
    <t>Чемпионат Приволжского Федерального Округа
Любители народный жим (1/2 вес)
Самара/Самарская область 14 - 15 ноября 2020 г.</t>
  </si>
  <si>
    <t>Ефремова Елена</t>
  </si>
  <si>
    <t>1. Ефремова Елена</t>
  </si>
  <si>
    <t>Открытая (01.04.1987)/33</t>
  </si>
  <si>
    <t>55,00</t>
  </si>
  <si>
    <t>27,5</t>
  </si>
  <si>
    <t>69,0</t>
  </si>
  <si>
    <t>Егорова Ольга</t>
  </si>
  <si>
    <t>1. Егорова Ольга</t>
  </si>
  <si>
    <t>Мастера 45 - 49 (14.03.1975)/45</t>
  </si>
  <si>
    <t>58,90</t>
  </si>
  <si>
    <t>33,0</t>
  </si>
  <si>
    <t>1897,5</t>
  </si>
  <si>
    <t>1770,9368</t>
  </si>
  <si>
    <t>990,0</t>
  </si>
  <si>
    <t>913,5720</t>
  </si>
  <si>
    <t xml:space="preserve">Ефремова Елена </t>
  </si>
  <si>
    <t>Чемпионат Приволжского Федерального Округа
Профессионалы народный жим (1 вес)
Самара/Самарская область 14 - 15 ноября 2020 г.</t>
  </si>
  <si>
    <t>Простихин Олег</t>
  </si>
  <si>
    <t>1. Простихин Олег</t>
  </si>
  <si>
    <t>Открытая (06.11.1994)/26</t>
  </si>
  <si>
    <t xml:space="preserve">Заречный/Пензенская область </t>
  </si>
  <si>
    <t>54,0</t>
  </si>
  <si>
    <t>Закирянов Данис</t>
  </si>
  <si>
    <t>1. Закирянов Данис</t>
  </si>
  <si>
    <t>Открытая (11.09.1986)/34</t>
  </si>
  <si>
    <t>89,85</t>
  </si>
  <si>
    <t>3915,0</t>
  </si>
  <si>
    <t>3187,5929</t>
  </si>
  <si>
    <t>2700,0</t>
  </si>
  <si>
    <t>1930,2300</t>
  </si>
  <si>
    <t xml:space="preserve">Закирянов Данис </t>
  </si>
  <si>
    <t>Чемпионат Приволжского Федерального Округа
Профессионалы народный жим (1/2 вес)
Самара/Самарская область 14 - 15 ноября 2020 г.</t>
  </si>
  <si>
    <t>Козлов Валентин</t>
  </si>
  <si>
    <t>1. Козлов Валентин</t>
  </si>
  <si>
    <t>Мастера 75 - 79 (08.08.1943)/77</t>
  </si>
  <si>
    <t>74,90</t>
  </si>
  <si>
    <t>48,0</t>
  </si>
  <si>
    <t>52,0</t>
  </si>
  <si>
    <t>2080,0</t>
  </si>
  <si>
    <t>1639,8720</t>
  </si>
  <si>
    <t xml:space="preserve">Мастера 75 - 79 </t>
  </si>
  <si>
    <t>1800,0</t>
  </si>
  <si>
    <t>1418,5800</t>
  </si>
  <si>
    <t>Чемпионат Приволжского Федерального Округа
ПРО Военный жим многоповторный 1\2
Самара/Самарская область 14 - 15 ноября 2020 г.</t>
  </si>
  <si>
    <t>Мн.повт. жим</t>
  </si>
  <si>
    <t>1500,0</t>
  </si>
  <si>
    <t>1182,1500</t>
  </si>
  <si>
    <t>Чемпионат Приволжского Федерального Округа
Одиночный жим штанги стоя Любители
Самара/Самарская область 14 - 15 ноября 2020 г.</t>
  </si>
  <si>
    <t>Жим стоя</t>
  </si>
  <si>
    <t>Толстошеев Артём</t>
  </si>
  <si>
    <t>1. Толстошеев Артём</t>
  </si>
  <si>
    <t>Открытая (22.08.1985)/35</t>
  </si>
  <si>
    <t>66,40</t>
  </si>
  <si>
    <t xml:space="preserve">Шилин Александр </t>
  </si>
  <si>
    <t>47,8855</t>
  </si>
  <si>
    <t xml:space="preserve">Толстошеев Артём </t>
  </si>
  <si>
    <t>Чемпионат Приволжского Федерального Округа
Одиночный подъём штанги на бицепс Любители
Самара/Самарская область 14 - 15 ноября 2020 г.</t>
  </si>
  <si>
    <t>Подъем на бицепс</t>
  </si>
  <si>
    <t>Загарский Илья</t>
  </si>
  <si>
    <t>1. Загарский Илья</t>
  </si>
  <si>
    <t>Юноши 18 - 19 (08.06.2002)/18</t>
  </si>
  <si>
    <t>73,90</t>
  </si>
  <si>
    <t>Суздальцев Глеб</t>
  </si>
  <si>
    <t>1. Суздальцев Глеб</t>
  </si>
  <si>
    <t>Юноши 18 - 19 (29.11.2001)/18</t>
  </si>
  <si>
    <t>79,70</t>
  </si>
  <si>
    <t>42,7583</t>
  </si>
  <si>
    <t>31,9571</t>
  </si>
  <si>
    <t>41,2880</t>
  </si>
  <si>
    <t>40,5185</t>
  </si>
  <si>
    <t xml:space="preserve">Загарский Илья, Суздальцев Глеб </t>
  </si>
  <si>
    <t>Чемпионат Приволжского Федерального Округа
Одиночный подъём штанги на бицепс Профессионалы
Самара/Самарская область 14 - 15 ноября 2020 г.</t>
  </si>
  <si>
    <t>ВЕСОВАЯ КАТЕГОРИЯ   140</t>
  </si>
  <si>
    <t>Пожидаев Олег</t>
  </si>
  <si>
    <t>1. Пожидаев Олег</t>
  </si>
  <si>
    <t>Открытая (25.06.1992)/28</t>
  </si>
  <si>
    <t>135,00</t>
  </si>
  <si>
    <t xml:space="preserve">Кинель/Самарская область </t>
  </si>
  <si>
    <t>140</t>
  </si>
  <si>
    <t>54,7175</t>
  </si>
  <si>
    <t>Чемпионат Приволжского Федерального Округа
Русский жим профессионалы 55 кг.
Самара/Самарская область 14 - 15 ноября 2020 г.</t>
  </si>
  <si>
    <t>Атлетизм</t>
  </si>
  <si>
    <t>Русский жим</t>
  </si>
  <si>
    <t>ВЕСОВАЯ КАТЕГОРИЯ   All</t>
  </si>
  <si>
    <t>Загарский Александр</t>
  </si>
  <si>
    <t>1. Загарский Александр</t>
  </si>
  <si>
    <t>Мастера 45 - 49 (09.09.1971)/49</t>
  </si>
  <si>
    <t>88,40</t>
  </si>
  <si>
    <t>64,0</t>
  </si>
  <si>
    <t xml:space="preserve">Атлетизм </t>
  </si>
  <si>
    <t>All</t>
  </si>
  <si>
    <t>3520,0</t>
  </si>
  <si>
    <t>39,8190</t>
  </si>
  <si>
    <t xml:space="preserve">Загарский Александр </t>
  </si>
  <si>
    <t>Чемпионат Приволжского Федерального Округа
Русский жим любители 35 кг.
Самара/Самарская область 14 - 15 ноября 2020 г.</t>
  </si>
  <si>
    <t>37,0</t>
  </si>
  <si>
    <t>Захарова Екатерина</t>
  </si>
  <si>
    <t>1. Захарова Екатерина</t>
  </si>
  <si>
    <t>Мастера 45 - 49 (01.08.1975)/45</t>
  </si>
  <si>
    <t>66,70</t>
  </si>
  <si>
    <t>18,0</t>
  </si>
  <si>
    <t>1295,0</t>
  </si>
  <si>
    <t>25,0726</t>
  </si>
  <si>
    <t>630,0</t>
  </si>
  <si>
    <t>9,4452</t>
  </si>
  <si>
    <t xml:space="preserve">Кожуховская Ирина </t>
  </si>
  <si>
    <t>Чемпионат Приволжского Федерального Округа
Русский жим любители 55 кг.
Самара/Самарская область 14 - 15 ноября 2020 г.</t>
  </si>
  <si>
    <t>25,0</t>
  </si>
  <si>
    <t>39,0</t>
  </si>
  <si>
    <t>1375,0</t>
  </si>
  <si>
    <t>17,2521</t>
  </si>
  <si>
    <t>2145,0</t>
  </si>
  <si>
    <t>32,3042</t>
  </si>
  <si>
    <t>2035,0</t>
  </si>
  <si>
    <t>24,9082</t>
  </si>
  <si>
    <t xml:space="preserve">Суздальцев Глеб </t>
  </si>
  <si>
    <t xml:space="preserve">Соколов Сергей </t>
  </si>
  <si>
    <t>Чемпионат Приволжского Федерального Округа
Русский жим любители 75 кг.
Самара/Самарская область 14 - 15 ноября 2020 г.</t>
  </si>
  <si>
    <t>Захаров Виктор</t>
  </si>
  <si>
    <t>1. Захаров Виктор</t>
  </si>
  <si>
    <t>Мастера 40 - 44 (09.10.1976)/44</t>
  </si>
  <si>
    <t>93,50</t>
  </si>
  <si>
    <t>31,0</t>
  </si>
  <si>
    <t>2325,0</t>
  </si>
  <si>
    <t>24,8663</t>
  </si>
  <si>
    <t>Чемпионат Приволжского Федерального Округа
Русская станова тяга любители 75 кг.
Самара/Самарская область 14 - 15 ноября 2020 г.</t>
  </si>
  <si>
    <t>Русская становая</t>
  </si>
  <si>
    <t>Петровций Юлия</t>
  </si>
  <si>
    <t>1. Петровций Юлия</t>
  </si>
  <si>
    <t>Открытая (19.05.1990)/30</t>
  </si>
  <si>
    <t>58,85</t>
  </si>
  <si>
    <t>27,0</t>
  </si>
  <si>
    <t>2025,0</t>
  </si>
  <si>
    <t>34,4095</t>
  </si>
  <si>
    <t xml:space="preserve">Петровций Юлия </t>
  </si>
  <si>
    <t>Чемпионат Приволжского Федерального Округа
Любители пауэрлифтинг софт экипировка "СТАНДАРТ"
Самара/Самарская область 14 - 15 ноября 2020 г.</t>
  </si>
  <si>
    <t>Балашов В.В,</t>
  </si>
  <si>
    <t>Коробейников Д.Ю.</t>
  </si>
  <si>
    <t>Коробейников М.Ю.</t>
  </si>
  <si>
    <t>Дубов А.П.</t>
  </si>
  <si>
    <t>Балашов В.В.</t>
  </si>
  <si>
    <t>мк</t>
  </si>
  <si>
    <t>рк</t>
  </si>
  <si>
    <t>фк</t>
  </si>
  <si>
    <t>Ахметова С.С.</t>
  </si>
  <si>
    <t>Балашов В.А.</t>
  </si>
  <si>
    <t>1 место</t>
  </si>
  <si>
    <t>POWER MONSTERS TEAM</t>
  </si>
  <si>
    <t>2 место</t>
  </si>
  <si>
    <t>САМСОН</t>
  </si>
  <si>
    <t>3 место</t>
  </si>
  <si>
    <t>HARDCORE</t>
  </si>
  <si>
    <t>4 место</t>
  </si>
  <si>
    <t>ТУЙМАЗЫ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</si>
</sst>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theme" Target="theme/theme1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6.1796875" style="4" bestFit="1" customWidth="1"/>
    <col min="4" max="4" width="11.8671875" style="4" bestFit="1" customWidth="1"/>
    <col min="5" max="5" width="22.65234375" style="4" bestFit="1" customWidth="1"/>
    <col min="6" max="6" width="26.8359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7.55078125" style="2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8" t="s">
        <v>686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687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689</v>
      </c>
      <c r="B6" s="6" t="s">
        <v>690</v>
      </c>
      <c r="C6" s="6" t="s">
        <v>691</v>
      </c>
      <c r="D6" s="6" t="str">
        <f>"1,0000"</f>
        <v>1,0000</v>
      </c>
      <c r="E6" s="6" t="s">
        <v>273</v>
      </c>
      <c r="F6" s="6" t="s">
        <v>280</v>
      </c>
      <c r="G6" s="7" t="s">
        <v>249</v>
      </c>
      <c r="H6" s="7" t="s">
        <v>692</v>
      </c>
      <c r="I6" s="11" t="str">
        <f>"2025,0"</f>
        <v>2025,0</v>
      </c>
      <c r="J6" s="12" t="str">
        <f>"34,4095"</f>
        <v>34,4095</v>
      </c>
      <c r="K6" s="6" t="s">
        <v>30</v>
      </c>
    </row>
    <row r="8" spans="1:11" ht="14.25" x14ac:dyDescent="0.15">
      <c r="E8" s="9" t="s">
        <v>31</v>
      </c>
      <c r="F8" s="34" t="s">
        <v>701</v>
      </c>
      <c r="G8" s="35" t="s">
        <v>703</v>
      </c>
    </row>
    <row r="9" spans="1:11" ht="14.25" x14ac:dyDescent="0.15">
      <c r="E9" s="9" t="s">
        <v>32</v>
      </c>
      <c r="F9" s="34" t="s">
        <v>698</v>
      </c>
      <c r="G9" s="35" t="s">
        <v>702</v>
      </c>
    </row>
    <row r="10" spans="1:11" ht="14.25" x14ac:dyDescent="0.15">
      <c r="E10" s="9" t="s">
        <v>33</v>
      </c>
      <c r="F10" s="34" t="s">
        <v>699</v>
      </c>
      <c r="G10" s="35" t="s">
        <v>702</v>
      </c>
    </row>
    <row r="11" spans="1:11" ht="14.25" x14ac:dyDescent="0.15">
      <c r="E11" s="9" t="s">
        <v>34</v>
      </c>
      <c r="F11" s="34" t="s">
        <v>700</v>
      </c>
      <c r="G11" s="35" t="s">
        <v>703</v>
      </c>
    </row>
    <row r="12" spans="1:11" ht="14.25" x14ac:dyDescent="0.15">
      <c r="E12" s="9" t="s">
        <v>34</v>
      </c>
      <c r="F12" s="34" t="s">
        <v>706</v>
      </c>
      <c r="G12" s="35" t="s">
        <v>704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3" t="s">
        <v>36</v>
      </c>
      <c r="B16" s="13"/>
    </row>
    <row r="17" spans="1:5" ht="14.25" x14ac:dyDescent="0.15">
      <c r="A17" s="14" t="s">
        <v>333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15">
      <c r="A20" s="15" t="s">
        <v>688</v>
      </c>
      <c r="B20" s="4" t="s">
        <v>175</v>
      </c>
      <c r="C20" s="4" t="s">
        <v>651</v>
      </c>
      <c r="D20" s="4" t="s">
        <v>693</v>
      </c>
      <c r="E20" s="10" t="s">
        <v>694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273</v>
      </c>
      <c r="B27" s="4" t="s">
        <v>88</v>
      </c>
      <c r="C27" s="4" t="s">
        <v>695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4"/>
  <sheetViews>
    <sheetView workbookViewId="0">
      <selection activeCell="F15" sqref="F15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9.57421875" style="2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8" t="s">
        <v>592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594</v>
      </c>
      <c r="B6" s="6" t="s">
        <v>595</v>
      </c>
      <c r="C6" s="6" t="s">
        <v>596</v>
      </c>
      <c r="D6" s="6" t="str">
        <f>"0,7881"</f>
        <v>0,7881</v>
      </c>
      <c r="E6" s="6" t="s">
        <v>21</v>
      </c>
      <c r="F6" s="6" t="s">
        <v>73</v>
      </c>
      <c r="G6" s="7" t="s">
        <v>376</v>
      </c>
      <c r="H6" s="7" t="s">
        <v>597</v>
      </c>
      <c r="I6" s="11" t="str">
        <f>"1800,0"</f>
        <v>1800,0</v>
      </c>
      <c r="J6" s="12" t="str">
        <f>"1418,5800"</f>
        <v>1418,5800</v>
      </c>
      <c r="K6" s="6" t="s">
        <v>30</v>
      </c>
    </row>
    <row r="8" spans="1:11" ht="14.25" x14ac:dyDescent="0.15">
      <c r="A8" s="51" t="s">
        <v>115</v>
      </c>
      <c r="B8" s="51"/>
      <c r="C8" s="51"/>
      <c r="D8" s="51"/>
      <c r="E8" s="51"/>
      <c r="F8" s="51"/>
      <c r="G8" s="51"/>
      <c r="H8" s="51"/>
    </row>
    <row r="9" spans="1:11" x14ac:dyDescent="0.15">
      <c r="A9" s="6" t="s">
        <v>390</v>
      </c>
      <c r="B9" s="6" t="s">
        <v>391</v>
      </c>
      <c r="C9" s="6" t="s">
        <v>392</v>
      </c>
      <c r="D9" s="6" t="str">
        <f>"0,7884"</f>
        <v>0,7884</v>
      </c>
      <c r="E9" s="6" t="s">
        <v>21</v>
      </c>
      <c r="F9" s="6" t="s">
        <v>73</v>
      </c>
      <c r="G9" s="7" t="s">
        <v>209</v>
      </c>
      <c r="H9" s="7" t="s">
        <v>598</v>
      </c>
      <c r="I9" s="11" t="str">
        <f>"2080,0"</f>
        <v>2080,0</v>
      </c>
      <c r="J9" s="12" t="str">
        <f>"1639,8720"</f>
        <v>1639,8720</v>
      </c>
      <c r="K9" s="6" t="s">
        <v>30</v>
      </c>
    </row>
    <row r="11" spans="1:11" ht="14.25" x14ac:dyDescent="0.15">
      <c r="E11" s="9" t="s">
        <v>31</v>
      </c>
      <c r="F11" s="34" t="s">
        <v>701</v>
      </c>
      <c r="G11" s="35" t="s">
        <v>703</v>
      </c>
    </row>
    <row r="12" spans="1:11" ht="14.25" x14ac:dyDescent="0.15">
      <c r="E12" s="9" t="s">
        <v>32</v>
      </c>
      <c r="F12" s="34" t="s">
        <v>698</v>
      </c>
      <c r="G12" s="35" t="s">
        <v>702</v>
      </c>
    </row>
    <row r="13" spans="1:11" ht="14.25" x14ac:dyDescent="0.15">
      <c r="E13" s="9" t="s">
        <v>33</v>
      </c>
      <c r="F13" s="34" t="s">
        <v>699</v>
      </c>
      <c r="G13" s="35" t="s">
        <v>702</v>
      </c>
    </row>
    <row r="14" spans="1:11" ht="14.25" x14ac:dyDescent="0.15">
      <c r="E14" s="9" t="s">
        <v>34</v>
      </c>
      <c r="F14" s="34" t="s">
        <v>700</v>
      </c>
      <c r="G14" s="35" t="s">
        <v>703</v>
      </c>
    </row>
    <row r="15" spans="1:11" ht="14.25" x14ac:dyDescent="0.15">
      <c r="E15" s="9" t="s">
        <v>34</v>
      </c>
      <c r="F15" s="34" t="s">
        <v>706</v>
      </c>
      <c r="G15" s="35" t="s">
        <v>704</v>
      </c>
    </row>
    <row r="16" spans="1:11" ht="14.25" x14ac:dyDescent="0.15">
      <c r="E16" s="9"/>
    </row>
    <row r="17" spans="1:5" ht="14.25" x14ac:dyDescent="0.15">
      <c r="E17" s="9"/>
    </row>
    <row r="19" spans="1:5" ht="18" x14ac:dyDescent="0.2">
      <c r="A19" s="13" t="s">
        <v>36</v>
      </c>
      <c r="B19" s="13"/>
    </row>
    <row r="20" spans="1:5" ht="14.25" x14ac:dyDescent="0.15">
      <c r="A20" s="14" t="s">
        <v>37</v>
      </c>
      <c r="B20" s="14"/>
    </row>
    <row r="21" spans="1:5" ht="13.5" x14ac:dyDescent="0.15">
      <c r="A21" s="16"/>
      <c r="B21" s="17" t="s">
        <v>38</v>
      </c>
    </row>
    <row r="22" spans="1:5" ht="13.5" x14ac:dyDescent="0.15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15">
      <c r="A23" s="15" t="s">
        <v>389</v>
      </c>
      <c r="B23" s="4" t="s">
        <v>405</v>
      </c>
      <c r="C23" s="4" t="s">
        <v>127</v>
      </c>
      <c r="D23" s="4" t="s">
        <v>599</v>
      </c>
      <c r="E23" s="10" t="s">
        <v>600</v>
      </c>
    </row>
    <row r="24" spans="1:5" x14ac:dyDescent="0.15">
      <c r="A24" s="15" t="s">
        <v>593</v>
      </c>
      <c r="B24" s="4" t="s">
        <v>601</v>
      </c>
      <c r="C24" s="4" t="s">
        <v>64</v>
      </c>
      <c r="D24" s="4" t="s">
        <v>602</v>
      </c>
      <c r="E24" s="10" t="s">
        <v>603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1"/>
  <sheetViews>
    <sheetView workbookViewId="0">
      <selection activeCell="F15" sqref="F15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6.5859375" style="4" bestFit="1" customWidth="1"/>
    <col min="4" max="4" width="11.8671875" style="4" bestFit="1" customWidth="1"/>
    <col min="5" max="5" width="22.65234375" style="4" bestFit="1" customWidth="1"/>
    <col min="6" max="6" width="28.7226562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9.57421875" style="2" bestFit="1" customWidth="1"/>
    <col min="11" max="11" width="14.83203125" style="4" bestFit="1" customWidth="1"/>
    <col min="12" max="16384" width="9.16796875" style="3"/>
  </cols>
  <sheetData>
    <row r="1" spans="1:11" s="2" customFormat="1" ht="29.1" customHeight="1" x14ac:dyDescent="0.15">
      <c r="A1" s="38" t="s">
        <v>577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579</v>
      </c>
      <c r="B6" s="6" t="s">
        <v>580</v>
      </c>
      <c r="C6" s="6" t="s">
        <v>235</v>
      </c>
      <c r="D6" s="6" t="str">
        <f>"0,8142"</f>
        <v>0,8142</v>
      </c>
      <c r="E6" s="6" t="s">
        <v>21</v>
      </c>
      <c r="F6" s="6" t="s">
        <v>581</v>
      </c>
      <c r="G6" s="7" t="s">
        <v>287</v>
      </c>
      <c r="H6" s="7" t="s">
        <v>582</v>
      </c>
      <c r="I6" s="11" t="str">
        <f>"3915,0"</f>
        <v>3915,0</v>
      </c>
      <c r="J6" s="12" t="str">
        <f>"3187,5929"</f>
        <v>3187,5929</v>
      </c>
      <c r="K6" s="6" t="s">
        <v>30</v>
      </c>
    </row>
    <row r="8" spans="1:11" ht="14.25" x14ac:dyDescent="0.15">
      <c r="A8" s="51" t="s">
        <v>16</v>
      </c>
      <c r="B8" s="51"/>
      <c r="C8" s="51"/>
      <c r="D8" s="51"/>
      <c r="E8" s="51"/>
      <c r="F8" s="51"/>
      <c r="G8" s="51"/>
      <c r="H8" s="51"/>
    </row>
    <row r="9" spans="1:11" x14ac:dyDescent="0.15">
      <c r="A9" s="6" t="s">
        <v>584</v>
      </c>
      <c r="B9" s="6" t="s">
        <v>585</v>
      </c>
      <c r="C9" s="6" t="s">
        <v>586</v>
      </c>
      <c r="D9" s="6" t="str">
        <f>"0,7149"</f>
        <v>0,7149</v>
      </c>
      <c r="E9" s="6" t="s">
        <v>96</v>
      </c>
      <c r="F9" s="6" t="s">
        <v>97</v>
      </c>
      <c r="G9" s="7" t="s">
        <v>58</v>
      </c>
      <c r="H9" s="7" t="s">
        <v>207</v>
      </c>
      <c r="I9" s="11" t="str">
        <f>"2700,0"</f>
        <v>2700,0</v>
      </c>
      <c r="J9" s="12" t="str">
        <f>"1930,2300"</f>
        <v>1930,2300</v>
      </c>
      <c r="K9" s="6" t="s">
        <v>103</v>
      </c>
    </row>
    <row r="11" spans="1:11" ht="14.25" x14ac:dyDescent="0.15">
      <c r="E11" s="9" t="s">
        <v>31</v>
      </c>
      <c r="F11" s="34" t="s">
        <v>701</v>
      </c>
      <c r="G11" s="35" t="s">
        <v>703</v>
      </c>
    </row>
    <row r="12" spans="1:11" ht="14.25" x14ac:dyDescent="0.15">
      <c r="E12" s="9" t="s">
        <v>32</v>
      </c>
      <c r="F12" s="34" t="s">
        <v>698</v>
      </c>
      <c r="G12" s="35" t="s">
        <v>702</v>
      </c>
    </row>
    <row r="13" spans="1:11" ht="14.25" x14ac:dyDescent="0.15">
      <c r="E13" s="9" t="s">
        <v>33</v>
      </c>
      <c r="F13" s="34" t="s">
        <v>699</v>
      </c>
      <c r="G13" s="35" t="s">
        <v>702</v>
      </c>
    </row>
    <row r="14" spans="1:11" ht="14.25" x14ac:dyDescent="0.15">
      <c r="E14" s="9" t="s">
        <v>34</v>
      </c>
      <c r="F14" s="34" t="s">
        <v>700</v>
      </c>
      <c r="G14" s="35" t="s">
        <v>703</v>
      </c>
    </row>
    <row r="15" spans="1:11" ht="14.25" x14ac:dyDescent="0.15">
      <c r="E15" s="9" t="s">
        <v>34</v>
      </c>
      <c r="F15" s="34" t="s">
        <v>706</v>
      </c>
      <c r="G15" s="35" t="s">
        <v>704</v>
      </c>
    </row>
    <row r="16" spans="1:11" ht="14.25" x14ac:dyDescent="0.15">
      <c r="E16" s="9"/>
    </row>
    <row r="17" spans="1:5" ht="14.25" x14ac:dyDescent="0.15">
      <c r="E17" s="9"/>
    </row>
    <row r="19" spans="1:5" ht="18" x14ac:dyDescent="0.2">
      <c r="A19" s="13" t="s">
        <v>36</v>
      </c>
      <c r="B19" s="13"/>
    </row>
    <row r="20" spans="1:5" ht="14.25" x14ac:dyDescent="0.15">
      <c r="A20" s="14" t="s">
        <v>37</v>
      </c>
      <c r="B20" s="14"/>
    </row>
    <row r="21" spans="1:5" ht="13.5" x14ac:dyDescent="0.15">
      <c r="A21" s="16"/>
      <c r="B21" s="17" t="s">
        <v>175</v>
      </c>
    </row>
    <row r="22" spans="1:5" ht="13.5" x14ac:dyDescent="0.15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15">
      <c r="A23" s="15" t="s">
        <v>578</v>
      </c>
      <c r="B23" s="4" t="s">
        <v>175</v>
      </c>
      <c r="C23" s="4" t="s">
        <v>64</v>
      </c>
      <c r="D23" s="4" t="s">
        <v>587</v>
      </c>
      <c r="E23" s="10" t="s">
        <v>588</v>
      </c>
    </row>
    <row r="24" spans="1:5" x14ac:dyDescent="0.15">
      <c r="A24" s="15" t="s">
        <v>583</v>
      </c>
      <c r="B24" s="4" t="s">
        <v>175</v>
      </c>
      <c r="C24" s="4" t="s">
        <v>45</v>
      </c>
      <c r="D24" s="4" t="s">
        <v>589</v>
      </c>
      <c r="E24" s="10" t="s">
        <v>590</v>
      </c>
    </row>
    <row r="29" spans="1:5" ht="18" x14ac:dyDescent="0.2">
      <c r="A29" s="13" t="s">
        <v>84</v>
      </c>
      <c r="B29" s="13"/>
    </row>
    <row r="30" spans="1:5" ht="13.5" x14ac:dyDescent="0.15">
      <c r="A30" s="18" t="s">
        <v>85</v>
      </c>
      <c r="B30" s="18" t="s">
        <v>86</v>
      </c>
      <c r="C30" s="18" t="s">
        <v>87</v>
      </c>
    </row>
    <row r="31" spans="1:5" x14ac:dyDescent="0.15">
      <c r="A31" s="4" t="s">
        <v>96</v>
      </c>
      <c r="B31" s="4" t="s">
        <v>88</v>
      </c>
      <c r="C31" s="4" t="s">
        <v>591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workbookViewId="0">
      <selection activeCell="F15" sqref="F15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6.44921875" style="4" customWidth="1"/>
    <col min="4" max="4" width="11.8671875" style="4" bestFit="1" customWidth="1"/>
    <col min="5" max="5" width="22.65234375" style="4" bestFit="1" customWidth="1"/>
    <col min="6" max="6" width="34.5195312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9.57421875" style="2" bestFit="1" customWidth="1"/>
    <col min="11" max="11" width="22.3828125" style="4" bestFit="1" customWidth="1"/>
    <col min="12" max="16384" width="9.16796875" style="3"/>
  </cols>
  <sheetData>
    <row r="1" spans="1:11" s="2" customFormat="1" ht="29.1" customHeight="1" x14ac:dyDescent="0.15">
      <c r="A1" s="38" t="s">
        <v>560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193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562</v>
      </c>
      <c r="B6" s="6" t="s">
        <v>563</v>
      </c>
      <c r="C6" s="6" t="s">
        <v>564</v>
      </c>
      <c r="D6" s="6" t="str">
        <f>"0,9333"</f>
        <v>0,9333</v>
      </c>
      <c r="E6" s="6" t="s">
        <v>120</v>
      </c>
      <c r="F6" s="6" t="s">
        <v>73</v>
      </c>
      <c r="G6" s="7" t="s">
        <v>565</v>
      </c>
      <c r="H6" s="7" t="s">
        <v>566</v>
      </c>
      <c r="I6" s="11" t="str">
        <f>"1897,5"</f>
        <v>1897,5</v>
      </c>
      <c r="J6" s="12" t="str">
        <f>"1770,9368"</f>
        <v>1770,9368</v>
      </c>
      <c r="K6" s="6" t="s">
        <v>192</v>
      </c>
    </row>
    <row r="8" spans="1:11" ht="14.25" x14ac:dyDescent="0.15">
      <c r="A8" s="51" t="s">
        <v>91</v>
      </c>
      <c r="B8" s="51"/>
      <c r="C8" s="51"/>
      <c r="D8" s="51"/>
      <c r="E8" s="51"/>
      <c r="F8" s="51"/>
      <c r="G8" s="51"/>
      <c r="H8" s="51"/>
    </row>
    <row r="9" spans="1:11" x14ac:dyDescent="0.15">
      <c r="A9" s="6" t="s">
        <v>568</v>
      </c>
      <c r="B9" s="6" t="s">
        <v>569</v>
      </c>
      <c r="C9" s="6" t="s">
        <v>570</v>
      </c>
      <c r="D9" s="6" t="str">
        <f>"0,9228"</f>
        <v>0,9228</v>
      </c>
      <c r="E9" s="6" t="s">
        <v>108</v>
      </c>
      <c r="F9" s="6" t="s">
        <v>22</v>
      </c>
      <c r="G9" s="7" t="s">
        <v>207</v>
      </c>
      <c r="H9" s="7" t="s">
        <v>571</v>
      </c>
      <c r="I9" s="11" t="str">
        <f>"990,0"</f>
        <v>990,0</v>
      </c>
      <c r="J9" s="12" t="str">
        <f>"913,5720"</f>
        <v>913,5720</v>
      </c>
      <c r="K9" s="6" t="s">
        <v>30</v>
      </c>
    </row>
    <row r="11" spans="1:11" ht="14.25" x14ac:dyDescent="0.15">
      <c r="E11" s="9" t="s">
        <v>31</v>
      </c>
      <c r="F11" s="34" t="s">
        <v>701</v>
      </c>
      <c r="G11" s="35" t="s">
        <v>703</v>
      </c>
    </row>
    <row r="12" spans="1:11" ht="14.25" x14ac:dyDescent="0.15">
      <c r="E12" s="9" t="s">
        <v>32</v>
      </c>
      <c r="F12" s="34" t="s">
        <v>698</v>
      </c>
      <c r="G12" s="35" t="s">
        <v>702</v>
      </c>
    </row>
    <row r="13" spans="1:11" ht="14.25" x14ac:dyDescent="0.15">
      <c r="E13" s="9" t="s">
        <v>33</v>
      </c>
      <c r="F13" s="34" t="s">
        <v>699</v>
      </c>
      <c r="G13" s="35" t="s">
        <v>702</v>
      </c>
    </row>
    <row r="14" spans="1:11" ht="14.25" x14ac:dyDescent="0.15">
      <c r="E14" s="9" t="s">
        <v>34</v>
      </c>
      <c r="F14" s="34" t="s">
        <v>700</v>
      </c>
      <c r="G14" s="35" t="s">
        <v>703</v>
      </c>
    </row>
    <row r="15" spans="1:11" ht="14.25" x14ac:dyDescent="0.15">
      <c r="E15" s="9" t="s">
        <v>34</v>
      </c>
      <c r="F15" s="34" t="s">
        <v>706</v>
      </c>
      <c r="G15" s="35" t="s">
        <v>704</v>
      </c>
    </row>
    <row r="16" spans="1:11" ht="14.25" x14ac:dyDescent="0.15">
      <c r="E16" s="9"/>
    </row>
    <row r="17" spans="1:5" ht="14.25" x14ac:dyDescent="0.15">
      <c r="E17" s="9"/>
    </row>
    <row r="19" spans="1:5" ht="18" x14ac:dyDescent="0.2">
      <c r="A19" s="13" t="s">
        <v>36</v>
      </c>
      <c r="B19" s="13"/>
    </row>
    <row r="20" spans="1:5" ht="14.25" x14ac:dyDescent="0.15">
      <c r="A20" s="14" t="s">
        <v>333</v>
      </c>
      <c r="B20" s="14"/>
    </row>
    <row r="21" spans="1:5" ht="13.5" x14ac:dyDescent="0.15">
      <c r="A21" s="16"/>
      <c r="B21" s="17" t="s">
        <v>175</v>
      </c>
    </row>
    <row r="22" spans="1:5" ht="13.5" x14ac:dyDescent="0.15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555</v>
      </c>
    </row>
    <row r="23" spans="1:5" x14ac:dyDescent="0.15">
      <c r="A23" s="15" t="s">
        <v>561</v>
      </c>
      <c r="B23" s="4" t="s">
        <v>175</v>
      </c>
      <c r="C23" s="4" t="s">
        <v>336</v>
      </c>
      <c r="D23" s="4" t="s">
        <v>572</v>
      </c>
      <c r="E23" s="10" t="s">
        <v>573</v>
      </c>
    </row>
    <row r="25" spans="1:5" ht="13.5" x14ac:dyDescent="0.15">
      <c r="A25" s="16"/>
      <c r="B25" s="17" t="s">
        <v>38</v>
      </c>
    </row>
    <row r="26" spans="1:5" ht="13.5" x14ac:dyDescent="0.15">
      <c r="A26" s="18" t="s">
        <v>39</v>
      </c>
      <c r="B26" s="18" t="s">
        <v>40</v>
      </c>
      <c r="C26" s="18" t="s">
        <v>41</v>
      </c>
      <c r="D26" s="18" t="s">
        <v>161</v>
      </c>
      <c r="E26" s="18" t="s">
        <v>555</v>
      </c>
    </row>
    <row r="27" spans="1:5" x14ac:dyDescent="0.15">
      <c r="A27" s="15" t="s">
        <v>567</v>
      </c>
      <c r="B27" s="4" t="s">
        <v>162</v>
      </c>
      <c r="C27" s="4" t="s">
        <v>124</v>
      </c>
      <c r="D27" s="4" t="s">
        <v>574</v>
      </c>
      <c r="E27" s="10" t="s">
        <v>575</v>
      </c>
    </row>
    <row r="32" spans="1:5" ht="18" x14ac:dyDescent="0.2">
      <c r="A32" s="13" t="s">
        <v>84</v>
      </c>
      <c r="B32" s="13"/>
    </row>
    <row r="33" spans="1:3" ht="13.5" x14ac:dyDescent="0.15">
      <c r="A33" s="18" t="s">
        <v>85</v>
      </c>
      <c r="B33" s="18" t="s">
        <v>86</v>
      </c>
      <c r="C33" s="18" t="s">
        <v>87</v>
      </c>
    </row>
    <row r="34" spans="1:3" x14ac:dyDescent="0.15">
      <c r="A34" s="4" t="s">
        <v>108</v>
      </c>
      <c r="B34" s="4" t="s">
        <v>88</v>
      </c>
      <c r="C34" s="4" t="s">
        <v>114</v>
      </c>
    </row>
    <row r="35" spans="1:3" x14ac:dyDescent="0.15">
      <c r="A35" s="4" t="s">
        <v>120</v>
      </c>
      <c r="B35" s="4" t="s">
        <v>88</v>
      </c>
      <c r="C35" s="4" t="s">
        <v>576</v>
      </c>
    </row>
  </sheetData>
  <mergeCells count="13">
    <mergeCell ref="A8:H8"/>
    <mergeCell ref="G3:H3"/>
    <mergeCell ref="I3:I4"/>
    <mergeCell ref="J3:J4"/>
    <mergeCell ref="K3:K4"/>
    <mergeCell ref="A5:H5"/>
    <mergeCell ref="A1:K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9.57421875" style="2" bestFit="1" customWidth="1"/>
    <col min="11" max="11" width="17.52734375" style="4" bestFit="1" customWidth="1"/>
    <col min="12" max="16384" width="9.16796875" style="3"/>
  </cols>
  <sheetData>
    <row r="1" spans="1:11" s="2" customFormat="1" ht="29.1" customHeight="1" x14ac:dyDescent="0.15">
      <c r="A1" s="38" t="s">
        <v>550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552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115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553</v>
      </c>
      <c r="B6" s="6" t="s">
        <v>263</v>
      </c>
      <c r="C6" s="6" t="s">
        <v>264</v>
      </c>
      <c r="D6" s="6" t="str">
        <f>"0,7839"</f>
        <v>0,7839</v>
      </c>
      <c r="E6" s="6" t="s">
        <v>120</v>
      </c>
      <c r="F6" s="6" t="s">
        <v>73</v>
      </c>
      <c r="G6" s="7" t="s">
        <v>110</v>
      </c>
      <c r="H6" s="7" t="s">
        <v>554</v>
      </c>
      <c r="I6" s="11" t="str">
        <f>"1680,0"</f>
        <v>1680,0</v>
      </c>
      <c r="J6" s="12" t="str">
        <f>"1316,9520"</f>
        <v>1316,9520</v>
      </c>
      <c r="K6" s="6" t="s">
        <v>265</v>
      </c>
    </row>
    <row r="8" spans="1:11" ht="14.25" x14ac:dyDescent="0.15">
      <c r="E8" s="9" t="s">
        <v>31</v>
      </c>
      <c r="F8" s="34" t="s">
        <v>701</v>
      </c>
      <c r="G8" s="35" t="s">
        <v>703</v>
      </c>
    </row>
    <row r="9" spans="1:11" ht="14.25" x14ac:dyDescent="0.15">
      <c r="E9" s="9" t="s">
        <v>32</v>
      </c>
      <c r="F9" s="34" t="s">
        <v>698</v>
      </c>
      <c r="G9" s="35" t="s">
        <v>702</v>
      </c>
    </row>
    <row r="10" spans="1:11" ht="14.25" x14ac:dyDescent="0.15">
      <c r="E10" s="9" t="s">
        <v>33</v>
      </c>
      <c r="F10" s="34" t="s">
        <v>699</v>
      </c>
      <c r="G10" s="35" t="s">
        <v>702</v>
      </c>
    </row>
    <row r="11" spans="1:11" ht="14.25" x14ac:dyDescent="0.15">
      <c r="E11" s="9" t="s">
        <v>34</v>
      </c>
      <c r="F11" s="34" t="s">
        <v>700</v>
      </c>
      <c r="G11" s="35" t="s">
        <v>703</v>
      </c>
    </row>
    <row r="12" spans="1:11" ht="14.25" x14ac:dyDescent="0.15">
      <c r="E12" s="9" t="s">
        <v>34</v>
      </c>
      <c r="F12" s="34" t="s">
        <v>706</v>
      </c>
      <c r="G12" s="35" t="s">
        <v>704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555</v>
      </c>
    </row>
    <row r="20" spans="1:5" x14ac:dyDescent="0.15">
      <c r="A20" s="15" t="s">
        <v>261</v>
      </c>
      <c r="B20" s="4" t="s">
        <v>175</v>
      </c>
      <c r="C20" s="4" t="s">
        <v>127</v>
      </c>
      <c r="D20" s="4" t="s">
        <v>556</v>
      </c>
      <c r="E20" s="10" t="s">
        <v>557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120</v>
      </c>
      <c r="B27" s="4" t="s">
        <v>88</v>
      </c>
      <c r="C27" s="4" t="s">
        <v>558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19.01171875" style="4" bestFit="1" customWidth="1"/>
    <col min="14" max="16384" width="9.16796875" style="3"/>
  </cols>
  <sheetData>
    <row r="1" spans="1:13" s="2" customFormat="1" ht="29.1" customHeight="1" x14ac:dyDescent="0.15">
      <c r="A1" s="38" t="s">
        <v>548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135</v>
      </c>
      <c r="B6" s="6" t="s">
        <v>136</v>
      </c>
      <c r="C6" s="6" t="s">
        <v>137</v>
      </c>
      <c r="D6" s="6" t="str">
        <f>"0,5853"</f>
        <v>0,5853</v>
      </c>
      <c r="E6" s="6" t="s">
        <v>21</v>
      </c>
      <c r="F6" s="6" t="s">
        <v>73</v>
      </c>
      <c r="G6" s="7" t="s">
        <v>138</v>
      </c>
      <c r="H6" s="8" t="s">
        <v>139</v>
      </c>
      <c r="I6" s="8" t="s">
        <v>139</v>
      </c>
      <c r="J6" s="8"/>
      <c r="K6" s="11" t="str">
        <f>"162,5"</f>
        <v>162,5</v>
      </c>
      <c r="L6" s="12" t="str">
        <f>"140,7647"</f>
        <v>140,7647</v>
      </c>
      <c r="M6" s="6" t="s">
        <v>142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134</v>
      </c>
      <c r="B20" s="4" t="s">
        <v>63</v>
      </c>
      <c r="C20" s="4" t="s">
        <v>45</v>
      </c>
      <c r="D20" s="4" t="s">
        <v>138</v>
      </c>
      <c r="E20" s="10" t="s">
        <v>549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6.56640625" style="4" bestFit="1" customWidth="1"/>
    <col min="3" max="3" width="17.52734375" style="4" bestFit="1" customWidth="1"/>
    <col min="4" max="4" width="11.8671875" style="4" bestFit="1" customWidth="1"/>
    <col min="5" max="5" width="22.65234375" style="4" bestFit="1" customWidth="1"/>
    <col min="6" max="6" width="28.722656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14.83203125" style="4" bestFit="1" customWidth="1"/>
    <col min="14" max="16384" width="9.16796875" style="3"/>
  </cols>
  <sheetData>
    <row r="1" spans="1:13" s="2" customFormat="1" ht="29.1" customHeight="1" x14ac:dyDescent="0.15">
      <c r="A1" s="38" t="s">
        <v>545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448</v>
      </c>
      <c r="B6" s="6" t="s">
        <v>449</v>
      </c>
      <c r="C6" s="6" t="s">
        <v>450</v>
      </c>
      <c r="D6" s="6" t="str">
        <f>"0,7044"</f>
        <v>0,7044</v>
      </c>
      <c r="E6" s="6" t="s">
        <v>96</v>
      </c>
      <c r="F6" s="6" t="s">
        <v>97</v>
      </c>
      <c r="G6" s="7" t="s">
        <v>102</v>
      </c>
      <c r="H6" s="7" t="s">
        <v>29</v>
      </c>
      <c r="I6" s="7" t="s">
        <v>254</v>
      </c>
      <c r="J6" s="8"/>
      <c r="K6" s="11" t="str">
        <f>"135,0"</f>
        <v>135,0</v>
      </c>
      <c r="L6" s="12" t="str">
        <f>"112,2109"</f>
        <v>112,2109</v>
      </c>
      <c r="M6" s="6" t="s">
        <v>103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79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447</v>
      </c>
      <c r="B20" s="4" t="s">
        <v>401</v>
      </c>
      <c r="C20" s="4" t="s">
        <v>64</v>
      </c>
      <c r="D20" s="4" t="s">
        <v>254</v>
      </c>
      <c r="E20" s="10" t="s">
        <v>546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96</v>
      </c>
      <c r="B27" s="4" t="s">
        <v>88</v>
      </c>
      <c r="C27" s="4" t="s">
        <v>547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workbookViewId="0">
      <selection activeCell="F15" sqref="F15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34.51953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12.80859375" style="4" bestFit="1" customWidth="1"/>
    <col min="14" max="16384" width="9.16796875" style="3"/>
  </cols>
  <sheetData>
    <row r="1" spans="1:13" s="2" customFormat="1" ht="29.1" customHeight="1" x14ac:dyDescent="0.15">
      <c r="A1" s="38" t="s">
        <v>536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538</v>
      </c>
      <c r="B6" s="6" t="s">
        <v>539</v>
      </c>
      <c r="C6" s="6" t="s">
        <v>540</v>
      </c>
      <c r="D6" s="6" t="str">
        <f>"0,5877"</f>
        <v>0,5877</v>
      </c>
      <c r="E6" s="6" t="s">
        <v>181</v>
      </c>
      <c r="F6" s="6" t="s">
        <v>73</v>
      </c>
      <c r="G6" s="7" t="s">
        <v>77</v>
      </c>
      <c r="H6" s="7" t="s">
        <v>541</v>
      </c>
      <c r="I6" s="8" t="s">
        <v>463</v>
      </c>
      <c r="J6" s="8"/>
      <c r="K6" s="11" t="str">
        <f>"197,5"</f>
        <v>197,5</v>
      </c>
      <c r="L6" s="12" t="str">
        <f>"116,0708"</f>
        <v>116,0708</v>
      </c>
      <c r="M6" s="6" t="s">
        <v>30</v>
      </c>
    </row>
    <row r="8" spans="1:13" ht="14.25" x14ac:dyDescent="0.15">
      <c r="A8" s="51" t="s">
        <v>296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542</v>
      </c>
      <c r="B9" s="6" t="s">
        <v>482</v>
      </c>
      <c r="C9" s="6" t="s">
        <v>483</v>
      </c>
      <c r="D9" s="6" t="str">
        <f>"0,5378"</f>
        <v>0,5378</v>
      </c>
      <c r="E9" s="6" t="s">
        <v>181</v>
      </c>
      <c r="F9" s="6" t="s">
        <v>73</v>
      </c>
      <c r="G9" s="7" t="s">
        <v>463</v>
      </c>
      <c r="H9" s="7" t="s">
        <v>484</v>
      </c>
      <c r="I9" s="8"/>
      <c r="J9" s="8"/>
      <c r="K9" s="11" t="str">
        <f>"242,5"</f>
        <v>242,5</v>
      </c>
      <c r="L9" s="12" t="str">
        <f>"130,4165"</f>
        <v>130,4165</v>
      </c>
      <c r="M9" s="6" t="s">
        <v>184</v>
      </c>
    </row>
    <row r="11" spans="1:13" ht="14.25" x14ac:dyDescent="0.15">
      <c r="E11" s="9" t="s">
        <v>31</v>
      </c>
      <c r="F11" s="34" t="s">
        <v>701</v>
      </c>
      <c r="G11" s="35" t="s">
        <v>703</v>
      </c>
    </row>
    <row r="12" spans="1:13" ht="14.25" x14ac:dyDescent="0.15">
      <c r="E12" s="9" t="s">
        <v>32</v>
      </c>
      <c r="F12" s="34" t="s">
        <v>698</v>
      </c>
      <c r="G12" s="35" t="s">
        <v>702</v>
      </c>
    </row>
    <row r="13" spans="1:13" ht="14.25" x14ac:dyDescent="0.15">
      <c r="E13" s="9" t="s">
        <v>33</v>
      </c>
      <c r="F13" s="34" t="s">
        <v>699</v>
      </c>
      <c r="G13" s="35" t="s">
        <v>702</v>
      </c>
    </row>
    <row r="14" spans="1:13" ht="14.25" x14ac:dyDescent="0.15">
      <c r="E14" s="9" t="s">
        <v>34</v>
      </c>
      <c r="F14" s="34" t="s">
        <v>705</v>
      </c>
      <c r="G14" s="35" t="s">
        <v>703</v>
      </c>
    </row>
    <row r="15" spans="1:13" ht="14.25" x14ac:dyDescent="0.15">
      <c r="E15" s="9" t="s">
        <v>34</v>
      </c>
      <c r="F15" s="34" t="s">
        <v>706</v>
      </c>
      <c r="G15" s="35" t="s">
        <v>704</v>
      </c>
    </row>
    <row r="16" spans="1:13" ht="14.25" x14ac:dyDescent="0.15">
      <c r="E16" s="9" t="s">
        <v>35</v>
      </c>
    </row>
    <row r="17" spans="1:5" ht="14.25" x14ac:dyDescent="0.15">
      <c r="E17" s="9"/>
    </row>
    <row r="19" spans="1:5" ht="18" x14ac:dyDescent="0.2">
      <c r="A19" s="13" t="s">
        <v>36</v>
      </c>
      <c r="B19" s="13"/>
    </row>
    <row r="20" spans="1:5" ht="14.25" x14ac:dyDescent="0.15">
      <c r="A20" s="14" t="s">
        <v>37</v>
      </c>
      <c r="B20" s="14"/>
    </row>
    <row r="21" spans="1:5" ht="13.5" x14ac:dyDescent="0.15">
      <c r="A21" s="16"/>
      <c r="B21" s="17" t="s">
        <v>175</v>
      </c>
    </row>
    <row r="22" spans="1:5" ht="13.5" x14ac:dyDescent="0.15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43</v>
      </c>
    </row>
    <row r="23" spans="1:5" x14ac:dyDescent="0.15">
      <c r="A23" s="15" t="s">
        <v>480</v>
      </c>
      <c r="B23" s="4" t="s">
        <v>175</v>
      </c>
      <c r="C23" s="4" t="s">
        <v>351</v>
      </c>
      <c r="D23" s="4" t="s">
        <v>484</v>
      </c>
      <c r="E23" s="10" t="s">
        <v>502</v>
      </c>
    </row>
    <row r="24" spans="1:5" x14ac:dyDescent="0.15">
      <c r="A24" s="15" t="s">
        <v>537</v>
      </c>
      <c r="B24" s="4" t="s">
        <v>175</v>
      </c>
      <c r="C24" s="4" t="s">
        <v>45</v>
      </c>
      <c r="D24" s="4" t="s">
        <v>541</v>
      </c>
      <c r="E24" s="10" t="s">
        <v>543</v>
      </c>
    </row>
    <row r="29" spans="1:5" ht="18" x14ac:dyDescent="0.2">
      <c r="A29" s="13" t="s">
        <v>84</v>
      </c>
      <c r="B29" s="13"/>
    </row>
    <row r="30" spans="1:5" ht="13.5" x14ac:dyDescent="0.15">
      <c r="A30" s="18" t="s">
        <v>85</v>
      </c>
      <c r="B30" s="18" t="s">
        <v>86</v>
      </c>
      <c r="C30" s="18" t="s">
        <v>87</v>
      </c>
    </row>
    <row r="31" spans="1:5" x14ac:dyDescent="0.15">
      <c r="A31" s="4" t="s">
        <v>181</v>
      </c>
      <c r="B31" s="4" t="s">
        <v>511</v>
      </c>
      <c r="C31" s="4" t="s">
        <v>544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8"/>
  <sheetViews>
    <sheetView workbookViewId="0">
      <selection activeCell="F18" sqref="F18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34.78906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19.01171875" style="4" bestFit="1" customWidth="1"/>
    <col min="14" max="16384" width="9.16796875" style="3"/>
  </cols>
  <sheetData>
    <row r="1" spans="1:13" s="2" customFormat="1" ht="29.1" customHeight="1" x14ac:dyDescent="0.15">
      <c r="A1" s="38" t="s">
        <v>516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115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518</v>
      </c>
      <c r="B6" s="6" t="s">
        <v>519</v>
      </c>
      <c r="C6" s="6" t="s">
        <v>520</v>
      </c>
      <c r="D6" s="6" t="str">
        <f>"0,6321"</f>
        <v>0,6321</v>
      </c>
      <c r="E6" s="6" t="s">
        <v>21</v>
      </c>
      <c r="F6" s="6" t="s">
        <v>521</v>
      </c>
      <c r="G6" s="7" t="s">
        <v>464</v>
      </c>
      <c r="H6" s="7" t="s">
        <v>522</v>
      </c>
      <c r="I6" s="8" t="s">
        <v>523</v>
      </c>
      <c r="J6" s="8"/>
      <c r="K6" s="11" t="str">
        <f>"255,0"</f>
        <v>255,0</v>
      </c>
      <c r="L6" s="12" t="str">
        <f>"161,1855"</f>
        <v>161,1855</v>
      </c>
      <c r="M6" s="6" t="s">
        <v>30</v>
      </c>
    </row>
    <row r="8" spans="1:13" ht="14.25" x14ac:dyDescent="0.15">
      <c r="A8" s="51" t="s">
        <v>16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135</v>
      </c>
      <c r="B9" s="6" t="s">
        <v>136</v>
      </c>
      <c r="C9" s="6" t="s">
        <v>137</v>
      </c>
      <c r="D9" s="6" t="str">
        <f>"0,5853"</f>
        <v>0,5853</v>
      </c>
      <c r="E9" s="6" t="s">
        <v>21</v>
      </c>
      <c r="F9" s="6" t="s">
        <v>73</v>
      </c>
      <c r="G9" s="7" t="s">
        <v>140</v>
      </c>
      <c r="H9" s="7" t="s">
        <v>61</v>
      </c>
      <c r="I9" s="8" t="s">
        <v>141</v>
      </c>
      <c r="J9" s="8"/>
      <c r="K9" s="11" t="str">
        <f>"202,5"</f>
        <v>202,5</v>
      </c>
      <c r="L9" s="12" t="str">
        <f>"175,4144"</f>
        <v>175,4144</v>
      </c>
      <c r="M9" s="6" t="s">
        <v>142</v>
      </c>
    </row>
    <row r="11" spans="1:13" ht="14.25" x14ac:dyDescent="0.15">
      <c r="A11" s="51" t="s">
        <v>154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15">
      <c r="A12" s="6" t="s">
        <v>525</v>
      </c>
      <c r="B12" s="6" t="s">
        <v>526</v>
      </c>
      <c r="C12" s="6" t="s">
        <v>416</v>
      </c>
      <c r="D12" s="6" t="str">
        <f>"0,5274"</f>
        <v>0,5274</v>
      </c>
      <c r="E12" s="6" t="s">
        <v>527</v>
      </c>
      <c r="F12" s="6" t="s">
        <v>528</v>
      </c>
      <c r="G12" s="7" t="s">
        <v>529</v>
      </c>
      <c r="H12" s="7" t="s">
        <v>530</v>
      </c>
      <c r="I12" s="8"/>
      <c r="J12" s="8"/>
      <c r="K12" s="11" t="str">
        <f>"310,0"</f>
        <v>310,0</v>
      </c>
      <c r="L12" s="12" t="str">
        <f>"163,9845"</f>
        <v>163,9845</v>
      </c>
      <c r="M12" s="6" t="s">
        <v>531</v>
      </c>
    </row>
    <row r="14" spans="1:13" ht="14.25" x14ac:dyDescent="0.15">
      <c r="E14" s="9" t="s">
        <v>31</v>
      </c>
      <c r="F14" s="34" t="s">
        <v>701</v>
      </c>
      <c r="G14" s="35" t="s">
        <v>703</v>
      </c>
    </row>
    <row r="15" spans="1:13" ht="14.25" x14ac:dyDescent="0.15">
      <c r="E15" s="9" t="s">
        <v>32</v>
      </c>
      <c r="F15" s="34" t="s">
        <v>698</v>
      </c>
      <c r="G15" s="35" t="s">
        <v>702</v>
      </c>
    </row>
    <row r="16" spans="1:13" ht="14.25" x14ac:dyDescent="0.15">
      <c r="E16" s="9" t="s">
        <v>33</v>
      </c>
      <c r="F16" s="34" t="s">
        <v>699</v>
      </c>
      <c r="G16" s="35" t="s">
        <v>702</v>
      </c>
    </row>
    <row r="17" spans="1:7" ht="14.25" x14ac:dyDescent="0.15">
      <c r="E17" s="9" t="s">
        <v>34</v>
      </c>
      <c r="F17" s="34" t="s">
        <v>705</v>
      </c>
      <c r="G17" s="35" t="s">
        <v>703</v>
      </c>
    </row>
    <row r="18" spans="1:7" ht="14.25" x14ac:dyDescent="0.15">
      <c r="E18" s="9" t="s">
        <v>34</v>
      </c>
      <c r="F18" s="34" t="s">
        <v>706</v>
      </c>
      <c r="G18" s="35" t="s">
        <v>704</v>
      </c>
    </row>
    <row r="19" spans="1:7" ht="14.25" x14ac:dyDescent="0.15">
      <c r="E19" s="9"/>
    </row>
    <row r="20" spans="1:7" ht="14.25" x14ac:dyDescent="0.15">
      <c r="E20" s="9"/>
    </row>
    <row r="22" spans="1:7" ht="18" x14ac:dyDescent="0.2">
      <c r="A22" s="13" t="s">
        <v>36</v>
      </c>
      <c r="B22" s="13"/>
    </row>
    <row r="23" spans="1:7" ht="14.25" x14ac:dyDescent="0.15">
      <c r="A23" s="14" t="s">
        <v>37</v>
      </c>
      <c r="B23" s="14"/>
    </row>
    <row r="24" spans="1:7" ht="13.5" x14ac:dyDescent="0.15">
      <c r="A24" s="16"/>
      <c r="B24" s="17" t="s">
        <v>175</v>
      </c>
    </row>
    <row r="25" spans="1:7" ht="13.5" x14ac:dyDescent="0.15">
      <c r="A25" s="18" t="s">
        <v>39</v>
      </c>
      <c r="B25" s="18" t="s">
        <v>40</v>
      </c>
      <c r="C25" s="18" t="s">
        <v>41</v>
      </c>
      <c r="D25" s="18" t="s">
        <v>161</v>
      </c>
      <c r="E25" s="18" t="s">
        <v>43</v>
      </c>
    </row>
    <row r="26" spans="1:7" x14ac:dyDescent="0.15">
      <c r="A26" s="15" t="s">
        <v>517</v>
      </c>
      <c r="B26" s="4" t="s">
        <v>175</v>
      </c>
      <c r="C26" s="4" t="s">
        <v>127</v>
      </c>
      <c r="D26" s="4" t="s">
        <v>522</v>
      </c>
      <c r="E26" s="10" t="s">
        <v>532</v>
      </c>
    </row>
    <row r="28" spans="1:7" ht="13.5" x14ac:dyDescent="0.15">
      <c r="A28" s="16"/>
      <c r="B28" s="17" t="s">
        <v>38</v>
      </c>
    </row>
    <row r="29" spans="1:7" ht="13.5" x14ac:dyDescent="0.15">
      <c r="A29" s="18" t="s">
        <v>39</v>
      </c>
      <c r="B29" s="18" t="s">
        <v>40</v>
      </c>
      <c r="C29" s="18" t="s">
        <v>41</v>
      </c>
      <c r="D29" s="18" t="s">
        <v>161</v>
      </c>
      <c r="E29" s="18" t="s">
        <v>43</v>
      </c>
    </row>
    <row r="30" spans="1:7" x14ac:dyDescent="0.15">
      <c r="A30" s="15" t="s">
        <v>134</v>
      </c>
      <c r="B30" s="4" t="s">
        <v>63</v>
      </c>
      <c r="C30" s="4" t="s">
        <v>45</v>
      </c>
      <c r="D30" s="4" t="s">
        <v>61</v>
      </c>
      <c r="E30" s="10" t="s">
        <v>533</v>
      </c>
    </row>
    <row r="31" spans="1:7" x14ac:dyDescent="0.15">
      <c r="A31" s="15" t="s">
        <v>524</v>
      </c>
      <c r="B31" s="4" t="s">
        <v>423</v>
      </c>
      <c r="C31" s="4" t="s">
        <v>163</v>
      </c>
      <c r="D31" s="4" t="s">
        <v>530</v>
      </c>
      <c r="E31" s="10" t="s">
        <v>534</v>
      </c>
    </row>
    <row r="36" spans="1:3" ht="18" x14ac:dyDescent="0.2">
      <c r="A36" s="13" t="s">
        <v>84</v>
      </c>
      <c r="B36" s="13"/>
    </row>
    <row r="37" spans="1:3" ht="13.5" x14ac:dyDescent="0.15">
      <c r="A37" s="18" t="s">
        <v>85</v>
      </c>
      <c r="B37" s="18" t="s">
        <v>86</v>
      </c>
      <c r="C37" s="18" t="s">
        <v>87</v>
      </c>
    </row>
    <row r="38" spans="1:3" x14ac:dyDescent="0.15">
      <c r="A38" s="4" t="s">
        <v>527</v>
      </c>
      <c r="B38" s="4" t="s">
        <v>88</v>
      </c>
      <c r="C38" s="4" t="s">
        <v>535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2"/>
  <sheetViews>
    <sheetView topLeftCell="D10" workbookViewId="0">
      <selection activeCell="F43" sqref="F43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49.7578125" style="4" bestFit="1" customWidth="1"/>
    <col min="4" max="4" width="11.8671875" style="4" bestFit="1" customWidth="1"/>
    <col min="5" max="5" width="22.65234375" style="4" bestFit="1" customWidth="1"/>
    <col min="6" max="6" width="34.519531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28.453125" style="4" bestFit="1" customWidth="1"/>
    <col min="14" max="16384" width="9.16796875" style="3"/>
  </cols>
  <sheetData>
    <row r="1" spans="1:13" s="2" customFormat="1" ht="29.1" customHeight="1" x14ac:dyDescent="0.15">
      <c r="A1" s="38" t="s">
        <v>437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193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439</v>
      </c>
      <c r="B6" s="6" t="s">
        <v>440</v>
      </c>
      <c r="C6" s="6" t="s">
        <v>197</v>
      </c>
      <c r="D6" s="6" t="str">
        <f>"0,9160"</f>
        <v>0,9160</v>
      </c>
      <c r="E6" s="6" t="s">
        <v>108</v>
      </c>
      <c r="F6" s="6" t="s">
        <v>22</v>
      </c>
      <c r="G6" s="7" t="s">
        <v>441</v>
      </c>
      <c r="H6" s="7" t="s">
        <v>201</v>
      </c>
      <c r="I6" s="7" t="s">
        <v>191</v>
      </c>
      <c r="J6" s="8"/>
      <c r="K6" s="11" t="str">
        <f>"62,5"</f>
        <v>62,5</v>
      </c>
      <c r="L6" s="12" t="str">
        <f>"57,2500"</f>
        <v>57,2500</v>
      </c>
      <c r="M6" s="6" t="s">
        <v>114</v>
      </c>
    </row>
    <row r="8" spans="1:13" ht="14.25" x14ac:dyDescent="0.15">
      <c r="A8" s="51" t="s">
        <v>115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443</v>
      </c>
      <c r="B9" s="6" t="s">
        <v>444</v>
      </c>
      <c r="C9" s="6" t="s">
        <v>445</v>
      </c>
      <c r="D9" s="6" t="str">
        <f>"0,6946"</f>
        <v>0,6946</v>
      </c>
      <c r="E9" s="6" t="s">
        <v>21</v>
      </c>
      <c r="F9" s="6" t="s">
        <v>73</v>
      </c>
      <c r="G9" s="7" t="s">
        <v>101</v>
      </c>
      <c r="H9" s="7" t="s">
        <v>288</v>
      </c>
      <c r="I9" s="7" t="s">
        <v>25</v>
      </c>
      <c r="J9" s="8"/>
      <c r="K9" s="11" t="str">
        <f>"85,0"</f>
        <v>85,0</v>
      </c>
      <c r="L9" s="12" t="str">
        <f>"59,2181"</f>
        <v>59,2181</v>
      </c>
      <c r="M9" s="6" t="s">
        <v>216</v>
      </c>
    </row>
    <row r="11" spans="1:13" ht="14.25" x14ac:dyDescent="0.15">
      <c r="A11" s="51" t="s">
        <v>210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15">
      <c r="A12" s="6" t="s">
        <v>212</v>
      </c>
      <c r="B12" s="6" t="s">
        <v>118</v>
      </c>
      <c r="C12" s="6" t="s">
        <v>213</v>
      </c>
      <c r="D12" s="6" t="str">
        <f>"0,7557"</f>
        <v>0,7557</v>
      </c>
      <c r="E12" s="6" t="s">
        <v>21</v>
      </c>
      <c r="F12" s="6" t="s">
        <v>73</v>
      </c>
      <c r="G12" s="7" t="s">
        <v>59</v>
      </c>
      <c r="H12" s="7" t="s">
        <v>28</v>
      </c>
      <c r="I12" s="7" t="s">
        <v>446</v>
      </c>
      <c r="J12" s="8"/>
      <c r="K12" s="11" t="str">
        <f>"117,5"</f>
        <v>117,5</v>
      </c>
      <c r="L12" s="12" t="str">
        <f>"95,8983"</f>
        <v>95,8983</v>
      </c>
      <c r="M12" s="6" t="s">
        <v>216</v>
      </c>
    </row>
    <row r="14" spans="1:13" ht="14.25" x14ac:dyDescent="0.15">
      <c r="A14" s="51" t="s">
        <v>49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15">
      <c r="A15" s="19" t="s">
        <v>448</v>
      </c>
      <c r="B15" s="19" t="s">
        <v>449</v>
      </c>
      <c r="C15" s="19" t="s">
        <v>450</v>
      </c>
      <c r="D15" s="19" t="str">
        <f>"0,7044"</f>
        <v>0,7044</v>
      </c>
      <c r="E15" s="19" t="s">
        <v>96</v>
      </c>
      <c r="F15" s="19" t="s">
        <v>97</v>
      </c>
      <c r="G15" s="20" t="s">
        <v>254</v>
      </c>
      <c r="H15" s="21" t="s">
        <v>254</v>
      </c>
      <c r="I15" s="21" t="s">
        <v>109</v>
      </c>
      <c r="J15" s="20"/>
      <c r="K15" s="28" t="str">
        <f>"140,0"</f>
        <v>140,0</v>
      </c>
      <c r="L15" s="29" t="str">
        <f>"116,3669"</f>
        <v>116,3669</v>
      </c>
      <c r="M15" s="19" t="s">
        <v>103</v>
      </c>
    </row>
    <row r="16" spans="1:13" x14ac:dyDescent="0.15">
      <c r="A16" s="25" t="s">
        <v>105</v>
      </c>
      <c r="B16" s="25" t="s">
        <v>106</v>
      </c>
      <c r="C16" s="25" t="s">
        <v>107</v>
      </c>
      <c r="D16" s="25" t="str">
        <f>"0,6774"</f>
        <v>0,6774</v>
      </c>
      <c r="E16" s="25" t="s">
        <v>108</v>
      </c>
      <c r="F16" s="25" t="s">
        <v>22</v>
      </c>
      <c r="G16" s="27" t="s">
        <v>109</v>
      </c>
      <c r="H16" s="27" t="s">
        <v>112</v>
      </c>
      <c r="I16" s="27" t="s">
        <v>113</v>
      </c>
      <c r="J16" s="26"/>
      <c r="K16" s="32" t="str">
        <f>"157,5"</f>
        <v>157,5</v>
      </c>
      <c r="L16" s="33" t="str">
        <f>"115,2257"</f>
        <v>115,2257</v>
      </c>
      <c r="M16" s="25" t="s">
        <v>114</v>
      </c>
    </row>
    <row r="17" spans="1:13" x14ac:dyDescent="0.15">
      <c r="A17" s="22" t="s">
        <v>452</v>
      </c>
      <c r="B17" s="22" t="s">
        <v>453</v>
      </c>
      <c r="C17" s="22" t="s">
        <v>454</v>
      </c>
      <c r="D17" s="22" t="str">
        <f>"0,6782"</f>
        <v>0,6782</v>
      </c>
      <c r="E17" s="22" t="s">
        <v>120</v>
      </c>
      <c r="F17" s="22" t="s">
        <v>73</v>
      </c>
      <c r="G17" s="24" t="s">
        <v>57</v>
      </c>
      <c r="H17" s="23" t="s">
        <v>75</v>
      </c>
      <c r="I17" s="23" t="s">
        <v>75</v>
      </c>
      <c r="J17" s="23"/>
      <c r="K17" s="30" t="str">
        <f>"180,0"</f>
        <v>180,0</v>
      </c>
      <c r="L17" s="31" t="str">
        <f>"126,9590"</f>
        <v>126,9590</v>
      </c>
      <c r="M17" s="22" t="s">
        <v>192</v>
      </c>
    </row>
    <row r="19" spans="1:13" ht="14.25" x14ac:dyDescent="0.15">
      <c r="A19" s="51" t="s">
        <v>115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 x14ac:dyDescent="0.15">
      <c r="A20" s="19" t="s">
        <v>246</v>
      </c>
      <c r="B20" s="19" t="s">
        <v>247</v>
      </c>
      <c r="C20" s="19" t="s">
        <v>248</v>
      </c>
      <c r="D20" s="19" t="str">
        <f>"0,6424"</f>
        <v>0,6424</v>
      </c>
      <c r="E20" s="19" t="s">
        <v>96</v>
      </c>
      <c r="F20" s="19" t="s">
        <v>97</v>
      </c>
      <c r="G20" s="21" t="s">
        <v>98</v>
      </c>
      <c r="H20" s="21" t="s">
        <v>28</v>
      </c>
      <c r="I20" s="20" t="s">
        <v>24</v>
      </c>
      <c r="J20" s="20"/>
      <c r="K20" s="28" t="str">
        <f>"115,0"</f>
        <v>115,0</v>
      </c>
      <c r="L20" s="29" t="str">
        <f>"83,4799"</f>
        <v>83,4799</v>
      </c>
      <c r="M20" s="19" t="s">
        <v>103</v>
      </c>
    </row>
    <row r="21" spans="1:13" x14ac:dyDescent="0.15">
      <c r="A21" s="22" t="s">
        <v>456</v>
      </c>
      <c r="B21" s="22" t="s">
        <v>457</v>
      </c>
      <c r="C21" s="22" t="s">
        <v>458</v>
      </c>
      <c r="D21" s="22" t="str">
        <f>"0,6394"</f>
        <v>0,6394</v>
      </c>
      <c r="E21" s="22" t="s">
        <v>198</v>
      </c>
      <c r="F21" s="22" t="s">
        <v>199</v>
      </c>
      <c r="G21" s="24" t="s">
        <v>57</v>
      </c>
      <c r="H21" s="24" t="s">
        <v>60</v>
      </c>
      <c r="I21" s="24" t="s">
        <v>459</v>
      </c>
      <c r="J21" s="23"/>
      <c r="K21" s="30" t="str">
        <f>"207,5"</f>
        <v>207,5</v>
      </c>
      <c r="L21" s="31" t="str">
        <f>"133,0735"</f>
        <v>133,0735</v>
      </c>
      <c r="M21" s="22" t="s">
        <v>202</v>
      </c>
    </row>
    <row r="23" spans="1:13" ht="14.25" x14ac:dyDescent="0.15">
      <c r="A23" s="51" t="s">
        <v>16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3" x14ac:dyDescent="0.15">
      <c r="A24" s="19" t="s">
        <v>461</v>
      </c>
      <c r="B24" s="19" t="s">
        <v>462</v>
      </c>
      <c r="C24" s="19" t="s">
        <v>20</v>
      </c>
      <c r="D24" s="19" t="str">
        <f>"0,6045"</f>
        <v>0,6045</v>
      </c>
      <c r="E24" s="19" t="s">
        <v>181</v>
      </c>
      <c r="F24" s="19" t="s">
        <v>73</v>
      </c>
      <c r="G24" s="21" t="s">
        <v>463</v>
      </c>
      <c r="H24" s="21" t="s">
        <v>464</v>
      </c>
      <c r="I24" s="20" t="s">
        <v>465</v>
      </c>
      <c r="J24" s="20"/>
      <c r="K24" s="28" t="str">
        <f>"240,0"</f>
        <v>240,0</v>
      </c>
      <c r="L24" s="29" t="str">
        <f>"145,0800"</f>
        <v>145,0800</v>
      </c>
      <c r="M24" s="19" t="s">
        <v>184</v>
      </c>
    </row>
    <row r="25" spans="1:13" x14ac:dyDescent="0.15">
      <c r="A25" s="25" t="s">
        <v>467</v>
      </c>
      <c r="B25" s="25" t="s">
        <v>468</v>
      </c>
      <c r="C25" s="25" t="s">
        <v>469</v>
      </c>
      <c r="D25" s="25" t="str">
        <f>"0,5935"</f>
        <v>0,5935</v>
      </c>
      <c r="E25" s="25" t="s">
        <v>198</v>
      </c>
      <c r="F25" s="25" t="s">
        <v>199</v>
      </c>
      <c r="G25" s="27" t="s">
        <v>152</v>
      </c>
      <c r="H25" s="27" t="s">
        <v>434</v>
      </c>
      <c r="I25" s="26" t="s">
        <v>463</v>
      </c>
      <c r="J25" s="26"/>
      <c r="K25" s="32" t="str">
        <f>"220,0"</f>
        <v>220,0</v>
      </c>
      <c r="L25" s="33" t="str">
        <f>"130,5700"</f>
        <v>130,5700</v>
      </c>
      <c r="M25" s="25" t="s">
        <v>202</v>
      </c>
    </row>
    <row r="26" spans="1:13" x14ac:dyDescent="0.15">
      <c r="A26" s="22" t="s">
        <v>470</v>
      </c>
      <c r="B26" s="22" t="s">
        <v>471</v>
      </c>
      <c r="C26" s="22" t="s">
        <v>469</v>
      </c>
      <c r="D26" s="22" t="str">
        <f>"0,5935"</f>
        <v>0,5935</v>
      </c>
      <c r="E26" s="22" t="s">
        <v>198</v>
      </c>
      <c r="F26" s="22" t="s">
        <v>199</v>
      </c>
      <c r="G26" s="24" t="s">
        <v>152</v>
      </c>
      <c r="H26" s="24" t="s">
        <v>434</v>
      </c>
      <c r="I26" s="23" t="s">
        <v>463</v>
      </c>
      <c r="J26" s="23"/>
      <c r="K26" s="30" t="str">
        <f>"220,0"</f>
        <v>220,0</v>
      </c>
      <c r="L26" s="31" t="str">
        <f>"130,5700"</f>
        <v>130,5700</v>
      </c>
      <c r="M26" s="22" t="s">
        <v>202</v>
      </c>
    </row>
    <row r="28" spans="1:13" ht="14.25" x14ac:dyDescent="0.15">
      <c r="A28" s="51" t="s">
        <v>67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3" x14ac:dyDescent="0.15">
      <c r="A29" s="6" t="s">
        <v>473</v>
      </c>
      <c r="B29" s="6" t="s">
        <v>474</v>
      </c>
      <c r="C29" s="6" t="s">
        <v>475</v>
      </c>
      <c r="D29" s="6" t="str">
        <f>"0,5578"</f>
        <v>0,5578</v>
      </c>
      <c r="E29" s="6" t="s">
        <v>181</v>
      </c>
      <c r="F29" s="6" t="s">
        <v>73</v>
      </c>
      <c r="G29" s="7" t="s">
        <v>141</v>
      </c>
      <c r="H29" s="8" t="s">
        <v>476</v>
      </c>
      <c r="I29" s="8" t="s">
        <v>476</v>
      </c>
      <c r="J29" s="8"/>
      <c r="K29" s="11" t="str">
        <f>"215,0"</f>
        <v>215,0</v>
      </c>
      <c r="L29" s="12" t="str">
        <f>"119,9270"</f>
        <v>119,9270</v>
      </c>
      <c r="M29" s="6" t="s">
        <v>477</v>
      </c>
    </row>
    <row r="31" spans="1:13" ht="14.25" x14ac:dyDescent="0.15">
      <c r="A31" s="51" t="s">
        <v>296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3" x14ac:dyDescent="0.15">
      <c r="A32" s="19" t="s">
        <v>478</v>
      </c>
      <c r="B32" s="19" t="s">
        <v>304</v>
      </c>
      <c r="C32" s="19" t="s">
        <v>305</v>
      </c>
      <c r="D32" s="19" t="str">
        <f>"0,5367"</f>
        <v>0,5367</v>
      </c>
      <c r="E32" s="19" t="s">
        <v>273</v>
      </c>
      <c r="F32" s="19" t="s">
        <v>73</v>
      </c>
      <c r="G32" s="21" t="s">
        <v>479</v>
      </c>
      <c r="H32" s="21" t="s">
        <v>464</v>
      </c>
      <c r="I32" s="21" t="s">
        <v>420</v>
      </c>
      <c r="J32" s="20"/>
      <c r="K32" s="28" t="str">
        <f>"250,0"</f>
        <v>250,0</v>
      </c>
      <c r="L32" s="29" t="str">
        <f>"134,1750"</f>
        <v>134,1750</v>
      </c>
      <c r="M32" s="19" t="s">
        <v>274</v>
      </c>
    </row>
    <row r="33" spans="1:13" x14ac:dyDescent="0.15">
      <c r="A33" s="22" t="s">
        <v>481</v>
      </c>
      <c r="B33" s="22" t="s">
        <v>482</v>
      </c>
      <c r="C33" s="22" t="s">
        <v>483</v>
      </c>
      <c r="D33" s="22" t="str">
        <f>"0,5378"</f>
        <v>0,5378</v>
      </c>
      <c r="E33" s="22" t="s">
        <v>181</v>
      </c>
      <c r="F33" s="22" t="s">
        <v>73</v>
      </c>
      <c r="G33" s="24" t="s">
        <v>463</v>
      </c>
      <c r="H33" s="24" t="s">
        <v>484</v>
      </c>
      <c r="I33" s="23"/>
      <c r="J33" s="23"/>
      <c r="K33" s="30" t="str">
        <f>"242,5"</f>
        <v>242,5</v>
      </c>
      <c r="L33" s="31" t="str">
        <f>"130,4165"</f>
        <v>130,4165</v>
      </c>
      <c r="M33" s="22" t="s">
        <v>184</v>
      </c>
    </row>
    <row r="35" spans="1:13" ht="14.25" x14ac:dyDescent="0.15">
      <c r="A35" s="51" t="s">
        <v>154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3" x14ac:dyDescent="0.15">
      <c r="A36" s="19" t="s">
        <v>156</v>
      </c>
      <c r="B36" s="19" t="s">
        <v>157</v>
      </c>
      <c r="C36" s="19" t="s">
        <v>158</v>
      </c>
      <c r="D36" s="19" t="str">
        <f>"0,5279"</f>
        <v>0,5279</v>
      </c>
      <c r="E36" s="19" t="s">
        <v>120</v>
      </c>
      <c r="F36" s="19" t="s">
        <v>73</v>
      </c>
      <c r="G36" s="21" t="s">
        <v>420</v>
      </c>
      <c r="H36" s="21" t="s">
        <v>485</v>
      </c>
      <c r="I36" s="21" t="s">
        <v>486</v>
      </c>
      <c r="J36" s="20"/>
      <c r="K36" s="28" t="str">
        <f>"267,5"</f>
        <v>267,5</v>
      </c>
      <c r="L36" s="29" t="str">
        <f>"154,2049"</f>
        <v>154,2049</v>
      </c>
      <c r="M36" s="19" t="s">
        <v>160</v>
      </c>
    </row>
    <row r="37" spans="1:13" x14ac:dyDescent="0.15">
      <c r="A37" s="22" t="s">
        <v>488</v>
      </c>
      <c r="B37" s="22" t="s">
        <v>489</v>
      </c>
      <c r="C37" s="22" t="s">
        <v>490</v>
      </c>
      <c r="D37" s="22" t="str">
        <f>"0,5294"</f>
        <v>0,5294</v>
      </c>
      <c r="E37" s="22" t="s">
        <v>21</v>
      </c>
      <c r="F37" s="22" t="s">
        <v>73</v>
      </c>
      <c r="G37" s="24" t="s">
        <v>463</v>
      </c>
      <c r="H37" s="24" t="s">
        <v>464</v>
      </c>
      <c r="I37" s="24" t="s">
        <v>491</v>
      </c>
      <c r="J37" s="23"/>
      <c r="K37" s="30" t="str">
        <f>"245,0"</f>
        <v>245,0</v>
      </c>
      <c r="L37" s="31" t="str">
        <f>"141,6357"</f>
        <v>141,6357</v>
      </c>
      <c r="M37" s="22" t="s">
        <v>30</v>
      </c>
    </row>
    <row r="39" spans="1:13" ht="14.25" x14ac:dyDescent="0.15">
      <c r="E39" s="9" t="s">
        <v>31</v>
      </c>
      <c r="F39" s="34" t="s">
        <v>701</v>
      </c>
      <c r="G39" s="35" t="s">
        <v>703</v>
      </c>
    </row>
    <row r="40" spans="1:13" ht="14.25" x14ac:dyDescent="0.15">
      <c r="E40" s="9" t="s">
        <v>32</v>
      </c>
      <c r="F40" s="34" t="s">
        <v>698</v>
      </c>
      <c r="G40" s="35" t="s">
        <v>702</v>
      </c>
    </row>
    <row r="41" spans="1:13" ht="14.25" x14ac:dyDescent="0.15">
      <c r="E41" s="9" t="s">
        <v>33</v>
      </c>
      <c r="F41" s="34" t="s">
        <v>699</v>
      </c>
      <c r="G41" s="35" t="s">
        <v>702</v>
      </c>
    </row>
    <row r="42" spans="1:13" ht="14.25" x14ac:dyDescent="0.15">
      <c r="E42" s="9" t="s">
        <v>34</v>
      </c>
      <c r="F42" s="34" t="s">
        <v>705</v>
      </c>
      <c r="G42" s="35" t="s">
        <v>703</v>
      </c>
    </row>
    <row r="43" spans="1:13" ht="14.25" x14ac:dyDescent="0.15">
      <c r="E43" s="9" t="s">
        <v>34</v>
      </c>
      <c r="F43" s="34" t="s">
        <v>706</v>
      </c>
      <c r="G43" s="35" t="s">
        <v>704</v>
      </c>
    </row>
    <row r="44" spans="1:13" ht="14.25" x14ac:dyDescent="0.15">
      <c r="E44" s="9"/>
    </row>
    <row r="45" spans="1:13" ht="14.25" x14ac:dyDescent="0.15">
      <c r="E45" s="9"/>
    </row>
    <row r="47" spans="1:13" ht="18" x14ac:dyDescent="0.2">
      <c r="A47" s="13" t="s">
        <v>36</v>
      </c>
      <c r="B47" s="13"/>
    </row>
    <row r="48" spans="1:13" ht="14.25" x14ac:dyDescent="0.15">
      <c r="A48" s="14" t="s">
        <v>333</v>
      </c>
      <c r="B48" s="14"/>
    </row>
    <row r="49" spans="1:5" ht="13.5" x14ac:dyDescent="0.15">
      <c r="A49" s="16"/>
      <c r="B49" s="17" t="s">
        <v>175</v>
      </c>
    </row>
    <row r="50" spans="1:5" ht="13.5" x14ac:dyDescent="0.15">
      <c r="A50" s="18" t="s">
        <v>39</v>
      </c>
      <c r="B50" s="18" t="s">
        <v>40</v>
      </c>
      <c r="C50" s="18" t="s">
        <v>41</v>
      </c>
      <c r="D50" s="18" t="s">
        <v>161</v>
      </c>
      <c r="E50" s="18" t="s">
        <v>43</v>
      </c>
    </row>
    <row r="51" spans="1:5" x14ac:dyDescent="0.15">
      <c r="A51" s="15" t="s">
        <v>438</v>
      </c>
      <c r="B51" s="4" t="s">
        <v>175</v>
      </c>
      <c r="C51" s="4" t="s">
        <v>336</v>
      </c>
      <c r="D51" s="4" t="s">
        <v>191</v>
      </c>
      <c r="E51" s="10" t="s">
        <v>492</v>
      </c>
    </row>
    <row r="53" spans="1:5" ht="13.5" x14ac:dyDescent="0.15">
      <c r="A53" s="16"/>
      <c r="B53" s="17" t="s">
        <v>38</v>
      </c>
    </row>
    <row r="54" spans="1:5" ht="13.5" x14ac:dyDescent="0.15">
      <c r="A54" s="18" t="s">
        <v>39</v>
      </c>
      <c r="B54" s="18" t="s">
        <v>40</v>
      </c>
      <c r="C54" s="18" t="s">
        <v>41</v>
      </c>
      <c r="D54" s="18" t="s">
        <v>161</v>
      </c>
      <c r="E54" s="18" t="s">
        <v>43</v>
      </c>
    </row>
    <row r="55" spans="1:5" x14ac:dyDescent="0.15">
      <c r="A55" s="15" t="s">
        <v>442</v>
      </c>
      <c r="B55" s="4" t="s">
        <v>423</v>
      </c>
      <c r="C55" s="4" t="s">
        <v>127</v>
      </c>
      <c r="D55" s="4" t="s">
        <v>25</v>
      </c>
      <c r="E55" s="10" t="s">
        <v>493</v>
      </c>
    </row>
    <row r="58" spans="1:5" ht="14.25" x14ac:dyDescent="0.15">
      <c r="A58" s="14" t="s">
        <v>37</v>
      </c>
      <c r="B58" s="14"/>
    </row>
    <row r="59" spans="1:5" ht="13.5" x14ac:dyDescent="0.15">
      <c r="A59" s="16"/>
      <c r="B59" s="17" t="s">
        <v>79</v>
      </c>
    </row>
    <row r="60" spans="1:5" ht="13.5" x14ac:dyDescent="0.15">
      <c r="A60" s="18" t="s">
        <v>39</v>
      </c>
      <c r="B60" s="18" t="s">
        <v>40</v>
      </c>
      <c r="C60" s="18" t="s">
        <v>41</v>
      </c>
      <c r="D60" s="18" t="s">
        <v>161</v>
      </c>
      <c r="E60" s="18" t="s">
        <v>43</v>
      </c>
    </row>
    <row r="61" spans="1:5" x14ac:dyDescent="0.15">
      <c r="A61" s="15" t="s">
        <v>451</v>
      </c>
      <c r="B61" s="4" t="s">
        <v>338</v>
      </c>
      <c r="C61" s="4" t="s">
        <v>64</v>
      </c>
      <c r="D61" s="4" t="s">
        <v>57</v>
      </c>
      <c r="E61" s="10" t="s">
        <v>494</v>
      </c>
    </row>
    <row r="62" spans="1:5" x14ac:dyDescent="0.15">
      <c r="A62" s="15" t="s">
        <v>447</v>
      </c>
      <c r="B62" s="4" t="s">
        <v>401</v>
      </c>
      <c r="C62" s="4" t="s">
        <v>64</v>
      </c>
      <c r="D62" s="4" t="s">
        <v>109</v>
      </c>
      <c r="E62" s="10" t="s">
        <v>495</v>
      </c>
    </row>
    <row r="63" spans="1:5" x14ac:dyDescent="0.15">
      <c r="A63" s="15" t="s">
        <v>104</v>
      </c>
      <c r="B63" s="4" t="s">
        <v>80</v>
      </c>
      <c r="C63" s="4" t="s">
        <v>64</v>
      </c>
      <c r="D63" s="4" t="s">
        <v>113</v>
      </c>
      <c r="E63" s="10" t="s">
        <v>496</v>
      </c>
    </row>
    <row r="64" spans="1:5" x14ac:dyDescent="0.15">
      <c r="A64" s="15" t="s">
        <v>211</v>
      </c>
      <c r="B64" s="4" t="s">
        <v>80</v>
      </c>
      <c r="C64" s="4" t="s">
        <v>346</v>
      </c>
      <c r="D64" s="4" t="s">
        <v>446</v>
      </c>
      <c r="E64" s="10" t="s">
        <v>497</v>
      </c>
    </row>
    <row r="65" spans="1:5" x14ac:dyDescent="0.15">
      <c r="A65" s="15" t="s">
        <v>245</v>
      </c>
      <c r="B65" s="4" t="s">
        <v>80</v>
      </c>
      <c r="C65" s="4" t="s">
        <v>127</v>
      </c>
      <c r="D65" s="4" t="s">
        <v>28</v>
      </c>
      <c r="E65" s="10" t="s">
        <v>498</v>
      </c>
    </row>
    <row r="67" spans="1:5" ht="13.5" x14ac:dyDescent="0.15">
      <c r="A67" s="16"/>
      <c r="B67" s="17" t="s">
        <v>175</v>
      </c>
    </row>
    <row r="68" spans="1:5" ht="13.5" x14ac:dyDescent="0.15">
      <c r="A68" s="18" t="s">
        <v>39</v>
      </c>
      <c r="B68" s="18" t="s">
        <v>40</v>
      </c>
      <c r="C68" s="18" t="s">
        <v>41</v>
      </c>
      <c r="D68" s="18" t="s">
        <v>161</v>
      </c>
      <c r="E68" s="18" t="s">
        <v>43</v>
      </c>
    </row>
    <row r="69" spans="1:5" x14ac:dyDescent="0.15">
      <c r="A69" s="15" t="s">
        <v>460</v>
      </c>
      <c r="B69" s="4" t="s">
        <v>175</v>
      </c>
      <c r="C69" s="4" t="s">
        <v>45</v>
      </c>
      <c r="D69" s="4" t="s">
        <v>464</v>
      </c>
      <c r="E69" s="10" t="s">
        <v>499</v>
      </c>
    </row>
    <row r="70" spans="1:5" x14ac:dyDescent="0.15">
      <c r="A70" s="15" t="s">
        <v>302</v>
      </c>
      <c r="B70" s="4" t="s">
        <v>175</v>
      </c>
      <c r="C70" s="4" t="s">
        <v>351</v>
      </c>
      <c r="D70" s="4" t="s">
        <v>420</v>
      </c>
      <c r="E70" s="10" t="s">
        <v>500</v>
      </c>
    </row>
    <row r="71" spans="1:5" x14ac:dyDescent="0.15">
      <c r="A71" s="15" t="s">
        <v>466</v>
      </c>
      <c r="B71" s="4" t="s">
        <v>175</v>
      </c>
      <c r="C71" s="4" t="s">
        <v>45</v>
      </c>
      <c r="D71" s="4" t="s">
        <v>434</v>
      </c>
      <c r="E71" s="10" t="s">
        <v>501</v>
      </c>
    </row>
    <row r="72" spans="1:5" x14ac:dyDescent="0.15">
      <c r="A72" s="15" t="s">
        <v>480</v>
      </c>
      <c r="B72" s="4" t="s">
        <v>175</v>
      </c>
      <c r="C72" s="4" t="s">
        <v>351</v>
      </c>
      <c r="D72" s="4" t="s">
        <v>484</v>
      </c>
      <c r="E72" s="10" t="s">
        <v>502</v>
      </c>
    </row>
    <row r="73" spans="1:5" x14ac:dyDescent="0.15">
      <c r="A73" s="15" t="s">
        <v>472</v>
      </c>
      <c r="B73" s="4" t="s">
        <v>175</v>
      </c>
      <c r="C73" s="4" t="s">
        <v>81</v>
      </c>
      <c r="D73" s="4" t="s">
        <v>141</v>
      </c>
      <c r="E73" s="10" t="s">
        <v>503</v>
      </c>
    </row>
    <row r="75" spans="1:5" ht="13.5" x14ac:dyDescent="0.15">
      <c r="A75" s="16"/>
      <c r="B75" s="17" t="s">
        <v>38</v>
      </c>
    </row>
    <row r="76" spans="1:5" ht="13.5" x14ac:dyDescent="0.15">
      <c r="A76" s="18" t="s">
        <v>39</v>
      </c>
      <c r="B76" s="18" t="s">
        <v>40</v>
      </c>
      <c r="C76" s="18" t="s">
        <v>41</v>
      </c>
      <c r="D76" s="18" t="s">
        <v>161</v>
      </c>
      <c r="E76" s="18" t="s">
        <v>43</v>
      </c>
    </row>
    <row r="77" spans="1:5" x14ac:dyDescent="0.15">
      <c r="A77" s="15" t="s">
        <v>155</v>
      </c>
      <c r="B77" s="4" t="s">
        <v>162</v>
      </c>
      <c r="C77" s="4" t="s">
        <v>163</v>
      </c>
      <c r="D77" s="4" t="s">
        <v>486</v>
      </c>
      <c r="E77" s="10" t="s">
        <v>504</v>
      </c>
    </row>
    <row r="78" spans="1:5" x14ac:dyDescent="0.15">
      <c r="A78" s="15" t="s">
        <v>487</v>
      </c>
      <c r="B78" s="4" t="s">
        <v>162</v>
      </c>
      <c r="C78" s="4" t="s">
        <v>163</v>
      </c>
      <c r="D78" s="4" t="s">
        <v>491</v>
      </c>
      <c r="E78" s="10" t="s">
        <v>505</v>
      </c>
    </row>
    <row r="79" spans="1:5" x14ac:dyDescent="0.15">
      <c r="A79" s="15" t="s">
        <v>455</v>
      </c>
      <c r="B79" s="4" t="s">
        <v>423</v>
      </c>
      <c r="C79" s="4" t="s">
        <v>127</v>
      </c>
      <c r="D79" s="4" t="s">
        <v>459</v>
      </c>
      <c r="E79" s="10" t="s">
        <v>506</v>
      </c>
    </row>
    <row r="80" spans="1:5" x14ac:dyDescent="0.15">
      <c r="A80" s="15" t="s">
        <v>466</v>
      </c>
      <c r="B80" s="4" t="s">
        <v>423</v>
      </c>
      <c r="C80" s="4" t="s">
        <v>45</v>
      </c>
      <c r="D80" s="4" t="s">
        <v>434</v>
      </c>
      <c r="E80" s="10" t="s">
        <v>501</v>
      </c>
    </row>
    <row r="85" spans="1:3" ht="18" x14ac:dyDescent="0.2">
      <c r="A85" s="13" t="s">
        <v>84</v>
      </c>
      <c r="B85" s="13"/>
    </row>
    <row r="86" spans="1:3" ht="13.5" x14ac:dyDescent="0.15">
      <c r="A86" s="18" t="s">
        <v>85</v>
      </c>
      <c r="B86" s="18" t="s">
        <v>86</v>
      </c>
      <c r="C86" s="18" t="s">
        <v>87</v>
      </c>
    </row>
    <row r="87" spans="1:3" x14ac:dyDescent="0.15">
      <c r="A87" s="4" t="s">
        <v>181</v>
      </c>
      <c r="B87" s="4" t="s">
        <v>507</v>
      </c>
      <c r="C87" s="4" t="s">
        <v>508</v>
      </c>
    </row>
    <row r="88" spans="1:3" x14ac:dyDescent="0.15">
      <c r="A88" s="4" t="s">
        <v>198</v>
      </c>
      <c r="B88" s="4" t="s">
        <v>509</v>
      </c>
      <c r="C88" s="4" t="s">
        <v>510</v>
      </c>
    </row>
    <row r="89" spans="1:3" x14ac:dyDescent="0.15">
      <c r="A89" s="4" t="s">
        <v>108</v>
      </c>
      <c r="B89" s="4" t="s">
        <v>511</v>
      </c>
      <c r="C89" s="4" t="s">
        <v>512</v>
      </c>
    </row>
    <row r="90" spans="1:3" x14ac:dyDescent="0.15">
      <c r="A90" s="4" t="s">
        <v>120</v>
      </c>
      <c r="B90" s="4" t="s">
        <v>511</v>
      </c>
      <c r="C90" s="4" t="s">
        <v>513</v>
      </c>
    </row>
    <row r="91" spans="1:3" x14ac:dyDescent="0.15">
      <c r="A91" s="4" t="s">
        <v>96</v>
      </c>
      <c r="B91" s="4" t="s">
        <v>511</v>
      </c>
      <c r="C91" s="4" t="s">
        <v>514</v>
      </c>
    </row>
    <row r="92" spans="1:3" x14ac:dyDescent="0.15">
      <c r="A92" s="4" t="s">
        <v>273</v>
      </c>
      <c r="B92" s="4" t="s">
        <v>88</v>
      </c>
      <c r="C92" s="4" t="s">
        <v>515</v>
      </c>
    </row>
  </sheetData>
  <mergeCells count="20">
    <mergeCell ref="A31:J31"/>
    <mergeCell ref="A35:J35"/>
    <mergeCell ref="A8:J8"/>
    <mergeCell ref="A11:J11"/>
    <mergeCell ref="A14:J14"/>
    <mergeCell ref="A19:J19"/>
    <mergeCell ref="A23:J23"/>
    <mergeCell ref="A28:J2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0"/>
  <sheetViews>
    <sheetView topLeftCell="B1"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7.91406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428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15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430</v>
      </c>
      <c r="B6" s="6" t="s">
        <v>431</v>
      </c>
      <c r="C6" s="6" t="s">
        <v>432</v>
      </c>
      <c r="D6" s="6" t="str">
        <f>"0,5941"</f>
        <v>0,5941</v>
      </c>
      <c r="E6" s="6" t="s">
        <v>21</v>
      </c>
      <c r="F6" s="6" t="s">
        <v>433</v>
      </c>
      <c r="G6" s="7" t="s">
        <v>173</v>
      </c>
      <c r="H6" s="7" t="s">
        <v>141</v>
      </c>
      <c r="I6" s="8" t="s">
        <v>434</v>
      </c>
      <c r="J6" s="8"/>
      <c r="K6" s="11" t="str">
        <f>"215,0"</f>
        <v>215,0</v>
      </c>
      <c r="L6" s="12" t="str">
        <f>"265,1706"</f>
        <v>265,1706</v>
      </c>
      <c r="M6" s="6" t="s">
        <v>30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429</v>
      </c>
      <c r="B20" s="4" t="s">
        <v>435</v>
      </c>
      <c r="C20" s="4" t="s">
        <v>45</v>
      </c>
      <c r="D20" s="4" t="s">
        <v>141</v>
      </c>
      <c r="E20" s="10" t="s">
        <v>436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7.55078125" style="2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8" t="s">
        <v>678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680</v>
      </c>
      <c r="B6" s="6" t="s">
        <v>681</v>
      </c>
      <c r="C6" s="6" t="s">
        <v>682</v>
      </c>
      <c r="D6" s="6" t="str">
        <f>"1,0000"</f>
        <v>1,0000</v>
      </c>
      <c r="E6" s="6" t="s">
        <v>21</v>
      </c>
      <c r="F6" s="6" t="s">
        <v>73</v>
      </c>
      <c r="G6" s="7" t="s">
        <v>249</v>
      </c>
      <c r="H6" s="7" t="s">
        <v>683</v>
      </c>
      <c r="I6" s="11" t="str">
        <f>"2325,0"</f>
        <v>2325,0</v>
      </c>
      <c r="J6" s="12" t="str">
        <f>"24,8663"</f>
        <v>24,8663</v>
      </c>
      <c r="K6" s="6" t="s">
        <v>30</v>
      </c>
    </row>
    <row r="8" spans="1:11" ht="14.25" x14ac:dyDescent="0.15">
      <c r="E8" s="9" t="s">
        <v>31</v>
      </c>
      <c r="F8" s="34" t="s">
        <v>701</v>
      </c>
      <c r="G8" s="35" t="s">
        <v>703</v>
      </c>
    </row>
    <row r="9" spans="1:11" ht="14.25" x14ac:dyDescent="0.15">
      <c r="E9" s="9" t="s">
        <v>32</v>
      </c>
      <c r="F9" s="34" t="s">
        <v>698</v>
      </c>
      <c r="G9" s="35" t="s">
        <v>702</v>
      </c>
    </row>
    <row r="10" spans="1:11" ht="14.25" x14ac:dyDescent="0.15">
      <c r="E10" s="9" t="s">
        <v>33</v>
      </c>
      <c r="F10" s="34" t="s">
        <v>699</v>
      </c>
      <c r="G10" s="35" t="s">
        <v>702</v>
      </c>
    </row>
    <row r="11" spans="1:11" ht="14.25" x14ac:dyDescent="0.15">
      <c r="E11" s="9" t="s">
        <v>34</v>
      </c>
      <c r="F11" s="34" t="s">
        <v>700</v>
      </c>
      <c r="G11" s="35" t="s">
        <v>703</v>
      </c>
    </row>
    <row r="12" spans="1:11" ht="14.25" x14ac:dyDescent="0.15">
      <c r="E12" s="9" t="s">
        <v>34</v>
      </c>
      <c r="F12" s="34" t="s">
        <v>706</v>
      </c>
      <c r="G12" s="35" t="s">
        <v>704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15">
      <c r="A20" s="15" t="s">
        <v>679</v>
      </c>
      <c r="B20" s="4" t="s">
        <v>423</v>
      </c>
      <c r="C20" s="4" t="s">
        <v>651</v>
      </c>
      <c r="D20" s="4" t="s">
        <v>684</v>
      </c>
      <c r="E20" s="10" t="s">
        <v>685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6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9.3046875" style="4" bestFit="1" customWidth="1"/>
    <col min="5" max="5" width="22.65234375" style="4" bestFit="1" customWidth="1"/>
    <col min="6" max="6" width="26.0234375" style="4" bestFit="1" customWidth="1"/>
    <col min="7" max="7" width="5.52734375" style="3" customWidth="1"/>
    <col min="8" max="9" width="2.15625" style="3" customWidth="1"/>
    <col min="10" max="10" width="4.8515625" style="3" customWidth="1"/>
    <col min="11" max="11" width="7.8203125" style="10" bestFit="1" customWidth="1"/>
    <col min="12" max="12" width="6.6054687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427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146</v>
      </c>
      <c r="B6" s="6" t="s">
        <v>147</v>
      </c>
      <c r="C6" s="6" t="s">
        <v>148</v>
      </c>
      <c r="D6" s="6" t="str">
        <f>"0,5865"</f>
        <v>0,5865</v>
      </c>
      <c r="E6" s="6" t="s">
        <v>149</v>
      </c>
      <c r="F6" s="6" t="s">
        <v>73</v>
      </c>
      <c r="G6" s="8" t="s">
        <v>152</v>
      </c>
      <c r="H6" s="8"/>
      <c r="I6" s="8"/>
      <c r="J6" s="8"/>
      <c r="K6" s="11" t="str">
        <f>"0.00"</f>
        <v>0.00</v>
      </c>
      <c r="L6" s="12" t="str">
        <f>"0,0000"</f>
        <v>0,0000</v>
      </c>
      <c r="M6" s="6" t="s">
        <v>30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700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33.30859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7.5507812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425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115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380</v>
      </c>
      <c r="B6" s="6" t="s">
        <v>381</v>
      </c>
      <c r="C6" s="6" t="s">
        <v>382</v>
      </c>
      <c r="D6" s="6" t="str">
        <f>"0,6758"</f>
        <v>0,6758</v>
      </c>
      <c r="E6" s="6" t="s">
        <v>21</v>
      </c>
      <c r="F6" s="6" t="s">
        <v>383</v>
      </c>
      <c r="G6" s="7" t="s">
        <v>28</v>
      </c>
      <c r="H6" s="7" t="s">
        <v>24</v>
      </c>
      <c r="I6" s="7" t="s">
        <v>102</v>
      </c>
      <c r="J6" s="8"/>
      <c r="K6" s="11" t="str">
        <f>"125,0"</f>
        <v>125,0</v>
      </c>
      <c r="L6" s="12" t="str">
        <f>"99,0892"</f>
        <v>99,0892</v>
      </c>
      <c r="M6" s="6" t="s">
        <v>30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700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333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379</v>
      </c>
      <c r="B20" s="4" t="s">
        <v>44</v>
      </c>
      <c r="C20" s="4" t="s">
        <v>127</v>
      </c>
      <c r="D20" s="4" t="s">
        <v>102</v>
      </c>
      <c r="E20" s="10" t="s">
        <v>426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4"/>
  <sheetViews>
    <sheetView workbookViewId="0">
      <selection activeCell="F15" sqref="F15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30.07031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17.6640625" style="4" bestFit="1" customWidth="1"/>
    <col min="14" max="16384" width="9.16796875" style="3"/>
  </cols>
  <sheetData>
    <row r="1" spans="1:13" s="2" customFormat="1" ht="29.1" customHeight="1" x14ac:dyDescent="0.15">
      <c r="A1" s="38" t="s">
        <v>412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414</v>
      </c>
      <c r="B6" s="6" t="s">
        <v>415</v>
      </c>
      <c r="C6" s="6" t="s">
        <v>416</v>
      </c>
      <c r="D6" s="6" t="str">
        <f>"0,5274"</f>
        <v>0,5274</v>
      </c>
      <c r="E6" s="6" t="s">
        <v>21</v>
      </c>
      <c r="F6" s="6" t="s">
        <v>417</v>
      </c>
      <c r="G6" s="7" t="s">
        <v>173</v>
      </c>
      <c r="H6" s="7" t="s">
        <v>152</v>
      </c>
      <c r="I6" s="8" t="s">
        <v>141</v>
      </c>
      <c r="J6" s="8"/>
      <c r="K6" s="11" t="str">
        <f>"210,0"</f>
        <v>210,0</v>
      </c>
      <c r="L6" s="12" t="str">
        <f>"129,9144"</f>
        <v>129,9144</v>
      </c>
      <c r="M6" s="6" t="s">
        <v>418</v>
      </c>
    </row>
    <row r="8" spans="1:13" ht="14.25" x14ac:dyDescent="0.15">
      <c r="A8" s="51" t="s">
        <v>328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330</v>
      </c>
      <c r="B9" s="6" t="s">
        <v>419</v>
      </c>
      <c r="C9" s="6" t="s">
        <v>332</v>
      </c>
      <c r="D9" s="6" t="str">
        <f>"0,5002"</f>
        <v>0,5002</v>
      </c>
      <c r="E9" s="6" t="s">
        <v>273</v>
      </c>
      <c r="F9" s="6" t="s">
        <v>280</v>
      </c>
      <c r="G9" s="7" t="s">
        <v>420</v>
      </c>
      <c r="H9" s="8" t="s">
        <v>421</v>
      </c>
      <c r="I9" s="8" t="s">
        <v>421</v>
      </c>
      <c r="J9" s="8"/>
      <c r="K9" s="11" t="str">
        <f>"250,0"</f>
        <v>250,0</v>
      </c>
      <c r="L9" s="12" t="str">
        <f>"126,1754"</f>
        <v>126,1754</v>
      </c>
      <c r="M9" s="6" t="s">
        <v>30</v>
      </c>
    </row>
    <row r="11" spans="1:13" ht="14.25" x14ac:dyDescent="0.15">
      <c r="E11" s="9" t="s">
        <v>31</v>
      </c>
      <c r="F11" s="34" t="s">
        <v>701</v>
      </c>
      <c r="G11" s="35" t="s">
        <v>703</v>
      </c>
    </row>
    <row r="12" spans="1:13" ht="14.25" x14ac:dyDescent="0.15">
      <c r="E12" s="9" t="s">
        <v>32</v>
      </c>
      <c r="F12" s="34" t="s">
        <v>698</v>
      </c>
      <c r="G12" s="35" t="s">
        <v>702</v>
      </c>
    </row>
    <row r="13" spans="1:13" ht="14.25" x14ac:dyDescent="0.15">
      <c r="E13" s="9" t="s">
        <v>33</v>
      </c>
      <c r="F13" s="34" t="s">
        <v>699</v>
      </c>
      <c r="G13" s="35" t="s">
        <v>702</v>
      </c>
    </row>
    <row r="14" spans="1:13" ht="14.25" x14ac:dyDescent="0.15">
      <c r="E14" s="9" t="s">
        <v>34</v>
      </c>
      <c r="F14" s="34" t="s">
        <v>700</v>
      </c>
      <c r="G14" s="35" t="s">
        <v>703</v>
      </c>
    </row>
    <row r="15" spans="1:13" ht="14.25" x14ac:dyDescent="0.15">
      <c r="E15" s="9" t="s">
        <v>34</v>
      </c>
      <c r="F15" s="34" t="s">
        <v>706</v>
      </c>
      <c r="G15" s="35" t="s">
        <v>704</v>
      </c>
    </row>
    <row r="16" spans="1:13" ht="14.25" x14ac:dyDescent="0.15">
      <c r="E16" s="9"/>
    </row>
    <row r="17" spans="1:5" ht="14.25" x14ac:dyDescent="0.15">
      <c r="E17" s="9"/>
    </row>
    <row r="19" spans="1:5" ht="18" x14ac:dyDescent="0.2">
      <c r="A19" s="13" t="s">
        <v>36</v>
      </c>
      <c r="B19" s="13"/>
    </row>
    <row r="20" spans="1:5" ht="14.25" x14ac:dyDescent="0.15">
      <c r="A20" s="14" t="s">
        <v>37</v>
      </c>
      <c r="B20" s="14"/>
    </row>
    <row r="21" spans="1:5" ht="13.5" x14ac:dyDescent="0.15">
      <c r="A21" s="16"/>
      <c r="B21" s="17" t="s">
        <v>38</v>
      </c>
    </row>
    <row r="22" spans="1:5" ht="13.5" x14ac:dyDescent="0.15">
      <c r="A22" s="18" t="s">
        <v>39</v>
      </c>
      <c r="B22" s="18" t="s">
        <v>40</v>
      </c>
      <c r="C22" s="18" t="s">
        <v>41</v>
      </c>
      <c r="D22" s="18" t="s">
        <v>161</v>
      </c>
      <c r="E22" s="18" t="s">
        <v>43</v>
      </c>
    </row>
    <row r="23" spans="1:5" x14ac:dyDescent="0.15">
      <c r="A23" s="15" t="s">
        <v>413</v>
      </c>
      <c r="B23" s="4" t="s">
        <v>44</v>
      </c>
      <c r="C23" s="4" t="s">
        <v>163</v>
      </c>
      <c r="D23" s="4" t="s">
        <v>152</v>
      </c>
      <c r="E23" s="10" t="s">
        <v>422</v>
      </c>
    </row>
    <row r="24" spans="1:5" x14ac:dyDescent="0.15">
      <c r="A24" s="15" t="s">
        <v>329</v>
      </c>
      <c r="B24" s="4" t="s">
        <v>423</v>
      </c>
      <c r="C24" s="4" t="s">
        <v>358</v>
      </c>
      <c r="D24" s="4" t="s">
        <v>420</v>
      </c>
      <c r="E24" s="10" t="s">
        <v>424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8"/>
  <sheetViews>
    <sheetView topLeftCell="C13" workbookViewId="0">
      <selection activeCell="F27" sqref="F27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44.3671875" style="4" bestFit="1" customWidth="1"/>
    <col min="4" max="4" width="11.8671875" style="4" bestFit="1" customWidth="1"/>
    <col min="5" max="5" width="22.65234375" style="4" bestFit="1" customWidth="1"/>
    <col min="6" max="6" width="33.30859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28.453125" style="4" bestFit="1" customWidth="1"/>
    <col min="14" max="16384" width="9.16796875" style="3"/>
  </cols>
  <sheetData>
    <row r="1" spans="1:13" s="2" customFormat="1" ht="29.1" customHeight="1" x14ac:dyDescent="0.15">
      <c r="A1" s="38" t="s">
        <v>371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193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373</v>
      </c>
      <c r="B6" s="6" t="s">
        <v>374</v>
      </c>
      <c r="C6" s="6" t="s">
        <v>375</v>
      </c>
      <c r="D6" s="6" t="str">
        <f>"0,9180"</f>
        <v>0,9180</v>
      </c>
      <c r="E6" s="6" t="s">
        <v>120</v>
      </c>
      <c r="F6" s="6" t="s">
        <v>73</v>
      </c>
      <c r="G6" s="7" t="s">
        <v>376</v>
      </c>
      <c r="H6" s="7" t="s">
        <v>377</v>
      </c>
      <c r="I6" s="7" t="s">
        <v>378</v>
      </c>
      <c r="J6" s="8"/>
      <c r="K6" s="11" t="str">
        <f>"47,5"</f>
        <v>47,5</v>
      </c>
      <c r="L6" s="12" t="str">
        <f>"51,4539"</f>
        <v>51,4539</v>
      </c>
      <c r="M6" s="6" t="s">
        <v>160</v>
      </c>
    </row>
    <row r="8" spans="1:13" ht="14.25" x14ac:dyDescent="0.15">
      <c r="A8" s="51" t="s">
        <v>115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380</v>
      </c>
      <c r="B9" s="6" t="s">
        <v>381</v>
      </c>
      <c r="C9" s="6" t="s">
        <v>382</v>
      </c>
      <c r="D9" s="6" t="str">
        <f>"0,6758"</f>
        <v>0,6758</v>
      </c>
      <c r="E9" s="6" t="s">
        <v>21</v>
      </c>
      <c r="F9" s="6" t="s">
        <v>383</v>
      </c>
      <c r="G9" s="7" t="s">
        <v>25</v>
      </c>
      <c r="H9" s="7" t="s">
        <v>58</v>
      </c>
      <c r="I9" s="8" t="s">
        <v>26</v>
      </c>
      <c r="J9" s="8"/>
      <c r="K9" s="11" t="str">
        <f>"90,0"</f>
        <v>90,0</v>
      </c>
      <c r="L9" s="12" t="str">
        <f>"71,3442"</f>
        <v>71,3442</v>
      </c>
      <c r="M9" s="6" t="s">
        <v>30</v>
      </c>
    </row>
    <row r="11" spans="1:13" ht="14.25" x14ac:dyDescent="0.15">
      <c r="A11" s="51" t="s">
        <v>210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15">
      <c r="A12" s="6" t="s">
        <v>385</v>
      </c>
      <c r="B12" s="6" t="s">
        <v>386</v>
      </c>
      <c r="C12" s="6" t="s">
        <v>387</v>
      </c>
      <c r="D12" s="6" t="str">
        <f>"0,7481"</f>
        <v>0,7481</v>
      </c>
      <c r="E12" s="6" t="s">
        <v>120</v>
      </c>
      <c r="F12" s="6" t="s">
        <v>73</v>
      </c>
      <c r="G12" s="7" t="s">
        <v>26</v>
      </c>
      <c r="H12" s="7" t="s">
        <v>27</v>
      </c>
      <c r="I12" s="7" t="s">
        <v>388</v>
      </c>
      <c r="J12" s="8"/>
      <c r="K12" s="11" t="str">
        <f>"102,5"</f>
        <v>102,5</v>
      </c>
      <c r="L12" s="12" t="str">
        <f>"86,6487"</f>
        <v>86,6487</v>
      </c>
      <c r="M12" s="6" t="s">
        <v>160</v>
      </c>
    </row>
    <row r="14" spans="1:13" ht="14.25" x14ac:dyDescent="0.15">
      <c r="A14" s="51" t="s">
        <v>115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15">
      <c r="A15" s="6" t="s">
        <v>390</v>
      </c>
      <c r="B15" s="6" t="s">
        <v>391</v>
      </c>
      <c r="C15" s="6" t="s">
        <v>392</v>
      </c>
      <c r="D15" s="6" t="str">
        <f>"0,6379"</f>
        <v>0,6379</v>
      </c>
      <c r="E15" s="6" t="s">
        <v>21</v>
      </c>
      <c r="F15" s="6" t="s">
        <v>73</v>
      </c>
      <c r="G15" s="7" t="s">
        <v>58</v>
      </c>
      <c r="H15" s="8" t="s">
        <v>76</v>
      </c>
      <c r="I15" s="8"/>
      <c r="J15" s="8"/>
      <c r="K15" s="11" t="str">
        <f>"90,0"</f>
        <v>90,0</v>
      </c>
      <c r="L15" s="12" t="str">
        <f>"117,5777"</f>
        <v>117,5777</v>
      </c>
      <c r="M15" s="6" t="s">
        <v>30</v>
      </c>
    </row>
    <row r="17" spans="1:13" ht="14.25" x14ac:dyDescent="0.15">
      <c r="A17" s="51" t="s">
        <v>16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3" x14ac:dyDescent="0.15">
      <c r="A18" s="6" t="s">
        <v>394</v>
      </c>
      <c r="B18" s="6" t="s">
        <v>395</v>
      </c>
      <c r="C18" s="6" t="s">
        <v>396</v>
      </c>
      <c r="D18" s="6" t="str">
        <f>"0,6050"</f>
        <v>0,6050</v>
      </c>
      <c r="E18" s="6" t="s">
        <v>21</v>
      </c>
      <c r="F18" s="6" t="s">
        <v>73</v>
      </c>
      <c r="G18" s="7" t="s">
        <v>25</v>
      </c>
      <c r="H18" s="7" t="s">
        <v>58</v>
      </c>
      <c r="I18" s="7" t="s">
        <v>76</v>
      </c>
      <c r="J18" s="8"/>
      <c r="K18" s="11" t="str">
        <f>"95,0"</f>
        <v>95,0</v>
      </c>
      <c r="L18" s="12" t="str">
        <f>"57,4750"</f>
        <v>57,4750</v>
      </c>
      <c r="M18" s="6" t="s">
        <v>30</v>
      </c>
    </row>
    <row r="20" spans="1:13" ht="14.25" x14ac:dyDescent="0.15">
      <c r="A20" s="51" t="s">
        <v>67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 x14ac:dyDescent="0.15">
      <c r="A21" s="6" t="s">
        <v>398</v>
      </c>
      <c r="B21" s="6" t="s">
        <v>399</v>
      </c>
      <c r="C21" s="6" t="s">
        <v>294</v>
      </c>
      <c r="D21" s="6" t="str">
        <f>"0,5605"</f>
        <v>0,5605</v>
      </c>
      <c r="E21" s="6" t="s">
        <v>120</v>
      </c>
      <c r="F21" s="6" t="s">
        <v>73</v>
      </c>
      <c r="G21" s="7" t="s">
        <v>236</v>
      </c>
      <c r="H21" s="7" t="s">
        <v>109</v>
      </c>
      <c r="I21" s="7" t="s">
        <v>327</v>
      </c>
      <c r="J21" s="8"/>
      <c r="K21" s="11" t="str">
        <f>"145,0"</f>
        <v>145,0</v>
      </c>
      <c r="L21" s="12" t="str">
        <f>"97,8521"</f>
        <v>97,8521</v>
      </c>
      <c r="M21" s="6" t="s">
        <v>160</v>
      </c>
    </row>
    <row r="23" spans="1:13" ht="14.25" x14ac:dyDescent="0.15">
      <c r="E23" s="9" t="s">
        <v>31</v>
      </c>
      <c r="F23" s="34" t="s">
        <v>701</v>
      </c>
      <c r="G23" s="35" t="s">
        <v>703</v>
      </c>
    </row>
    <row r="24" spans="1:13" ht="14.25" x14ac:dyDescent="0.15">
      <c r="E24" s="9" t="s">
        <v>32</v>
      </c>
      <c r="F24" s="34" t="s">
        <v>698</v>
      </c>
      <c r="G24" s="35" t="s">
        <v>702</v>
      </c>
    </row>
    <row r="25" spans="1:13" ht="14.25" x14ac:dyDescent="0.15">
      <c r="E25" s="9" t="s">
        <v>33</v>
      </c>
      <c r="F25" s="34" t="s">
        <v>699</v>
      </c>
      <c r="G25" s="35" t="s">
        <v>702</v>
      </c>
    </row>
    <row r="26" spans="1:13" ht="14.25" x14ac:dyDescent="0.15">
      <c r="E26" s="9" t="s">
        <v>34</v>
      </c>
      <c r="F26" s="34" t="s">
        <v>705</v>
      </c>
      <c r="G26" s="35" t="s">
        <v>703</v>
      </c>
    </row>
    <row r="27" spans="1:13" ht="14.25" x14ac:dyDescent="0.15">
      <c r="E27" s="9" t="s">
        <v>34</v>
      </c>
      <c r="F27" s="34" t="s">
        <v>706</v>
      </c>
      <c r="G27" s="35" t="s">
        <v>704</v>
      </c>
    </row>
    <row r="28" spans="1:13" ht="14.25" x14ac:dyDescent="0.15">
      <c r="E28" s="9"/>
    </row>
    <row r="29" spans="1:13" ht="14.25" x14ac:dyDescent="0.15">
      <c r="E29" s="9"/>
    </row>
    <row r="31" spans="1:13" ht="18" x14ac:dyDescent="0.2">
      <c r="A31" s="13" t="s">
        <v>36</v>
      </c>
      <c r="B31" s="13"/>
    </row>
    <row r="32" spans="1:13" ht="14.25" x14ac:dyDescent="0.15">
      <c r="A32" s="14" t="s">
        <v>333</v>
      </c>
      <c r="B32" s="14"/>
    </row>
    <row r="33" spans="1:5" ht="13.5" x14ac:dyDescent="0.15">
      <c r="A33" s="16"/>
      <c r="B33" s="17" t="s">
        <v>400</v>
      </c>
    </row>
    <row r="34" spans="1:5" ht="13.5" x14ac:dyDescent="0.15">
      <c r="A34" s="18" t="s">
        <v>39</v>
      </c>
      <c r="B34" s="18" t="s">
        <v>40</v>
      </c>
      <c r="C34" s="18" t="s">
        <v>41</v>
      </c>
      <c r="D34" s="18" t="s">
        <v>161</v>
      </c>
      <c r="E34" s="18" t="s">
        <v>43</v>
      </c>
    </row>
    <row r="35" spans="1:5" x14ac:dyDescent="0.15">
      <c r="A35" s="15" t="s">
        <v>372</v>
      </c>
      <c r="B35" s="4" t="s">
        <v>401</v>
      </c>
      <c r="C35" s="4" t="s">
        <v>336</v>
      </c>
      <c r="D35" s="4" t="s">
        <v>378</v>
      </c>
      <c r="E35" s="10" t="s">
        <v>402</v>
      </c>
    </row>
    <row r="37" spans="1:5" ht="13.5" x14ac:dyDescent="0.15">
      <c r="A37" s="16"/>
      <c r="B37" s="17" t="s">
        <v>38</v>
      </c>
    </row>
    <row r="38" spans="1:5" ht="13.5" x14ac:dyDescent="0.15">
      <c r="A38" s="18" t="s">
        <v>39</v>
      </c>
      <c r="B38" s="18" t="s">
        <v>40</v>
      </c>
      <c r="C38" s="18" t="s">
        <v>41</v>
      </c>
      <c r="D38" s="18" t="s">
        <v>161</v>
      </c>
      <c r="E38" s="18" t="s">
        <v>43</v>
      </c>
    </row>
    <row r="39" spans="1:5" x14ac:dyDescent="0.15">
      <c r="A39" s="15" t="s">
        <v>379</v>
      </c>
      <c r="B39" s="4" t="s">
        <v>44</v>
      </c>
      <c r="C39" s="4" t="s">
        <v>127</v>
      </c>
      <c r="D39" s="4" t="s">
        <v>58</v>
      </c>
      <c r="E39" s="10" t="s">
        <v>403</v>
      </c>
    </row>
    <row r="42" spans="1:5" ht="14.25" x14ac:dyDescent="0.15">
      <c r="A42" s="14" t="s">
        <v>37</v>
      </c>
      <c r="B42" s="14"/>
    </row>
    <row r="43" spans="1:5" ht="13.5" x14ac:dyDescent="0.15">
      <c r="A43" s="16"/>
      <c r="B43" s="17" t="s">
        <v>79</v>
      </c>
    </row>
    <row r="44" spans="1:5" ht="13.5" x14ac:dyDescent="0.15">
      <c r="A44" s="18" t="s">
        <v>39</v>
      </c>
      <c r="B44" s="18" t="s">
        <v>40</v>
      </c>
      <c r="C44" s="18" t="s">
        <v>41</v>
      </c>
      <c r="D44" s="18" t="s">
        <v>161</v>
      </c>
      <c r="E44" s="18" t="s">
        <v>43</v>
      </c>
    </row>
    <row r="45" spans="1:5" x14ac:dyDescent="0.15">
      <c r="A45" s="15" t="s">
        <v>384</v>
      </c>
      <c r="B45" s="4" t="s">
        <v>80</v>
      </c>
      <c r="C45" s="4" t="s">
        <v>346</v>
      </c>
      <c r="D45" s="4" t="s">
        <v>388</v>
      </c>
      <c r="E45" s="10" t="s">
        <v>404</v>
      </c>
    </row>
    <row r="47" spans="1:5" ht="13.5" x14ac:dyDescent="0.15">
      <c r="A47" s="16"/>
      <c r="B47" s="17" t="s">
        <v>38</v>
      </c>
    </row>
    <row r="48" spans="1:5" ht="13.5" x14ac:dyDescent="0.15">
      <c r="A48" s="18" t="s">
        <v>39</v>
      </c>
      <c r="B48" s="18" t="s">
        <v>40</v>
      </c>
      <c r="C48" s="18" t="s">
        <v>41</v>
      </c>
      <c r="D48" s="18" t="s">
        <v>161</v>
      </c>
      <c r="E48" s="18" t="s">
        <v>43</v>
      </c>
    </row>
    <row r="49" spans="1:5" x14ac:dyDescent="0.15">
      <c r="A49" s="15" t="s">
        <v>389</v>
      </c>
      <c r="B49" s="4" t="s">
        <v>405</v>
      </c>
      <c r="C49" s="4" t="s">
        <v>127</v>
      </c>
      <c r="D49" s="4" t="s">
        <v>58</v>
      </c>
      <c r="E49" s="10" t="s">
        <v>406</v>
      </c>
    </row>
    <row r="50" spans="1:5" x14ac:dyDescent="0.15">
      <c r="A50" s="15" t="s">
        <v>397</v>
      </c>
      <c r="B50" s="4" t="s">
        <v>44</v>
      </c>
      <c r="C50" s="4" t="s">
        <v>81</v>
      </c>
      <c r="D50" s="4" t="s">
        <v>327</v>
      </c>
      <c r="E50" s="10" t="s">
        <v>407</v>
      </c>
    </row>
    <row r="51" spans="1:5" x14ac:dyDescent="0.15">
      <c r="A51" s="15" t="s">
        <v>393</v>
      </c>
      <c r="B51" s="4" t="s">
        <v>408</v>
      </c>
      <c r="C51" s="4" t="s">
        <v>45</v>
      </c>
      <c r="D51" s="4" t="s">
        <v>76</v>
      </c>
      <c r="E51" s="10" t="s">
        <v>409</v>
      </c>
    </row>
    <row r="56" spans="1:5" ht="18" x14ac:dyDescent="0.2">
      <c r="A56" s="13" t="s">
        <v>84</v>
      </c>
      <c r="B56" s="13"/>
    </row>
    <row r="57" spans="1:5" ht="13.5" x14ac:dyDescent="0.15">
      <c r="A57" s="18" t="s">
        <v>85</v>
      </c>
      <c r="B57" s="18" t="s">
        <v>86</v>
      </c>
      <c r="C57" s="18" t="s">
        <v>87</v>
      </c>
    </row>
    <row r="58" spans="1:5" x14ac:dyDescent="0.15">
      <c r="A58" s="4" t="s">
        <v>120</v>
      </c>
      <c r="B58" s="4" t="s">
        <v>410</v>
      </c>
      <c r="C58" s="4" t="s">
        <v>411</v>
      </c>
    </row>
  </sheetData>
  <mergeCells count="17">
    <mergeCell ref="A8:J8"/>
    <mergeCell ref="A11:J11"/>
    <mergeCell ref="A14:J14"/>
    <mergeCell ref="A17:J17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4"/>
  <sheetViews>
    <sheetView topLeftCell="A33" workbookViewId="0">
      <selection activeCell="F56" sqref="F56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34.5195312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28.453125" style="4" bestFit="1" customWidth="1"/>
    <col min="14" max="16384" width="9.16796875" style="3"/>
  </cols>
  <sheetData>
    <row r="1" spans="1:13" s="2" customFormat="1" ht="29.1" customHeight="1" x14ac:dyDescent="0.15">
      <c r="A1" s="38" t="s">
        <v>185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186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188</v>
      </c>
      <c r="B6" s="6" t="s">
        <v>189</v>
      </c>
      <c r="C6" s="6" t="s">
        <v>190</v>
      </c>
      <c r="D6" s="6" t="str">
        <f>"0,9747"</f>
        <v>0,9747</v>
      </c>
      <c r="E6" s="6" t="s">
        <v>120</v>
      </c>
      <c r="F6" s="6" t="s">
        <v>73</v>
      </c>
      <c r="G6" s="7" t="s">
        <v>99</v>
      </c>
      <c r="H6" s="7" t="s">
        <v>191</v>
      </c>
      <c r="I6" s="8"/>
      <c r="J6" s="8"/>
      <c r="K6" s="11" t="str">
        <f>"62,5"</f>
        <v>62,5</v>
      </c>
      <c r="L6" s="12" t="str">
        <f>"60,9187"</f>
        <v>60,9187</v>
      </c>
      <c r="M6" s="6" t="s">
        <v>192</v>
      </c>
    </row>
    <row r="8" spans="1:13" ht="14.25" x14ac:dyDescent="0.15">
      <c r="A8" s="51" t="s">
        <v>193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195</v>
      </c>
      <c r="B9" s="6" t="s">
        <v>196</v>
      </c>
      <c r="C9" s="6" t="s">
        <v>197</v>
      </c>
      <c r="D9" s="6" t="str">
        <f>"0,9160"</f>
        <v>0,9160</v>
      </c>
      <c r="E9" s="6" t="s">
        <v>198</v>
      </c>
      <c r="F9" s="6" t="s">
        <v>199</v>
      </c>
      <c r="G9" s="7" t="s">
        <v>200</v>
      </c>
      <c r="H9" s="8" t="s">
        <v>201</v>
      </c>
      <c r="I9" s="8" t="s">
        <v>201</v>
      </c>
      <c r="J9" s="8"/>
      <c r="K9" s="11" t="str">
        <f>"50,0"</f>
        <v>50,0</v>
      </c>
      <c r="L9" s="12" t="str">
        <f>"45,8000"</f>
        <v>45,8000</v>
      </c>
      <c r="M9" s="6" t="s">
        <v>202</v>
      </c>
    </row>
    <row r="11" spans="1:13" ht="14.25" x14ac:dyDescent="0.15">
      <c r="A11" s="51" t="s">
        <v>186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15">
      <c r="A12" s="6" t="s">
        <v>204</v>
      </c>
      <c r="B12" s="6" t="s">
        <v>205</v>
      </c>
      <c r="C12" s="6" t="s">
        <v>206</v>
      </c>
      <c r="D12" s="6" t="str">
        <f>"1,3133"</f>
        <v>1,3133</v>
      </c>
      <c r="E12" s="6" t="s">
        <v>120</v>
      </c>
      <c r="F12" s="6" t="s">
        <v>73</v>
      </c>
      <c r="G12" s="7" t="s">
        <v>207</v>
      </c>
      <c r="H12" s="7" t="s">
        <v>208</v>
      </c>
      <c r="I12" s="7" t="s">
        <v>209</v>
      </c>
      <c r="J12" s="8"/>
      <c r="K12" s="11" t="str">
        <f>"40,0"</f>
        <v>40,0</v>
      </c>
      <c r="L12" s="12" t="str">
        <f>"64,6144"</f>
        <v>64,6144</v>
      </c>
      <c r="M12" s="6" t="s">
        <v>192</v>
      </c>
    </row>
    <row r="14" spans="1:13" ht="14.25" x14ac:dyDescent="0.15">
      <c r="A14" s="51" t="s">
        <v>210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3" x14ac:dyDescent="0.15">
      <c r="A15" s="19" t="s">
        <v>212</v>
      </c>
      <c r="B15" s="19" t="s">
        <v>118</v>
      </c>
      <c r="C15" s="19" t="s">
        <v>213</v>
      </c>
      <c r="D15" s="19" t="str">
        <f>"0,7557"</f>
        <v>0,7557</v>
      </c>
      <c r="E15" s="19" t="s">
        <v>21</v>
      </c>
      <c r="F15" s="19" t="s">
        <v>73</v>
      </c>
      <c r="G15" s="21" t="s">
        <v>214</v>
      </c>
      <c r="H15" s="21" t="s">
        <v>200</v>
      </c>
      <c r="I15" s="20" t="s">
        <v>215</v>
      </c>
      <c r="J15" s="20"/>
      <c r="K15" s="28" t="str">
        <f>"50,0"</f>
        <v>50,0</v>
      </c>
      <c r="L15" s="29" t="str">
        <f>"40,8078"</f>
        <v>40,8078</v>
      </c>
      <c r="M15" s="19" t="s">
        <v>216</v>
      </c>
    </row>
    <row r="16" spans="1:13" x14ac:dyDescent="0.15">
      <c r="A16" s="22" t="s">
        <v>218</v>
      </c>
      <c r="B16" s="22" t="s">
        <v>219</v>
      </c>
      <c r="C16" s="22" t="s">
        <v>220</v>
      </c>
      <c r="D16" s="22" t="str">
        <f>"0,7327"</f>
        <v>0,7327</v>
      </c>
      <c r="E16" s="22" t="s">
        <v>21</v>
      </c>
      <c r="F16" s="22" t="s">
        <v>73</v>
      </c>
      <c r="G16" s="24" t="s">
        <v>221</v>
      </c>
      <c r="H16" s="23" t="s">
        <v>222</v>
      </c>
      <c r="I16" s="23"/>
      <c r="J16" s="23"/>
      <c r="K16" s="30" t="str">
        <f>"127,5"</f>
        <v>127,5</v>
      </c>
      <c r="L16" s="31" t="str">
        <f>"93,4192"</f>
        <v>93,4192</v>
      </c>
      <c r="M16" s="22" t="s">
        <v>30</v>
      </c>
    </row>
    <row r="18" spans="1:13" ht="14.25" x14ac:dyDescent="0.15">
      <c r="A18" s="51" t="s">
        <v>49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x14ac:dyDescent="0.15">
      <c r="A19" s="19" t="s">
        <v>224</v>
      </c>
      <c r="B19" s="19" t="s">
        <v>225</v>
      </c>
      <c r="C19" s="19" t="s">
        <v>226</v>
      </c>
      <c r="D19" s="19" t="str">
        <f>"0,6760"</f>
        <v>0,6760</v>
      </c>
      <c r="E19" s="19" t="s">
        <v>120</v>
      </c>
      <c r="F19" s="19" t="s">
        <v>73</v>
      </c>
      <c r="G19" s="21" t="s">
        <v>25</v>
      </c>
      <c r="H19" s="21" t="s">
        <v>58</v>
      </c>
      <c r="I19" s="20" t="s">
        <v>26</v>
      </c>
      <c r="J19" s="20"/>
      <c r="K19" s="28" t="str">
        <f>"90,0"</f>
        <v>90,0</v>
      </c>
      <c r="L19" s="29" t="str">
        <f>"68,7492"</f>
        <v>68,7492</v>
      </c>
      <c r="M19" s="19" t="s">
        <v>192</v>
      </c>
    </row>
    <row r="20" spans="1:13" x14ac:dyDescent="0.15">
      <c r="A20" s="25" t="s">
        <v>228</v>
      </c>
      <c r="B20" s="25" t="s">
        <v>229</v>
      </c>
      <c r="C20" s="25" t="s">
        <v>230</v>
      </c>
      <c r="D20" s="25" t="str">
        <f>"0,6923"</f>
        <v>0,6923</v>
      </c>
      <c r="E20" s="25" t="s">
        <v>120</v>
      </c>
      <c r="F20" s="25" t="s">
        <v>73</v>
      </c>
      <c r="G20" s="27" t="s">
        <v>150</v>
      </c>
      <c r="H20" s="27" t="s">
        <v>231</v>
      </c>
      <c r="I20" s="27" t="s">
        <v>113</v>
      </c>
      <c r="J20" s="26"/>
      <c r="K20" s="32" t="str">
        <f>"157,5"</f>
        <v>157,5</v>
      </c>
      <c r="L20" s="33" t="str">
        <f>"109,0373"</f>
        <v>109,0373</v>
      </c>
      <c r="M20" s="25" t="s">
        <v>30</v>
      </c>
    </row>
    <row r="21" spans="1:13" x14ac:dyDescent="0.15">
      <c r="A21" s="25" t="s">
        <v>233</v>
      </c>
      <c r="B21" s="25" t="s">
        <v>234</v>
      </c>
      <c r="C21" s="25" t="s">
        <v>235</v>
      </c>
      <c r="D21" s="25" t="str">
        <f>"0,6828"</f>
        <v>0,6828</v>
      </c>
      <c r="E21" s="25" t="s">
        <v>96</v>
      </c>
      <c r="F21" s="25" t="s">
        <v>97</v>
      </c>
      <c r="G21" s="27" t="s">
        <v>102</v>
      </c>
      <c r="H21" s="27" t="s">
        <v>236</v>
      </c>
      <c r="I21" s="26" t="s">
        <v>222</v>
      </c>
      <c r="J21" s="26"/>
      <c r="K21" s="32" t="str">
        <f>"132,5"</f>
        <v>132,5</v>
      </c>
      <c r="L21" s="33" t="str">
        <f>"90,4710"</f>
        <v>90,4710</v>
      </c>
      <c r="M21" s="25" t="s">
        <v>103</v>
      </c>
    </row>
    <row r="22" spans="1:13" x14ac:dyDescent="0.15">
      <c r="A22" s="25" t="s">
        <v>238</v>
      </c>
      <c r="B22" s="25" t="s">
        <v>239</v>
      </c>
      <c r="C22" s="25" t="s">
        <v>240</v>
      </c>
      <c r="D22" s="25" t="str">
        <f>"0,6716"</f>
        <v>0,6716</v>
      </c>
      <c r="E22" s="25" t="s">
        <v>96</v>
      </c>
      <c r="F22" s="25" t="s">
        <v>97</v>
      </c>
      <c r="G22" s="27" t="s">
        <v>24</v>
      </c>
      <c r="H22" s="27" t="s">
        <v>102</v>
      </c>
      <c r="I22" s="26" t="s">
        <v>29</v>
      </c>
      <c r="J22" s="26"/>
      <c r="K22" s="32" t="str">
        <f>"125,0"</f>
        <v>125,0</v>
      </c>
      <c r="L22" s="33" t="str">
        <f>"83,9500"</f>
        <v>83,9500</v>
      </c>
      <c r="M22" s="25" t="s">
        <v>30</v>
      </c>
    </row>
    <row r="23" spans="1:13" x14ac:dyDescent="0.15">
      <c r="A23" s="22" t="s">
        <v>242</v>
      </c>
      <c r="B23" s="22" t="s">
        <v>243</v>
      </c>
      <c r="C23" s="22" t="s">
        <v>244</v>
      </c>
      <c r="D23" s="22" t="str">
        <f>"0,6676"</f>
        <v>0,6676</v>
      </c>
      <c r="E23" s="22" t="s">
        <v>120</v>
      </c>
      <c r="F23" s="22" t="s">
        <v>73</v>
      </c>
      <c r="G23" s="24" t="s">
        <v>24</v>
      </c>
      <c r="H23" s="24" t="s">
        <v>102</v>
      </c>
      <c r="I23" s="23" t="s">
        <v>236</v>
      </c>
      <c r="J23" s="23"/>
      <c r="K23" s="30" t="str">
        <f>"125,0"</f>
        <v>125,0</v>
      </c>
      <c r="L23" s="31" t="str">
        <f>"83,4562"</f>
        <v>83,4562</v>
      </c>
      <c r="M23" s="22" t="s">
        <v>160</v>
      </c>
    </row>
    <row r="25" spans="1:13" ht="14.25" x14ac:dyDescent="0.15">
      <c r="A25" s="51" t="s">
        <v>115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 x14ac:dyDescent="0.15">
      <c r="A26" s="19" t="s">
        <v>246</v>
      </c>
      <c r="B26" s="19" t="s">
        <v>247</v>
      </c>
      <c r="C26" s="19" t="s">
        <v>248</v>
      </c>
      <c r="D26" s="19" t="str">
        <f>"0,6424"</f>
        <v>0,6424</v>
      </c>
      <c r="E26" s="19" t="s">
        <v>96</v>
      </c>
      <c r="F26" s="19" t="s">
        <v>97</v>
      </c>
      <c r="G26" s="21" t="s">
        <v>100</v>
      </c>
      <c r="H26" s="21" t="s">
        <v>101</v>
      </c>
      <c r="I26" s="21" t="s">
        <v>249</v>
      </c>
      <c r="J26" s="20"/>
      <c r="K26" s="28" t="str">
        <f>"75,0"</f>
        <v>75,0</v>
      </c>
      <c r="L26" s="29" t="str">
        <f>"54,4434"</f>
        <v>54,4434</v>
      </c>
      <c r="M26" s="19" t="s">
        <v>103</v>
      </c>
    </row>
    <row r="27" spans="1:13" x14ac:dyDescent="0.15">
      <c r="A27" s="25" t="s">
        <v>251</v>
      </c>
      <c r="B27" s="25" t="s">
        <v>252</v>
      </c>
      <c r="C27" s="25" t="s">
        <v>253</v>
      </c>
      <c r="D27" s="25" t="str">
        <f>"0,6290"</f>
        <v>0,6290</v>
      </c>
      <c r="E27" s="25" t="s">
        <v>181</v>
      </c>
      <c r="F27" s="25" t="s">
        <v>73</v>
      </c>
      <c r="G27" s="27" t="s">
        <v>24</v>
      </c>
      <c r="H27" s="27" t="s">
        <v>29</v>
      </c>
      <c r="I27" s="26" t="s">
        <v>254</v>
      </c>
      <c r="J27" s="26"/>
      <c r="K27" s="32" t="str">
        <f>"130,0"</f>
        <v>130,0</v>
      </c>
      <c r="L27" s="33" t="str">
        <f>"81,7700"</f>
        <v>81,7700</v>
      </c>
      <c r="M27" s="25" t="s">
        <v>184</v>
      </c>
    </row>
    <row r="28" spans="1:13" x14ac:dyDescent="0.15">
      <c r="A28" s="25" t="s">
        <v>256</v>
      </c>
      <c r="B28" s="25" t="s">
        <v>257</v>
      </c>
      <c r="C28" s="25" t="s">
        <v>258</v>
      </c>
      <c r="D28" s="25" t="str">
        <f>"0,6399"</f>
        <v>0,6399</v>
      </c>
      <c r="E28" s="25" t="s">
        <v>96</v>
      </c>
      <c r="F28" s="25" t="s">
        <v>259</v>
      </c>
      <c r="G28" s="27" t="s">
        <v>109</v>
      </c>
      <c r="H28" s="27" t="s">
        <v>260</v>
      </c>
      <c r="I28" s="27" t="s">
        <v>112</v>
      </c>
      <c r="J28" s="26"/>
      <c r="K28" s="32" t="str">
        <f>"152,5"</f>
        <v>152,5</v>
      </c>
      <c r="L28" s="33" t="str">
        <f>"97,5848"</f>
        <v>97,5848</v>
      </c>
      <c r="M28" s="25" t="s">
        <v>30</v>
      </c>
    </row>
    <row r="29" spans="1:13" x14ac:dyDescent="0.15">
      <c r="A29" s="25" t="s">
        <v>262</v>
      </c>
      <c r="B29" s="25" t="s">
        <v>263</v>
      </c>
      <c r="C29" s="25" t="s">
        <v>264</v>
      </c>
      <c r="D29" s="25" t="str">
        <f>"0,6352"</f>
        <v>0,6352</v>
      </c>
      <c r="E29" s="25" t="s">
        <v>120</v>
      </c>
      <c r="F29" s="25" t="s">
        <v>73</v>
      </c>
      <c r="G29" s="26" t="s">
        <v>254</v>
      </c>
      <c r="H29" s="27" t="s">
        <v>254</v>
      </c>
      <c r="I29" s="27" t="s">
        <v>109</v>
      </c>
      <c r="J29" s="26"/>
      <c r="K29" s="32" t="str">
        <f>"140,0"</f>
        <v>140,0</v>
      </c>
      <c r="L29" s="33" t="str">
        <f>"88,9280"</f>
        <v>88,9280</v>
      </c>
      <c r="M29" s="25" t="s">
        <v>265</v>
      </c>
    </row>
    <row r="30" spans="1:13" x14ac:dyDescent="0.15">
      <c r="A30" s="25" t="s">
        <v>267</v>
      </c>
      <c r="B30" s="25" t="s">
        <v>268</v>
      </c>
      <c r="C30" s="25" t="s">
        <v>253</v>
      </c>
      <c r="D30" s="25" t="str">
        <f>"0,6290"</f>
        <v>0,6290</v>
      </c>
      <c r="E30" s="25" t="s">
        <v>120</v>
      </c>
      <c r="F30" s="25" t="s">
        <v>73</v>
      </c>
      <c r="G30" s="27" t="s">
        <v>102</v>
      </c>
      <c r="H30" s="26" t="s">
        <v>254</v>
      </c>
      <c r="I30" s="26" t="s">
        <v>254</v>
      </c>
      <c r="J30" s="26"/>
      <c r="K30" s="32" t="str">
        <f>"125,0"</f>
        <v>125,0</v>
      </c>
      <c r="L30" s="33" t="str">
        <f>"78,6250"</f>
        <v>78,6250</v>
      </c>
      <c r="M30" s="25" t="s">
        <v>30</v>
      </c>
    </row>
    <row r="31" spans="1:13" x14ac:dyDescent="0.15">
      <c r="A31" s="25" t="s">
        <v>270</v>
      </c>
      <c r="B31" s="25" t="s">
        <v>271</v>
      </c>
      <c r="C31" s="25" t="s">
        <v>272</v>
      </c>
      <c r="D31" s="25" t="str">
        <f>"0,6376"</f>
        <v>0,6376</v>
      </c>
      <c r="E31" s="25" t="s">
        <v>273</v>
      </c>
      <c r="F31" s="25" t="s">
        <v>73</v>
      </c>
      <c r="G31" s="27" t="s">
        <v>28</v>
      </c>
      <c r="H31" s="26" t="s">
        <v>102</v>
      </c>
      <c r="I31" s="26" t="s">
        <v>102</v>
      </c>
      <c r="J31" s="26"/>
      <c r="K31" s="32" t="str">
        <f>"115,0"</f>
        <v>115,0</v>
      </c>
      <c r="L31" s="33" t="str">
        <f>"73,3240"</f>
        <v>73,3240</v>
      </c>
      <c r="M31" s="25" t="s">
        <v>274</v>
      </c>
    </row>
    <row r="32" spans="1:13" x14ac:dyDescent="0.15">
      <c r="A32" s="22" t="s">
        <v>276</v>
      </c>
      <c r="B32" s="22" t="s">
        <v>277</v>
      </c>
      <c r="C32" s="22" t="s">
        <v>278</v>
      </c>
      <c r="D32" s="22" t="str">
        <f>"0,6235"</f>
        <v>0,6235</v>
      </c>
      <c r="E32" s="22" t="s">
        <v>279</v>
      </c>
      <c r="F32" s="22" t="s">
        <v>280</v>
      </c>
      <c r="G32" s="24" t="s">
        <v>23</v>
      </c>
      <c r="H32" s="24" t="s">
        <v>281</v>
      </c>
      <c r="I32" s="23" t="s">
        <v>98</v>
      </c>
      <c r="J32" s="23"/>
      <c r="K32" s="30" t="str">
        <f>"107,5"</f>
        <v>107,5</v>
      </c>
      <c r="L32" s="31" t="str">
        <f>"125,0040"</f>
        <v>125,0040</v>
      </c>
      <c r="M32" s="22" t="s">
        <v>282</v>
      </c>
    </row>
    <row r="34" spans="1:13" ht="14.25" x14ac:dyDescent="0.15">
      <c r="A34" s="51" t="s">
        <v>67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3" x14ac:dyDescent="0.15">
      <c r="A35" s="19" t="s">
        <v>284</v>
      </c>
      <c r="B35" s="19" t="s">
        <v>285</v>
      </c>
      <c r="C35" s="19" t="s">
        <v>286</v>
      </c>
      <c r="D35" s="19" t="str">
        <f>"0,5786"</f>
        <v>0,5786</v>
      </c>
      <c r="E35" s="19" t="s">
        <v>120</v>
      </c>
      <c r="F35" s="19" t="s">
        <v>73</v>
      </c>
      <c r="G35" s="21" t="s">
        <v>287</v>
      </c>
      <c r="H35" s="21" t="s">
        <v>288</v>
      </c>
      <c r="I35" s="21" t="s">
        <v>289</v>
      </c>
      <c r="J35" s="20"/>
      <c r="K35" s="28" t="str">
        <f>"82,5"</f>
        <v>82,5</v>
      </c>
      <c r="L35" s="29" t="str">
        <f>"53,9400"</f>
        <v>53,9400</v>
      </c>
      <c r="M35" s="19" t="s">
        <v>290</v>
      </c>
    </row>
    <row r="36" spans="1:13" x14ac:dyDescent="0.15">
      <c r="A36" s="22" t="s">
        <v>292</v>
      </c>
      <c r="B36" s="22" t="s">
        <v>293</v>
      </c>
      <c r="C36" s="22" t="s">
        <v>294</v>
      </c>
      <c r="D36" s="22" t="str">
        <f>"0,5605"</f>
        <v>0,5605</v>
      </c>
      <c r="E36" s="22" t="s">
        <v>120</v>
      </c>
      <c r="F36" s="22" t="s">
        <v>73</v>
      </c>
      <c r="G36" s="24" t="s">
        <v>102</v>
      </c>
      <c r="H36" s="24" t="s">
        <v>254</v>
      </c>
      <c r="I36" s="24" t="s">
        <v>295</v>
      </c>
      <c r="J36" s="23"/>
      <c r="K36" s="30" t="str">
        <f>"142,5"</f>
        <v>142,5</v>
      </c>
      <c r="L36" s="31" t="str">
        <f>"83,0661"</f>
        <v>83,0661</v>
      </c>
      <c r="M36" s="22" t="s">
        <v>160</v>
      </c>
    </row>
    <row r="38" spans="1:13" ht="14.25" x14ac:dyDescent="0.15">
      <c r="A38" s="51" t="s">
        <v>296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3" x14ac:dyDescent="0.15">
      <c r="A39" s="19" t="s">
        <v>298</v>
      </c>
      <c r="B39" s="19" t="s">
        <v>299</v>
      </c>
      <c r="C39" s="19" t="s">
        <v>300</v>
      </c>
      <c r="D39" s="19" t="str">
        <f>"0,5458"</f>
        <v>0,5458</v>
      </c>
      <c r="E39" s="19" t="s">
        <v>181</v>
      </c>
      <c r="F39" s="19" t="s">
        <v>22</v>
      </c>
      <c r="G39" s="21" t="s">
        <v>173</v>
      </c>
      <c r="H39" s="21" t="s">
        <v>141</v>
      </c>
      <c r="I39" s="21" t="s">
        <v>301</v>
      </c>
      <c r="J39" s="20"/>
      <c r="K39" s="28" t="str">
        <f>"227,5"</f>
        <v>227,5</v>
      </c>
      <c r="L39" s="29" t="str">
        <f>"124,1695"</f>
        <v>124,1695</v>
      </c>
      <c r="M39" s="19" t="s">
        <v>184</v>
      </c>
    </row>
    <row r="40" spans="1:13" x14ac:dyDescent="0.15">
      <c r="A40" s="22" t="s">
        <v>303</v>
      </c>
      <c r="B40" s="22" t="s">
        <v>304</v>
      </c>
      <c r="C40" s="22" t="s">
        <v>305</v>
      </c>
      <c r="D40" s="22" t="str">
        <f>"0,5367"</f>
        <v>0,5367</v>
      </c>
      <c r="E40" s="22" t="s">
        <v>273</v>
      </c>
      <c r="F40" s="22" t="s">
        <v>73</v>
      </c>
      <c r="G40" s="24" t="s">
        <v>151</v>
      </c>
      <c r="H40" s="24" t="s">
        <v>74</v>
      </c>
      <c r="I40" s="24" t="s">
        <v>57</v>
      </c>
      <c r="J40" s="23"/>
      <c r="K40" s="30" t="str">
        <f>"180,0"</f>
        <v>180,0</v>
      </c>
      <c r="L40" s="31" t="str">
        <f>"96,6060"</f>
        <v>96,6060</v>
      </c>
      <c r="M40" s="22" t="s">
        <v>274</v>
      </c>
    </row>
    <row r="42" spans="1:13" ht="14.25" x14ac:dyDescent="0.15">
      <c r="A42" s="51" t="s">
        <v>154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3" x14ac:dyDescent="0.15">
      <c r="A43" s="19" t="s">
        <v>307</v>
      </c>
      <c r="B43" s="19" t="s">
        <v>308</v>
      </c>
      <c r="C43" s="19" t="s">
        <v>309</v>
      </c>
      <c r="D43" s="19" t="str">
        <f>"0,5239"</f>
        <v>0,5239</v>
      </c>
      <c r="E43" s="19" t="s">
        <v>120</v>
      </c>
      <c r="F43" s="19" t="s">
        <v>73</v>
      </c>
      <c r="G43" s="21" t="s">
        <v>74</v>
      </c>
      <c r="H43" s="21" t="s">
        <v>56</v>
      </c>
      <c r="I43" s="20"/>
      <c r="J43" s="20"/>
      <c r="K43" s="28" t="str">
        <f>"175,0"</f>
        <v>175,0</v>
      </c>
      <c r="L43" s="29" t="str">
        <f>"95,3498"</f>
        <v>95,3498</v>
      </c>
      <c r="M43" s="19" t="s">
        <v>160</v>
      </c>
    </row>
    <row r="44" spans="1:13" x14ac:dyDescent="0.15">
      <c r="A44" s="25" t="s">
        <v>311</v>
      </c>
      <c r="B44" s="25" t="s">
        <v>312</v>
      </c>
      <c r="C44" s="25" t="s">
        <v>313</v>
      </c>
      <c r="D44" s="25" t="str">
        <f>"0,5318"</f>
        <v>0,5318</v>
      </c>
      <c r="E44" s="25" t="s">
        <v>273</v>
      </c>
      <c r="F44" s="25" t="s">
        <v>280</v>
      </c>
      <c r="G44" s="27" t="s">
        <v>74</v>
      </c>
      <c r="H44" s="27" t="s">
        <v>77</v>
      </c>
      <c r="I44" s="27" t="s">
        <v>60</v>
      </c>
      <c r="J44" s="26"/>
      <c r="K44" s="32" t="str">
        <f>"195,0"</f>
        <v>195,0</v>
      </c>
      <c r="L44" s="33" t="str">
        <f>"103,7010"</f>
        <v>103,7010</v>
      </c>
      <c r="M44" s="25" t="s">
        <v>30</v>
      </c>
    </row>
    <row r="45" spans="1:13" x14ac:dyDescent="0.15">
      <c r="A45" s="25" t="s">
        <v>315</v>
      </c>
      <c r="B45" s="25" t="s">
        <v>316</v>
      </c>
      <c r="C45" s="25" t="s">
        <v>317</v>
      </c>
      <c r="D45" s="25" t="str">
        <f>"0,5231"</f>
        <v>0,5231</v>
      </c>
      <c r="E45" s="25" t="s">
        <v>96</v>
      </c>
      <c r="F45" s="25" t="s">
        <v>97</v>
      </c>
      <c r="G45" s="26" t="s">
        <v>138</v>
      </c>
      <c r="H45" s="27" t="s">
        <v>55</v>
      </c>
      <c r="I45" s="26" t="s">
        <v>56</v>
      </c>
      <c r="J45" s="26"/>
      <c r="K45" s="32" t="str">
        <f>"165,0"</f>
        <v>165,0</v>
      </c>
      <c r="L45" s="33" t="str">
        <f>"86,3115"</f>
        <v>86,3115</v>
      </c>
      <c r="M45" s="25" t="s">
        <v>318</v>
      </c>
    </row>
    <row r="46" spans="1:13" x14ac:dyDescent="0.15">
      <c r="A46" s="25" t="s">
        <v>320</v>
      </c>
      <c r="B46" s="25" t="s">
        <v>321</v>
      </c>
      <c r="C46" s="25" t="s">
        <v>322</v>
      </c>
      <c r="D46" s="25" t="str">
        <f>"0,5264"</f>
        <v>0,5264</v>
      </c>
      <c r="E46" s="25" t="s">
        <v>120</v>
      </c>
      <c r="F46" s="25" t="s">
        <v>73</v>
      </c>
      <c r="G46" s="27" t="s">
        <v>112</v>
      </c>
      <c r="H46" s="26" t="s">
        <v>113</v>
      </c>
      <c r="I46" s="26"/>
      <c r="J46" s="26"/>
      <c r="K46" s="32" t="str">
        <f>"152,5"</f>
        <v>152,5</v>
      </c>
      <c r="L46" s="33" t="str">
        <f>"80,2760"</f>
        <v>80,2760</v>
      </c>
      <c r="M46" s="25" t="s">
        <v>160</v>
      </c>
    </row>
    <row r="47" spans="1:13" x14ac:dyDescent="0.15">
      <c r="A47" s="22" t="s">
        <v>324</v>
      </c>
      <c r="B47" s="22" t="s">
        <v>325</v>
      </c>
      <c r="C47" s="22" t="s">
        <v>326</v>
      </c>
      <c r="D47" s="22" t="str">
        <f>"0,5311"</f>
        <v>0,5311</v>
      </c>
      <c r="E47" s="22" t="s">
        <v>198</v>
      </c>
      <c r="F47" s="22" t="s">
        <v>199</v>
      </c>
      <c r="G47" s="24" t="s">
        <v>109</v>
      </c>
      <c r="H47" s="24" t="s">
        <v>327</v>
      </c>
      <c r="I47" s="23" t="s">
        <v>112</v>
      </c>
      <c r="J47" s="23"/>
      <c r="K47" s="30" t="str">
        <f>"145,0"</f>
        <v>145,0</v>
      </c>
      <c r="L47" s="31" t="str">
        <f>"102,4226"</f>
        <v>102,4226</v>
      </c>
      <c r="M47" s="22" t="s">
        <v>202</v>
      </c>
    </row>
    <row r="49" spans="1:13" ht="14.25" x14ac:dyDescent="0.15">
      <c r="A49" s="51" t="s">
        <v>328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3" x14ac:dyDescent="0.15">
      <c r="A50" s="6" t="s">
        <v>330</v>
      </c>
      <c r="B50" s="6" t="s">
        <v>331</v>
      </c>
      <c r="C50" s="6" t="s">
        <v>332</v>
      </c>
      <c r="D50" s="6" t="str">
        <f>"0,5002"</f>
        <v>0,5002</v>
      </c>
      <c r="E50" s="6" t="s">
        <v>273</v>
      </c>
      <c r="F50" s="6" t="s">
        <v>280</v>
      </c>
      <c r="G50" s="7" t="s">
        <v>74</v>
      </c>
      <c r="H50" s="8" t="s">
        <v>77</v>
      </c>
      <c r="I50" s="7" t="s">
        <v>77</v>
      </c>
      <c r="J50" s="8"/>
      <c r="K50" s="11" t="str">
        <f>"185,0"</f>
        <v>185,0</v>
      </c>
      <c r="L50" s="12" t="str">
        <f>"92,5370"</f>
        <v>92,5370</v>
      </c>
      <c r="M50" s="6" t="s">
        <v>30</v>
      </c>
    </row>
    <row r="52" spans="1:13" ht="14.25" x14ac:dyDescent="0.15">
      <c r="E52" s="9" t="s">
        <v>31</v>
      </c>
      <c r="F52" s="34" t="s">
        <v>701</v>
      </c>
      <c r="G52" s="35" t="s">
        <v>703</v>
      </c>
    </row>
    <row r="53" spans="1:13" ht="14.25" x14ac:dyDescent="0.15">
      <c r="E53" s="9" t="s">
        <v>32</v>
      </c>
      <c r="F53" s="34" t="s">
        <v>698</v>
      </c>
      <c r="G53" s="35" t="s">
        <v>702</v>
      </c>
    </row>
    <row r="54" spans="1:13" ht="14.25" x14ac:dyDescent="0.15">
      <c r="E54" s="9" t="s">
        <v>33</v>
      </c>
      <c r="F54" s="34" t="s">
        <v>699</v>
      </c>
      <c r="G54" s="35" t="s">
        <v>702</v>
      </c>
    </row>
    <row r="55" spans="1:13" ht="14.25" x14ac:dyDescent="0.15">
      <c r="E55" s="9" t="s">
        <v>34</v>
      </c>
      <c r="F55" s="34" t="s">
        <v>705</v>
      </c>
      <c r="G55" s="35" t="s">
        <v>703</v>
      </c>
    </row>
    <row r="56" spans="1:13" ht="14.25" x14ac:dyDescent="0.15">
      <c r="E56" s="9" t="s">
        <v>34</v>
      </c>
      <c r="F56" s="34" t="s">
        <v>706</v>
      </c>
      <c r="G56" s="35" t="s">
        <v>704</v>
      </c>
    </row>
    <row r="57" spans="1:13" ht="14.25" x14ac:dyDescent="0.15">
      <c r="E57" s="9"/>
    </row>
    <row r="58" spans="1:13" ht="14.25" x14ac:dyDescent="0.15">
      <c r="E58" s="9"/>
    </row>
    <row r="60" spans="1:13" ht="18" x14ac:dyDescent="0.2">
      <c r="A60" s="13" t="s">
        <v>36</v>
      </c>
      <c r="B60" s="13"/>
    </row>
    <row r="61" spans="1:13" ht="14.25" x14ac:dyDescent="0.15">
      <c r="A61" s="14" t="s">
        <v>333</v>
      </c>
      <c r="B61" s="14"/>
    </row>
    <row r="62" spans="1:13" ht="13.5" x14ac:dyDescent="0.15">
      <c r="A62" s="16"/>
      <c r="B62" s="17" t="s">
        <v>175</v>
      </c>
    </row>
    <row r="63" spans="1:13" ht="13.5" x14ac:dyDescent="0.15">
      <c r="A63" s="18" t="s">
        <v>39</v>
      </c>
      <c r="B63" s="18" t="s">
        <v>40</v>
      </c>
      <c r="C63" s="18" t="s">
        <v>41</v>
      </c>
      <c r="D63" s="18" t="s">
        <v>161</v>
      </c>
      <c r="E63" s="18" t="s">
        <v>43</v>
      </c>
    </row>
    <row r="64" spans="1:13" x14ac:dyDescent="0.15">
      <c r="A64" s="15" t="s">
        <v>187</v>
      </c>
      <c r="B64" s="4" t="s">
        <v>175</v>
      </c>
      <c r="C64" s="4" t="s">
        <v>334</v>
      </c>
      <c r="D64" s="4" t="s">
        <v>191</v>
      </c>
      <c r="E64" s="10" t="s">
        <v>335</v>
      </c>
    </row>
    <row r="65" spans="1:5" x14ac:dyDescent="0.15">
      <c r="A65" s="15" t="s">
        <v>194</v>
      </c>
      <c r="B65" s="4" t="s">
        <v>175</v>
      </c>
      <c r="C65" s="4" t="s">
        <v>336</v>
      </c>
      <c r="D65" s="4" t="s">
        <v>200</v>
      </c>
      <c r="E65" s="10" t="s">
        <v>337</v>
      </c>
    </row>
    <row r="68" spans="1:5" ht="14.25" x14ac:dyDescent="0.15">
      <c r="A68" s="14" t="s">
        <v>37</v>
      </c>
      <c r="B68" s="14"/>
    </row>
    <row r="69" spans="1:5" ht="13.5" x14ac:dyDescent="0.15">
      <c r="A69" s="16"/>
      <c r="B69" s="17" t="s">
        <v>79</v>
      </c>
    </row>
    <row r="70" spans="1:5" ht="13.5" x14ac:dyDescent="0.15">
      <c r="A70" s="18" t="s">
        <v>39</v>
      </c>
      <c r="B70" s="18" t="s">
        <v>40</v>
      </c>
      <c r="C70" s="18" t="s">
        <v>41</v>
      </c>
      <c r="D70" s="18" t="s">
        <v>161</v>
      </c>
      <c r="E70" s="18" t="s">
        <v>43</v>
      </c>
    </row>
    <row r="71" spans="1:5" x14ac:dyDescent="0.15">
      <c r="A71" s="15" t="s">
        <v>306</v>
      </c>
      <c r="B71" s="4" t="s">
        <v>338</v>
      </c>
      <c r="C71" s="4" t="s">
        <v>163</v>
      </c>
      <c r="D71" s="4" t="s">
        <v>56</v>
      </c>
      <c r="E71" s="10" t="s">
        <v>339</v>
      </c>
    </row>
    <row r="72" spans="1:5" x14ac:dyDescent="0.15">
      <c r="A72" s="15" t="s">
        <v>291</v>
      </c>
      <c r="B72" s="4" t="s">
        <v>338</v>
      </c>
      <c r="C72" s="4" t="s">
        <v>81</v>
      </c>
      <c r="D72" s="4" t="s">
        <v>295</v>
      </c>
      <c r="E72" s="10" t="s">
        <v>340</v>
      </c>
    </row>
    <row r="73" spans="1:5" x14ac:dyDescent="0.15">
      <c r="A73" s="15" t="s">
        <v>223</v>
      </c>
      <c r="B73" s="4" t="s">
        <v>80</v>
      </c>
      <c r="C73" s="4" t="s">
        <v>64</v>
      </c>
      <c r="D73" s="4" t="s">
        <v>58</v>
      </c>
      <c r="E73" s="10" t="s">
        <v>341</v>
      </c>
    </row>
    <row r="74" spans="1:5" x14ac:dyDescent="0.15">
      <c r="A74" s="15" t="s">
        <v>203</v>
      </c>
      <c r="B74" s="4" t="s">
        <v>342</v>
      </c>
      <c r="C74" s="4" t="s">
        <v>334</v>
      </c>
      <c r="D74" s="4" t="s">
        <v>209</v>
      </c>
      <c r="E74" s="10" t="s">
        <v>343</v>
      </c>
    </row>
    <row r="75" spans="1:5" x14ac:dyDescent="0.15">
      <c r="A75" s="15" t="s">
        <v>245</v>
      </c>
      <c r="B75" s="4" t="s">
        <v>80</v>
      </c>
      <c r="C75" s="4" t="s">
        <v>127</v>
      </c>
      <c r="D75" s="4" t="s">
        <v>249</v>
      </c>
      <c r="E75" s="10" t="s">
        <v>344</v>
      </c>
    </row>
    <row r="76" spans="1:5" x14ac:dyDescent="0.15">
      <c r="A76" s="15" t="s">
        <v>283</v>
      </c>
      <c r="B76" s="4" t="s">
        <v>80</v>
      </c>
      <c r="C76" s="4" t="s">
        <v>81</v>
      </c>
      <c r="D76" s="4" t="s">
        <v>289</v>
      </c>
      <c r="E76" s="10" t="s">
        <v>345</v>
      </c>
    </row>
    <row r="77" spans="1:5" x14ac:dyDescent="0.15">
      <c r="A77" s="15" t="s">
        <v>211</v>
      </c>
      <c r="B77" s="4" t="s">
        <v>80</v>
      </c>
      <c r="C77" s="4" t="s">
        <v>346</v>
      </c>
      <c r="D77" s="4" t="s">
        <v>200</v>
      </c>
      <c r="E77" s="10" t="s">
        <v>347</v>
      </c>
    </row>
    <row r="79" spans="1:5" ht="13.5" x14ac:dyDescent="0.15">
      <c r="A79" s="16"/>
      <c r="B79" s="17" t="s">
        <v>348</v>
      </c>
    </row>
    <row r="80" spans="1:5" ht="13.5" x14ac:dyDescent="0.15">
      <c r="A80" s="18" t="s">
        <v>39</v>
      </c>
      <c r="B80" s="18" t="s">
        <v>40</v>
      </c>
      <c r="C80" s="18" t="s">
        <v>41</v>
      </c>
      <c r="D80" s="18" t="s">
        <v>161</v>
      </c>
      <c r="E80" s="18" t="s">
        <v>43</v>
      </c>
    </row>
    <row r="81" spans="1:5" x14ac:dyDescent="0.15">
      <c r="A81" s="15" t="s">
        <v>250</v>
      </c>
      <c r="B81" s="4" t="s">
        <v>349</v>
      </c>
      <c r="C81" s="4" t="s">
        <v>127</v>
      </c>
      <c r="D81" s="4" t="s">
        <v>29</v>
      </c>
      <c r="E81" s="10" t="s">
        <v>350</v>
      </c>
    </row>
    <row r="83" spans="1:5" ht="13.5" x14ac:dyDescent="0.15">
      <c r="A83" s="16"/>
      <c r="B83" s="17" t="s">
        <v>175</v>
      </c>
    </row>
    <row r="84" spans="1:5" ht="13.5" x14ac:dyDescent="0.15">
      <c r="A84" s="18" t="s">
        <v>39</v>
      </c>
      <c r="B84" s="18" t="s">
        <v>40</v>
      </c>
      <c r="C84" s="18" t="s">
        <v>41</v>
      </c>
      <c r="D84" s="18" t="s">
        <v>161</v>
      </c>
      <c r="E84" s="18" t="s">
        <v>43</v>
      </c>
    </row>
    <row r="85" spans="1:5" x14ac:dyDescent="0.15">
      <c r="A85" s="15" t="s">
        <v>297</v>
      </c>
      <c r="B85" s="4" t="s">
        <v>175</v>
      </c>
      <c r="C85" s="4" t="s">
        <v>351</v>
      </c>
      <c r="D85" s="4" t="s">
        <v>301</v>
      </c>
      <c r="E85" s="10" t="s">
        <v>352</v>
      </c>
    </row>
    <row r="86" spans="1:5" x14ac:dyDescent="0.15">
      <c r="A86" s="15" t="s">
        <v>227</v>
      </c>
      <c r="B86" s="4" t="s">
        <v>175</v>
      </c>
      <c r="C86" s="4" t="s">
        <v>64</v>
      </c>
      <c r="D86" s="4" t="s">
        <v>113</v>
      </c>
      <c r="E86" s="10" t="s">
        <v>353</v>
      </c>
    </row>
    <row r="87" spans="1:5" x14ac:dyDescent="0.15">
      <c r="A87" s="15" t="s">
        <v>310</v>
      </c>
      <c r="B87" s="4" t="s">
        <v>175</v>
      </c>
      <c r="C87" s="4" t="s">
        <v>163</v>
      </c>
      <c r="D87" s="4" t="s">
        <v>60</v>
      </c>
      <c r="E87" s="10" t="s">
        <v>354</v>
      </c>
    </row>
    <row r="88" spans="1:5" x14ac:dyDescent="0.15">
      <c r="A88" s="15" t="s">
        <v>255</v>
      </c>
      <c r="B88" s="4" t="s">
        <v>175</v>
      </c>
      <c r="C88" s="4" t="s">
        <v>127</v>
      </c>
      <c r="D88" s="4" t="s">
        <v>112</v>
      </c>
      <c r="E88" s="10" t="s">
        <v>355</v>
      </c>
    </row>
    <row r="89" spans="1:5" x14ac:dyDescent="0.15">
      <c r="A89" s="15" t="s">
        <v>302</v>
      </c>
      <c r="B89" s="4" t="s">
        <v>175</v>
      </c>
      <c r="C89" s="4" t="s">
        <v>351</v>
      </c>
      <c r="D89" s="4" t="s">
        <v>57</v>
      </c>
      <c r="E89" s="10" t="s">
        <v>356</v>
      </c>
    </row>
    <row r="90" spans="1:5" x14ac:dyDescent="0.15">
      <c r="A90" s="15" t="s">
        <v>217</v>
      </c>
      <c r="B90" s="4" t="s">
        <v>175</v>
      </c>
      <c r="C90" s="4" t="s">
        <v>346</v>
      </c>
      <c r="D90" s="4" t="s">
        <v>221</v>
      </c>
      <c r="E90" s="10" t="s">
        <v>357</v>
      </c>
    </row>
    <row r="91" spans="1:5" x14ac:dyDescent="0.15">
      <c r="A91" s="15" t="s">
        <v>329</v>
      </c>
      <c r="B91" s="4" t="s">
        <v>175</v>
      </c>
      <c r="C91" s="4" t="s">
        <v>358</v>
      </c>
      <c r="D91" s="4" t="s">
        <v>77</v>
      </c>
      <c r="E91" s="10" t="s">
        <v>359</v>
      </c>
    </row>
    <row r="92" spans="1:5" x14ac:dyDescent="0.15">
      <c r="A92" s="15" t="s">
        <v>232</v>
      </c>
      <c r="B92" s="4" t="s">
        <v>175</v>
      </c>
      <c r="C92" s="4" t="s">
        <v>64</v>
      </c>
      <c r="D92" s="4" t="s">
        <v>236</v>
      </c>
      <c r="E92" s="10" t="s">
        <v>360</v>
      </c>
    </row>
    <row r="93" spans="1:5" x14ac:dyDescent="0.15">
      <c r="A93" s="15" t="s">
        <v>261</v>
      </c>
      <c r="B93" s="4" t="s">
        <v>175</v>
      </c>
      <c r="C93" s="4" t="s">
        <v>127</v>
      </c>
      <c r="D93" s="4" t="s">
        <v>109</v>
      </c>
      <c r="E93" s="10" t="s">
        <v>361</v>
      </c>
    </row>
    <row r="94" spans="1:5" x14ac:dyDescent="0.15">
      <c r="A94" s="15" t="s">
        <v>314</v>
      </c>
      <c r="B94" s="4" t="s">
        <v>175</v>
      </c>
      <c r="C94" s="4" t="s">
        <v>163</v>
      </c>
      <c r="D94" s="4" t="s">
        <v>55</v>
      </c>
      <c r="E94" s="10" t="s">
        <v>362</v>
      </c>
    </row>
    <row r="95" spans="1:5" x14ac:dyDescent="0.15">
      <c r="A95" s="15" t="s">
        <v>237</v>
      </c>
      <c r="B95" s="4" t="s">
        <v>175</v>
      </c>
      <c r="C95" s="4" t="s">
        <v>64</v>
      </c>
      <c r="D95" s="4" t="s">
        <v>102</v>
      </c>
      <c r="E95" s="10" t="s">
        <v>363</v>
      </c>
    </row>
    <row r="96" spans="1:5" x14ac:dyDescent="0.15">
      <c r="A96" s="15" t="s">
        <v>241</v>
      </c>
      <c r="B96" s="4" t="s">
        <v>175</v>
      </c>
      <c r="C96" s="4" t="s">
        <v>64</v>
      </c>
      <c r="D96" s="4" t="s">
        <v>102</v>
      </c>
      <c r="E96" s="10" t="s">
        <v>364</v>
      </c>
    </row>
    <row r="97" spans="1:5" x14ac:dyDescent="0.15">
      <c r="A97" s="15" t="s">
        <v>319</v>
      </c>
      <c r="B97" s="4" t="s">
        <v>175</v>
      </c>
      <c r="C97" s="4" t="s">
        <v>163</v>
      </c>
      <c r="D97" s="4" t="s">
        <v>112</v>
      </c>
      <c r="E97" s="10" t="s">
        <v>365</v>
      </c>
    </row>
    <row r="98" spans="1:5" x14ac:dyDescent="0.15">
      <c r="A98" s="15" t="s">
        <v>266</v>
      </c>
      <c r="B98" s="4" t="s">
        <v>175</v>
      </c>
      <c r="C98" s="4" t="s">
        <v>127</v>
      </c>
      <c r="D98" s="4" t="s">
        <v>102</v>
      </c>
      <c r="E98" s="10" t="s">
        <v>366</v>
      </c>
    </row>
    <row r="99" spans="1:5" x14ac:dyDescent="0.15">
      <c r="A99" s="15" t="s">
        <v>269</v>
      </c>
      <c r="B99" s="4" t="s">
        <v>175</v>
      </c>
      <c r="C99" s="4" t="s">
        <v>127</v>
      </c>
      <c r="D99" s="4" t="s">
        <v>28</v>
      </c>
      <c r="E99" s="10" t="s">
        <v>367</v>
      </c>
    </row>
    <row r="101" spans="1:5" ht="13.5" x14ac:dyDescent="0.15">
      <c r="A101" s="16"/>
      <c r="B101" s="17" t="s">
        <v>38</v>
      </c>
    </row>
    <row r="102" spans="1:5" ht="13.5" x14ac:dyDescent="0.15">
      <c r="A102" s="18" t="s">
        <v>39</v>
      </c>
      <c r="B102" s="18" t="s">
        <v>40</v>
      </c>
      <c r="C102" s="18" t="s">
        <v>41</v>
      </c>
      <c r="D102" s="18" t="s">
        <v>161</v>
      </c>
      <c r="E102" s="18" t="s">
        <v>43</v>
      </c>
    </row>
    <row r="103" spans="1:5" x14ac:dyDescent="0.15">
      <c r="A103" s="15" t="s">
        <v>275</v>
      </c>
      <c r="B103" s="4" t="s">
        <v>368</v>
      </c>
      <c r="C103" s="4" t="s">
        <v>127</v>
      </c>
      <c r="D103" s="4" t="s">
        <v>281</v>
      </c>
      <c r="E103" s="10" t="s">
        <v>369</v>
      </c>
    </row>
    <row r="104" spans="1:5" x14ac:dyDescent="0.15">
      <c r="A104" s="15" t="s">
        <v>323</v>
      </c>
      <c r="B104" s="4" t="s">
        <v>44</v>
      </c>
      <c r="C104" s="4" t="s">
        <v>163</v>
      </c>
      <c r="D104" s="4" t="s">
        <v>327</v>
      </c>
      <c r="E104" s="10" t="s">
        <v>370</v>
      </c>
    </row>
  </sheetData>
  <mergeCells count="21">
    <mergeCell ref="A38:J38"/>
    <mergeCell ref="A42:J42"/>
    <mergeCell ref="A49:J49"/>
    <mergeCell ref="A8:J8"/>
    <mergeCell ref="A11:J11"/>
    <mergeCell ref="A14:J14"/>
    <mergeCell ref="A18:J18"/>
    <mergeCell ref="A25:J25"/>
    <mergeCell ref="A34:J3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8" width="5.52734375" style="3" customWidth="1"/>
    <col min="9" max="9" width="2.1562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177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179</v>
      </c>
      <c r="B6" s="6" t="s">
        <v>180</v>
      </c>
      <c r="C6" s="6" t="s">
        <v>171</v>
      </c>
      <c r="D6" s="6" t="str">
        <f>"0,5305"</f>
        <v>0,5305</v>
      </c>
      <c r="E6" s="6" t="s">
        <v>181</v>
      </c>
      <c r="F6" s="6" t="s">
        <v>73</v>
      </c>
      <c r="G6" s="7" t="s">
        <v>173</v>
      </c>
      <c r="H6" s="7" t="s">
        <v>182</v>
      </c>
      <c r="I6" s="8"/>
      <c r="J6" s="8"/>
      <c r="K6" s="11" t="str">
        <f>"212,5"</f>
        <v>212,5</v>
      </c>
      <c r="L6" s="12" t="str">
        <f>"112,7312"</f>
        <v>112,7312</v>
      </c>
      <c r="M6" s="6" t="s">
        <v>30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178</v>
      </c>
      <c r="B20" s="4" t="s">
        <v>175</v>
      </c>
      <c r="C20" s="4" t="s">
        <v>163</v>
      </c>
      <c r="D20" s="4" t="s">
        <v>182</v>
      </c>
      <c r="E20" s="10" t="s">
        <v>183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181</v>
      </c>
      <c r="B27" s="4" t="s">
        <v>88</v>
      </c>
      <c r="C27" s="4" t="s">
        <v>184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8359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167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169</v>
      </c>
      <c r="B6" s="6" t="s">
        <v>170</v>
      </c>
      <c r="C6" s="6" t="s">
        <v>171</v>
      </c>
      <c r="D6" s="6" t="str">
        <f>"0,5305"</f>
        <v>0,5305</v>
      </c>
      <c r="E6" s="6" t="s">
        <v>21</v>
      </c>
      <c r="F6" s="6" t="s">
        <v>172</v>
      </c>
      <c r="G6" s="7" t="s">
        <v>75</v>
      </c>
      <c r="H6" s="7" t="s">
        <v>173</v>
      </c>
      <c r="I6" s="8" t="s">
        <v>174</v>
      </c>
      <c r="J6" s="8"/>
      <c r="K6" s="11" t="str">
        <f>"200,0"</f>
        <v>200,0</v>
      </c>
      <c r="L6" s="12" t="str">
        <f>"106,1000"</f>
        <v>106,1000</v>
      </c>
      <c r="M6" s="6" t="s">
        <v>30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700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168</v>
      </c>
      <c r="B20" s="4" t="s">
        <v>175</v>
      </c>
      <c r="C20" s="4" t="s">
        <v>163</v>
      </c>
      <c r="D20" s="4" t="s">
        <v>173</v>
      </c>
      <c r="E20" s="10" t="s">
        <v>176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8.62890625" style="2" bestFit="1" customWidth="1"/>
    <col min="13" max="13" width="28.453125" style="4" bestFit="1" customWidth="1"/>
    <col min="14" max="16384" width="9.16796875" style="3"/>
  </cols>
  <sheetData>
    <row r="1" spans="1:13" s="2" customFormat="1" ht="29.1" customHeight="1" x14ac:dyDescent="0.15">
      <c r="A1" s="38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14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154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156</v>
      </c>
      <c r="B6" s="6" t="s">
        <v>157</v>
      </c>
      <c r="C6" s="6" t="s">
        <v>158</v>
      </c>
      <c r="D6" s="6" t="str">
        <f>"0,5279"</f>
        <v>0,5279</v>
      </c>
      <c r="E6" s="6" t="s">
        <v>120</v>
      </c>
      <c r="F6" s="6" t="s">
        <v>73</v>
      </c>
      <c r="G6" s="7" t="s">
        <v>55</v>
      </c>
      <c r="H6" s="7" t="s">
        <v>74</v>
      </c>
      <c r="I6" s="7" t="s">
        <v>159</v>
      </c>
      <c r="J6" s="8"/>
      <c r="K6" s="11" t="str">
        <f>"177,5"</f>
        <v>177,5</v>
      </c>
      <c r="L6" s="12" t="str">
        <f>"102,3229"</f>
        <v>102,3229</v>
      </c>
      <c r="M6" s="6" t="s">
        <v>160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700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155</v>
      </c>
      <c r="B20" s="4" t="s">
        <v>162</v>
      </c>
      <c r="C20" s="4" t="s">
        <v>163</v>
      </c>
      <c r="D20" s="4" t="s">
        <v>159</v>
      </c>
      <c r="E20" s="10" t="s">
        <v>164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120</v>
      </c>
      <c r="B27" s="4" t="s">
        <v>88</v>
      </c>
      <c r="C27" s="4" t="s">
        <v>165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16"/>
  <sheetViews>
    <sheetView topLeftCell="A2"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9.3046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3" width="5.52734375" style="3" customWidth="1"/>
    <col min="14" max="14" width="4.8515625" style="3" customWidth="1"/>
    <col min="15" max="15" width="5.52734375" style="3" customWidth="1"/>
    <col min="16" max="17" width="2.15625" style="3" customWidth="1"/>
    <col min="18" max="18" width="4.8515625" style="3" customWidth="1"/>
    <col min="19" max="19" width="7.8203125" style="10" bestFit="1" customWidth="1"/>
    <col min="20" max="20" width="6.60546875" style="2" bestFit="1" customWidth="1"/>
    <col min="21" max="21" width="8.8984375" style="4" bestFit="1" customWidth="1"/>
    <col min="22" max="16384" width="9.16796875" style="3"/>
  </cols>
  <sheetData>
    <row r="1" spans="1:21" s="2" customFormat="1" ht="29.1" customHeight="1" x14ac:dyDescent="0.15">
      <c r="A1" s="38" t="s">
        <v>145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146</v>
      </c>
      <c r="B6" s="6" t="s">
        <v>147</v>
      </c>
      <c r="C6" s="6" t="s">
        <v>148</v>
      </c>
      <c r="D6" s="6" t="str">
        <f>"0,5865"</f>
        <v>0,5865</v>
      </c>
      <c r="E6" s="6" t="s">
        <v>149</v>
      </c>
      <c r="F6" s="6" t="s">
        <v>73</v>
      </c>
      <c r="G6" s="7" t="s">
        <v>150</v>
      </c>
      <c r="H6" s="8" t="s">
        <v>151</v>
      </c>
      <c r="I6" s="7" t="s">
        <v>74</v>
      </c>
      <c r="J6" s="8"/>
      <c r="K6" s="8" t="s">
        <v>152</v>
      </c>
      <c r="L6" s="8" t="s">
        <v>152</v>
      </c>
      <c r="M6" s="8" t="s">
        <v>152</v>
      </c>
      <c r="N6" s="8"/>
      <c r="O6" s="8" t="s">
        <v>77</v>
      </c>
      <c r="P6" s="8"/>
      <c r="Q6" s="8"/>
      <c r="R6" s="8"/>
      <c r="S6" s="11" t="str">
        <f>"0.00"</f>
        <v>0.00</v>
      </c>
      <c r="T6" s="12" t="str">
        <f>"0,0000"</f>
        <v>0,0000</v>
      </c>
      <c r="U6" s="6" t="s">
        <v>30</v>
      </c>
    </row>
    <row r="8" spans="1:21" ht="14.25" x14ac:dyDescent="0.15">
      <c r="E8" s="9" t="s">
        <v>31</v>
      </c>
      <c r="F8" s="34" t="s">
        <v>701</v>
      </c>
      <c r="G8" s="35" t="s">
        <v>703</v>
      </c>
    </row>
    <row r="9" spans="1:21" ht="14.25" x14ac:dyDescent="0.15">
      <c r="E9" s="9" t="s">
        <v>32</v>
      </c>
      <c r="F9" s="34" t="s">
        <v>698</v>
      </c>
      <c r="G9" s="35" t="s">
        <v>702</v>
      </c>
    </row>
    <row r="10" spans="1:21" ht="14.25" x14ac:dyDescent="0.15">
      <c r="E10" s="9" t="s">
        <v>33</v>
      </c>
      <c r="F10" s="34" t="s">
        <v>699</v>
      </c>
      <c r="G10" s="35" t="s">
        <v>702</v>
      </c>
    </row>
    <row r="11" spans="1:21" ht="14.25" x14ac:dyDescent="0.15">
      <c r="E11" s="9" t="s">
        <v>34</v>
      </c>
      <c r="F11" s="34" t="s">
        <v>705</v>
      </c>
      <c r="G11" s="35" t="s">
        <v>703</v>
      </c>
    </row>
    <row r="12" spans="1:21" ht="14.25" x14ac:dyDescent="0.15">
      <c r="E12" s="9" t="s">
        <v>34</v>
      </c>
      <c r="F12" s="34" t="s">
        <v>706</v>
      </c>
      <c r="G12" s="35" t="s">
        <v>704</v>
      </c>
    </row>
    <row r="13" spans="1:21" ht="14.25" x14ac:dyDescent="0.15">
      <c r="E13" s="9"/>
    </row>
    <row r="14" spans="1:21" ht="14.25" x14ac:dyDescent="0.15">
      <c r="E14" s="9"/>
    </row>
    <row r="16" spans="1:21" ht="18" x14ac:dyDescent="0.2">
      <c r="A16" s="13" t="s">
        <v>36</v>
      </c>
      <c r="B16" s="13"/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9.3046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2" width="4.58203125" style="3" customWidth="1"/>
    <col min="13" max="13" width="2.15625" style="3" customWidth="1"/>
    <col min="14" max="14" width="4.8515625" style="3" customWidth="1"/>
    <col min="15" max="17" width="5.52734375" style="3" customWidth="1"/>
    <col min="18" max="18" width="4.8515625" style="3" customWidth="1"/>
    <col min="19" max="19" width="7.8203125" style="10" bestFit="1" customWidth="1"/>
    <col min="20" max="20" width="8.62890625" style="2" bestFit="1" customWidth="1"/>
    <col min="21" max="21" width="19.01171875" style="4" bestFit="1" customWidth="1"/>
    <col min="22" max="16384" width="9.16796875" style="3"/>
  </cols>
  <sheetData>
    <row r="1" spans="1:21" s="2" customFormat="1" ht="29.1" customHeight="1" x14ac:dyDescent="0.15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135</v>
      </c>
      <c r="B6" s="6" t="s">
        <v>136</v>
      </c>
      <c r="C6" s="6" t="s">
        <v>137</v>
      </c>
      <c r="D6" s="6" t="str">
        <f>"0,5853"</f>
        <v>0,5853</v>
      </c>
      <c r="E6" s="6" t="s">
        <v>21</v>
      </c>
      <c r="F6" s="6" t="s">
        <v>73</v>
      </c>
      <c r="G6" s="7" t="s">
        <v>138</v>
      </c>
      <c r="H6" s="8" t="s">
        <v>139</v>
      </c>
      <c r="I6" s="8" t="s">
        <v>139</v>
      </c>
      <c r="J6" s="8"/>
      <c r="K6" s="7" t="s">
        <v>58</v>
      </c>
      <c r="L6" s="8" t="s">
        <v>27</v>
      </c>
      <c r="M6" s="8"/>
      <c r="N6" s="8"/>
      <c r="O6" s="7" t="s">
        <v>140</v>
      </c>
      <c r="P6" s="7" t="s">
        <v>61</v>
      </c>
      <c r="Q6" s="8" t="s">
        <v>141</v>
      </c>
      <c r="R6" s="8"/>
      <c r="S6" s="11" t="str">
        <f>"455,0"</f>
        <v>455,0</v>
      </c>
      <c r="T6" s="12" t="str">
        <f>"394,1410"</f>
        <v>394,1410</v>
      </c>
      <c r="U6" s="6" t="s">
        <v>142</v>
      </c>
    </row>
    <row r="8" spans="1:21" ht="14.25" x14ac:dyDescent="0.15">
      <c r="E8" s="9" t="s">
        <v>31</v>
      </c>
      <c r="F8" s="34" t="s">
        <v>701</v>
      </c>
      <c r="G8" s="35" t="s">
        <v>703</v>
      </c>
    </row>
    <row r="9" spans="1:21" ht="14.25" x14ac:dyDescent="0.15">
      <c r="E9" s="9" t="s">
        <v>32</v>
      </c>
      <c r="F9" s="34" t="s">
        <v>698</v>
      </c>
      <c r="G9" s="35" t="s">
        <v>702</v>
      </c>
    </row>
    <row r="10" spans="1:21" ht="14.25" x14ac:dyDescent="0.15">
      <c r="E10" s="9" t="s">
        <v>33</v>
      </c>
      <c r="F10" s="34" t="s">
        <v>699</v>
      </c>
      <c r="G10" s="35" t="s">
        <v>702</v>
      </c>
    </row>
    <row r="11" spans="1:21" ht="14.25" x14ac:dyDescent="0.15">
      <c r="E11" s="9" t="s">
        <v>34</v>
      </c>
      <c r="F11" s="34" t="s">
        <v>705</v>
      </c>
      <c r="G11" s="35" t="s">
        <v>703</v>
      </c>
    </row>
    <row r="12" spans="1:21" ht="14.25" x14ac:dyDescent="0.15">
      <c r="E12" s="9" t="s">
        <v>34</v>
      </c>
      <c r="F12" s="34" t="s">
        <v>706</v>
      </c>
      <c r="G12" s="35" t="s">
        <v>704</v>
      </c>
    </row>
    <row r="13" spans="1:21" ht="14.25" x14ac:dyDescent="0.15">
      <c r="E13" s="9"/>
    </row>
    <row r="14" spans="1:21" ht="14.25" x14ac:dyDescent="0.15">
      <c r="E14" s="9"/>
    </row>
    <row r="16" spans="1:2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15">
      <c r="A20" s="15" t="s">
        <v>134</v>
      </c>
      <c r="B20" s="4" t="s">
        <v>63</v>
      </c>
      <c r="C20" s="4" t="s">
        <v>45</v>
      </c>
      <c r="D20" s="4" t="s">
        <v>143</v>
      </c>
      <c r="E20" s="10" t="s">
        <v>144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workbookViewId="0">
      <selection activeCell="F14" sqref="F14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7.93359375" style="4" bestFit="1" customWidth="1"/>
    <col min="4" max="4" width="11.8671875" style="4" bestFit="1" customWidth="1"/>
    <col min="5" max="5" width="22.65234375" style="4" bestFit="1" customWidth="1"/>
    <col min="6" max="6" width="30.070312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7.55078125" style="2" bestFit="1" customWidth="1"/>
    <col min="11" max="11" width="17.2578125" style="4" bestFit="1" customWidth="1"/>
    <col min="12" max="16384" width="9.16796875" style="3"/>
  </cols>
  <sheetData>
    <row r="1" spans="1:11" s="2" customFormat="1" ht="29.1" customHeight="1" x14ac:dyDescent="0.15">
      <c r="A1" s="38" t="s">
        <v>667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15">
      <c r="A6" s="19" t="s">
        <v>624</v>
      </c>
      <c r="B6" s="19" t="s">
        <v>625</v>
      </c>
      <c r="C6" s="19" t="s">
        <v>626</v>
      </c>
      <c r="D6" s="19" t="str">
        <f>"1,0000"</f>
        <v>1,0000</v>
      </c>
      <c r="E6" s="19" t="s">
        <v>273</v>
      </c>
      <c r="F6" s="19" t="s">
        <v>73</v>
      </c>
      <c r="G6" s="21" t="s">
        <v>215</v>
      </c>
      <c r="H6" s="21" t="s">
        <v>668</v>
      </c>
      <c r="I6" s="28" t="str">
        <f>"1375,0"</f>
        <v>1375,0</v>
      </c>
      <c r="J6" s="29" t="str">
        <f>"17,2521"</f>
        <v>17,2521</v>
      </c>
      <c r="K6" s="19" t="s">
        <v>274</v>
      </c>
    </row>
    <row r="7" spans="1:11" x14ac:dyDescent="0.15">
      <c r="A7" s="25" t="s">
        <v>611</v>
      </c>
      <c r="B7" s="25" t="s">
        <v>612</v>
      </c>
      <c r="C7" s="25" t="s">
        <v>613</v>
      </c>
      <c r="D7" s="25" t="str">
        <f>"1,0000"</f>
        <v>1,0000</v>
      </c>
      <c r="E7" s="25" t="s">
        <v>181</v>
      </c>
      <c r="F7" s="25" t="s">
        <v>417</v>
      </c>
      <c r="G7" s="27" t="s">
        <v>215</v>
      </c>
      <c r="H7" s="27" t="s">
        <v>669</v>
      </c>
      <c r="I7" s="32" t="str">
        <f>"2145,0"</f>
        <v>2145,0</v>
      </c>
      <c r="J7" s="33" t="str">
        <f>"32,3042"</f>
        <v>32,3042</v>
      </c>
      <c r="K7" s="25" t="s">
        <v>614</v>
      </c>
    </row>
    <row r="8" spans="1:11" x14ac:dyDescent="0.15">
      <c r="A8" s="22" t="s">
        <v>276</v>
      </c>
      <c r="B8" s="22" t="s">
        <v>277</v>
      </c>
      <c r="C8" s="22" t="s">
        <v>278</v>
      </c>
      <c r="D8" s="22" t="str">
        <f>"1,0000"</f>
        <v>1,0000</v>
      </c>
      <c r="E8" s="22" t="s">
        <v>279</v>
      </c>
      <c r="F8" s="22" t="s">
        <v>280</v>
      </c>
      <c r="G8" s="24" t="s">
        <v>215</v>
      </c>
      <c r="H8" s="24" t="s">
        <v>656</v>
      </c>
      <c r="I8" s="30" t="str">
        <f>"2035,0"</f>
        <v>2035,0</v>
      </c>
      <c r="J8" s="31" t="str">
        <f>"24,9082"</f>
        <v>24,9082</v>
      </c>
      <c r="K8" s="22" t="s">
        <v>282</v>
      </c>
    </row>
    <row r="10" spans="1:11" ht="14.25" x14ac:dyDescent="0.15">
      <c r="E10" s="9" t="s">
        <v>31</v>
      </c>
      <c r="F10" s="34" t="s">
        <v>701</v>
      </c>
      <c r="G10" s="35" t="s">
        <v>703</v>
      </c>
    </row>
    <row r="11" spans="1:11" ht="14.25" x14ac:dyDescent="0.15">
      <c r="E11" s="9" t="s">
        <v>32</v>
      </c>
      <c r="F11" s="34" t="s">
        <v>698</v>
      </c>
      <c r="G11" s="35" t="s">
        <v>702</v>
      </c>
    </row>
    <row r="12" spans="1:11" ht="14.25" x14ac:dyDescent="0.15">
      <c r="E12" s="9" t="s">
        <v>33</v>
      </c>
      <c r="F12" s="34" t="s">
        <v>699</v>
      </c>
      <c r="G12" s="35" t="s">
        <v>702</v>
      </c>
    </row>
    <row r="13" spans="1:11" ht="14.25" x14ac:dyDescent="0.15">
      <c r="E13" s="9" t="s">
        <v>34</v>
      </c>
      <c r="F13" s="34" t="s">
        <v>705</v>
      </c>
      <c r="G13" s="35" t="s">
        <v>703</v>
      </c>
    </row>
    <row r="14" spans="1:11" ht="14.25" x14ac:dyDescent="0.15">
      <c r="E14" s="9" t="s">
        <v>34</v>
      </c>
      <c r="F14" s="34" t="s">
        <v>706</v>
      </c>
      <c r="G14" s="35" t="s">
        <v>704</v>
      </c>
    </row>
    <row r="15" spans="1:11" ht="14.25" x14ac:dyDescent="0.15">
      <c r="E15" s="9"/>
    </row>
    <row r="16" spans="1:11" ht="14.25" x14ac:dyDescent="0.15">
      <c r="E16" s="9"/>
    </row>
    <row r="18" spans="1:5" ht="18" x14ac:dyDescent="0.2">
      <c r="A18" s="13" t="s">
        <v>36</v>
      </c>
      <c r="B18" s="13"/>
    </row>
    <row r="19" spans="1:5" ht="14.25" x14ac:dyDescent="0.15">
      <c r="A19" s="14" t="s">
        <v>37</v>
      </c>
      <c r="B19" s="14"/>
    </row>
    <row r="20" spans="1:5" ht="13.5" x14ac:dyDescent="0.15">
      <c r="A20" s="16"/>
      <c r="B20" s="17" t="s">
        <v>79</v>
      </c>
    </row>
    <row r="21" spans="1:5" ht="13.5" x14ac:dyDescent="0.15">
      <c r="A21" s="18" t="s">
        <v>39</v>
      </c>
      <c r="B21" s="18" t="s">
        <v>40</v>
      </c>
      <c r="C21" s="18" t="s">
        <v>41</v>
      </c>
      <c r="D21" s="18" t="s">
        <v>161</v>
      </c>
      <c r="E21" s="18" t="s">
        <v>650</v>
      </c>
    </row>
    <row r="22" spans="1:5" x14ac:dyDescent="0.15">
      <c r="A22" s="15" t="s">
        <v>623</v>
      </c>
      <c r="B22" s="4" t="s">
        <v>338</v>
      </c>
      <c r="C22" s="4" t="s">
        <v>651</v>
      </c>
      <c r="D22" s="4" t="s">
        <v>670</v>
      </c>
      <c r="E22" s="10" t="s">
        <v>671</v>
      </c>
    </row>
    <row r="24" spans="1:5" ht="13.5" x14ac:dyDescent="0.15">
      <c r="A24" s="16"/>
      <c r="B24" s="17" t="s">
        <v>175</v>
      </c>
    </row>
    <row r="25" spans="1:5" ht="13.5" x14ac:dyDescent="0.15">
      <c r="A25" s="18" t="s">
        <v>39</v>
      </c>
      <c r="B25" s="18" t="s">
        <v>40</v>
      </c>
      <c r="C25" s="18" t="s">
        <v>41</v>
      </c>
      <c r="D25" s="18" t="s">
        <v>161</v>
      </c>
      <c r="E25" s="18" t="s">
        <v>650</v>
      </c>
    </row>
    <row r="26" spans="1:5" x14ac:dyDescent="0.15">
      <c r="A26" s="15" t="s">
        <v>610</v>
      </c>
      <c r="B26" s="4" t="s">
        <v>175</v>
      </c>
      <c r="C26" s="4" t="s">
        <v>651</v>
      </c>
      <c r="D26" s="4" t="s">
        <v>672</v>
      </c>
      <c r="E26" s="10" t="s">
        <v>673</v>
      </c>
    </row>
    <row r="28" spans="1:5" ht="13.5" x14ac:dyDescent="0.15">
      <c r="A28" s="16"/>
      <c r="B28" s="17" t="s">
        <v>38</v>
      </c>
    </row>
    <row r="29" spans="1:5" ht="13.5" x14ac:dyDescent="0.15">
      <c r="A29" s="18" t="s">
        <v>39</v>
      </c>
      <c r="B29" s="18" t="s">
        <v>40</v>
      </c>
      <c r="C29" s="18" t="s">
        <v>41</v>
      </c>
      <c r="D29" s="18" t="s">
        <v>161</v>
      </c>
      <c r="E29" s="18" t="s">
        <v>650</v>
      </c>
    </row>
    <row r="30" spans="1:5" x14ac:dyDescent="0.15">
      <c r="A30" s="15" t="s">
        <v>275</v>
      </c>
      <c r="B30" s="4" t="s">
        <v>368</v>
      </c>
      <c r="C30" s="4" t="s">
        <v>651</v>
      </c>
      <c r="D30" s="4" t="s">
        <v>674</v>
      </c>
      <c r="E30" s="10" t="s">
        <v>675</v>
      </c>
    </row>
    <row r="35" spans="1:3" ht="18" x14ac:dyDescent="0.2">
      <c r="A35" s="13" t="s">
        <v>84</v>
      </c>
      <c r="B35" s="13"/>
    </row>
    <row r="36" spans="1:3" ht="13.5" x14ac:dyDescent="0.15">
      <c r="A36" s="18" t="s">
        <v>85</v>
      </c>
      <c r="B36" s="18" t="s">
        <v>86</v>
      </c>
      <c r="C36" s="18" t="s">
        <v>87</v>
      </c>
    </row>
    <row r="37" spans="1:3" x14ac:dyDescent="0.15">
      <c r="A37" s="4" t="s">
        <v>273</v>
      </c>
      <c r="B37" s="4" t="s">
        <v>88</v>
      </c>
      <c r="C37" s="4" t="s">
        <v>676</v>
      </c>
    </row>
    <row r="38" spans="1:3" x14ac:dyDescent="0.15">
      <c r="A38" s="4" t="s">
        <v>181</v>
      </c>
      <c r="B38" s="4" t="s">
        <v>88</v>
      </c>
      <c r="C38" s="4" t="s">
        <v>616</v>
      </c>
    </row>
    <row r="39" spans="1:3" x14ac:dyDescent="0.15">
      <c r="A39" s="4" t="s">
        <v>279</v>
      </c>
      <c r="B39" s="4" t="s">
        <v>88</v>
      </c>
      <c r="C39" s="4" t="s">
        <v>677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37"/>
  <sheetViews>
    <sheetView topLeftCell="A4" workbookViewId="0">
      <selection activeCell="F18" sqref="F18"/>
    </sheetView>
  </sheetViews>
  <sheetFormatPr defaultColWidth="9.16796875" defaultRowHeight="12.75" x14ac:dyDescent="0.15"/>
  <cols>
    <col min="1" max="1" width="31.82421875" style="4" bestFit="1" customWidth="1"/>
    <col min="2" max="2" width="27.64453125" style="4" bestFit="1" customWidth="1"/>
    <col min="3" max="3" width="17.2578125" style="4" bestFit="1" customWidth="1"/>
    <col min="4" max="4" width="9.3046875" style="4" bestFit="1" customWidth="1"/>
    <col min="5" max="5" width="22.65234375" style="4" bestFit="1" customWidth="1"/>
    <col min="6" max="6" width="34.51953125" style="4" bestFit="1" customWidth="1"/>
    <col min="7" max="9" width="5.52734375" style="3" customWidth="1"/>
    <col min="10" max="10" width="4.8515625" style="3" customWidth="1"/>
    <col min="11" max="13" width="4.58203125" style="3" customWidth="1"/>
    <col min="14" max="14" width="4.8515625" style="3" customWidth="1"/>
    <col min="15" max="17" width="5.52734375" style="3" customWidth="1"/>
    <col min="18" max="18" width="4.8515625" style="3" customWidth="1"/>
    <col min="19" max="19" width="7.8203125" style="10" bestFit="1" customWidth="1"/>
    <col min="20" max="20" width="8.62890625" style="2" bestFit="1" customWidth="1"/>
    <col min="21" max="21" width="19.28125" style="4" bestFit="1" customWidth="1"/>
    <col min="22" max="16384" width="9.16796875" style="3"/>
  </cols>
  <sheetData>
    <row r="1" spans="1:21" s="2" customFormat="1" ht="29.1" customHeight="1" x14ac:dyDescent="0.15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93</v>
      </c>
      <c r="B6" s="6" t="s">
        <v>94</v>
      </c>
      <c r="C6" s="6" t="s">
        <v>95</v>
      </c>
      <c r="D6" s="6" t="str">
        <f>"0,8353"</f>
        <v>0,8353</v>
      </c>
      <c r="E6" s="6" t="s">
        <v>96</v>
      </c>
      <c r="F6" s="6" t="s">
        <v>97</v>
      </c>
      <c r="G6" s="7" t="s">
        <v>23</v>
      </c>
      <c r="H6" s="7" t="s">
        <v>59</v>
      </c>
      <c r="I6" s="7" t="s">
        <v>98</v>
      </c>
      <c r="J6" s="8"/>
      <c r="K6" s="7" t="s">
        <v>99</v>
      </c>
      <c r="L6" s="7" t="s">
        <v>100</v>
      </c>
      <c r="M6" s="7" t="s">
        <v>101</v>
      </c>
      <c r="N6" s="8"/>
      <c r="O6" s="7" t="s">
        <v>98</v>
      </c>
      <c r="P6" s="7" t="s">
        <v>28</v>
      </c>
      <c r="Q6" s="7" t="s">
        <v>102</v>
      </c>
      <c r="R6" s="8"/>
      <c r="S6" s="11" t="str">
        <f>"305,0"</f>
        <v>305,0</v>
      </c>
      <c r="T6" s="12" t="str">
        <f>"275,1478"</f>
        <v>275,1478</v>
      </c>
      <c r="U6" s="6" t="s">
        <v>103</v>
      </c>
    </row>
    <row r="8" spans="1:21" ht="14.25" x14ac:dyDescent="0.15">
      <c r="A8" s="51" t="s">
        <v>49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 x14ac:dyDescent="0.15">
      <c r="A9" s="6" t="s">
        <v>105</v>
      </c>
      <c r="B9" s="6" t="s">
        <v>106</v>
      </c>
      <c r="C9" s="6" t="s">
        <v>107</v>
      </c>
      <c r="D9" s="6" t="str">
        <f>"0,6774"</f>
        <v>0,6774</v>
      </c>
      <c r="E9" s="6" t="s">
        <v>108</v>
      </c>
      <c r="F9" s="6" t="s">
        <v>22</v>
      </c>
      <c r="G9" s="7" t="s">
        <v>24</v>
      </c>
      <c r="H9" s="7" t="s">
        <v>29</v>
      </c>
      <c r="I9" s="7" t="s">
        <v>109</v>
      </c>
      <c r="J9" s="8"/>
      <c r="K9" s="7" t="s">
        <v>110</v>
      </c>
      <c r="L9" s="7" t="s">
        <v>25</v>
      </c>
      <c r="M9" s="8" t="s">
        <v>111</v>
      </c>
      <c r="N9" s="8"/>
      <c r="O9" s="7" t="s">
        <v>109</v>
      </c>
      <c r="P9" s="7" t="s">
        <v>112</v>
      </c>
      <c r="Q9" s="7" t="s">
        <v>113</v>
      </c>
      <c r="R9" s="8"/>
      <c r="S9" s="11" t="str">
        <f>"382,5"</f>
        <v>382,5</v>
      </c>
      <c r="T9" s="12" t="str">
        <f>"279,8339"</f>
        <v>279,8339</v>
      </c>
      <c r="U9" s="6" t="s">
        <v>114</v>
      </c>
    </row>
    <row r="11" spans="1:21" ht="14.25" x14ac:dyDescent="0.15">
      <c r="A11" s="51" t="s">
        <v>115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 x14ac:dyDescent="0.15">
      <c r="A12" s="6" t="s">
        <v>117</v>
      </c>
      <c r="B12" s="6" t="s">
        <v>118</v>
      </c>
      <c r="C12" s="6" t="s">
        <v>119</v>
      </c>
      <c r="D12" s="6" t="str">
        <f>"0,6482"</f>
        <v>0,6482</v>
      </c>
      <c r="E12" s="6" t="s">
        <v>120</v>
      </c>
      <c r="F12" s="6" t="s">
        <v>73</v>
      </c>
      <c r="G12" s="7" t="s">
        <v>23</v>
      </c>
      <c r="H12" s="7" t="s">
        <v>98</v>
      </c>
      <c r="I12" s="7" t="s">
        <v>28</v>
      </c>
      <c r="J12" s="8"/>
      <c r="K12" s="8" t="s">
        <v>110</v>
      </c>
      <c r="L12" s="8" t="s">
        <v>110</v>
      </c>
      <c r="M12" s="7" t="s">
        <v>110</v>
      </c>
      <c r="N12" s="8"/>
      <c r="O12" s="7" t="s">
        <v>24</v>
      </c>
      <c r="P12" s="7" t="s">
        <v>29</v>
      </c>
      <c r="Q12" s="7" t="s">
        <v>109</v>
      </c>
      <c r="R12" s="8"/>
      <c r="S12" s="11" t="str">
        <f>"335,0"</f>
        <v>335,0</v>
      </c>
      <c r="T12" s="12" t="str">
        <f>"234,5368"</f>
        <v>234,5368</v>
      </c>
      <c r="U12" s="6" t="s">
        <v>121</v>
      </c>
    </row>
    <row r="14" spans="1:21" ht="14.25" x14ac:dyDescent="0.15">
      <c r="E14" s="9" t="s">
        <v>31</v>
      </c>
      <c r="F14" s="34" t="s">
        <v>701</v>
      </c>
      <c r="G14" s="35" t="s">
        <v>703</v>
      </c>
    </row>
    <row r="15" spans="1:21" ht="14.25" x14ac:dyDescent="0.15">
      <c r="E15" s="9" t="s">
        <v>32</v>
      </c>
      <c r="F15" s="34" t="s">
        <v>698</v>
      </c>
      <c r="G15" s="35" t="s">
        <v>702</v>
      </c>
    </row>
    <row r="16" spans="1:21" ht="14.25" x14ac:dyDescent="0.15">
      <c r="E16" s="9" t="s">
        <v>33</v>
      </c>
      <c r="F16" s="34" t="s">
        <v>699</v>
      </c>
      <c r="G16" s="35" t="s">
        <v>702</v>
      </c>
    </row>
    <row r="17" spans="1:7" ht="14.25" x14ac:dyDescent="0.15">
      <c r="E17" s="9" t="s">
        <v>34</v>
      </c>
      <c r="F17" s="34" t="s">
        <v>705</v>
      </c>
      <c r="G17" s="35" t="s">
        <v>703</v>
      </c>
    </row>
    <row r="18" spans="1:7" ht="14.25" x14ac:dyDescent="0.15">
      <c r="E18" s="9" t="s">
        <v>34</v>
      </c>
      <c r="F18" s="34" t="s">
        <v>706</v>
      </c>
      <c r="G18" s="35" t="s">
        <v>704</v>
      </c>
    </row>
    <row r="19" spans="1:7" ht="14.25" x14ac:dyDescent="0.15">
      <c r="E19" s="9"/>
    </row>
    <row r="20" spans="1:7" ht="14.25" x14ac:dyDescent="0.15">
      <c r="E20" s="9"/>
    </row>
    <row r="22" spans="1:7" ht="18" x14ac:dyDescent="0.2">
      <c r="A22" s="13" t="s">
        <v>36</v>
      </c>
      <c r="B22" s="13"/>
    </row>
    <row r="23" spans="1:7" ht="14.25" x14ac:dyDescent="0.15">
      <c r="A23" s="14" t="s">
        <v>37</v>
      </c>
      <c r="B23" s="14"/>
    </row>
    <row r="24" spans="1:7" ht="13.5" x14ac:dyDescent="0.15">
      <c r="A24" s="16"/>
      <c r="B24" s="17" t="s">
        <v>79</v>
      </c>
    </row>
    <row r="25" spans="1:7" ht="13.5" x14ac:dyDescent="0.15">
      <c r="A25" s="18" t="s">
        <v>39</v>
      </c>
      <c r="B25" s="18" t="s">
        <v>40</v>
      </c>
      <c r="C25" s="18" t="s">
        <v>41</v>
      </c>
      <c r="D25" s="18" t="s">
        <v>42</v>
      </c>
      <c r="E25" s="18" t="s">
        <v>43</v>
      </c>
    </row>
    <row r="26" spans="1:7" x14ac:dyDescent="0.15">
      <c r="A26" s="15" t="s">
        <v>104</v>
      </c>
      <c r="B26" s="4" t="s">
        <v>80</v>
      </c>
      <c r="C26" s="4" t="s">
        <v>64</v>
      </c>
      <c r="D26" s="4" t="s">
        <v>122</v>
      </c>
      <c r="E26" s="10" t="s">
        <v>123</v>
      </c>
    </row>
    <row r="27" spans="1:7" x14ac:dyDescent="0.15">
      <c r="A27" s="15" t="s">
        <v>92</v>
      </c>
      <c r="B27" s="4" t="s">
        <v>80</v>
      </c>
      <c r="C27" s="4" t="s">
        <v>124</v>
      </c>
      <c r="D27" s="4" t="s">
        <v>125</v>
      </c>
      <c r="E27" s="10" t="s">
        <v>126</v>
      </c>
    </row>
    <row r="28" spans="1:7" x14ac:dyDescent="0.15">
      <c r="A28" s="15" t="s">
        <v>116</v>
      </c>
      <c r="B28" s="4" t="s">
        <v>80</v>
      </c>
      <c r="C28" s="4" t="s">
        <v>127</v>
      </c>
      <c r="D28" s="4" t="s">
        <v>128</v>
      </c>
      <c r="E28" s="10" t="s">
        <v>129</v>
      </c>
    </row>
    <row r="33" spans="1:3" ht="18" x14ac:dyDescent="0.2">
      <c r="A33" s="13" t="s">
        <v>84</v>
      </c>
      <c r="B33" s="13"/>
    </row>
    <row r="34" spans="1:3" ht="13.5" x14ac:dyDescent="0.15">
      <c r="A34" s="18" t="s">
        <v>85</v>
      </c>
      <c r="B34" s="18" t="s">
        <v>86</v>
      </c>
      <c r="C34" s="18" t="s">
        <v>87</v>
      </c>
    </row>
    <row r="35" spans="1:3" x14ac:dyDescent="0.15">
      <c r="A35" s="4" t="s">
        <v>108</v>
      </c>
      <c r="B35" s="4" t="s">
        <v>88</v>
      </c>
      <c r="C35" s="4" t="s">
        <v>130</v>
      </c>
    </row>
    <row r="36" spans="1:3" x14ac:dyDescent="0.15">
      <c r="A36" s="4" t="s">
        <v>120</v>
      </c>
      <c r="B36" s="4" t="s">
        <v>88</v>
      </c>
      <c r="C36" s="4" t="s">
        <v>131</v>
      </c>
    </row>
    <row r="37" spans="1:3" x14ac:dyDescent="0.15">
      <c r="A37" s="4" t="s">
        <v>96</v>
      </c>
      <c r="B37" s="4" t="s">
        <v>88</v>
      </c>
      <c r="C37" s="4" t="s">
        <v>132</v>
      </c>
    </row>
  </sheetData>
  <mergeCells count="16">
    <mergeCell ref="A8:R8"/>
    <mergeCell ref="A11:R11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7.64453125" style="4" bestFit="1" customWidth="1"/>
    <col min="3" max="3" width="18.33984375" style="4" bestFit="1" customWidth="1"/>
    <col min="4" max="4" width="9.3046875" style="4" bestFit="1" customWidth="1"/>
    <col min="5" max="5" width="22.65234375" style="4" bestFit="1" customWidth="1"/>
    <col min="6" max="6" width="26.0234375" style="4" bestFit="1" customWidth="1"/>
    <col min="7" max="9" width="5.52734375" style="3" customWidth="1"/>
    <col min="10" max="10" width="4.8515625" style="3" customWidth="1"/>
    <col min="11" max="12" width="4.58203125" style="3" customWidth="1"/>
    <col min="13" max="13" width="5.52734375" style="3" customWidth="1"/>
    <col min="14" max="14" width="4.8515625" style="3" customWidth="1"/>
    <col min="15" max="17" width="5.52734375" style="3" customWidth="1"/>
    <col min="18" max="18" width="4.8515625" style="3" customWidth="1"/>
    <col min="19" max="19" width="7.8203125" style="10" bestFit="1" customWidth="1"/>
    <col min="20" max="20" width="8.62890625" style="2" bestFit="1" customWidth="1"/>
    <col min="21" max="21" width="19.01171875" style="4" bestFit="1" customWidth="1"/>
    <col min="22" max="16384" width="9.16796875" style="3"/>
  </cols>
  <sheetData>
    <row r="1" spans="1:21" s="2" customFormat="1" ht="29.1" customHeight="1" x14ac:dyDescent="0.15">
      <c r="A1" s="38" t="s">
        <v>696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67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69</v>
      </c>
      <c r="B6" s="6" t="s">
        <v>70</v>
      </c>
      <c r="C6" s="6" t="s">
        <v>71</v>
      </c>
      <c r="D6" s="6" t="str">
        <f>"0,5659"</f>
        <v>0,5659</v>
      </c>
      <c r="E6" s="6" t="s">
        <v>72</v>
      </c>
      <c r="F6" s="6" t="s">
        <v>73</v>
      </c>
      <c r="G6" s="7" t="s">
        <v>74</v>
      </c>
      <c r="H6" s="7" t="s">
        <v>57</v>
      </c>
      <c r="I6" s="8" t="s">
        <v>75</v>
      </c>
      <c r="J6" s="8"/>
      <c r="K6" s="8" t="s">
        <v>58</v>
      </c>
      <c r="L6" s="7" t="s">
        <v>76</v>
      </c>
      <c r="M6" s="8" t="s">
        <v>23</v>
      </c>
      <c r="N6" s="8"/>
      <c r="O6" s="7" t="s">
        <v>74</v>
      </c>
      <c r="P6" s="7" t="s">
        <v>77</v>
      </c>
      <c r="Q6" s="7" t="s">
        <v>75</v>
      </c>
      <c r="R6" s="8"/>
      <c r="S6" s="11" t="str">
        <f>"465,0"</f>
        <v>465,0</v>
      </c>
      <c r="T6" s="12" t="str">
        <f>"284,1699"</f>
        <v>284,1699</v>
      </c>
      <c r="U6" s="6" t="s">
        <v>78</v>
      </c>
    </row>
    <row r="8" spans="1:21" ht="14.25" x14ac:dyDescent="0.15">
      <c r="E8" s="9" t="s">
        <v>31</v>
      </c>
      <c r="F8" s="34" t="s">
        <v>701</v>
      </c>
      <c r="G8" s="35" t="s">
        <v>703</v>
      </c>
    </row>
    <row r="9" spans="1:21" ht="14.25" x14ac:dyDescent="0.15">
      <c r="E9" s="9" t="s">
        <v>32</v>
      </c>
      <c r="F9" s="34" t="s">
        <v>698</v>
      </c>
      <c r="G9" s="35" t="s">
        <v>702</v>
      </c>
    </row>
    <row r="10" spans="1:21" ht="14.25" x14ac:dyDescent="0.15">
      <c r="E10" s="9" t="s">
        <v>33</v>
      </c>
      <c r="F10" s="34" t="s">
        <v>699</v>
      </c>
      <c r="G10" s="35" t="s">
        <v>702</v>
      </c>
    </row>
    <row r="11" spans="1:21" ht="14.25" x14ac:dyDescent="0.15">
      <c r="E11" s="9" t="s">
        <v>34</v>
      </c>
      <c r="F11" s="34" t="s">
        <v>705</v>
      </c>
      <c r="G11" s="35" t="s">
        <v>703</v>
      </c>
    </row>
    <row r="12" spans="1:21" ht="14.25" x14ac:dyDescent="0.15">
      <c r="E12" s="9" t="s">
        <v>34</v>
      </c>
      <c r="F12" s="34" t="s">
        <v>706</v>
      </c>
      <c r="G12" s="35" t="s">
        <v>704</v>
      </c>
    </row>
    <row r="13" spans="1:21" ht="14.25" x14ac:dyDescent="0.15">
      <c r="E13" s="9"/>
    </row>
    <row r="14" spans="1:21" ht="14.25" x14ac:dyDescent="0.15">
      <c r="E14" s="9"/>
    </row>
    <row r="16" spans="1:2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79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15">
      <c r="A20" s="15" t="s">
        <v>68</v>
      </c>
      <c r="B20" s="4" t="s">
        <v>80</v>
      </c>
      <c r="C20" s="4" t="s">
        <v>81</v>
      </c>
      <c r="D20" s="4" t="s">
        <v>82</v>
      </c>
      <c r="E20" s="10" t="s">
        <v>83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72</v>
      </c>
      <c r="B27" s="4" t="s">
        <v>88</v>
      </c>
      <c r="C27" s="4" t="s">
        <v>89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20"/>
  <sheetViews>
    <sheetView tabSelected="1" topLeftCell="L1"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9.3046875" style="4" bestFit="1" customWidth="1"/>
    <col min="5" max="5" width="22.65234375" style="4" bestFit="1" customWidth="1"/>
    <col min="6" max="6" width="26.96875" style="4" bestFit="1" customWidth="1"/>
    <col min="7" max="9" width="5.52734375" style="3" customWidth="1"/>
    <col min="10" max="10" width="4.8515625" style="3" customWidth="1"/>
    <col min="11" max="11" width="4.58203125" style="3" customWidth="1"/>
    <col min="12" max="13" width="5.52734375" style="3" customWidth="1"/>
    <col min="14" max="14" width="4.8515625" style="3" customWidth="1"/>
    <col min="15" max="17" width="5.52734375" style="3" customWidth="1"/>
    <col min="18" max="18" width="4.8515625" style="3" customWidth="1"/>
    <col min="19" max="19" width="7.8203125" style="10" bestFit="1" customWidth="1"/>
    <col min="20" max="20" width="8.62890625" style="2" bestFit="1" customWidth="1"/>
    <col min="21" max="21" width="28.9921875" style="4" bestFit="1" customWidth="1"/>
    <col min="22" max="16384" width="9.16796875" style="3"/>
  </cols>
  <sheetData>
    <row r="1" spans="1:21" s="2" customFormat="1" ht="29.1" customHeight="1" x14ac:dyDescent="0.15">
      <c r="A1" s="38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51</v>
      </c>
      <c r="B6" s="6" t="s">
        <v>52</v>
      </c>
      <c r="C6" s="6" t="s">
        <v>53</v>
      </c>
      <c r="D6" s="6" t="str">
        <f>"0,6797"</f>
        <v>0,6797</v>
      </c>
      <c r="E6" s="6" t="s">
        <v>21</v>
      </c>
      <c r="F6" s="6" t="s">
        <v>54</v>
      </c>
      <c r="G6" s="7" t="s">
        <v>55</v>
      </c>
      <c r="H6" s="7" t="s">
        <v>56</v>
      </c>
      <c r="I6" s="7" t="s">
        <v>57</v>
      </c>
      <c r="J6" s="8"/>
      <c r="K6" s="7" t="s">
        <v>58</v>
      </c>
      <c r="L6" s="7" t="s">
        <v>23</v>
      </c>
      <c r="M6" s="7" t="s">
        <v>59</v>
      </c>
      <c r="N6" s="8"/>
      <c r="O6" s="7" t="s">
        <v>57</v>
      </c>
      <c r="P6" s="7" t="s">
        <v>60</v>
      </c>
      <c r="Q6" s="7" t="s">
        <v>61</v>
      </c>
      <c r="R6" s="8"/>
      <c r="S6" s="11" t="str">
        <f>"487,5"</f>
        <v>487,5</v>
      </c>
      <c r="T6" s="12" t="str">
        <f>"508,6280"</f>
        <v>508,6280</v>
      </c>
      <c r="U6" s="6" t="s">
        <v>62</v>
      </c>
    </row>
    <row r="8" spans="1:21" ht="14.25" x14ac:dyDescent="0.15">
      <c r="E8" s="9" t="s">
        <v>31</v>
      </c>
      <c r="F8" s="34" t="s">
        <v>701</v>
      </c>
      <c r="G8" s="35" t="s">
        <v>703</v>
      </c>
    </row>
    <row r="9" spans="1:21" ht="14.25" x14ac:dyDescent="0.15">
      <c r="E9" s="9" t="s">
        <v>32</v>
      </c>
      <c r="F9" s="34" t="s">
        <v>698</v>
      </c>
      <c r="G9" s="35" t="s">
        <v>702</v>
      </c>
    </row>
    <row r="10" spans="1:21" ht="14.25" x14ac:dyDescent="0.15">
      <c r="E10" s="9" t="s">
        <v>33</v>
      </c>
      <c r="F10" s="34" t="s">
        <v>699</v>
      </c>
      <c r="G10" s="35" t="s">
        <v>702</v>
      </c>
    </row>
    <row r="11" spans="1:21" ht="14.25" x14ac:dyDescent="0.15">
      <c r="E11" s="9" t="s">
        <v>34</v>
      </c>
      <c r="F11" s="34" t="s">
        <v>705</v>
      </c>
      <c r="G11" s="35" t="s">
        <v>703</v>
      </c>
    </row>
    <row r="12" spans="1:21" ht="14.25" x14ac:dyDescent="0.15">
      <c r="E12" s="9" t="s">
        <v>34</v>
      </c>
      <c r="F12" s="34" t="s">
        <v>706</v>
      </c>
      <c r="G12" s="35" t="s">
        <v>704</v>
      </c>
    </row>
    <row r="13" spans="1:21" ht="14.25" x14ac:dyDescent="0.15">
      <c r="E13" s="9"/>
    </row>
    <row r="14" spans="1:21" ht="14.25" x14ac:dyDescent="0.15">
      <c r="E14" s="9"/>
    </row>
    <row r="16" spans="1:2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15">
      <c r="A20" s="15" t="s">
        <v>50</v>
      </c>
      <c r="B20" s="4" t="s">
        <v>63</v>
      </c>
      <c r="C20" s="4" t="s">
        <v>64</v>
      </c>
      <c r="D20" s="4" t="s">
        <v>65</v>
      </c>
      <c r="E20" s="10" t="s">
        <v>66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5">
    <pageSetUpPr fitToPage="1"/>
  </sheetPr>
  <dimension ref="A1:U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9.3046875" style="4" bestFit="1" customWidth="1"/>
    <col min="5" max="5" width="22.65234375" style="4" bestFit="1" customWidth="1"/>
    <col min="6" max="6" width="34.51953125" style="4" bestFit="1" customWidth="1"/>
    <col min="7" max="9" width="5.52734375" style="3" customWidth="1"/>
    <col min="10" max="10" width="4.8515625" style="3" customWidth="1"/>
    <col min="11" max="13" width="4.58203125" style="3" customWidth="1"/>
    <col min="14" max="14" width="4.8515625" style="3" customWidth="1"/>
    <col min="15" max="17" width="5.52734375" style="3" customWidth="1"/>
    <col min="18" max="18" width="4.8515625" style="3" customWidth="1"/>
    <col min="19" max="19" width="7.8203125" style="10" bestFit="1" customWidth="1"/>
    <col min="20" max="20" width="8.62890625" style="2" bestFit="1" customWidth="1"/>
    <col min="21" max="21" width="8.8984375" style="4" bestFit="1" customWidth="1"/>
    <col min="22" max="16384" width="9.16796875" style="3"/>
  </cols>
  <sheetData>
    <row r="1" spans="1:21" s="2" customFormat="1" ht="29.1" customHeight="1" x14ac:dyDescent="0.15">
      <c r="A1" s="38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13</v>
      </c>
      <c r="H3" s="48"/>
      <c r="I3" s="48"/>
      <c r="J3" s="48"/>
      <c r="K3" s="48" t="s">
        <v>14</v>
      </c>
      <c r="L3" s="48"/>
      <c r="M3" s="48"/>
      <c r="N3" s="48"/>
      <c r="O3" s="48" t="s">
        <v>15</v>
      </c>
      <c r="P3" s="48"/>
      <c r="Q3" s="48"/>
      <c r="R3" s="48"/>
      <c r="S3" s="48" t="s">
        <v>1</v>
      </c>
      <c r="T3" s="48" t="s">
        <v>3</v>
      </c>
      <c r="U3" s="49" t="s">
        <v>2</v>
      </c>
    </row>
    <row r="4" spans="1:21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7"/>
      <c r="T4" s="47"/>
      <c r="U4" s="50"/>
    </row>
    <row r="5" spans="1:21" ht="14.25" x14ac:dyDescent="0.1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x14ac:dyDescent="0.15">
      <c r="A6" s="6" t="s">
        <v>18</v>
      </c>
      <c r="B6" s="6" t="s">
        <v>19</v>
      </c>
      <c r="C6" s="6" t="s">
        <v>20</v>
      </c>
      <c r="D6" s="6" t="str">
        <f>"0,6045"</f>
        <v>0,6045</v>
      </c>
      <c r="E6" s="6" t="s">
        <v>21</v>
      </c>
      <c r="F6" s="6" t="s">
        <v>22</v>
      </c>
      <c r="G6" s="7" t="s">
        <v>23</v>
      </c>
      <c r="H6" s="8" t="s">
        <v>24</v>
      </c>
      <c r="I6" s="7" t="s">
        <v>24</v>
      </c>
      <c r="J6" s="8"/>
      <c r="K6" s="7" t="s">
        <v>25</v>
      </c>
      <c r="L6" s="7" t="s">
        <v>26</v>
      </c>
      <c r="M6" s="7" t="s">
        <v>27</v>
      </c>
      <c r="N6" s="8"/>
      <c r="O6" s="7" t="s">
        <v>28</v>
      </c>
      <c r="P6" s="7" t="s">
        <v>24</v>
      </c>
      <c r="Q6" s="8" t="s">
        <v>29</v>
      </c>
      <c r="R6" s="8"/>
      <c r="S6" s="11" t="str">
        <f>"337,5"</f>
        <v>337,5</v>
      </c>
      <c r="T6" s="12" t="str">
        <f>"239,3140"</f>
        <v>239,3140</v>
      </c>
      <c r="U6" s="6" t="s">
        <v>30</v>
      </c>
    </row>
    <row r="8" spans="1:21" ht="14.25" x14ac:dyDescent="0.15">
      <c r="E8" s="9" t="s">
        <v>31</v>
      </c>
      <c r="F8" s="34" t="s">
        <v>701</v>
      </c>
      <c r="G8" s="35" t="s">
        <v>703</v>
      </c>
    </row>
    <row r="9" spans="1:21" ht="14.25" x14ac:dyDescent="0.15">
      <c r="E9" s="9" t="s">
        <v>32</v>
      </c>
      <c r="F9" s="34" t="s">
        <v>698</v>
      </c>
      <c r="G9" s="35" t="s">
        <v>702</v>
      </c>
    </row>
    <row r="10" spans="1:21" ht="14.25" x14ac:dyDescent="0.15">
      <c r="E10" s="9" t="s">
        <v>33</v>
      </c>
      <c r="F10" s="34" t="s">
        <v>699</v>
      </c>
      <c r="G10" s="35" t="s">
        <v>702</v>
      </c>
    </row>
    <row r="11" spans="1:21" ht="14.25" x14ac:dyDescent="0.15">
      <c r="E11" s="9" t="s">
        <v>34</v>
      </c>
      <c r="F11" s="34" t="s">
        <v>705</v>
      </c>
      <c r="G11" s="35" t="s">
        <v>703</v>
      </c>
    </row>
    <row r="12" spans="1:21" ht="14.25" x14ac:dyDescent="0.15">
      <c r="E12" s="9" t="s">
        <v>34</v>
      </c>
      <c r="F12" s="34" t="s">
        <v>706</v>
      </c>
      <c r="G12" s="35" t="s">
        <v>704</v>
      </c>
    </row>
    <row r="13" spans="1:21" ht="14.25" x14ac:dyDescent="0.15">
      <c r="E13" s="9"/>
    </row>
    <row r="14" spans="1:21" ht="14.25" x14ac:dyDescent="0.15">
      <c r="E14" s="9"/>
    </row>
    <row r="16" spans="1:2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42</v>
      </c>
      <c r="E19" s="18" t="s">
        <v>43</v>
      </c>
    </row>
    <row r="20" spans="1:5" x14ac:dyDescent="0.15">
      <c r="A20" s="15" t="s">
        <v>17</v>
      </c>
      <c r="B20" s="4" t="s">
        <v>44</v>
      </c>
      <c r="C20" s="4" t="s">
        <v>45</v>
      </c>
      <c r="D20" s="4" t="s">
        <v>46</v>
      </c>
      <c r="E20" s="10" t="s">
        <v>47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4"/>
  <sheetViews>
    <sheetView workbookViewId="0">
      <selection activeCell="C13" sqref="C13"/>
    </sheetView>
  </sheetViews>
  <sheetFormatPr defaultRowHeight="12.75" x14ac:dyDescent="0.15"/>
  <cols>
    <col min="1" max="1" width="11.19140625" customWidth="1"/>
    <col min="2" max="2" width="28.18359375" customWidth="1"/>
  </cols>
  <sheetData>
    <row r="1" spans="1:2" x14ac:dyDescent="0.15">
      <c r="A1" t="s">
        <v>707</v>
      </c>
      <c r="B1" t="s">
        <v>708</v>
      </c>
    </row>
    <row r="2" spans="1:2" x14ac:dyDescent="0.15">
      <c r="A2" t="s">
        <v>709</v>
      </c>
      <c r="B2" t="s">
        <v>710</v>
      </c>
    </row>
    <row r="3" spans="1:2" x14ac:dyDescent="0.15">
      <c r="A3" t="s">
        <v>711</v>
      </c>
      <c r="B3" t="s">
        <v>712</v>
      </c>
    </row>
    <row r="4" spans="1:2" x14ac:dyDescent="0.15">
      <c r="A4" t="s">
        <v>713</v>
      </c>
      <c r="B4" t="s">
        <v>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>
      <selection activeCell="F13" sqref="F13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9.0117187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7.55078125" style="2" bestFit="1" customWidth="1"/>
    <col min="11" max="11" width="22.3828125" style="4" bestFit="1" customWidth="1"/>
    <col min="12" max="16384" width="9.16796875" style="3"/>
  </cols>
  <sheetData>
    <row r="1" spans="1:11" s="2" customFormat="1" ht="29.1" customHeight="1" x14ac:dyDescent="0.15">
      <c r="A1" s="38" t="s">
        <v>655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15">
      <c r="A6" s="19" t="s">
        <v>188</v>
      </c>
      <c r="B6" s="19" t="s">
        <v>189</v>
      </c>
      <c r="C6" s="19" t="s">
        <v>190</v>
      </c>
      <c r="D6" s="19" t="str">
        <f>"1,0000"</f>
        <v>1,0000</v>
      </c>
      <c r="E6" s="19" t="s">
        <v>120</v>
      </c>
      <c r="F6" s="19" t="s">
        <v>73</v>
      </c>
      <c r="G6" s="21" t="s">
        <v>208</v>
      </c>
      <c r="H6" s="21" t="s">
        <v>656</v>
      </c>
      <c r="I6" s="28" t="str">
        <f>"1295,0"</f>
        <v>1295,0</v>
      </c>
      <c r="J6" s="29" t="str">
        <f>"25,0726"</f>
        <v>25,0726</v>
      </c>
      <c r="K6" s="19" t="s">
        <v>192</v>
      </c>
    </row>
    <row r="7" spans="1:11" x14ac:dyDescent="0.15">
      <c r="A7" s="22" t="s">
        <v>658</v>
      </c>
      <c r="B7" s="22" t="s">
        <v>659</v>
      </c>
      <c r="C7" s="22" t="s">
        <v>660</v>
      </c>
      <c r="D7" s="22" t="str">
        <f>"1,0000"</f>
        <v>1,0000</v>
      </c>
      <c r="E7" s="22" t="s">
        <v>21</v>
      </c>
      <c r="F7" s="22" t="s">
        <v>73</v>
      </c>
      <c r="G7" s="24" t="s">
        <v>208</v>
      </c>
      <c r="H7" s="24" t="s">
        <v>661</v>
      </c>
      <c r="I7" s="30" t="str">
        <f>"630,0"</f>
        <v>630,0</v>
      </c>
      <c r="J7" s="31" t="str">
        <f>"9,4452"</f>
        <v>9,4452</v>
      </c>
      <c r="K7" s="22" t="s">
        <v>30</v>
      </c>
    </row>
    <row r="9" spans="1:11" ht="14.25" x14ac:dyDescent="0.15">
      <c r="E9" s="9" t="s">
        <v>31</v>
      </c>
      <c r="F9" s="34" t="s">
        <v>701</v>
      </c>
      <c r="G9" s="35" t="s">
        <v>703</v>
      </c>
    </row>
    <row r="10" spans="1:11" ht="14.25" x14ac:dyDescent="0.15">
      <c r="E10" s="9" t="s">
        <v>32</v>
      </c>
      <c r="F10" s="34" t="s">
        <v>698</v>
      </c>
      <c r="G10" s="35" t="s">
        <v>702</v>
      </c>
    </row>
    <row r="11" spans="1:11" ht="14.25" x14ac:dyDescent="0.15">
      <c r="E11" s="9" t="s">
        <v>33</v>
      </c>
      <c r="F11" s="34" t="s">
        <v>699</v>
      </c>
      <c r="G11" s="35" t="s">
        <v>702</v>
      </c>
    </row>
    <row r="12" spans="1:11" ht="14.25" x14ac:dyDescent="0.15">
      <c r="E12" s="9" t="s">
        <v>34</v>
      </c>
      <c r="F12" s="34" t="s">
        <v>705</v>
      </c>
      <c r="G12" s="35" t="s">
        <v>703</v>
      </c>
    </row>
    <row r="13" spans="1:11" ht="14.25" x14ac:dyDescent="0.15">
      <c r="E13" s="9" t="s">
        <v>34</v>
      </c>
      <c r="F13" s="34" t="s">
        <v>706</v>
      </c>
      <c r="G13" s="35" t="s">
        <v>704</v>
      </c>
    </row>
    <row r="14" spans="1:11" ht="14.25" x14ac:dyDescent="0.15">
      <c r="E14" s="9"/>
    </row>
    <row r="15" spans="1:11" ht="14.25" x14ac:dyDescent="0.15">
      <c r="E15" s="9"/>
    </row>
    <row r="17" spans="1:5" ht="18" x14ac:dyDescent="0.2">
      <c r="A17" s="13" t="s">
        <v>36</v>
      </c>
      <c r="B17" s="13"/>
    </row>
    <row r="18" spans="1:5" ht="14.25" x14ac:dyDescent="0.15">
      <c r="A18" s="14" t="s">
        <v>333</v>
      </c>
      <c r="B18" s="14"/>
    </row>
    <row r="19" spans="1:5" ht="13.5" x14ac:dyDescent="0.15">
      <c r="A19" s="16"/>
      <c r="B19" s="17" t="s">
        <v>175</v>
      </c>
    </row>
    <row r="20" spans="1:5" ht="13.5" x14ac:dyDescent="0.15">
      <c r="A20" s="18" t="s">
        <v>39</v>
      </c>
      <c r="B20" s="18" t="s">
        <v>40</v>
      </c>
      <c r="C20" s="18" t="s">
        <v>41</v>
      </c>
      <c r="D20" s="18" t="s">
        <v>161</v>
      </c>
      <c r="E20" s="18" t="s">
        <v>650</v>
      </c>
    </row>
    <row r="21" spans="1:5" x14ac:dyDescent="0.15">
      <c r="A21" s="15" t="s">
        <v>187</v>
      </c>
      <c r="B21" s="4" t="s">
        <v>175</v>
      </c>
      <c r="C21" s="4" t="s">
        <v>651</v>
      </c>
      <c r="D21" s="4" t="s">
        <v>662</v>
      </c>
      <c r="E21" s="10" t="s">
        <v>663</v>
      </c>
    </row>
    <row r="23" spans="1:5" ht="13.5" x14ac:dyDescent="0.15">
      <c r="A23" s="16"/>
      <c r="B23" s="17" t="s">
        <v>38</v>
      </c>
    </row>
    <row r="24" spans="1:5" ht="13.5" x14ac:dyDescent="0.15">
      <c r="A24" s="18" t="s">
        <v>39</v>
      </c>
      <c r="B24" s="18" t="s">
        <v>40</v>
      </c>
      <c r="C24" s="18" t="s">
        <v>41</v>
      </c>
      <c r="D24" s="18" t="s">
        <v>161</v>
      </c>
      <c r="E24" s="18" t="s">
        <v>650</v>
      </c>
    </row>
    <row r="25" spans="1:5" x14ac:dyDescent="0.15">
      <c r="A25" s="15" t="s">
        <v>657</v>
      </c>
      <c r="B25" s="4" t="s">
        <v>162</v>
      </c>
      <c r="C25" s="4" t="s">
        <v>651</v>
      </c>
      <c r="D25" s="4" t="s">
        <v>664</v>
      </c>
      <c r="E25" s="10" t="s">
        <v>665</v>
      </c>
    </row>
    <row r="30" spans="1:5" ht="18" x14ac:dyDescent="0.2">
      <c r="A30" s="13" t="s">
        <v>84</v>
      </c>
      <c r="B30" s="13"/>
    </row>
    <row r="31" spans="1:5" ht="13.5" x14ac:dyDescent="0.15">
      <c r="A31" s="18" t="s">
        <v>85</v>
      </c>
      <c r="B31" s="18" t="s">
        <v>86</v>
      </c>
      <c r="C31" s="18" t="s">
        <v>87</v>
      </c>
    </row>
    <row r="32" spans="1:5" x14ac:dyDescent="0.15">
      <c r="A32" s="4" t="s">
        <v>120</v>
      </c>
      <c r="B32" s="4" t="s">
        <v>88</v>
      </c>
      <c r="C32" s="4" t="s">
        <v>666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20.35937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7.55078125" style="2" bestFit="1" customWidth="1"/>
    <col min="11" max="11" width="16.5859375" style="4" bestFit="1" customWidth="1"/>
    <col min="12" max="16384" width="9.16796875" style="3"/>
  </cols>
  <sheetData>
    <row r="1" spans="1:11" s="2" customFormat="1" ht="29.1" customHeight="1" x14ac:dyDescent="0.15">
      <c r="A1" s="38" t="s">
        <v>641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642</v>
      </c>
      <c r="E3" s="48" t="s">
        <v>4</v>
      </c>
      <c r="F3" s="48" t="s">
        <v>7</v>
      </c>
      <c r="G3" s="48" t="s">
        <v>643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644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646</v>
      </c>
      <c r="B6" s="6" t="s">
        <v>647</v>
      </c>
      <c r="C6" s="6" t="s">
        <v>648</v>
      </c>
      <c r="D6" s="6" t="str">
        <f>"1,0000"</f>
        <v>1,0000</v>
      </c>
      <c r="E6" s="6" t="s">
        <v>273</v>
      </c>
      <c r="F6" s="6" t="s">
        <v>73</v>
      </c>
      <c r="G6" s="7" t="s">
        <v>215</v>
      </c>
      <c r="H6" s="7" t="s">
        <v>649</v>
      </c>
      <c r="I6" s="11" t="str">
        <f>"3520,0"</f>
        <v>3520,0</v>
      </c>
      <c r="J6" s="12" t="str">
        <f>"39,8190"</f>
        <v>39,8190</v>
      </c>
      <c r="K6" s="6" t="s">
        <v>274</v>
      </c>
    </row>
    <row r="8" spans="1:11" ht="14.25" x14ac:dyDescent="0.15">
      <c r="E8" s="9" t="s">
        <v>31</v>
      </c>
      <c r="F8" s="34" t="s">
        <v>701</v>
      </c>
      <c r="G8" s="35" t="s">
        <v>703</v>
      </c>
    </row>
    <row r="9" spans="1:11" ht="14.25" x14ac:dyDescent="0.15">
      <c r="E9" s="9" t="s">
        <v>32</v>
      </c>
      <c r="F9" s="34" t="s">
        <v>698</v>
      </c>
      <c r="G9" s="35" t="s">
        <v>702</v>
      </c>
    </row>
    <row r="10" spans="1:11" ht="14.25" x14ac:dyDescent="0.15">
      <c r="E10" s="9" t="s">
        <v>33</v>
      </c>
      <c r="F10" s="34" t="s">
        <v>699</v>
      </c>
      <c r="G10" s="35" t="s">
        <v>702</v>
      </c>
    </row>
    <row r="11" spans="1:11" ht="14.25" x14ac:dyDescent="0.15">
      <c r="E11" s="9" t="s">
        <v>34</v>
      </c>
      <c r="F11" s="34" t="s">
        <v>705</v>
      </c>
      <c r="G11" s="35" t="s">
        <v>703</v>
      </c>
    </row>
    <row r="12" spans="1:11" ht="14.25" x14ac:dyDescent="0.15">
      <c r="E12" s="9" t="s">
        <v>34</v>
      </c>
      <c r="F12" s="34" t="s">
        <v>706</v>
      </c>
      <c r="G12" s="35" t="s">
        <v>704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650</v>
      </c>
    </row>
    <row r="20" spans="1:5" x14ac:dyDescent="0.15">
      <c r="A20" s="15" t="s">
        <v>645</v>
      </c>
      <c r="B20" s="4" t="s">
        <v>162</v>
      </c>
      <c r="C20" s="4" t="s">
        <v>651</v>
      </c>
      <c r="D20" s="4" t="s">
        <v>652</v>
      </c>
      <c r="E20" s="10" t="s">
        <v>653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273</v>
      </c>
      <c r="B27" s="4" t="s">
        <v>88</v>
      </c>
      <c r="C27" s="4" t="s">
        <v>654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5.62109375" style="4" bestFit="1" customWidth="1"/>
    <col min="7" max="9" width="5.52734375" style="3" customWidth="1"/>
    <col min="10" max="10" width="4.8515625" style="3" customWidth="1"/>
    <col min="11" max="11" width="7.8203125" style="10" bestFit="1" customWidth="1"/>
    <col min="12" max="12" width="7.55078125" style="2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8" t="s">
        <v>632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618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633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635</v>
      </c>
      <c r="B6" s="6" t="s">
        <v>636</v>
      </c>
      <c r="C6" s="6" t="s">
        <v>637</v>
      </c>
      <c r="D6" s="6" t="str">
        <f>"0,5090"</f>
        <v>0,5090</v>
      </c>
      <c r="E6" s="6" t="s">
        <v>21</v>
      </c>
      <c r="F6" s="6" t="s">
        <v>638</v>
      </c>
      <c r="G6" s="7" t="s">
        <v>23</v>
      </c>
      <c r="H6" s="7" t="s">
        <v>281</v>
      </c>
      <c r="I6" s="8" t="s">
        <v>98</v>
      </c>
      <c r="J6" s="8"/>
      <c r="K6" s="11" t="str">
        <f>"107,5"</f>
        <v>107,5</v>
      </c>
      <c r="L6" s="12" t="str">
        <f>"54,7175"</f>
        <v>54,7175</v>
      </c>
      <c r="M6" s="6" t="s">
        <v>30</v>
      </c>
    </row>
    <row r="8" spans="1:13" ht="14.25" x14ac:dyDescent="0.15">
      <c r="E8" s="9" t="s">
        <v>31</v>
      </c>
      <c r="F8" s="34" t="s">
        <v>697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634</v>
      </c>
      <c r="B20" s="4" t="s">
        <v>175</v>
      </c>
      <c r="C20" s="4" t="s">
        <v>639</v>
      </c>
      <c r="D20" s="4" t="s">
        <v>281</v>
      </c>
      <c r="E20" s="10" t="s">
        <v>640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workbookViewId="0">
      <selection activeCell="F19" sqref="F19"/>
    </sheetView>
  </sheetViews>
  <sheetFormatPr defaultColWidth="9.16796875" defaultRowHeight="12.75" x14ac:dyDescent="0.15"/>
  <cols>
    <col min="1" max="1" width="31.82421875" style="4" bestFit="1" customWidth="1"/>
    <col min="2" max="2" width="27.64453125" style="4" bestFit="1" customWidth="1"/>
    <col min="3" max="3" width="31.82421875" style="4" bestFit="1" customWidth="1"/>
    <col min="4" max="4" width="11.8671875" style="4" bestFit="1" customWidth="1"/>
    <col min="5" max="5" width="22.65234375" style="4" bestFit="1" customWidth="1"/>
    <col min="6" max="6" width="30.0703125" style="4" bestFit="1" customWidth="1"/>
    <col min="7" max="9" width="4.58203125" style="3" customWidth="1"/>
    <col min="10" max="10" width="4.8515625" style="3" customWidth="1"/>
    <col min="11" max="11" width="7.8203125" style="10" bestFit="1" customWidth="1"/>
    <col min="12" max="12" width="7.55078125" style="2" bestFit="1" customWidth="1"/>
    <col min="13" max="13" width="17.52734375" style="4" bestFit="1" customWidth="1"/>
    <col min="14" max="16384" width="9.16796875" style="3"/>
  </cols>
  <sheetData>
    <row r="1" spans="1:13" s="2" customFormat="1" ht="29.1" customHeight="1" x14ac:dyDescent="0.15">
      <c r="A1" s="38" t="s">
        <v>617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618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210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611</v>
      </c>
      <c r="B6" s="6" t="s">
        <v>612</v>
      </c>
      <c r="C6" s="6" t="s">
        <v>613</v>
      </c>
      <c r="D6" s="6" t="str">
        <f>"0,7367"</f>
        <v>0,7367</v>
      </c>
      <c r="E6" s="6" t="s">
        <v>181</v>
      </c>
      <c r="F6" s="6" t="s">
        <v>417</v>
      </c>
      <c r="G6" s="7" t="s">
        <v>214</v>
      </c>
      <c r="H6" s="7" t="s">
        <v>215</v>
      </c>
      <c r="I6" s="8" t="s">
        <v>191</v>
      </c>
      <c r="J6" s="8"/>
      <c r="K6" s="11" t="str">
        <f>"55,0"</f>
        <v>55,0</v>
      </c>
      <c r="L6" s="12" t="str">
        <f>"40,5185"</f>
        <v>40,5185</v>
      </c>
      <c r="M6" s="6" t="s">
        <v>614</v>
      </c>
    </row>
    <row r="8" spans="1:13" ht="14.25" x14ac:dyDescent="0.15">
      <c r="A8" s="51" t="s">
        <v>49</v>
      </c>
      <c r="B8" s="51"/>
      <c r="C8" s="51"/>
      <c r="D8" s="51"/>
      <c r="E8" s="51"/>
      <c r="F8" s="51"/>
      <c r="G8" s="51"/>
      <c r="H8" s="51"/>
      <c r="I8" s="51"/>
      <c r="J8" s="51"/>
    </row>
    <row r="9" spans="1:13" x14ac:dyDescent="0.15">
      <c r="A9" s="6" t="s">
        <v>620</v>
      </c>
      <c r="B9" s="6" t="s">
        <v>621</v>
      </c>
      <c r="C9" s="6" t="s">
        <v>622</v>
      </c>
      <c r="D9" s="6" t="str">
        <f>"0,6723"</f>
        <v>0,6723</v>
      </c>
      <c r="E9" s="6" t="s">
        <v>273</v>
      </c>
      <c r="F9" s="6" t="s">
        <v>73</v>
      </c>
      <c r="G9" s="7" t="s">
        <v>215</v>
      </c>
      <c r="H9" s="7" t="s">
        <v>99</v>
      </c>
      <c r="I9" s="8" t="s">
        <v>191</v>
      </c>
      <c r="J9" s="8"/>
      <c r="K9" s="11" t="str">
        <f>"60,0"</f>
        <v>60,0</v>
      </c>
      <c r="L9" s="12" t="str">
        <f>"42,7583"</f>
        <v>42,7583</v>
      </c>
      <c r="M9" s="6" t="s">
        <v>274</v>
      </c>
    </row>
    <row r="11" spans="1:13" ht="14.25" x14ac:dyDescent="0.15">
      <c r="A11" s="51" t="s">
        <v>115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x14ac:dyDescent="0.15">
      <c r="A12" s="19" t="s">
        <v>624</v>
      </c>
      <c r="B12" s="19" t="s">
        <v>625</v>
      </c>
      <c r="C12" s="19" t="s">
        <v>626</v>
      </c>
      <c r="D12" s="19" t="str">
        <f>"0,6347"</f>
        <v>0,6347</v>
      </c>
      <c r="E12" s="19" t="s">
        <v>273</v>
      </c>
      <c r="F12" s="19" t="s">
        <v>73</v>
      </c>
      <c r="G12" s="21" t="s">
        <v>377</v>
      </c>
      <c r="H12" s="21" t="s">
        <v>214</v>
      </c>
      <c r="I12" s="21" t="s">
        <v>378</v>
      </c>
      <c r="J12" s="20"/>
      <c r="K12" s="28" t="str">
        <f>"47,5"</f>
        <v>47,5</v>
      </c>
      <c r="L12" s="29" t="str">
        <f>"31,9571"</f>
        <v>31,9571</v>
      </c>
      <c r="M12" s="19" t="s">
        <v>274</v>
      </c>
    </row>
    <row r="13" spans="1:13" x14ac:dyDescent="0.15">
      <c r="A13" s="22" t="s">
        <v>553</v>
      </c>
      <c r="B13" s="22" t="s">
        <v>263</v>
      </c>
      <c r="C13" s="22" t="s">
        <v>264</v>
      </c>
      <c r="D13" s="22" t="str">
        <f>"0,6352"</f>
        <v>0,6352</v>
      </c>
      <c r="E13" s="22" t="s">
        <v>120</v>
      </c>
      <c r="F13" s="22" t="s">
        <v>73</v>
      </c>
      <c r="G13" s="24" t="s">
        <v>441</v>
      </c>
      <c r="H13" s="24" t="s">
        <v>201</v>
      </c>
      <c r="I13" s="24" t="s">
        <v>100</v>
      </c>
      <c r="J13" s="23"/>
      <c r="K13" s="30" t="str">
        <f>"65,0"</f>
        <v>65,0</v>
      </c>
      <c r="L13" s="31" t="str">
        <f>"41,2880"</f>
        <v>41,2880</v>
      </c>
      <c r="M13" s="22" t="s">
        <v>265</v>
      </c>
    </row>
    <row r="15" spans="1:13" ht="14.25" x14ac:dyDescent="0.15">
      <c r="E15" s="9" t="s">
        <v>31</v>
      </c>
      <c r="F15" s="34" t="s">
        <v>701</v>
      </c>
      <c r="G15" s="35" t="s">
        <v>703</v>
      </c>
    </row>
    <row r="16" spans="1:13" ht="14.25" x14ac:dyDescent="0.15">
      <c r="E16" s="9" t="s">
        <v>32</v>
      </c>
      <c r="F16" s="34" t="s">
        <v>698</v>
      </c>
      <c r="G16" s="35" t="s">
        <v>702</v>
      </c>
    </row>
    <row r="17" spans="1:7" ht="14.25" x14ac:dyDescent="0.15">
      <c r="E17" s="9" t="s">
        <v>33</v>
      </c>
      <c r="F17" s="34" t="s">
        <v>699</v>
      </c>
      <c r="G17" s="35" t="s">
        <v>702</v>
      </c>
    </row>
    <row r="18" spans="1:7" ht="14.25" x14ac:dyDescent="0.15">
      <c r="E18" s="9" t="s">
        <v>34</v>
      </c>
      <c r="F18" s="34" t="s">
        <v>705</v>
      </c>
      <c r="G18" s="35" t="s">
        <v>703</v>
      </c>
    </row>
    <row r="19" spans="1:7" ht="14.25" x14ac:dyDescent="0.15">
      <c r="E19" s="9" t="s">
        <v>34</v>
      </c>
      <c r="F19" s="34" t="s">
        <v>706</v>
      </c>
      <c r="G19" s="35" t="s">
        <v>704</v>
      </c>
    </row>
    <row r="20" spans="1:7" ht="14.25" x14ac:dyDescent="0.15">
      <c r="E20" s="9"/>
    </row>
    <row r="21" spans="1:7" ht="14.25" x14ac:dyDescent="0.15">
      <c r="E21" s="9"/>
    </row>
    <row r="23" spans="1:7" ht="18" x14ac:dyDescent="0.2">
      <c r="A23" s="13" t="s">
        <v>36</v>
      </c>
      <c r="B23" s="13"/>
    </row>
    <row r="24" spans="1:7" ht="14.25" x14ac:dyDescent="0.15">
      <c r="A24" s="14" t="s">
        <v>37</v>
      </c>
      <c r="B24" s="14"/>
    </row>
    <row r="25" spans="1:7" ht="13.5" x14ac:dyDescent="0.15">
      <c r="A25" s="16"/>
      <c r="B25" s="17" t="s">
        <v>79</v>
      </c>
    </row>
    <row r="26" spans="1:7" ht="13.5" x14ac:dyDescent="0.15">
      <c r="A26" s="18" t="s">
        <v>39</v>
      </c>
      <c r="B26" s="18" t="s">
        <v>40</v>
      </c>
      <c r="C26" s="18" t="s">
        <v>41</v>
      </c>
      <c r="D26" s="18" t="s">
        <v>161</v>
      </c>
      <c r="E26" s="18" t="s">
        <v>43</v>
      </c>
    </row>
    <row r="27" spans="1:7" x14ac:dyDescent="0.15">
      <c r="A27" s="15" t="s">
        <v>619</v>
      </c>
      <c r="B27" s="4" t="s">
        <v>338</v>
      </c>
      <c r="C27" s="4" t="s">
        <v>64</v>
      </c>
      <c r="D27" s="4" t="s">
        <v>99</v>
      </c>
      <c r="E27" s="10" t="s">
        <v>627</v>
      </c>
    </row>
    <row r="28" spans="1:7" x14ac:dyDescent="0.15">
      <c r="A28" s="15" t="s">
        <v>623</v>
      </c>
      <c r="B28" s="4" t="s">
        <v>338</v>
      </c>
      <c r="C28" s="4" t="s">
        <v>127</v>
      </c>
      <c r="D28" s="4" t="s">
        <v>378</v>
      </c>
      <c r="E28" s="10" t="s">
        <v>628</v>
      </c>
    </row>
    <row r="30" spans="1:7" ht="13.5" x14ac:dyDescent="0.15">
      <c r="A30" s="16"/>
      <c r="B30" s="17" t="s">
        <v>175</v>
      </c>
    </row>
    <row r="31" spans="1:7" ht="13.5" x14ac:dyDescent="0.15">
      <c r="A31" s="18" t="s">
        <v>39</v>
      </c>
      <c r="B31" s="18" t="s">
        <v>40</v>
      </c>
      <c r="C31" s="18" t="s">
        <v>41</v>
      </c>
      <c r="D31" s="18" t="s">
        <v>161</v>
      </c>
      <c r="E31" s="18" t="s">
        <v>43</v>
      </c>
    </row>
    <row r="32" spans="1:7" x14ac:dyDescent="0.15">
      <c r="A32" s="15" t="s">
        <v>261</v>
      </c>
      <c r="B32" s="4" t="s">
        <v>175</v>
      </c>
      <c r="C32" s="4" t="s">
        <v>127</v>
      </c>
      <c r="D32" s="4" t="s">
        <v>100</v>
      </c>
      <c r="E32" s="10" t="s">
        <v>629</v>
      </c>
    </row>
    <row r="33" spans="1:5" x14ac:dyDescent="0.15">
      <c r="A33" s="15" t="s">
        <v>610</v>
      </c>
      <c r="B33" s="4" t="s">
        <v>175</v>
      </c>
      <c r="C33" s="4" t="s">
        <v>346</v>
      </c>
      <c r="D33" s="4" t="s">
        <v>215</v>
      </c>
      <c r="E33" s="10" t="s">
        <v>630</v>
      </c>
    </row>
    <row r="38" spans="1:5" ht="18" x14ac:dyDescent="0.2">
      <c r="A38" s="13" t="s">
        <v>84</v>
      </c>
      <c r="B38" s="13"/>
    </row>
    <row r="39" spans="1:5" ht="13.5" x14ac:dyDescent="0.15">
      <c r="A39" s="18" t="s">
        <v>85</v>
      </c>
      <c r="B39" s="18" t="s">
        <v>86</v>
      </c>
      <c r="C39" s="18" t="s">
        <v>87</v>
      </c>
    </row>
    <row r="40" spans="1:5" x14ac:dyDescent="0.15">
      <c r="A40" s="4" t="s">
        <v>273</v>
      </c>
      <c r="B40" s="4" t="s">
        <v>511</v>
      </c>
      <c r="C40" s="4" t="s">
        <v>631</v>
      </c>
    </row>
    <row r="41" spans="1:5" x14ac:dyDescent="0.15">
      <c r="A41" s="4" t="s">
        <v>181</v>
      </c>
      <c r="B41" s="4" t="s">
        <v>88</v>
      </c>
      <c r="C41" s="4" t="s">
        <v>616</v>
      </c>
    </row>
    <row r="42" spans="1:5" x14ac:dyDescent="0.15">
      <c r="A42" s="4" t="s">
        <v>120</v>
      </c>
      <c r="B42" s="4" t="s">
        <v>88</v>
      </c>
      <c r="C42" s="4" t="s">
        <v>558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7"/>
  <sheetViews>
    <sheetView workbookViewId="0">
      <selection activeCell="F12" sqref="F12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7.93359375" style="4" bestFit="1" customWidth="1"/>
    <col min="4" max="4" width="11.8671875" style="4" bestFit="1" customWidth="1"/>
    <col min="5" max="5" width="22.65234375" style="4" bestFit="1" customWidth="1"/>
    <col min="6" max="6" width="30.0703125" style="4" bestFit="1" customWidth="1"/>
    <col min="7" max="9" width="4.58203125" style="3" customWidth="1"/>
    <col min="10" max="10" width="4.8515625" style="3" customWidth="1"/>
    <col min="11" max="11" width="7.8203125" style="10" bestFit="1" customWidth="1"/>
    <col min="12" max="12" width="7.55078125" style="2" bestFit="1" customWidth="1"/>
    <col min="13" max="13" width="17.2578125" style="4" bestFit="1" customWidth="1"/>
    <col min="14" max="16384" width="9.16796875" style="3"/>
  </cols>
  <sheetData>
    <row r="1" spans="1:13" s="2" customFormat="1" ht="29.1" customHeight="1" x14ac:dyDescent="0.15">
      <c r="A1" s="38" t="s">
        <v>608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12</v>
      </c>
      <c r="E3" s="48" t="s">
        <v>4</v>
      </c>
      <c r="F3" s="48" t="s">
        <v>7</v>
      </c>
      <c r="G3" s="48" t="s">
        <v>609</v>
      </c>
      <c r="H3" s="48"/>
      <c r="I3" s="48"/>
      <c r="J3" s="48"/>
      <c r="K3" s="48" t="s">
        <v>166</v>
      </c>
      <c r="L3" s="48" t="s">
        <v>3</v>
      </c>
      <c r="M3" s="49" t="s">
        <v>2</v>
      </c>
    </row>
    <row r="4" spans="1:13" s="1" customFormat="1" ht="21" customHeight="1" thickBot="1" x14ac:dyDescent="0.2">
      <c r="A4" s="45"/>
      <c r="B4" s="47"/>
      <c r="C4" s="47"/>
      <c r="D4" s="47"/>
      <c r="E4" s="47"/>
      <c r="F4" s="47"/>
      <c r="G4" s="5">
        <v>1</v>
      </c>
      <c r="H4" s="5">
        <v>2</v>
      </c>
      <c r="I4" s="5">
        <v>3</v>
      </c>
      <c r="J4" s="5" t="s">
        <v>5</v>
      </c>
      <c r="K4" s="47"/>
      <c r="L4" s="47"/>
      <c r="M4" s="50"/>
    </row>
    <row r="5" spans="1:13" ht="14.25" x14ac:dyDescent="0.15">
      <c r="A5" s="36" t="s">
        <v>210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15">
      <c r="A6" s="6" t="s">
        <v>611</v>
      </c>
      <c r="B6" s="6" t="s">
        <v>612</v>
      </c>
      <c r="C6" s="6" t="s">
        <v>613</v>
      </c>
      <c r="D6" s="6" t="str">
        <f>"0,7367"</f>
        <v>0,7367</v>
      </c>
      <c r="E6" s="6" t="s">
        <v>181</v>
      </c>
      <c r="F6" s="6" t="s">
        <v>417</v>
      </c>
      <c r="G6" s="7" t="s">
        <v>100</v>
      </c>
      <c r="H6" s="8" t="s">
        <v>101</v>
      </c>
      <c r="I6" s="8" t="s">
        <v>101</v>
      </c>
      <c r="J6" s="8"/>
      <c r="K6" s="11" t="str">
        <f>"65,0"</f>
        <v>65,0</v>
      </c>
      <c r="L6" s="12" t="str">
        <f>"47,8855"</f>
        <v>47,8855</v>
      </c>
      <c r="M6" s="6" t="s">
        <v>614</v>
      </c>
    </row>
    <row r="8" spans="1:13" ht="14.25" x14ac:dyDescent="0.15">
      <c r="E8" s="9" t="s">
        <v>31</v>
      </c>
      <c r="F8" s="34" t="s">
        <v>701</v>
      </c>
      <c r="G8" s="35" t="s">
        <v>703</v>
      </c>
    </row>
    <row r="9" spans="1:13" ht="14.25" x14ac:dyDescent="0.15">
      <c r="E9" s="9" t="s">
        <v>32</v>
      </c>
      <c r="F9" s="34" t="s">
        <v>698</v>
      </c>
      <c r="G9" s="35" t="s">
        <v>702</v>
      </c>
    </row>
    <row r="10" spans="1:13" ht="14.25" x14ac:dyDescent="0.15">
      <c r="E10" s="9" t="s">
        <v>33</v>
      </c>
      <c r="F10" s="34" t="s">
        <v>699</v>
      </c>
      <c r="G10" s="35" t="s">
        <v>702</v>
      </c>
    </row>
    <row r="11" spans="1:13" ht="14.25" x14ac:dyDescent="0.15">
      <c r="E11" s="9" t="s">
        <v>34</v>
      </c>
      <c r="F11" s="34" t="s">
        <v>705</v>
      </c>
      <c r="G11" s="35" t="s">
        <v>703</v>
      </c>
    </row>
    <row r="12" spans="1:13" ht="14.25" x14ac:dyDescent="0.15">
      <c r="E12" s="9" t="s">
        <v>34</v>
      </c>
      <c r="F12" s="34" t="s">
        <v>706</v>
      </c>
      <c r="G12" s="35" t="s">
        <v>704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175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43</v>
      </c>
    </row>
    <row r="20" spans="1:5" x14ac:dyDescent="0.15">
      <c r="A20" s="15" t="s">
        <v>610</v>
      </c>
      <c r="B20" s="4" t="s">
        <v>175</v>
      </c>
      <c r="C20" s="4" t="s">
        <v>346</v>
      </c>
      <c r="D20" s="4" t="s">
        <v>100</v>
      </c>
      <c r="E20" s="10" t="s">
        <v>615</v>
      </c>
    </row>
    <row r="25" spans="1:5" ht="18" x14ac:dyDescent="0.2">
      <c r="A25" s="13" t="s">
        <v>84</v>
      </c>
      <c r="B25" s="13"/>
    </row>
    <row r="26" spans="1:5" ht="13.5" x14ac:dyDescent="0.15">
      <c r="A26" s="18" t="s">
        <v>85</v>
      </c>
      <c r="B26" s="18" t="s">
        <v>86</v>
      </c>
      <c r="C26" s="18" t="s">
        <v>87</v>
      </c>
    </row>
    <row r="27" spans="1:5" x14ac:dyDescent="0.15">
      <c r="A27" s="4" t="s">
        <v>181</v>
      </c>
      <c r="B27" s="4" t="s">
        <v>88</v>
      </c>
      <c r="C27" s="4" t="s">
        <v>616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0"/>
  <sheetViews>
    <sheetView workbookViewId="0">
      <selection activeCell="F12" sqref="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5.5078125" style="4" bestFit="1" customWidth="1"/>
    <col min="4" max="4" width="11.8671875" style="4" bestFit="1" customWidth="1"/>
    <col min="5" max="5" width="22.65234375" style="4" bestFit="1" customWidth="1"/>
    <col min="6" max="6" width="26.0234375" style="4" bestFit="1" customWidth="1"/>
    <col min="7" max="7" width="4.98828125" style="3" customWidth="1"/>
    <col min="8" max="8" width="10.3828125" style="3" customWidth="1"/>
    <col min="9" max="9" width="7.8203125" style="10" bestFit="1" customWidth="1"/>
    <col min="10" max="10" width="9.57421875" style="2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8" t="s">
        <v>604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s="2" customFormat="1" ht="62.1" customHeight="1" thickBo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s="1" customFormat="1" ht="12.75" customHeight="1" x14ac:dyDescent="0.15">
      <c r="A3" s="44" t="s">
        <v>0</v>
      </c>
      <c r="B3" s="46" t="s">
        <v>6</v>
      </c>
      <c r="C3" s="46" t="s">
        <v>10</v>
      </c>
      <c r="D3" s="48" t="s">
        <v>551</v>
      </c>
      <c r="E3" s="48" t="s">
        <v>4</v>
      </c>
      <c r="F3" s="48" t="s">
        <v>7</v>
      </c>
      <c r="G3" s="48" t="s">
        <v>605</v>
      </c>
      <c r="H3" s="48"/>
      <c r="I3" s="48" t="s">
        <v>559</v>
      </c>
      <c r="J3" s="48" t="s">
        <v>3</v>
      </c>
      <c r="K3" s="49" t="s">
        <v>2</v>
      </c>
    </row>
    <row r="4" spans="1:11" s="1" customFormat="1" ht="21" customHeight="1" thickBot="1" x14ac:dyDescent="0.2">
      <c r="A4" s="45"/>
      <c r="B4" s="47"/>
      <c r="C4" s="47"/>
      <c r="D4" s="47"/>
      <c r="E4" s="47"/>
      <c r="F4" s="47"/>
      <c r="G4" s="5" t="s">
        <v>8</v>
      </c>
      <c r="H4" s="5" t="s">
        <v>9</v>
      </c>
      <c r="I4" s="47"/>
      <c r="J4" s="47"/>
      <c r="K4" s="50"/>
    </row>
    <row r="5" spans="1:11" ht="14.25" x14ac:dyDescent="0.15">
      <c r="A5" s="36" t="s">
        <v>49</v>
      </c>
      <c r="B5" s="37"/>
      <c r="C5" s="37"/>
      <c r="D5" s="37"/>
      <c r="E5" s="37"/>
      <c r="F5" s="37"/>
      <c r="G5" s="37"/>
      <c r="H5" s="37"/>
    </row>
    <row r="6" spans="1:11" x14ac:dyDescent="0.15">
      <c r="A6" s="6" t="s">
        <v>594</v>
      </c>
      <c r="B6" s="6" t="s">
        <v>595</v>
      </c>
      <c r="C6" s="6" t="s">
        <v>596</v>
      </c>
      <c r="D6" s="6" t="str">
        <f>"0,7881"</f>
        <v>0,7881</v>
      </c>
      <c r="E6" s="6" t="s">
        <v>21</v>
      </c>
      <c r="F6" s="6" t="s">
        <v>73</v>
      </c>
      <c r="G6" s="7" t="s">
        <v>376</v>
      </c>
      <c r="H6" s="7" t="s">
        <v>209</v>
      </c>
      <c r="I6" s="11" t="str">
        <f>"1500,0"</f>
        <v>1500,0</v>
      </c>
      <c r="J6" s="12" t="str">
        <f>"1182,1500"</f>
        <v>1182,1500</v>
      </c>
      <c r="K6" s="6" t="s">
        <v>30</v>
      </c>
    </row>
    <row r="8" spans="1:11" ht="14.25" x14ac:dyDescent="0.15">
      <c r="E8" s="9" t="s">
        <v>31</v>
      </c>
      <c r="F8" s="34" t="s">
        <v>701</v>
      </c>
      <c r="G8" s="35" t="s">
        <v>703</v>
      </c>
    </row>
    <row r="9" spans="1:11" ht="14.25" x14ac:dyDescent="0.15">
      <c r="E9" s="9" t="s">
        <v>32</v>
      </c>
      <c r="F9" s="34" t="s">
        <v>698</v>
      </c>
      <c r="G9" s="35" t="s">
        <v>702</v>
      </c>
    </row>
    <row r="10" spans="1:11" ht="14.25" x14ac:dyDescent="0.15">
      <c r="E10" s="9" t="s">
        <v>33</v>
      </c>
      <c r="F10" s="34" t="s">
        <v>699</v>
      </c>
      <c r="G10" s="35" t="s">
        <v>702</v>
      </c>
    </row>
    <row r="11" spans="1:11" ht="14.25" x14ac:dyDescent="0.15">
      <c r="E11" s="9" t="s">
        <v>34</v>
      </c>
      <c r="F11" s="34" t="s">
        <v>700</v>
      </c>
      <c r="G11" s="35" t="s">
        <v>703</v>
      </c>
    </row>
    <row r="12" spans="1:11" ht="14.25" x14ac:dyDescent="0.15">
      <c r="E12" s="9" t="s">
        <v>34</v>
      </c>
      <c r="F12" s="34" t="s">
        <v>706</v>
      </c>
      <c r="G12" s="35" t="s">
        <v>704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3" t="s">
        <v>36</v>
      </c>
      <c r="B16" s="13"/>
    </row>
    <row r="17" spans="1:5" ht="14.25" x14ac:dyDescent="0.15">
      <c r="A17" s="14" t="s">
        <v>37</v>
      </c>
      <c r="B17" s="14"/>
    </row>
    <row r="18" spans="1:5" ht="13.5" x14ac:dyDescent="0.15">
      <c r="A18" s="16"/>
      <c r="B18" s="17" t="s">
        <v>38</v>
      </c>
    </row>
    <row r="19" spans="1:5" ht="13.5" x14ac:dyDescent="0.15">
      <c r="A19" s="18" t="s">
        <v>39</v>
      </c>
      <c r="B19" s="18" t="s">
        <v>40</v>
      </c>
      <c r="C19" s="18" t="s">
        <v>41</v>
      </c>
      <c r="D19" s="18" t="s">
        <v>161</v>
      </c>
      <c r="E19" s="18" t="s">
        <v>555</v>
      </c>
    </row>
    <row r="20" spans="1:5" x14ac:dyDescent="0.15">
      <c r="A20" s="15" t="s">
        <v>593</v>
      </c>
      <c r="B20" s="4" t="s">
        <v>601</v>
      </c>
      <c r="C20" s="4" t="s">
        <v>64</v>
      </c>
      <c r="D20" s="4" t="s">
        <v>606</v>
      </c>
      <c r="E20" s="10" t="s">
        <v>607</v>
      </c>
    </row>
  </sheetData>
  <mergeCells count="12"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Русская тяга люб. 75 кг.</vt:lpstr>
      <vt:lpstr>РЖ любители 75 кг.</vt:lpstr>
      <vt:lpstr>РЖ любители 55 кг.</vt:lpstr>
      <vt:lpstr>РЖ любители 35 кг.</vt:lpstr>
      <vt:lpstr>РЖ Проф 55 кг.</vt:lpstr>
      <vt:lpstr>Бицепс Профессионалы</vt:lpstr>
      <vt:lpstr>Бицепс Любители</vt:lpstr>
      <vt:lpstr>Жим стоя Любители</vt:lpstr>
      <vt:lpstr>ПРО В.Ж. м.повт. 1_2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ПРО присед б.э.</vt:lpstr>
      <vt:lpstr>Люб. присед б.э.</vt:lpstr>
      <vt:lpstr>Люб. тяга софт экип.</vt:lpstr>
      <vt:lpstr>ПРО тяга б.э.</vt:lpstr>
      <vt:lpstr>Люб. тяга б.э.</vt:lpstr>
      <vt:lpstr>ПРО тяга 1.слой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Люб. жим 1.слой</vt:lpstr>
      <vt:lpstr>ПРО Военный жим класс.</vt:lpstr>
      <vt:lpstr>Люб. Военный жим класс.</vt:lpstr>
      <vt:lpstr>ПРО ПЛ. мн.петельная софт</vt:lpstr>
      <vt:lpstr>ПРО ПЛ. б.э.</vt:lpstr>
      <vt:lpstr>Люб. ПЛ. б.э.</vt:lpstr>
      <vt:lpstr>Люб. ПЛ. СОФТ СТАНДАРТ</vt:lpstr>
      <vt:lpstr>ПРО ПЛ. 1.слой</vt:lpstr>
      <vt:lpstr>СОВ ПЛ.</vt:lpstr>
      <vt:lpstr>Командное первенство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2020-11-26T02:27:20Z</dcterms:modified>
</cp:coreProperties>
</file>