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0A05DCCC-73A0-744A-8B96-4E49C8558D38}" xr6:coauthVersionLast="45" xr6:coauthVersionMax="45" xr10:uidLastSave="{00000000-0000-0000-0000-000000000000}"/>
  <bookViews>
    <workbookView xWindow="480" yWindow="460" windowWidth="28320" windowHeight="15540" tabRatio="963" firstSheet="16" activeTab="22" xr2:uid="{00000000-000D-0000-FFFF-FFFF00000000}"/>
  </bookViews>
  <sheets>
    <sheet name="GPA ПЛ без экипировки ДК" sheetId="6" r:id="rId1"/>
    <sheet name="GPA ПЛ без экипировки" sheetId="5" r:id="rId2"/>
    <sheet name="GPA ПЛ в бинтах ДК" sheetId="8" r:id="rId3"/>
    <sheet name="GPA ПЛ в бинтах" sheetId="7" r:id="rId4"/>
    <sheet name="GPA Двоеборье без экип ДК" sheetId="16" r:id="rId5"/>
    <sheet name="GPA Присед без экипировки ДК" sheetId="18" r:id="rId6"/>
    <sheet name="GPA Присед в бинтах ДК" sheetId="19" r:id="rId7"/>
    <sheet name="GPA Жим без экипировки ДК" sheetId="11" r:id="rId8"/>
    <sheet name="GPA Жим без экипировки" sheetId="10" r:id="rId9"/>
    <sheet name="СПР Жим софт однопетельная ДК" sheetId="21" r:id="rId10"/>
    <sheet name="СПР Жим софт однопетельная" sheetId="20" r:id="rId11"/>
    <sheet name="СПР Жим софт многопетельная ДК" sheetId="23" r:id="rId12"/>
    <sheet name="СПР Жим софт многопетельная" sheetId="22" r:id="rId13"/>
    <sheet name="СПР Жим СФО" sheetId="24" r:id="rId14"/>
    <sheet name="GPA Тяга без экипировки ДК" sheetId="14" r:id="rId15"/>
    <sheet name="GPA Тяга без экипировки" sheetId="13" r:id="rId16"/>
    <sheet name="IPO Тяга в экипировке" sheetId="15" r:id="rId17"/>
    <sheet name="СПР Пауэрспорт ДК" sheetId="34" r:id="rId18"/>
    <sheet name="СПР Пауэрспорт" sheetId="33" r:id="rId19"/>
    <sheet name="СПР Жим стоя ДК" sheetId="30" r:id="rId20"/>
    <sheet name="СПР Жим стоя" sheetId="29" r:id="rId21"/>
    <sheet name="СПР Подъем на бицепс ДК" sheetId="32" r:id="rId22"/>
    <sheet name="СПР Подъем на бицепс" sheetId="31" r:id="rId23"/>
  </sheets>
  <definedNames>
    <definedName name="_FilterDatabase" localSheetId="1" hidden="1">'GPA ПЛ без экипировки'!$A$1:$S$3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34" l="1"/>
  <c r="O16" i="34"/>
  <c r="P13" i="34"/>
  <c r="O13" i="34"/>
  <c r="P12" i="34"/>
  <c r="O12" i="34"/>
  <c r="P9" i="34"/>
  <c r="O9" i="34"/>
  <c r="P6" i="34"/>
  <c r="O6" i="34"/>
  <c r="P15" i="33"/>
  <c r="O15" i="33"/>
  <c r="P12" i="33"/>
  <c r="P9" i="33"/>
  <c r="O9" i="33"/>
  <c r="P6" i="33"/>
  <c r="L28" i="32"/>
  <c r="K28" i="32"/>
  <c r="L25" i="32"/>
  <c r="L24" i="32"/>
  <c r="K24" i="32"/>
  <c r="L23" i="32"/>
  <c r="K23" i="32"/>
  <c r="L22" i="32"/>
  <c r="K22" i="32"/>
  <c r="L19" i="32"/>
  <c r="K19" i="32"/>
  <c r="L18" i="32"/>
  <c r="K18" i="32"/>
  <c r="L17" i="32"/>
  <c r="K17" i="32"/>
  <c r="L16" i="32"/>
  <c r="K16" i="32"/>
  <c r="L15" i="32"/>
  <c r="K15" i="32"/>
  <c r="L12" i="32"/>
  <c r="K12" i="32"/>
  <c r="L11" i="32"/>
  <c r="K11" i="32"/>
  <c r="L10" i="32"/>
  <c r="K10" i="32"/>
  <c r="L9" i="32"/>
  <c r="K9" i="32"/>
  <c r="L6" i="32"/>
  <c r="K6" i="32"/>
  <c r="L12" i="31"/>
  <c r="K12" i="31"/>
  <c r="L9" i="31"/>
  <c r="K9" i="31"/>
  <c r="L6" i="31"/>
  <c r="K6" i="31"/>
  <c r="L6" i="30"/>
  <c r="K6" i="30"/>
  <c r="L9" i="29"/>
  <c r="K9" i="29"/>
  <c r="L6" i="29"/>
  <c r="K6" i="29"/>
  <c r="L6" i="24"/>
  <c r="K6" i="24"/>
  <c r="L6" i="23"/>
  <c r="K6" i="23"/>
  <c r="L10" i="22"/>
  <c r="K10" i="22"/>
  <c r="L7" i="22"/>
  <c r="K7" i="22"/>
  <c r="L6" i="22"/>
  <c r="K6" i="22"/>
  <c r="L6" i="21"/>
  <c r="K6" i="21"/>
  <c r="L17" i="20"/>
  <c r="K17" i="20"/>
  <c r="L14" i="20"/>
  <c r="K14" i="20"/>
  <c r="L13" i="20"/>
  <c r="K13" i="20"/>
  <c r="L10" i="20"/>
  <c r="K10" i="20"/>
  <c r="L9" i="20"/>
  <c r="K9" i="20"/>
  <c r="L6" i="20"/>
  <c r="K6" i="20"/>
  <c r="L6" i="19"/>
  <c r="K6" i="19"/>
  <c r="L6" i="18"/>
  <c r="K6" i="18"/>
  <c r="P10" i="16"/>
  <c r="O10" i="16"/>
  <c r="P9" i="16"/>
  <c r="O9" i="16"/>
  <c r="P6" i="16"/>
  <c r="O6" i="16"/>
  <c r="L6" i="15"/>
  <c r="K6" i="15"/>
  <c r="L53" i="14"/>
  <c r="K53" i="14"/>
  <c r="L50" i="14"/>
  <c r="K50" i="14"/>
  <c r="L47" i="14"/>
  <c r="K47" i="14"/>
  <c r="L46" i="14"/>
  <c r="K46" i="14"/>
  <c r="L43" i="14"/>
  <c r="K43" i="14"/>
  <c r="L40" i="14"/>
  <c r="K40" i="14"/>
  <c r="L39" i="14"/>
  <c r="K39" i="14"/>
  <c r="L38" i="14"/>
  <c r="K38" i="14"/>
  <c r="L35" i="14"/>
  <c r="L34" i="14"/>
  <c r="K34" i="14"/>
  <c r="L33" i="14"/>
  <c r="K33" i="14"/>
  <c r="L32" i="14"/>
  <c r="K32" i="14"/>
  <c r="L31" i="14"/>
  <c r="K31" i="14"/>
  <c r="L30" i="14"/>
  <c r="K30" i="14"/>
  <c r="L27" i="14"/>
  <c r="K27" i="14"/>
  <c r="L26" i="14"/>
  <c r="K26" i="14"/>
  <c r="L25" i="14"/>
  <c r="K25" i="14"/>
  <c r="L24" i="14"/>
  <c r="K24" i="14"/>
  <c r="L21" i="14"/>
  <c r="K21" i="14"/>
  <c r="L18" i="14"/>
  <c r="K18" i="14"/>
  <c r="L15" i="14"/>
  <c r="K15" i="14"/>
  <c r="L12" i="14"/>
  <c r="K12" i="14"/>
  <c r="L9" i="14"/>
  <c r="K9" i="14"/>
  <c r="L6" i="14"/>
  <c r="K6" i="14"/>
  <c r="L12" i="13"/>
  <c r="K12" i="13"/>
  <c r="L9" i="13"/>
  <c r="K9" i="13"/>
  <c r="L6" i="13"/>
  <c r="K6" i="13"/>
  <c r="L61" i="11"/>
  <c r="K61" i="11"/>
  <c r="L58" i="11"/>
  <c r="K58" i="11"/>
  <c r="L57" i="11"/>
  <c r="K57" i="11"/>
  <c r="L56" i="11"/>
  <c r="K56" i="11"/>
  <c r="L53" i="11"/>
  <c r="K53" i="11"/>
  <c r="L52" i="11"/>
  <c r="K52" i="11"/>
  <c r="L51" i="11"/>
  <c r="K51" i="11"/>
  <c r="L50" i="11"/>
  <c r="K50" i="11"/>
  <c r="L49" i="11"/>
  <c r="K49" i="11"/>
  <c r="L46" i="11"/>
  <c r="K46" i="11"/>
  <c r="L45" i="11"/>
  <c r="K45" i="11"/>
  <c r="L44" i="11"/>
  <c r="K44" i="11"/>
  <c r="L43" i="11"/>
  <c r="K43" i="11"/>
  <c r="L42" i="11"/>
  <c r="K42" i="11"/>
  <c r="L41" i="11"/>
  <c r="K41" i="11"/>
  <c r="L40" i="11"/>
  <c r="K40" i="11"/>
  <c r="L39" i="11"/>
  <c r="K39" i="11"/>
  <c r="L36" i="11"/>
  <c r="K36" i="11"/>
  <c r="L35" i="11"/>
  <c r="K35" i="11"/>
  <c r="L34" i="11"/>
  <c r="K34" i="11"/>
  <c r="L33" i="11"/>
  <c r="K33" i="11"/>
  <c r="L30" i="11"/>
  <c r="K30" i="11"/>
  <c r="L29" i="11"/>
  <c r="L28" i="11"/>
  <c r="K28" i="11"/>
  <c r="L27" i="11"/>
  <c r="K27" i="11"/>
  <c r="L26" i="11"/>
  <c r="K26" i="11"/>
  <c r="L25" i="11"/>
  <c r="K25" i="11"/>
  <c r="L22" i="11"/>
  <c r="K22" i="11"/>
  <c r="L21" i="11"/>
  <c r="K21" i="11"/>
  <c r="L20" i="11"/>
  <c r="L17" i="11"/>
  <c r="K17" i="11"/>
  <c r="L16" i="11"/>
  <c r="K16" i="11"/>
  <c r="L13" i="11"/>
  <c r="K13" i="11"/>
  <c r="L12" i="11"/>
  <c r="K12" i="11"/>
  <c r="L9" i="11"/>
  <c r="K9" i="11"/>
  <c r="L6" i="11"/>
  <c r="K6" i="11"/>
  <c r="L37" i="10"/>
  <c r="K37" i="10"/>
  <c r="L34" i="10"/>
  <c r="K34" i="10"/>
  <c r="L31" i="10"/>
  <c r="K31" i="10"/>
  <c r="L30" i="10"/>
  <c r="K30" i="10"/>
  <c r="L29" i="10"/>
  <c r="K29" i="10"/>
  <c r="L28" i="10"/>
  <c r="K28" i="10"/>
  <c r="L27" i="10"/>
  <c r="K27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3" i="10"/>
  <c r="K13" i="10"/>
  <c r="L12" i="10"/>
  <c r="K12" i="10"/>
  <c r="L9" i="10"/>
  <c r="K9" i="10"/>
  <c r="L6" i="10"/>
  <c r="T28" i="8"/>
  <c r="S28" i="8"/>
  <c r="T25" i="8"/>
  <c r="T24" i="8"/>
  <c r="S24" i="8"/>
  <c r="T21" i="8"/>
  <c r="S21" i="8"/>
  <c r="T18" i="8"/>
  <c r="S18" i="8"/>
  <c r="T15" i="8"/>
  <c r="S15" i="8"/>
  <c r="T12" i="8"/>
  <c r="S12" i="8"/>
  <c r="T9" i="8"/>
  <c r="S9" i="8"/>
  <c r="T6" i="8"/>
  <c r="S6" i="8"/>
  <c r="T23" i="7"/>
  <c r="S23" i="7"/>
  <c r="T20" i="7"/>
  <c r="S20" i="7"/>
  <c r="T17" i="7"/>
  <c r="S17" i="7"/>
  <c r="T16" i="7"/>
  <c r="S16" i="7"/>
  <c r="T15" i="7"/>
  <c r="S15" i="7"/>
  <c r="T14" i="7"/>
  <c r="S14" i="7"/>
  <c r="T13" i="7"/>
  <c r="S13" i="7"/>
  <c r="T12" i="7"/>
  <c r="S12" i="7"/>
  <c r="T9" i="7"/>
  <c r="S9" i="7"/>
  <c r="T6" i="7"/>
  <c r="S6" i="7"/>
  <c r="T33" i="6"/>
  <c r="S33" i="6"/>
  <c r="T32" i="6"/>
  <c r="S32" i="6"/>
  <c r="T31" i="6"/>
  <c r="S31" i="6"/>
  <c r="T30" i="6"/>
  <c r="S30" i="6"/>
  <c r="T27" i="6"/>
  <c r="S27" i="6"/>
  <c r="T24" i="6"/>
  <c r="S24" i="6"/>
  <c r="T21" i="6"/>
  <c r="S21" i="6"/>
  <c r="T18" i="6"/>
  <c r="S18" i="6"/>
  <c r="T17" i="6"/>
  <c r="S17" i="6"/>
  <c r="T16" i="6"/>
  <c r="S16" i="6"/>
  <c r="T13" i="6"/>
  <c r="S13" i="6"/>
  <c r="T10" i="6"/>
  <c r="S10" i="6"/>
  <c r="T9" i="6"/>
  <c r="S9" i="6"/>
  <c r="T6" i="6"/>
  <c r="S6" i="6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<sst xmlns="http://schemas.openxmlformats.org/spreadsheetml/2006/main" count="2501" uniqueCount="773">
  <si>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</si>
  <si>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</si>
  <si>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</si>
  <si>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</si>
  <si>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</si>
  <si>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</si>
  <si>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</si>
  <si>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</si>
  <si>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</si>
  <si>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</si>
  <si>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60</t>
  </si>
  <si>
    <t>Бондарчук Елена</t>
  </si>
  <si>
    <t>Открытая (18.06.1980)/40</t>
  </si>
  <si>
    <t>59,90</t>
  </si>
  <si>
    <t xml:space="preserve">Санкт-Петербург </t>
  </si>
  <si>
    <t>137,5</t>
  </si>
  <si>
    <t>142,5</t>
  </si>
  <si>
    <t>145,0</t>
  </si>
  <si>
    <t>92,5</t>
  </si>
  <si>
    <t>97,5</t>
  </si>
  <si>
    <t>100,0</t>
  </si>
  <si>
    <t>155,0</t>
  </si>
  <si>
    <t>165,0</t>
  </si>
  <si>
    <t>170,0</t>
  </si>
  <si>
    <t>172,5</t>
  </si>
  <si>
    <t xml:space="preserve">Таранухин Г. </t>
  </si>
  <si>
    <t>ВЕСОВАЯ КАТЕГОРИЯ   82.5</t>
  </si>
  <si>
    <t>Нестерко Сергей</t>
  </si>
  <si>
    <t>Открытая (29.04.1983)/37</t>
  </si>
  <si>
    <t>81,20</t>
  </si>
  <si>
    <t>140,0</t>
  </si>
  <si>
    <t>150,0</t>
  </si>
  <si>
    <t>160,0</t>
  </si>
  <si>
    <t>120,0</t>
  </si>
  <si>
    <t>130,0</t>
  </si>
  <si>
    <t>135,0</t>
  </si>
  <si>
    <t>220,0</t>
  </si>
  <si>
    <t>230,0</t>
  </si>
  <si>
    <t>240,0</t>
  </si>
  <si>
    <t>ВЕСОВАЯ КАТЕГОРИЯ   90</t>
  </si>
  <si>
    <t>Багитов Рустам</t>
  </si>
  <si>
    <t>Открытая (18.01.1985)/36</t>
  </si>
  <si>
    <t>90,00</t>
  </si>
  <si>
    <t>180,0</t>
  </si>
  <si>
    <t>ВЕСОВАЯ КАТЕГОРИЯ   140+</t>
  </si>
  <si>
    <t>Климов Вячеслав</t>
  </si>
  <si>
    <t>149,60</t>
  </si>
  <si>
    <t>105,0</t>
  </si>
  <si>
    <t>112,5</t>
  </si>
  <si>
    <t>200,0</t>
  </si>
  <si>
    <t>205,0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</si>
  <si>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</si>
  <si>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</si>
  <si>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</si>
  <si>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</si>
  <si>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</si>
  <si>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</si>
  <si>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</si>
  <si>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Gloss </t>
  </si>
  <si>
    <t xml:space="preserve">Мужчины </t>
  </si>
  <si>
    <t>82.5</t>
  </si>
  <si>
    <t>90</t>
  </si>
  <si>
    <t>1</t>
  </si>
  <si>
    <t/>
  </si>
  <si>
    <t>ВЕСОВАЯ КАТЕГОРИЯ   48</t>
  </si>
  <si>
    <t>Кочеткова Елена</t>
  </si>
  <si>
    <t>Открытая (20.10.1991)/29</t>
  </si>
  <si>
    <t>47,10</t>
  </si>
  <si>
    <t xml:space="preserve">Тейково/Ивановская область </t>
  </si>
  <si>
    <t>85,0</t>
  </si>
  <si>
    <t>90,0</t>
  </si>
  <si>
    <t>50,0</t>
  </si>
  <si>
    <t>55,0</t>
  </si>
  <si>
    <t>60,0</t>
  </si>
  <si>
    <t>110,0</t>
  </si>
  <si>
    <t xml:space="preserve"> </t>
  </si>
  <si>
    <t>ВЕСОВАЯ КАТЕГОРИЯ   56</t>
  </si>
  <si>
    <t>Фролова Анна</t>
  </si>
  <si>
    <t>Открытая (05.07.1989)/31</t>
  </si>
  <si>
    <t>53,80</t>
  </si>
  <si>
    <t xml:space="preserve">Люберцы/Московская область </t>
  </si>
  <si>
    <t>67,5</t>
  </si>
  <si>
    <t>75,0</t>
  </si>
  <si>
    <t>30,0</t>
  </si>
  <si>
    <t>35,0</t>
  </si>
  <si>
    <t>40,0</t>
  </si>
  <si>
    <t xml:space="preserve">Ермолаев В. </t>
  </si>
  <si>
    <t>Реут Наталья</t>
  </si>
  <si>
    <t>Открытая (14.04.1983)/37</t>
  </si>
  <si>
    <t>55,00</t>
  </si>
  <si>
    <t>57,5</t>
  </si>
  <si>
    <t>32,5</t>
  </si>
  <si>
    <t>77,5</t>
  </si>
  <si>
    <t>80,0</t>
  </si>
  <si>
    <t xml:space="preserve">Аксенов О. </t>
  </si>
  <si>
    <t>ВЕСОВАЯ КАТЕГОРИЯ   67.5</t>
  </si>
  <si>
    <t>Зудина Светлана</t>
  </si>
  <si>
    <t>Открытая (08.06.1983)/37</t>
  </si>
  <si>
    <t>66,50</t>
  </si>
  <si>
    <t xml:space="preserve">Тула/Тульская область </t>
  </si>
  <si>
    <t>115,0</t>
  </si>
  <si>
    <t>70,0</t>
  </si>
  <si>
    <t>ВЕСОВАЯ КАТЕГОРИЯ   75</t>
  </si>
  <si>
    <t>Рыжова Анастасия</t>
  </si>
  <si>
    <t>73,70</t>
  </si>
  <si>
    <t>65,0</t>
  </si>
  <si>
    <t xml:space="preserve">Алышев Н. </t>
  </si>
  <si>
    <t>Пустовая Анастасия</t>
  </si>
  <si>
    <t>Открытая (24.02.1990)/31</t>
  </si>
  <si>
    <t>68,00</t>
  </si>
  <si>
    <t>62,5</t>
  </si>
  <si>
    <t>45,0</t>
  </si>
  <si>
    <t>95,0</t>
  </si>
  <si>
    <t>Леонтьева Дарья</t>
  </si>
  <si>
    <t>Открытая (26.01.1995)/26</t>
  </si>
  <si>
    <t>68,20</t>
  </si>
  <si>
    <t>37,5</t>
  </si>
  <si>
    <t>42,5</t>
  </si>
  <si>
    <t>107,5</t>
  </si>
  <si>
    <t>Левушкин Алексей</t>
  </si>
  <si>
    <t>Открытая (16.07.1990)/30</t>
  </si>
  <si>
    <t>73,60</t>
  </si>
  <si>
    <t xml:space="preserve">Лобня/Московская область </t>
  </si>
  <si>
    <t>157,5</t>
  </si>
  <si>
    <t>175,0</t>
  </si>
  <si>
    <t>122,5</t>
  </si>
  <si>
    <t>127,5</t>
  </si>
  <si>
    <t>Кобзев Кирилл</t>
  </si>
  <si>
    <t>Открытая (02.06.1990)/30</t>
  </si>
  <si>
    <t>81,60</t>
  </si>
  <si>
    <t>187,5</t>
  </si>
  <si>
    <t>192,5</t>
  </si>
  <si>
    <t>117,5</t>
  </si>
  <si>
    <t xml:space="preserve">Бебенин Г. </t>
  </si>
  <si>
    <t>Супрунов Дмитрий</t>
  </si>
  <si>
    <t>Открытая (08.06.1989)/31</t>
  </si>
  <si>
    <t>88,90</t>
  </si>
  <si>
    <t xml:space="preserve">Пушкино/Московская область </t>
  </si>
  <si>
    <t>210,0</t>
  </si>
  <si>
    <t>215,0</t>
  </si>
  <si>
    <t>152,5</t>
  </si>
  <si>
    <t>232,5</t>
  </si>
  <si>
    <t xml:space="preserve">Юдин Г. </t>
  </si>
  <si>
    <t>ВЕСОВАЯ КАТЕГОРИЯ   100</t>
  </si>
  <si>
    <t>Ильин Борис</t>
  </si>
  <si>
    <t>Открытая (15.09.1994)/26</t>
  </si>
  <si>
    <t>100,00</t>
  </si>
  <si>
    <t xml:space="preserve">Ангарск/Иркутская область </t>
  </si>
  <si>
    <t>207,5</t>
  </si>
  <si>
    <t>177,5</t>
  </si>
  <si>
    <t>255,0</t>
  </si>
  <si>
    <t>265,0</t>
  </si>
  <si>
    <t xml:space="preserve">Зухайриев Б. </t>
  </si>
  <si>
    <t>Викторов Александр</t>
  </si>
  <si>
    <t>Открытая (28.10.1995)/25</t>
  </si>
  <si>
    <t>96,30</t>
  </si>
  <si>
    <t xml:space="preserve">Чехов/Московская область </t>
  </si>
  <si>
    <t>Бараш Станислав</t>
  </si>
  <si>
    <t>Открытая (28.09.1992)/28</t>
  </si>
  <si>
    <t>94,30</t>
  </si>
  <si>
    <t xml:space="preserve">Павловский Посад/Московская область </t>
  </si>
  <si>
    <t>87,5</t>
  </si>
  <si>
    <t>Коньков Андрей</t>
  </si>
  <si>
    <t>Мастера 40-49 (26.07.1980)/40</t>
  </si>
  <si>
    <t>97,00</t>
  </si>
  <si>
    <t xml:space="preserve">Раменское/Московская область </t>
  </si>
  <si>
    <t>195,0</t>
  </si>
  <si>
    <t>162,5</t>
  </si>
  <si>
    <t>167,5</t>
  </si>
  <si>
    <t>252,5</t>
  </si>
  <si>
    <t>75</t>
  </si>
  <si>
    <t>48</t>
  </si>
  <si>
    <t>257,5</t>
  </si>
  <si>
    <t>307,9957</t>
  </si>
  <si>
    <t>67.5</t>
  </si>
  <si>
    <t>327,5</t>
  </si>
  <si>
    <t>298,0905</t>
  </si>
  <si>
    <t>56</t>
  </si>
  <si>
    <t>188,6500</t>
  </si>
  <si>
    <t>100</t>
  </si>
  <si>
    <t xml:space="preserve">Мастера </t>
  </si>
  <si>
    <t xml:space="preserve">Мастера 40-49 </t>
  </si>
  <si>
    <t>2</t>
  </si>
  <si>
    <t>-</t>
  </si>
  <si>
    <t>3</t>
  </si>
  <si>
    <t>Прокопенков Максим</t>
  </si>
  <si>
    <t>Открытая (22.05.1997)/23</t>
  </si>
  <si>
    <t>74,20</t>
  </si>
  <si>
    <t xml:space="preserve">Рославль/Смоленская область </t>
  </si>
  <si>
    <t>147,5</t>
  </si>
  <si>
    <t>Бодров Артем</t>
  </si>
  <si>
    <t>Открытая (07.02.1999)/22</t>
  </si>
  <si>
    <t>89,60</t>
  </si>
  <si>
    <t xml:space="preserve">Рязань/Рязанская область </t>
  </si>
  <si>
    <t>235,0</t>
  </si>
  <si>
    <t>250,0</t>
  </si>
  <si>
    <t>275,0</t>
  </si>
  <si>
    <t>Шихгасанов Рамазан</t>
  </si>
  <si>
    <t>Открытая (23.02.1995)/26</t>
  </si>
  <si>
    <t>96,70</t>
  </si>
  <si>
    <t>310,0</t>
  </si>
  <si>
    <t>325,0</t>
  </si>
  <si>
    <t>340,0</t>
  </si>
  <si>
    <t>222,5</t>
  </si>
  <si>
    <t>290,0</t>
  </si>
  <si>
    <t>300,0</t>
  </si>
  <si>
    <t>305,0</t>
  </si>
  <si>
    <t>Иниев Умар</t>
  </si>
  <si>
    <t>Открытая (25.12.1985)/35</t>
  </si>
  <si>
    <t>98,40</t>
  </si>
  <si>
    <t>315,0</t>
  </si>
  <si>
    <t>320,0</t>
  </si>
  <si>
    <t>190,0</t>
  </si>
  <si>
    <t>317,5</t>
  </si>
  <si>
    <t xml:space="preserve">Гаджиев М. </t>
  </si>
  <si>
    <t>Бозов Тимур</t>
  </si>
  <si>
    <t>Открытая (13.11.1992)/28</t>
  </si>
  <si>
    <t>99,30</t>
  </si>
  <si>
    <t xml:space="preserve">Каменка/Пензенская область </t>
  </si>
  <si>
    <t>280,0</t>
  </si>
  <si>
    <t>332,5</t>
  </si>
  <si>
    <t xml:space="preserve">Андреев Т. </t>
  </si>
  <si>
    <t>Венгер Александр</t>
  </si>
  <si>
    <t>Открытая (22.02.1988)/33</t>
  </si>
  <si>
    <t>98,30</t>
  </si>
  <si>
    <t xml:space="preserve">Владимир/Владимирская область </t>
  </si>
  <si>
    <t>262,5</t>
  </si>
  <si>
    <t>260,0</t>
  </si>
  <si>
    <t>270,0</t>
  </si>
  <si>
    <t>Петкун Антон</t>
  </si>
  <si>
    <t>Открытая (10.12.1997)/23</t>
  </si>
  <si>
    <t xml:space="preserve">Тверь/Тверская область </t>
  </si>
  <si>
    <t>Козлов Владимир</t>
  </si>
  <si>
    <t>Открытая (12.06.1988)/32</t>
  </si>
  <si>
    <t>91,40</t>
  </si>
  <si>
    <t xml:space="preserve">Хотьково/Московская область </t>
  </si>
  <si>
    <t>185,0</t>
  </si>
  <si>
    <t xml:space="preserve">Акулич А. </t>
  </si>
  <si>
    <t>ВЕСОВАЯ КАТЕГОРИЯ   110</t>
  </si>
  <si>
    <t>Омаров Закир</t>
  </si>
  <si>
    <t>107,60</t>
  </si>
  <si>
    <t>125,0</t>
  </si>
  <si>
    <t>225,0</t>
  </si>
  <si>
    <t xml:space="preserve">Омаров А. </t>
  </si>
  <si>
    <t>ВЕСОВАЯ КАТЕГОРИЯ   125</t>
  </si>
  <si>
    <t>Макаренко Алексей</t>
  </si>
  <si>
    <t>Открытая (22.02.1981)/40</t>
  </si>
  <si>
    <t>119,00</t>
  </si>
  <si>
    <t xml:space="preserve">Подольск/Московская область </t>
  </si>
  <si>
    <t xml:space="preserve">Крылов В. </t>
  </si>
  <si>
    <t>110</t>
  </si>
  <si>
    <t>840,0</t>
  </si>
  <si>
    <t>495,5580</t>
  </si>
  <si>
    <t>837,5</t>
  </si>
  <si>
    <t>490,2306</t>
  </si>
  <si>
    <t>782,5</t>
  </si>
  <si>
    <t>456,2366</t>
  </si>
  <si>
    <t>4</t>
  </si>
  <si>
    <t>5</t>
  </si>
  <si>
    <t>6</t>
  </si>
  <si>
    <t>Тищенко Анастасия</t>
  </si>
  <si>
    <t>45,80</t>
  </si>
  <si>
    <t>72,5</t>
  </si>
  <si>
    <t>Рябова Алина</t>
  </si>
  <si>
    <t>Открытая (28.04.1995)/25</t>
  </si>
  <si>
    <t>54,80</t>
  </si>
  <si>
    <t xml:space="preserve">Норильск/Красноярский край </t>
  </si>
  <si>
    <t>52,5</t>
  </si>
  <si>
    <t>Брик Ольга</t>
  </si>
  <si>
    <t>Открытая (25.12.1987)/33</t>
  </si>
  <si>
    <t>59,70</t>
  </si>
  <si>
    <t>Крекова Диана</t>
  </si>
  <si>
    <t>Открытая (25.04.1998)/22</t>
  </si>
  <si>
    <t>65,90</t>
  </si>
  <si>
    <t xml:space="preserve">Зеленоград/Московская область </t>
  </si>
  <si>
    <t>82,5</t>
  </si>
  <si>
    <t xml:space="preserve">Суслов Н. </t>
  </si>
  <si>
    <t>Масолбасов Алексей</t>
  </si>
  <si>
    <t>Открытая (29.03.2002)/18</t>
  </si>
  <si>
    <t>67,00</t>
  </si>
  <si>
    <t xml:space="preserve">Москва </t>
  </si>
  <si>
    <t xml:space="preserve">Румянцев С </t>
  </si>
  <si>
    <t>Илюшин Евгений</t>
  </si>
  <si>
    <t>Открытая (21.09.1987)/33</t>
  </si>
  <si>
    <t>82,20</t>
  </si>
  <si>
    <t>Погадаев Владислав</t>
  </si>
  <si>
    <t>Открытая (28.06.2000)/20</t>
  </si>
  <si>
    <t>86,20</t>
  </si>
  <si>
    <t>102,5</t>
  </si>
  <si>
    <t>Мельситов Дмитрий</t>
  </si>
  <si>
    <t>Мастера 40-49 (01.04.1978)/42</t>
  </si>
  <si>
    <t>87,50</t>
  </si>
  <si>
    <t>197,5</t>
  </si>
  <si>
    <t>ВЕСОВАЯ КАТЕГОРИЯ   140</t>
  </si>
  <si>
    <t>Бегагаев Махмуд</t>
  </si>
  <si>
    <t>Открытая (11.03.1987)/34</t>
  </si>
  <si>
    <t>135,40</t>
  </si>
  <si>
    <t>140</t>
  </si>
  <si>
    <t>Саматова Хилола</t>
  </si>
  <si>
    <t>Открытая (26.05.1993)/27</t>
  </si>
  <si>
    <t>71,00</t>
  </si>
  <si>
    <t xml:space="preserve">Калуга/Калужская область </t>
  </si>
  <si>
    <t>Гасанов Рамиль</t>
  </si>
  <si>
    <t>Открытая (09.12.1996)/24</t>
  </si>
  <si>
    <t>70,00</t>
  </si>
  <si>
    <t xml:space="preserve">Федотов Н. </t>
  </si>
  <si>
    <t>Захаров Дмитрий</t>
  </si>
  <si>
    <t>82,10</t>
  </si>
  <si>
    <t xml:space="preserve">Медынь/Калужская область </t>
  </si>
  <si>
    <t>Буханцев Антон</t>
  </si>
  <si>
    <t>Открытая (22.06.1991)/29</t>
  </si>
  <si>
    <t>78,10</t>
  </si>
  <si>
    <t xml:space="preserve">Яруков С. </t>
  </si>
  <si>
    <t>Кондаков Алексей</t>
  </si>
  <si>
    <t>Открытая (22.07.1970)/50</t>
  </si>
  <si>
    <t>89,90</t>
  </si>
  <si>
    <t>182,5</t>
  </si>
  <si>
    <t>Любимский Семен</t>
  </si>
  <si>
    <t>Открытая (31.03.1986)/34</t>
  </si>
  <si>
    <t>88,50</t>
  </si>
  <si>
    <t xml:space="preserve">Туапсе/Краснодарский край </t>
  </si>
  <si>
    <t>Комраков Никита</t>
  </si>
  <si>
    <t>Открытая (23.06.1995)/25</t>
  </si>
  <si>
    <t>87,60</t>
  </si>
  <si>
    <t>Волчанов Владислав</t>
  </si>
  <si>
    <t>Открытая (31.10.1975)/45</t>
  </si>
  <si>
    <t>85,00</t>
  </si>
  <si>
    <t xml:space="preserve">Сергиев Посад/Московская область </t>
  </si>
  <si>
    <t>Аскеров Шамиль</t>
  </si>
  <si>
    <t>Открытая (01.04.1989)/31</t>
  </si>
  <si>
    <t>87,90</t>
  </si>
  <si>
    <t xml:space="preserve">Балашиха/Московская область </t>
  </si>
  <si>
    <t>Зиннатов Руслан</t>
  </si>
  <si>
    <t>Открытая (21.12.1986)/34</t>
  </si>
  <si>
    <t>86,40</t>
  </si>
  <si>
    <t xml:space="preserve">Абдулин М. </t>
  </si>
  <si>
    <t>Мастера 40-49 (31.10.1975)/45</t>
  </si>
  <si>
    <t>Мастера 50-59 (22.07.1970)/50</t>
  </si>
  <si>
    <t>Костев Николай</t>
  </si>
  <si>
    <t>Мастера 60-69 (17.12.1959)/61</t>
  </si>
  <si>
    <t>Гаврилюк Сергей</t>
  </si>
  <si>
    <t>Открытая (02.09.1988)/32</t>
  </si>
  <si>
    <t>96,20</t>
  </si>
  <si>
    <t xml:space="preserve">Ейск/Краснодарский край </t>
  </si>
  <si>
    <t xml:space="preserve">Сидорова В. </t>
  </si>
  <si>
    <t>Синюхин Алексей</t>
  </si>
  <si>
    <t>Открытая (22.07.1993)/27</t>
  </si>
  <si>
    <t>97,90</t>
  </si>
  <si>
    <t>Федотов Никита</t>
  </si>
  <si>
    <t>Открытая (27.12.1997)/23</t>
  </si>
  <si>
    <t>99,00</t>
  </si>
  <si>
    <t xml:space="preserve">Орехово-Зуево/Московская область </t>
  </si>
  <si>
    <t>Костоломов Дмитрий</t>
  </si>
  <si>
    <t>Открытая (12.12.1991)/29</t>
  </si>
  <si>
    <t>95,60</t>
  </si>
  <si>
    <t xml:space="preserve">Истра/Московская область </t>
  </si>
  <si>
    <t>Матросов Александр</t>
  </si>
  <si>
    <t>Мастера 40-49 (04.02.1972)/49</t>
  </si>
  <si>
    <t>94,50</t>
  </si>
  <si>
    <t>Степанов Тимофей</t>
  </si>
  <si>
    <t>108,40</t>
  </si>
  <si>
    <t xml:space="preserve">Федоренко А. </t>
  </si>
  <si>
    <t>Казак Виталий</t>
  </si>
  <si>
    <t>113,00</t>
  </si>
  <si>
    <t xml:space="preserve">Результат </t>
  </si>
  <si>
    <t>121,2370</t>
  </si>
  <si>
    <t>114,7969</t>
  </si>
  <si>
    <t>114,2745</t>
  </si>
  <si>
    <t xml:space="preserve">Мастера 50-59 </t>
  </si>
  <si>
    <t>Результат</t>
  </si>
  <si>
    <t>ВЕСОВАЯ КАТЕГОРИЯ   52</t>
  </si>
  <si>
    <t>Сычева Наталья</t>
  </si>
  <si>
    <t>Открытая (04.06.1995)/25</t>
  </si>
  <si>
    <t>50,50</t>
  </si>
  <si>
    <t xml:space="preserve">Одинцово/Московская область </t>
  </si>
  <si>
    <t xml:space="preserve">Ржановский А. </t>
  </si>
  <si>
    <t>Следь Анастасия</t>
  </si>
  <si>
    <t>Открытая (05.08.1985)/35</t>
  </si>
  <si>
    <t>55,20</t>
  </si>
  <si>
    <t xml:space="preserve">Соколов Н </t>
  </si>
  <si>
    <t>Питерская Карина</t>
  </si>
  <si>
    <t>Открытая (13.05.1985)/35</t>
  </si>
  <si>
    <t>55,10</t>
  </si>
  <si>
    <t xml:space="preserve">Серпухов/Московская область </t>
  </si>
  <si>
    <t>Яковлева Елена</t>
  </si>
  <si>
    <t>Открытая (04.12.1983)/37</t>
  </si>
  <si>
    <t>60,00</t>
  </si>
  <si>
    <t>Буханцева Ирина</t>
  </si>
  <si>
    <t>Мастера 40-49 (24.11.1971)/49</t>
  </si>
  <si>
    <t>59,40</t>
  </si>
  <si>
    <t>Липихин Олег</t>
  </si>
  <si>
    <t>Открытая (10.08.1988)/32</t>
  </si>
  <si>
    <t>66,90</t>
  </si>
  <si>
    <t xml:space="preserve">Мазур Е. </t>
  </si>
  <si>
    <t>Богатырев Сергей</t>
  </si>
  <si>
    <t>Мастера 40-49 (04.08.1974)/46</t>
  </si>
  <si>
    <t>66,20</t>
  </si>
  <si>
    <t>Сердюченко Юрий</t>
  </si>
  <si>
    <t>Мастера 40-49 (20.09.1977)/43</t>
  </si>
  <si>
    <t>64,70</t>
  </si>
  <si>
    <t xml:space="preserve">Петрокович Н., Петрокович Е. </t>
  </si>
  <si>
    <t>Гвоздев Кирилл</t>
  </si>
  <si>
    <t>74,80</t>
  </si>
  <si>
    <t xml:space="preserve">Зенчурин М. </t>
  </si>
  <si>
    <t>Губенко Игорь</t>
  </si>
  <si>
    <t>Открытая (16.07.1971)/49</t>
  </si>
  <si>
    <t>73,80</t>
  </si>
  <si>
    <t>Пикалов Александр</t>
  </si>
  <si>
    <t>Открытая (14.10.1991)/29</t>
  </si>
  <si>
    <t>72,10</t>
  </si>
  <si>
    <t xml:space="preserve">Химки/Московская область </t>
  </si>
  <si>
    <t>Сушков Даниил</t>
  </si>
  <si>
    <t>Открытая (11.05.1988)/32</t>
  </si>
  <si>
    <t>74,40</t>
  </si>
  <si>
    <t>Хина Александр</t>
  </si>
  <si>
    <t>Открытая (23.01.1997)/24</t>
  </si>
  <si>
    <t>74,30</t>
  </si>
  <si>
    <t>Мастера 40-49 (16.07.1971)/49</t>
  </si>
  <si>
    <t>Кочеров Александр</t>
  </si>
  <si>
    <t>Открытая (15.10.1976)/44</t>
  </si>
  <si>
    <t>79,80</t>
  </si>
  <si>
    <t xml:space="preserve">Фрязино/Московская область </t>
  </si>
  <si>
    <t>Кочетков Александр</t>
  </si>
  <si>
    <t>Открытая (19.09.1988)/32</t>
  </si>
  <si>
    <t>82,50</t>
  </si>
  <si>
    <t>Андреев Дмитрий</t>
  </si>
  <si>
    <t>Открытая (16.11.1980)/40</t>
  </si>
  <si>
    <t>81,70</t>
  </si>
  <si>
    <t>Мастера 40-49 (16.11.1980)/40</t>
  </si>
  <si>
    <t>Мищенко Артем</t>
  </si>
  <si>
    <t>Открытая (26.06.1984)/36</t>
  </si>
  <si>
    <t>89,80</t>
  </si>
  <si>
    <t xml:space="preserve">Чокаев У. </t>
  </si>
  <si>
    <t>Фролов Станислав</t>
  </si>
  <si>
    <t>Открытая (15.09.1991)/29</t>
  </si>
  <si>
    <t>Сироткин Александр</t>
  </si>
  <si>
    <t>Открытая (25.10.1986)/34</t>
  </si>
  <si>
    <t>89,30</t>
  </si>
  <si>
    <t xml:space="preserve">Дедовск/Московская область </t>
  </si>
  <si>
    <t>Габидулин Олег</t>
  </si>
  <si>
    <t>Открытая (08.09.1994)/26</t>
  </si>
  <si>
    <t>85,90</t>
  </si>
  <si>
    <t xml:space="preserve">Мытищи/Московская область </t>
  </si>
  <si>
    <t xml:space="preserve">Наумлюк С. </t>
  </si>
  <si>
    <t>Рожков Андрей</t>
  </si>
  <si>
    <t>Открытая (15.10.1988)/32</t>
  </si>
  <si>
    <t xml:space="preserve">Луганск/Луганская область </t>
  </si>
  <si>
    <t>Салун Алексей</t>
  </si>
  <si>
    <t>Открытая (13.05.1981)/39</t>
  </si>
  <si>
    <t>86,30</t>
  </si>
  <si>
    <t>132,5</t>
  </si>
  <si>
    <t>Климов Эдуард</t>
  </si>
  <si>
    <t>Мастера 50-59 (22.08.1967)/53</t>
  </si>
  <si>
    <t>88,30</t>
  </si>
  <si>
    <t>Клименко Владимир</t>
  </si>
  <si>
    <t>Мастера 70-79 (12.03.1945)/76</t>
  </si>
  <si>
    <t>86,70</t>
  </si>
  <si>
    <t xml:space="preserve">Нахабино/Московская область </t>
  </si>
  <si>
    <t xml:space="preserve">Наумов А. </t>
  </si>
  <si>
    <t>Стрижаков Илья</t>
  </si>
  <si>
    <t>Открытая (28.04.1994)/26</t>
  </si>
  <si>
    <t>97,60</t>
  </si>
  <si>
    <t xml:space="preserve">Следь А. </t>
  </si>
  <si>
    <t>Грищенко Дмитрий</t>
  </si>
  <si>
    <t>Открытая (24.07.1994)/26</t>
  </si>
  <si>
    <t>96,00</t>
  </si>
  <si>
    <t>Дорин Владимир</t>
  </si>
  <si>
    <t>Климанов Игорь</t>
  </si>
  <si>
    <t>Мастера 40-49 (30.07.1974)/46</t>
  </si>
  <si>
    <t>93,30</t>
  </si>
  <si>
    <t xml:space="preserve">Дзержинский/Московская область </t>
  </si>
  <si>
    <t>Буханцев Павел</t>
  </si>
  <si>
    <t>Открытая (02.08.1969)/51</t>
  </si>
  <si>
    <t>108,20</t>
  </si>
  <si>
    <t>Шевелев Антон</t>
  </si>
  <si>
    <t>Открытая (01.06.1985)/35</t>
  </si>
  <si>
    <t>109,20</t>
  </si>
  <si>
    <t xml:space="preserve">Можайск/Московская область </t>
  </si>
  <si>
    <t>Мастера 50-59 (02.08.1969)/51</t>
  </si>
  <si>
    <t>Соломяный Влас</t>
  </si>
  <si>
    <t>Открытая (04.11.1994)/26</t>
  </si>
  <si>
    <t>136,60</t>
  </si>
  <si>
    <t>114,8625</t>
  </si>
  <si>
    <t>110,2680</t>
  </si>
  <si>
    <t>102,1372</t>
  </si>
  <si>
    <t xml:space="preserve">Мастера 70-79 </t>
  </si>
  <si>
    <t>126,0639</t>
  </si>
  <si>
    <t>111,8291</t>
  </si>
  <si>
    <t>108,5832</t>
  </si>
  <si>
    <t>Лухин Максим</t>
  </si>
  <si>
    <t>67,50</t>
  </si>
  <si>
    <t>281,0</t>
  </si>
  <si>
    <t>ВЕСОВАЯ КАТЕГОРИЯ   44</t>
  </si>
  <si>
    <t>Замчалина Марина</t>
  </si>
  <si>
    <t>Мастера 40-49 (20.01.1981)/40</t>
  </si>
  <si>
    <t>43,60</t>
  </si>
  <si>
    <t>Лиховидова Дарья</t>
  </si>
  <si>
    <t>Открытая (02.03.1995)/26</t>
  </si>
  <si>
    <t>51,60</t>
  </si>
  <si>
    <t xml:space="preserve">Аксай/Ростовская область </t>
  </si>
  <si>
    <t>Мясоедова Алина</t>
  </si>
  <si>
    <t>Открытая (29.06.1988)/32</t>
  </si>
  <si>
    <t>61,80</t>
  </si>
  <si>
    <t>Кузьмина Юлия</t>
  </si>
  <si>
    <t>Открытая (02.09.1989)/31</t>
  </si>
  <si>
    <t>72,50</t>
  </si>
  <si>
    <t xml:space="preserve">Зеленокумск/Ставропольский край </t>
  </si>
  <si>
    <t xml:space="preserve">Прусов И. </t>
  </si>
  <si>
    <t>Сапожников Владимир</t>
  </si>
  <si>
    <t>Открытая (19.07.1991)/29</t>
  </si>
  <si>
    <t>48,80</t>
  </si>
  <si>
    <t xml:space="preserve">Пустовой Р. </t>
  </si>
  <si>
    <t>Пация Гурами</t>
  </si>
  <si>
    <t>Открытая (15.02.1996)/25</t>
  </si>
  <si>
    <t>74,00</t>
  </si>
  <si>
    <t>Лукьяненков Вадим</t>
  </si>
  <si>
    <t>Открытая (13.09.1997)/23</t>
  </si>
  <si>
    <t>73,20</t>
  </si>
  <si>
    <t>Красавин Максим</t>
  </si>
  <si>
    <t>Открытая (10.08.1991)/29</t>
  </si>
  <si>
    <t>73,00</t>
  </si>
  <si>
    <t xml:space="preserve">Кольчугино/Владимирская область </t>
  </si>
  <si>
    <t>245,0</t>
  </si>
  <si>
    <t>Донников Юрий</t>
  </si>
  <si>
    <t>Открытая (01.12.1983)/37</t>
  </si>
  <si>
    <t>80,50</t>
  </si>
  <si>
    <t xml:space="preserve">Железнодорожный/Московская область </t>
  </si>
  <si>
    <t>Антонов Владимир</t>
  </si>
  <si>
    <t>Открытая (06.01.1995)/26</t>
  </si>
  <si>
    <t>80,70</t>
  </si>
  <si>
    <t>Подгорнов Никита</t>
  </si>
  <si>
    <t>Открытая (06.06.1996)/24</t>
  </si>
  <si>
    <t>80,40</t>
  </si>
  <si>
    <t>Верещагин Артем</t>
  </si>
  <si>
    <t>Открытая (17.09.1988)/32</t>
  </si>
  <si>
    <t>Рыбин Александр</t>
  </si>
  <si>
    <t>86,60</t>
  </si>
  <si>
    <t>Горьков Сергей</t>
  </si>
  <si>
    <t>Открытая (06.03.1991)/30</t>
  </si>
  <si>
    <t>Тихомиров Денис</t>
  </si>
  <si>
    <t>Открытая (22.08.1995)/25</t>
  </si>
  <si>
    <t>Шустров Алексей</t>
  </si>
  <si>
    <t>Мастера 40-49 (01.09.1976)/44</t>
  </si>
  <si>
    <t>Рыбалкин Михаил</t>
  </si>
  <si>
    <t>107,30</t>
  </si>
  <si>
    <t xml:space="preserve">Урюпинск/Волгоградская область </t>
  </si>
  <si>
    <t>Кулебякин Руслан</t>
  </si>
  <si>
    <t>Открытая (26.02.1991)/30</t>
  </si>
  <si>
    <t xml:space="preserve">Таганрог/Ростовская область </t>
  </si>
  <si>
    <t>Турутин Виталий</t>
  </si>
  <si>
    <t>Открытая (22.08.1988)/32</t>
  </si>
  <si>
    <t>123,50</t>
  </si>
  <si>
    <t>Дуруев Артур</t>
  </si>
  <si>
    <t>Открытая (08.07.1994)/26</t>
  </si>
  <si>
    <t>135,60</t>
  </si>
  <si>
    <t xml:space="preserve">Астрахань/Астраханская область </t>
  </si>
  <si>
    <t>302,5</t>
  </si>
  <si>
    <t>167,5960</t>
  </si>
  <si>
    <t>161,8345</t>
  </si>
  <si>
    <t>153,9367</t>
  </si>
  <si>
    <t>Казарина Елена</t>
  </si>
  <si>
    <t>Мастера 40-49 (14.10.1980)/40</t>
  </si>
  <si>
    <t>65,50</t>
  </si>
  <si>
    <t xml:space="preserve">Королёв/Московская область </t>
  </si>
  <si>
    <t>Воропаева Ольга</t>
  </si>
  <si>
    <t>Мастера 50-59 (15.07.1965)/55</t>
  </si>
  <si>
    <t>70,20</t>
  </si>
  <si>
    <t xml:space="preserve">Солнечногорск/Московская область </t>
  </si>
  <si>
    <t xml:space="preserve">Борисов Н. </t>
  </si>
  <si>
    <t>Киселев Дмитрий</t>
  </si>
  <si>
    <t>81,00</t>
  </si>
  <si>
    <t xml:space="preserve">Краснознаменск/Московская область </t>
  </si>
  <si>
    <t>Михайлов Александр</t>
  </si>
  <si>
    <t>Открытая (08.02.1991)/30</t>
  </si>
  <si>
    <t>Гришина Полина</t>
  </si>
  <si>
    <t>Открытая (19.04.1988)/32</t>
  </si>
  <si>
    <t>65,40</t>
  </si>
  <si>
    <t>Акулич Александр</t>
  </si>
  <si>
    <t>Открытая (17.11.1981)/39</t>
  </si>
  <si>
    <t>89,00</t>
  </si>
  <si>
    <t>Беспаликов Валерий</t>
  </si>
  <si>
    <t>Открытая (07.04.1981)/39</t>
  </si>
  <si>
    <t>99,60</t>
  </si>
  <si>
    <t>282,5</t>
  </si>
  <si>
    <t xml:space="preserve">Сербин А. </t>
  </si>
  <si>
    <t>Илюшин Руслан</t>
  </si>
  <si>
    <t>Открытая (25.02.1991)/30</t>
  </si>
  <si>
    <t>90,90</t>
  </si>
  <si>
    <t xml:space="preserve">Ушков И. </t>
  </si>
  <si>
    <t>Пузырев Денис</t>
  </si>
  <si>
    <t>Открытая (31.03.1974)/46</t>
  </si>
  <si>
    <t>109,90</t>
  </si>
  <si>
    <t>270,5</t>
  </si>
  <si>
    <t xml:space="preserve">Грудев А. </t>
  </si>
  <si>
    <t>Черствов Алексей</t>
  </si>
  <si>
    <t>Открытая (16.04.1981)/39</t>
  </si>
  <si>
    <t>117,30</t>
  </si>
  <si>
    <t xml:space="preserve">Талдом/Московская область </t>
  </si>
  <si>
    <t>Матвеев Александр</t>
  </si>
  <si>
    <t>77,50</t>
  </si>
  <si>
    <t xml:space="preserve">Жинкин В. </t>
  </si>
  <si>
    <t>Семенов Роман</t>
  </si>
  <si>
    <t>Открытая (12.11.1979)/41</t>
  </si>
  <si>
    <t>96,80</t>
  </si>
  <si>
    <t>335,0</t>
  </si>
  <si>
    <t>Василенко Дмитрий</t>
  </si>
  <si>
    <t>118,90</t>
  </si>
  <si>
    <t>350,0</t>
  </si>
  <si>
    <t>370,0</t>
  </si>
  <si>
    <t>380,0</t>
  </si>
  <si>
    <t>387,5</t>
  </si>
  <si>
    <t>Бардаков Матвей</t>
  </si>
  <si>
    <t>Петрокович Николай</t>
  </si>
  <si>
    <t>Мастера 40-49 (17.08.1979)/41</t>
  </si>
  <si>
    <t>88,10</t>
  </si>
  <si>
    <t>74,10</t>
  </si>
  <si>
    <t>Жим стоя</t>
  </si>
  <si>
    <t>Абдуллин Марат</t>
  </si>
  <si>
    <t>Открытая (21.07.1985)/35</t>
  </si>
  <si>
    <t>99,80</t>
  </si>
  <si>
    <t>Жемаркин Дмитрий</t>
  </si>
  <si>
    <t>Открытая (29.01.1997)/24</t>
  </si>
  <si>
    <t>128,00</t>
  </si>
  <si>
    <t>Константинов Сергей</t>
  </si>
  <si>
    <t>Открытая (12.10.1979)/41</t>
  </si>
  <si>
    <t>74,90</t>
  </si>
  <si>
    <t xml:space="preserve">Калининград/Калининградская область </t>
  </si>
  <si>
    <t xml:space="preserve">Поляков А. </t>
  </si>
  <si>
    <t>Пенько Константин</t>
  </si>
  <si>
    <t>82,00</t>
  </si>
  <si>
    <t>Щербаков Иван</t>
  </si>
  <si>
    <t>63,50</t>
  </si>
  <si>
    <t>56,0</t>
  </si>
  <si>
    <t>57,0</t>
  </si>
  <si>
    <t>Афонин Никита</t>
  </si>
  <si>
    <t>73,40</t>
  </si>
  <si>
    <t>47,5</t>
  </si>
  <si>
    <t xml:space="preserve">Нещедимов Р. </t>
  </si>
  <si>
    <t>Качалин Андрей</t>
  </si>
  <si>
    <t>Шафарук Дмитрий</t>
  </si>
  <si>
    <t>72,30</t>
  </si>
  <si>
    <t xml:space="preserve">Ивантеевка/Московская область </t>
  </si>
  <si>
    <t>Шепилов Кирилл</t>
  </si>
  <si>
    <t>Васильченко Егор</t>
  </si>
  <si>
    <t>Плаксин Артур</t>
  </si>
  <si>
    <t>Открытая (02.11.1989)/31</t>
  </si>
  <si>
    <t>Храпачев Сергей</t>
  </si>
  <si>
    <t>Лалас Сергей</t>
  </si>
  <si>
    <t>Открытая (10.05.1985)/35</t>
  </si>
  <si>
    <t xml:space="preserve">Долгопрудный/Московская область </t>
  </si>
  <si>
    <t>Кузнецов Александр</t>
  </si>
  <si>
    <t>Открытая (19.03.1993)/28</t>
  </si>
  <si>
    <t>Темиров Хуршед</t>
  </si>
  <si>
    <t xml:space="preserve">Дятьково/Брянская область </t>
  </si>
  <si>
    <t xml:space="preserve">Васильев А. </t>
  </si>
  <si>
    <t>Петриченко Максим</t>
  </si>
  <si>
    <t>Открытая (31.05.1987)/33</t>
  </si>
  <si>
    <t>92,30</t>
  </si>
  <si>
    <t>45,9450</t>
  </si>
  <si>
    <t>45,7800</t>
  </si>
  <si>
    <t>44,8376</t>
  </si>
  <si>
    <t>Кочнев Валерий</t>
  </si>
  <si>
    <t>Открытая (24.08.2002)/18</t>
  </si>
  <si>
    <t>66,60</t>
  </si>
  <si>
    <t xml:space="preserve">Ярославль/Ярославская область </t>
  </si>
  <si>
    <t>Шишко Михаил</t>
  </si>
  <si>
    <t>109,00</t>
  </si>
  <si>
    <t>Журавлев Александр</t>
  </si>
  <si>
    <t>Болдуганов Максим</t>
  </si>
  <si>
    <t>Открытая (31.08.1990)/30</t>
  </si>
  <si>
    <t>65,30</t>
  </si>
  <si>
    <t>Семенов Александр</t>
  </si>
  <si>
    <t>72,40</t>
  </si>
  <si>
    <t xml:space="preserve">Шевченко Ю. </t>
  </si>
  <si>
    <t>Тяга</t>
  </si>
  <si>
    <t>Весовая категория</t>
  </si>
  <si>
    <t>Москва</t>
  </si>
  <si>
    <t>Национальный Кубок СПР
СПР Жим лежа в однопетельной софт экипировке ДК
Долгопрудный/Московская область, 28 марта 2021 года</t>
  </si>
  <si>
    <t>Национальный Кубок СПР
СПР Жим лежа в однопетельной софт экипировке
Долгопрудный/Московская область, 28 марта 2021 года</t>
  </si>
  <si>
    <t>Национальный Кубок СПР
СПР Жим лежа в многопетельной софт экипировке ДК
Долгопрудный/Московская область, 28 марта 2021 года</t>
  </si>
  <si>
    <t>Национальный Кубок СПР
СПР Жим лежа в многопетельной софт экипировке
Долгопрудный/Московская область, 28 марта 2021 года</t>
  </si>
  <si>
    <t>Национальный Кубок СПР
СПР Жим лежа СФО
Долгопрудный/Московская область, 28 марта 2021 года</t>
  </si>
  <si>
    <t>Национальный Кубок СПР
СПР Пауэрспорт ДК
Долгопрудный/Московская область, 28 марта 2021 года</t>
  </si>
  <si>
    <t>Национальный Кубок СПР
СПР Пауэрспорт
Долгопрудный/Московская область, 28 марта 2021 года</t>
  </si>
  <si>
    <t>Национальный Кубок СПР
СПР Жим штанги стоя ДК
Долгопрудный/Московская область, 28 марта 2021 года</t>
  </si>
  <si>
    <t>Национальный Кубок СПР
СПР Жим штанги стоя
Долгопрудный/Московская область, 28 марта 2021 года</t>
  </si>
  <si>
    <t>Национальный Кубок СПР
СПР Строгий подъем штанги на бицепс ДК
Долгопрудный/Московская область, 28 марта 2021 года</t>
  </si>
  <si>
    <t>Национальный Кубок СПР
СПР Строгий подъем штанги на бицепс
Долгопрудный/Московская область, 28 марта 2021 года</t>
  </si>
  <si>
    <t xml:space="preserve">Чебоксары/Республика Чувашия </t>
  </si>
  <si>
    <t>Юниорки 20-23 (20.04.1997)/23</t>
  </si>
  <si>
    <t>Юноши 18-19 (30.09.2002)/18</t>
  </si>
  <si>
    <t>Юниорки 20-23 (12.04.1999)/21</t>
  </si>
  <si>
    <t>Юниоры 20-23 (31.07.1998)/22</t>
  </si>
  <si>
    <t>Юноши 18-19 (09.09.2002)/18</t>
  </si>
  <si>
    <t>Юниоры 20-23 (08.01.2000)/21</t>
  </si>
  <si>
    <t>Юниоры 20-23 (24.07.1998)/22</t>
  </si>
  <si>
    <t>Юноши 16-17 (17.04.2003)/17</t>
  </si>
  <si>
    <t>Юниоры 20-23 (24.05.2000)/20</t>
  </si>
  <si>
    <t>Мастера 40-49 (14.03.1974)/47</t>
  </si>
  <si>
    <t>Мастера 40-49 (31.03.1974)/46</t>
  </si>
  <si>
    <t>Юноши 13-19 (24.10.2003)/17</t>
  </si>
  <si>
    <t>Мастера 40-49 (12.11.1979)/41</t>
  </si>
  <si>
    <t>Мастера 40-49 (03.06.1975)/45</t>
  </si>
  <si>
    <t>Юниоры 20-23 (31.05.1999)/21</t>
  </si>
  <si>
    <t>Юноши 18-19 (17.05.2002)/18</t>
  </si>
  <si>
    <t>Юниоры 20-23 (16.07.1999)/21</t>
  </si>
  <si>
    <t>Юниоры 20-23 (10.09.1997)/23</t>
  </si>
  <si>
    <t>Юниоры 20-23 (31.07.1997)/23</t>
  </si>
  <si>
    <t>Юниоры 20-23 (26.05.2000)/20</t>
  </si>
  <si>
    <t>Юноши 13-19 (26.09.2002)/18</t>
  </si>
  <si>
    <t>Юноши 13-19 (26.10.2003)/17</t>
  </si>
  <si>
    <t>Юниоры 20-23 (14.10.1997)/23</t>
  </si>
  <si>
    <t>Юниоры 20-23 (28.02.2001)/20</t>
  </si>
  <si>
    <t>Юноши 13-19 (04.03.2003)/18</t>
  </si>
  <si>
    <t>Юноши 13-19 (03.08.2002)/18</t>
  </si>
  <si>
    <t>Мастера 40-49 (24.12.1976)/44</t>
  </si>
  <si>
    <t>Мастера 40-49 (19.12.1978)/42</t>
  </si>
  <si>
    <t>Мастера 50-59 (10.05.1962)/58</t>
  </si>
  <si>
    <t>Пустовой Р.</t>
  </si>
  <si>
    <t>Самонин В.</t>
  </si>
  <si>
    <t>Смирнов Д.</t>
  </si>
  <si>
    <t>Косенкова О.</t>
  </si>
  <si>
    <t>Национальный Кубок GPA/IPO
GPA Пауэрлифтинг без экипировки ДК
Долгопрудный/Московская область, 28 марта 2021 года</t>
  </si>
  <si>
    <t>Национальный Кубок GPA/IPO
GPA Пауэрлифтинг без экипировки
Долгопрудный/Московская область, 28 марта 2021 года</t>
  </si>
  <si>
    <t>Кондаков А.</t>
  </si>
  <si>
    <t>Национальный Кубок GPA/IPO
GPA Пауэрлифтинг в бинтах ДК
Долгопрудный/Московская область, 28 марта 2021 года</t>
  </si>
  <si>
    <t>Трофимов А.</t>
  </si>
  <si>
    <t>Фахретдинова Э.</t>
  </si>
  <si>
    <t>Национальный Кубок GPA/IPO
GPA Пауэрлифтинг в бинтах
Долгопрудный/Московская область, 28 марта 2021 года</t>
  </si>
  <si>
    <t xml:space="preserve">Махачкала/Республика Дагестан </t>
  </si>
  <si>
    <t xml:space="preserve">Дербент/Республика Дагестан </t>
  </si>
  <si>
    <t xml:space="preserve">Каспийск/Республика Дагестан </t>
  </si>
  <si>
    <t>Санкт-Петербург</t>
  </si>
  <si>
    <t>Национальный Кубок GPA/IPO
GPA Силовое двоеборье без экипировки ДК
Долгопрудный/Московская область, 28 марта 2021 года</t>
  </si>
  <si>
    <t>Национальный Кубок GPA/IPO
GPA Присед без экипировки ДК
Долгопрудный/Московская область, 28 марта 2021 года</t>
  </si>
  <si>
    <t>Йошкар-Ола/Республика Марий Эл</t>
  </si>
  <si>
    <t>Абакан/Республика Хакасия</t>
  </si>
  <si>
    <t>Головатюк С.</t>
  </si>
  <si>
    <t>Гузев П.</t>
  </si>
  <si>
    <t xml:space="preserve">Волгоград/Волгоградская область </t>
  </si>
  <si>
    <t>Пикляев Д.</t>
  </si>
  <si>
    <t>Буханцев П.</t>
  </si>
  <si>
    <t>Ильин Б.</t>
  </si>
  <si>
    <t xml:space="preserve">Панферова М., Коротков М. </t>
  </si>
  <si>
    <t xml:space="preserve">Рузаевка/Республика Мордовия </t>
  </si>
  <si>
    <t>Ермолаев В.</t>
  </si>
  <si>
    <t>Городжий Д.</t>
  </si>
  <si>
    <t>Стародубский С.</t>
  </si>
  <si>
    <t xml:space="preserve">Головатюк С. </t>
  </si>
  <si>
    <t>Постнов Д.</t>
  </si>
  <si>
    <t>Щербаков Е.</t>
  </si>
  <si>
    <t>Кок Д.</t>
  </si>
  <si>
    <t>Национальный Кубок GPA/IPO
IPO Становая тяга в экипировке
Долгопрудный/Московская область, 28 марта 2021 года</t>
  </si>
  <si>
    <t>Национальный Кубок GPA/IPO
GPA Становая тяга без экипировки
Долгопрудный/Московская область, 28 марта 2021 года</t>
  </si>
  <si>
    <t>Национальный Кубок GPA/IPO
GPA Становая тяга без экипировки ДК
Долгопрудный/Московская область, 28 марта 2021 года</t>
  </si>
  <si>
    <t>Национальный Кубок GPA/IPO
GPA Жим лежа без экипировки
Долгопрудный/Московская область, 28 марта 2021 года</t>
  </si>
  <si>
    <t>Антонова Е.</t>
  </si>
  <si>
    <t xml:space="preserve">Кишинев/Респвблика Молдова </t>
  </si>
  <si>
    <t>Национальный Кубок GPA/IPO
GPA Жим лежа без экипировки ДК
Долгопрудный/Московская область, 28 марта 2021 года</t>
  </si>
  <si>
    <t>Национальный Кубок GPA/IPO
GPA Присед в бинтах ДК
Долгопрудный/Московская область, 28 марта 2021 года</t>
  </si>
  <si>
    <t>Жим</t>
  </si>
  <si>
    <t>№</t>
  </si>
  <si>
    <t xml:space="preserve">
Дата рождения/Возраст</t>
  </si>
  <si>
    <t>Возрастная группа</t>
  </si>
  <si>
    <t>O</t>
  </si>
  <si>
    <t>J</t>
  </si>
  <si>
    <t>M1</t>
  </si>
  <si>
    <t>T3</t>
  </si>
  <si>
    <t>M2</t>
  </si>
  <si>
    <t>M3</t>
  </si>
  <si>
    <t>M5</t>
  </si>
  <si>
    <t>T2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</si>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</sst>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1"/>
  <dimension ref="A1:U44"/>
  <sheetViews>
    <sheetView workbookViewId="0">
      <selection activeCell="E34" sqref="E34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6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30.5" style="5" bestFit="1" customWidth="1"/>
    <col min="22" max="16384" width="9.1640625" style="3"/>
  </cols>
  <sheetData>
    <row r="1" spans="1:21" s="2" customFormat="1" ht="29" customHeight="1">
      <c r="A1" s="39" t="s">
        <v>722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</v>
      </c>
      <c r="H3" s="33"/>
      <c r="I3" s="33"/>
      <c r="J3" s="33"/>
      <c r="K3" s="33" t="s">
        <v>8</v>
      </c>
      <c r="L3" s="33"/>
      <c r="M3" s="33"/>
      <c r="N3" s="33"/>
      <c r="O3" s="33" t="s">
        <v>9</v>
      </c>
      <c r="P3" s="33"/>
      <c r="Q3" s="33"/>
      <c r="R3" s="33"/>
      <c r="S3" s="33" t="s">
        <v>1</v>
      </c>
      <c r="T3" s="33" t="s">
        <v>3</v>
      </c>
      <c r="U3" s="35" t="s">
        <v>2</v>
      </c>
    </row>
    <row r="4" spans="1:21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4"/>
      <c r="U4" s="36"/>
    </row>
    <row r="5" spans="1:21" ht="16">
      <c r="A5" s="37" t="s">
        <v>64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8" t="s">
        <v>62</v>
      </c>
      <c r="B6" s="7" t="s">
        <v>65</v>
      </c>
      <c r="C6" s="7" t="s">
        <v>66</v>
      </c>
      <c r="D6" s="7" t="s">
        <v>67</v>
      </c>
      <c r="E6" s="7" t="s">
        <v>764</v>
      </c>
      <c r="F6" s="7" t="s">
        <v>68</v>
      </c>
      <c r="G6" s="15" t="s">
        <v>69</v>
      </c>
      <c r="H6" s="15" t="s">
        <v>70</v>
      </c>
      <c r="I6" s="14" t="s">
        <v>18</v>
      </c>
      <c r="J6" s="8"/>
      <c r="K6" s="14" t="s">
        <v>71</v>
      </c>
      <c r="L6" s="14" t="s">
        <v>72</v>
      </c>
      <c r="M6" s="15" t="s">
        <v>73</v>
      </c>
      <c r="N6" s="8"/>
      <c r="O6" s="15" t="s">
        <v>47</v>
      </c>
      <c r="P6" s="14" t="s">
        <v>47</v>
      </c>
      <c r="Q6" s="14" t="s">
        <v>74</v>
      </c>
      <c r="R6" s="8"/>
      <c r="S6" s="8" t="str">
        <f>"257,5"</f>
        <v>257,5</v>
      </c>
      <c r="T6" s="8" t="str">
        <f>"307,9957"</f>
        <v>307,9957</v>
      </c>
      <c r="U6" s="7"/>
    </row>
    <row r="7" spans="1:21">
      <c r="B7" s="5" t="s">
        <v>63</v>
      </c>
    </row>
    <row r="8" spans="1:21" ht="16">
      <c r="A8" s="50" t="s">
        <v>76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17" t="s">
        <v>62</v>
      </c>
      <c r="B9" s="16" t="s">
        <v>77</v>
      </c>
      <c r="C9" s="16" t="s">
        <v>78</v>
      </c>
      <c r="D9" s="16" t="s">
        <v>79</v>
      </c>
      <c r="E9" s="16" t="s">
        <v>764</v>
      </c>
      <c r="F9" s="16" t="s">
        <v>80</v>
      </c>
      <c r="G9" s="22" t="s">
        <v>73</v>
      </c>
      <c r="H9" s="22" t="s">
        <v>81</v>
      </c>
      <c r="I9" s="23" t="s">
        <v>82</v>
      </c>
      <c r="J9" s="17"/>
      <c r="K9" s="22" t="s">
        <v>83</v>
      </c>
      <c r="L9" s="22" t="s">
        <v>84</v>
      </c>
      <c r="M9" s="22" t="s">
        <v>85</v>
      </c>
      <c r="N9" s="17"/>
      <c r="O9" s="22" t="s">
        <v>73</v>
      </c>
      <c r="P9" s="22" t="s">
        <v>81</v>
      </c>
      <c r="Q9" s="23" t="s">
        <v>82</v>
      </c>
      <c r="R9" s="17"/>
      <c r="S9" s="17" t="str">
        <f>"175,0"</f>
        <v>175,0</v>
      </c>
      <c r="T9" s="17" t="str">
        <f>"188,6500"</f>
        <v>188,6500</v>
      </c>
      <c r="U9" s="16" t="s">
        <v>86</v>
      </c>
    </row>
    <row r="10" spans="1:21">
      <c r="A10" s="19" t="s">
        <v>182</v>
      </c>
      <c r="B10" s="18" t="s">
        <v>87</v>
      </c>
      <c r="C10" s="18" t="s">
        <v>88</v>
      </c>
      <c r="D10" s="18" t="s">
        <v>89</v>
      </c>
      <c r="E10" s="18" t="s">
        <v>764</v>
      </c>
      <c r="F10" s="18" t="s">
        <v>676</v>
      </c>
      <c r="G10" s="24" t="s">
        <v>72</v>
      </c>
      <c r="H10" s="24" t="s">
        <v>90</v>
      </c>
      <c r="I10" s="24" t="s">
        <v>73</v>
      </c>
      <c r="J10" s="19"/>
      <c r="K10" s="25" t="s">
        <v>83</v>
      </c>
      <c r="L10" s="24" t="s">
        <v>83</v>
      </c>
      <c r="M10" s="24" t="s">
        <v>91</v>
      </c>
      <c r="N10" s="19"/>
      <c r="O10" s="24" t="s">
        <v>82</v>
      </c>
      <c r="P10" s="24" t="s">
        <v>92</v>
      </c>
      <c r="Q10" s="24" t="s">
        <v>93</v>
      </c>
      <c r="R10" s="19"/>
      <c r="S10" s="19" t="str">
        <f>"172,5"</f>
        <v>172,5</v>
      </c>
      <c r="T10" s="19" t="str">
        <f>"182,6948"</f>
        <v>182,6948</v>
      </c>
      <c r="U10" s="18" t="s">
        <v>94</v>
      </c>
    </row>
    <row r="11" spans="1:21">
      <c r="B11" s="5" t="s">
        <v>63</v>
      </c>
    </row>
    <row r="12" spans="1:21" ht="16">
      <c r="A12" s="50" t="s">
        <v>95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21">
      <c r="A13" s="8" t="s">
        <v>62</v>
      </c>
      <c r="B13" s="7" t="s">
        <v>96</v>
      </c>
      <c r="C13" s="7" t="s">
        <v>97</v>
      </c>
      <c r="D13" s="7" t="s">
        <v>98</v>
      </c>
      <c r="E13" s="7" t="s">
        <v>764</v>
      </c>
      <c r="F13" s="7" t="s">
        <v>99</v>
      </c>
      <c r="G13" s="14" t="s">
        <v>48</v>
      </c>
      <c r="H13" s="15" t="s">
        <v>100</v>
      </c>
      <c r="I13" s="14" t="s">
        <v>100</v>
      </c>
      <c r="J13" s="8"/>
      <c r="K13" s="14" t="s">
        <v>81</v>
      </c>
      <c r="L13" s="15" t="s">
        <v>101</v>
      </c>
      <c r="M13" s="15" t="s">
        <v>101</v>
      </c>
      <c r="N13" s="8"/>
      <c r="O13" s="14" t="s">
        <v>35</v>
      </c>
      <c r="P13" s="14" t="s">
        <v>16</v>
      </c>
      <c r="Q13" s="14" t="s">
        <v>17</v>
      </c>
      <c r="R13" s="8"/>
      <c r="S13" s="8" t="str">
        <f>"327,5"</f>
        <v>327,5</v>
      </c>
      <c r="T13" s="8" t="str">
        <f>"298,0905"</f>
        <v>298,0905</v>
      </c>
      <c r="U13" s="7"/>
    </row>
    <row r="14" spans="1:21">
      <c r="B14" s="5" t="s">
        <v>63</v>
      </c>
    </row>
    <row r="15" spans="1:21" ht="16">
      <c r="A15" s="50" t="s">
        <v>102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21">
      <c r="A16" s="17" t="s">
        <v>62</v>
      </c>
      <c r="B16" s="16" t="s">
        <v>103</v>
      </c>
      <c r="C16" s="16" t="s">
        <v>689</v>
      </c>
      <c r="D16" s="16" t="s">
        <v>104</v>
      </c>
      <c r="E16" s="16" t="s">
        <v>765</v>
      </c>
      <c r="F16" s="16" t="s">
        <v>676</v>
      </c>
      <c r="G16" s="22" t="s">
        <v>20</v>
      </c>
      <c r="H16" s="22" t="s">
        <v>74</v>
      </c>
      <c r="I16" s="22" t="s">
        <v>33</v>
      </c>
      <c r="J16" s="17"/>
      <c r="K16" s="22" t="s">
        <v>73</v>
      </c>
      <c r="L16" s="22" t="s">
        <v>105</v>
      </c>
      <c r="M16" s="23" t="s">
        <v>101</v>
      </c>
      <c r="N16" s="17"/>
      <c r="O16" s="23" t="s">
        <v>20</v>
      </c>
      <c r="P16" s="22" t="s">
        <v>20</v>
      </c>
      <c r="Q16" s="23" t="s">
        <v>74</v>
      </c>
      <c r="R16" s="17"/>
      <c r="S16" s="17" t="str">
        <f>"285,0"</f>
        <v>285,0</v>
      </c>
      <c r="T16" s="17" t="str">
        <f>"241,1243"</f>
        <v>241,1243</v>
      </c>
      <c r="U16" s="16" t="s">
        <v>106</v>
      </c>
    </row>
    <row r="17" spans="1:21">
      <c r="A17" s="21" t="s">
        <v>62</v>
      </c>
      <c r="B17" s="20" t="s">
        <v>107</v>
      </c>
      <c r="C17" s="20" t="s">
        <v>108</v>
      </c>
      <c r="D17" s="20" t="s">
        <v>109</v>
      </c>
      <c r="E17" s="20" t="s">
        <v>764</v>
      </c>
      <c r="F17" s="20" t="s">
        <v>676</v>
      </c>
      <c r="G17" s="26" t="s">
        <v>90</v>
      </c>
      <c r="H17" s="26" t="s">
        <v>110</v>
      </c>
      <c r="I17" s="26" t="s">
        <v>81</v>
      </c>
      <c r="J17" s="21"/>
      <c r="K17" s="26" t="s">
        <v>85</v>
      </c>
      <c r="L17" s="27" t="s">
        <v>111</v>
      </c>
      <c r="M17" s="27" t="s">
        <v>111</v>
      </c>
      <c r="N17" s="21"/>
      <c r="O17" s="26" t="s">
        <v>82</v>
      </c>
      <c r="P17" s="26" t="s">
        <v>69</v>
      </c>
      <c r="Q17" s="26" t="s">
        <v>112</v>
      </c>
      <c r="R17" s="21"/>
      <c r="S17" s="21" t="str">
        <f>"202,5"</f>
        <v>202,5</v>
      </c>
      <c r="T17" s="21" t="str">
        <f>"181,1363"</f>
        <v>181,1363</v>
      </c>
      <c r="U17" s="20" t="s">
        <v>718</v>
      </c>
    </row>
    <row r="18" spans="1:21">
      <c r="A18" s="19" t="s">
        <v>182</v>
      </c>
      <c r="B18" s="18" t="s">
        <v>113</v>
      </c>
      <c r="C18" s="18" t="s">
        <v>114</v>
      </c>
      <c r="D18" s="18" t="s">
        <v>115</v>
      </c>
      <c r="E18" s="18" t="s">
        <v>764</v>
      </c>
      <c r="F18" s="18" t="s">
        <v>688</v>
      </c>
      <c r="G18" s="25" t="s">
        <v>72</v>
      </c>
      <c r="H18" s="24" t="s">
        <v>72</v>
      </c>
      <c r="I18" s="25" t="s">
        <v>105</v>
      </c>
      <c r="J18" s="19"/>
      <c r="K18" s="24" t="s">
        <v>83</v>
      </c>
      <c r="L18" s="24" t="s">
        <v>116</v>
      </c>
      <c r="M18" s="25" t="s">
        <v>117</v>
      </c>
      <c r="N18" s="19"/>
      <c r="O18" s="24" t="s">
        <v>70</v>
      </c>
      <c r="P18" s="24" t="s">
        <v>20</v>
      </c>
      <c r="Q18" s="25" t="s">
        <v>118</v>
      </c>
      <c r="R18" s="19"/>
      <c r="S18" s="19" t="str">
        <f>"192,5"</f>
        <v>192,5</v>
      </c>
      <c r="T18" s="19" t="str">
        <f>"171,8255"</f>
        <v>171,8255</v>
      </c>
      <c r="U18" s="18" t="s">
        <v>86</v>
      </c>
    </row>
    <row r="19" spans="1:21">
      <c r="B19" s="5" t="s">
        <v>63</v>
      </c>
    </row>
    <row r="20" spans="1:21" ht="16">
      <c r="A20" s="50" t="s">
        <v>102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21">
      <c r="A21" s="8" t="s">
        <v>62</v>
      </c>
      <c r="B21" s="7" t="s">
        <v>119</v>
      </c>
      <c r="C21" s="7" t="s">
        <v>120</v>
      </c>
      <c r="D21" s="7" t="s">
        <v>121</v>
      </c>
      <c r="E21" s="7" t="s">
        <v>764</v>
      </c>
      <c r="F21" s="7" t="s">
        <v>122</v>
      </c>
      <c r="G21" s="14" t="s">
        <v>123</v>
      </c>
      <c r="H21" s="14" t="s">
        <v>22</v>
      </c>
      <c r="I21" s="15" t="s">
        <v>124</v>
      </c>
      <c r="J21" s="8"/>
      <c r="K21" s="14" t="s">
        <v>125</v>
      </c>
      <c r="L21" s="14" t="s">
        <v>126</v>
      </c>
      <c r="M21" s="15" t="s">
        <v>34</v>
      </c>
      <c r="N21" s="8"/>
      <c r="O21" s="15" t="s">
        <v>49</v>
      </c>
      <c r="P21" s="14" t="s">
        <v>50</v>
      </c>
      <c r="Q21" s="15" t="s">
        <v>37</v>
      </c>
      <c r="R21" s="8"/>
      <c r="S21" s="8" t="str">
        <f>"497,5"</f>
        <v>497,5</v>
      </c>
      <c r="T21" s="8" t="str">
        <f>"347,4043"</f>
        <v>347,4043</v>
      </c>
      <c r="U21" s="7" t="s">
        <v>719</v>
      </c>
    </row>
    <row r="22" spans="1:21">
      <c r="B22" s="5" t="s">
        <v>63</v>
      </c>
    </row>
    <row r="23" spans="1:21" ht="16">
      <c r="A23" s="50" t="s">
        <v>26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21">
      <c r="A24" s="8" t="s">
        <v>183</v>
      </c>
      <c r="B24" s="7" t="s">
        <v>127</v>
      </c>
      <c r="C24" s="7" t="s">
        <v>128</v>
      </c>
      <c r="D24" s="7" t="s">
        <v>129</v>
      </c>
      <c r="E24" s="7" t="s">
        <v>764</v>
      </c>
      <c r="F24" s="7" t="s">
        <v>676</v>
      </c>
      <c r="G24" s="14" t="s">
        <v>43</v>
      </c>
      <c r="H24" s="14" t="s">
        <v>130</v>
      </c>
      <c r="I24" s="14" t="s">
        <v>131</v>
      </c>
      <c r="J24" s="8"/>
      <c r="K24" s="14" t="s">
        <v>132</v>
      </c>
      <c r="L24" s="15" t="s">
        <v>125</v>
      </c>
      <c r="M24" s="15" t="s">
        <v>125</v>
      </c>
      <c r="N24" s="8"/>
      <c r="O24" s="15" t="s">
        <v>37</v>
      </c>
      <c r="P24" s="15" t="s">
        <v>38</v>
      </c>
      <c r="Q24" s="15" t="s">
        <v>38</v>
      </c>
      <c r="R24" s="8"/>
      <c r="S24" s="8" t="str">
        <f>"0.00"</f>
        <v>0.00</v>
      </c>
      <c r="T24" s="8" t="str">
        <f>"0,0000"</f>
        <v>0,0000</v>
      </c>
      <c r="U24" s="7" t="s">
        <v>133</v>
      </c>
    </row>
    <row r="25" spans="1:21">
      <c r="B25" s="5" t="s">
        <v>63</v>
      </c>
    </row>
    <row r="26" spans="1:21" ht="16">
      <c r="A26" s="50" t="s">
        <v>39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21">
      <c r="A27" s="8" t="s">
        <v>62</v>
      </c>
      <c r="B27" s="7" t="s">
        <v>134</v>
      </c>
      <c r="C27" s="7" t="s">
        <v>135</v>
      </c>
      <c r="D27" s="7" t="s">
        <v>136</v>
      </c>
      <c r="E27" s="7" t="s">
        <v>764</v>
      </c>
      <c r="F27" s="7" t="s">
        <v>137</v>
      </c>
      <c r="G27" s="14" t="s">
        <v>49</v>
      </c>
      <c r="H27" s="14" t="s">
        <v>138</v>
      </c>
      <c r="I27" s="14" t="s">
        <v>139</v>
      </c>
      <c r="J27" s="8"/>
      <c r="K27" s="14" t="s">
        <v>17</v>
      </c>
      <c r="L27" s="14" t="s">
        <v>31</v>
      </c>
      <c r="M27" s="15" t="s">
        <v>140</v>
      </c>
      <c r="N27" s="8"/>
      <c r="O27" s="14" t="s">
        <v>36</v>
      </c>
      <c r="P27" s="14" t="s">
        <v>141</v>
      </c>
      <c r="Q27" s="14" t="s">
        <v>38</v>
      </c>
      <c r="R27" s="8"/>
      <c r="S27" s="8" t="str">
        <f>"605,0"</f>
        <v>605,0</v>
      </c>
      <c r="T27" s="8" t="str">
        <f>"372,7103"</f>
        <v>372,7103</v>
      </c>
      <c r="U27" s="7" t="s">
        <v>142</v>
      </c>
    </row>
    <row r="28" spans="1:21">
      <c r="B28" s="5" t="s">
        <v>63</v>
      </c>
    </row>
    <row r="29" spans="1:21" ht="16">
      <c r="A29" s="50" t="s">
        <v>143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21">
      <c r="A30" s="17" t="s">
        <v>62</v>
      </c>
      <c r="B30" s="16" t="s">
        <v>144</v>
      </c>
      <c r="C30" s="16" t="s">
        <v>145</v>
      </c>
      <c r="D30" s="16" t="s">
        <v>146</v>
      </c>
      <c r="E30" s="16" t="s">
        <v>764</v>
      </c>
      <c r="F30" s="16" t="s">
        <v>147</v>
      </c>
      <c r="G30" s="23" t="s">
        <v>49</v>
      </c>
      <c r="H30" s="23" t="s">
        <v>148</v>
      </c>
      <c r="I30" s="22" t="s">
        <v>138</v>
      </c>
      <c r="J30" s="17"/>
      <c r="K30" s="22" t="s">
        <v>22</v>
      </c>
      <c r="L30" s="22" t="s">
        <v>124</v>
      </c>
      <c r="M30" s="23" t="s">
        <v>149</v>
      </c>
      <c r="N30" s="17"/>
      <c r="O30" s="22" t="s">
        <v>38</v>
      </c>
      <c r="P30" s="22" t="s">
        <v>150</v>
      </c>
      <c r="Q30" s="23" t="s">
        <v>151</v>
      </c>
      <c r="R30" s="17"/>
      <c r="S30" s="17" t="str">
        <f>"640,0"</f>
        <v>640,0</v>
      </c>
      <c r="T30" s="17" t="str">
        <f>"372,0320"</f>
        <v>372,0320</v>
      </c>
      <c r="U30" s="16" t="s">
        <v>152</v>
      </c>
    </row>
    <row r="31" spans="1:21">
      <c r="A31" s="21" t="s">
        <v>182</v>
      </c>
      <c r="B31" s="20" t="s">
        <v>153</v>
      </c>
      <c r="C31" s="20" t="s">
        <v>154</v>
      </c>
      <c r="D31" s="20" t="s">
        <v>155</v>
      </c>
      <c r="E31" s="20" t="s">
        <v>764</v>
      </c>
      <c r="F31" s="20" t="s">
        <v>156</v>
      </c>
      <c r="G31" s="26" t="s">
        <v>32</v>
      </c>
      <c r="H31" s="27" t="s">
        <v>23</v>
      </c>
      <c r="I31" s="26" t="s">
        <v>23</v>
      </c>
      <c r="J31" s="21"/>
      <c r="K31" s="27" t="s">
        <v>33</v>
      </c>
      <c r="L31" s="26" t="s">
        <v>33</v>
      </c>
      <c r="M31" s="26" t="s">
        <v>126</v>
      </c>
      <c r="N31" s="21"/>
      <c r="O31" s="26" t="s">
        <v>43</v>
      </c>
      <c r="P31" s="26" t="s">
        <v>49</v>
      </c>
      <c r="Q31" s="27" t="s">
        <v>36</v>
      </c>
      <c r="R31" s="21"/>
      <c r="S31" s="21" t="str">
        <f>"497,5"</f>
        <v>497,5</v>
      </c>
      <c r="T31" s="21" t="str">
        <f>"294,0722"</f>
        <v>294,0722</v>
      </c>
      <c r="U31" s="20" t="s">
        <v>720</v>
      </c>
    </row>
    <row r="32" spans="1:21">
      <c r="A32" s="21" t="s">
        <v>184</v>
      </c>
      <c r="B32" s="20" t="s">
        <v>157</v>
      </c>
      <c r="C32" s="20" t="s">
        <v>158</v>
      </c>
      <c r="D32" s="20" t="s">
        <v>159</v>
      </c>
      <c r="E32" s="20" t="s">
        <v>764</v>
      </c>
      <c r="F32" s="20" t="s">
        <v>160</v>
      </c>
      <c r="G32" s="26" t="s">
        <v>33</v>
      </c>
      <c r="H32" s="26" t="s">
        <v>34</v>
      </c>
      <c r="I32" s="26" t="s">
        <v>35</v>
      </c>
      <c r="J32" s="21"/>
      <c r="K32" s="26" t="s">
        <v>93</v>
      </c>
      <c r="L32" s="26" t="s">
        <v>161</v>
      </c>
      <c r="M32" s="26" t="s">
        <v>18</v>
      </c>
      <c r="N32" s="21"/>
      <c r="O32" s="27" t="s">
        <v>34</v>
      </c>
      <c r="P32" s="26" t="s">
        <v>17</v>
      </c>
      <c r="Q32" s="26" t="s">
        <v>32</v>
      </c>
      <c r="R32" s="21"/>
      <c r="S32" s="21" t="str">
        <f>"387,5"</f>
        <v>387,5</v>
      </c>
      <c r="T32" s="21" t="str">
        <f>"231,3763"</f>
        <v>231,3763</v>
      </c>
      <c r="U32" s="20"/>
    </row>
    <row r="33" spans="1:21">
      <c r="A33" s="19" t="s">
        <v>62</v>
      </c>
      <c r="B33" s="18" t="s">
        <v>162</v>
      </c>
      <c r="C33" s="18" t="s">
        <v>163</v>
      </c>
      <c r="D33" s="18" t="s">
        <v>164</v>
      </c>
      <c r="E33" s="18" t="s">
        <v>766</v>
      </c>
      <c r="F33" s="18" t="s">
        <v>165</v>
      </c>
      <c r="G33" s="24" t="s">
        <v>166</v>
      </c>
      <c r="H33" s="25" t="s">
        <v>138</v>
      </c>
      <c r="I33" s="24" t="s">
        <v>138</v>
      </c>
      <c r="J33" s="19"/>
      <c r="K33" s="24" t="s">
        <v>31</v>
      </c>
      <c r="L33" s="24" t="s">
        <v>167</v>
      </c>
      <c r="M33" s="24" t="s">
        <v>168</v>
      </c>
      <c r="N33" s="19"/>
      <c r="O33" s="24" t="s">
        <v>139</v>
      </c>
      <c r="P33" s="24" t="s">
        <v>38</v>
      </c>
      <c r="Q33" s="25" t="s">
        <v>169</v>
      </c>
      <c r="R33" s="19"/>
      <c r="S33" s="19" t="str">
        <f>"617,5"</f>
        <v>617,5</v>
      </c>
      <c r="T33" s="19" t="str">
        <f>"363,7693"</f>
        <v>363,7693</v>
      </c>
      <c r="U33" s="18" t="s">
        <v>721</v>
      </c>
    </row>
    <row r="34" spans="1:21">
      <c r="B34" s="5" t="s">
        <v>63</v>
      </c>
    </row>
    <row r="36" spans="1:21">
      <c r="B36" s="5" t="s">
        <v>63</v>
      </c>
    </row>
    <row r="37" spans="1:21" ht="18">
      <c r="B37" s="9" t="s">
        <v>51</v>
      </c>
      <c r="C37" s="9"/>
    </row>
    <row r="38" spans="1:21" ht="16">
      <c r="B38" s="10" t="s">
        <v>52</v>
      </c>
      <c r="C38" s="10"/>
    </row>
    <row r="39" spans="1:21" ht="14">
      <c r="B39" s="11"/>
      <c r="C39" s="12" t="s">
        <v>53</v>
      </c>
    </row>
    <row r="40" spans="1:21" ht="14">
      <c r="B40" s="13" t="s">
        <v>54</v>
      </c>
      <c r="C40" s="13" t="s">
        <v>55</v>
      </c>
      <c r="D40" s="13" t="s">
        <v>675</v>
      </c>
      <c r="E40" s="13" t="s">
        <v>57</v>
      </c>
      <c r="F40" s="13" t="s">
        <v>58</v>
      </c>
    </row>
    <row r="41" spans="1:21">
      <c r="B41" s="5" t="s">
        <v>65</v>
      </c>
      <c r="C41" s="5" t="s">
        <v>53</v>
      </c>
      <c r="D41" s="6" t="s">
        <v>171</v>
      </c>
      <c r="E41" s="6" t="s">
        <v>172</v>
      </c>
      <c r="F41" s="6" t="s">
        <v>173</v>
      </c>
    </row>
    <row r="42" spans="1:21">
      <c r="B42" s="5" t="s">
        <v>96</v>
      </c>
      <c r="C42" s="5" t="s">
        <v>53</v>
      </c>
      <c r="D42" s="6" t="s">
        <v>174</v>
      </c>
      <c r="E42" s="6" t="s">
        <v>175</v>
      </c>
      <c r="F42" s="6" t="s">
        <v>176</v>
      </c>
    </row>
    <row r="43" spans="1:21">
      <c r="B43" s="5" t="s">
        <v>77</v>
      </c>
      <c r="C43" s="5" t="s">
        <v>53</v>
      </c>
      <c r="D43" s="6" t="s">
        <v>177</v>
      </c>
      <c r="E43" s="6" t="s">
        <v>124</v>
      </c>
      <c r="F43" s="6" t="s">
        <v>178</v>
      </c>
    </row>
    <row r="44" spans="1:21">
      <c r="B44" s="5" t="s">
        <v>63</v>
      </c>
    </row>
  </sheetData>
  <mergeCells count="21">
    <mergeCell ref="A29:R29"/>
    <mergeCell ref="B3:B4"/>
    <mergeCell ref="A8:R8"/>
    <mergeCell ref="A12:R12"/>
    <mergeCell ref="A15:R15"/>
    <mergeCell ref="A20:R20"/>
    <mergeCell ref="A23:R23"/>
    <mergeCell ref="A26:R26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Лист10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39" t="s">
        <v>677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8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26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598</v>
      </c>
      <c r="C6" s="7" t="s">
        <v>698</v>
      </c>
      <c r="D6" s="7" t="s">
        <v>599</v>
      </c>
      <c r="E6" s="7" t="s">
        <v>766</v>
      </c>
      <c r="F6" s="7" t="s">
        <v>676</v>
      </c>
      <c r="G6" s="15" t="s">
        <v>49</v>
      </c>
      <c r="H6" s="14" t="s">
        <v>49</v>
      </c>
      <c r="I6" s="15" t="s">
        <v>138</v>
      </c>
      <c r="J6" s="8"/>
      <c r="K6" s="8" t="str">
        <f>"200,0"</f>
        <v>200,0</v>
      </c>
      <c r="L6" s="8" t="str">
        <f>"145,5074"</f>
        <v>145,5074</v>
      </c>
      <c r="M6" s="7" t="s">
        <v>600</v>
      </c>
    </row>
    <row r="7" spans="1:13">
      <c r="B7" s="5" t="s">
        <v>63</v>
      </c>
    </row>
    <row r="8" spans="1:13">
      <c r="B8" s="5" t="s">
        <v>63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11"/>
  <dimension ref="A1:M1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7.3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7.1640625" style="5" customWidth="1"/>
    <col min="14" max="16384" width="9.1640625" style="3"/>
  </cols>
  <sheetData>
    <row r="1" spans="1:13" s="2" customFormat="1" ht="29" customHeight="1">
      <c r="A1" s="39" t="s">
        <v>678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8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39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577</v>
      </c>
      <c r="C6" s="7" t="s">
        <v>578</v>
      </c>
      <c r="D6" s="7" t="s">
        <v>579</v>
      </c>
      <c r="E6" s="7" t="s">
        <v>764</v>
      </c>
      <c r="F6" s="7" t="s">
        <v>327</v>
      </c>
      <c r="G6" s="15" t="s">
        <v>195</v>
      </c>
      <c r="H6" s="14" t="s">
        <v>150</v>
      </c>
      <c r="I6" s="14" t="s">
        <v>151</v>
      </c>
      <c r="J6" s="8"/>
      <c r="K6" s="8" t="str">
        <f>"265,0"</f>
        <v>265,0</v>
      </c>
      <c r="L6" s="8" t="str">
        <f>"163,1605"</f>
        <v>163,1605</v>
      </c>
      <c r="M6" s="7"/>
    </row>
    <row r="7" spans="1:13">
      <c r="B7" s="5" t="s">
        <v>63</v>
      </c>
    </row>
    <row r="8" spans="1:13" ht="16">
      <c r="A8" s="50" t="s">
        <v>143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17" t="s">
        <v>62</v>
      </c>
      <c r="B9" s="16" t="s">
        <v>580</v>
      </c>
      <c r="C9" s="16" t="s">
        <v>581</v>
      </c>
      <c r="D9" s="16" t="s">
        <v>582</v>
      </c>
      <c r="E9" s="16" t="s">
        <v>764</v>
      </c>
      <c r="F9" s="16" t="s">
        <v>165</v>
      </c>
      <c r="G9" s="22" t="s">
        <v>227</v>
      </c>
      <c r="H9" s="22" t="s">
        <v>228</v>
      </c>
      <c r="I9" s="23" t="s">
        <v>583</v>
      </c>
      <c r="J9" s="17"/>
      <c r="K9" s="17" t="str">
        <f>"270,0"</f>
        <v>270,0</v>
      </c>
      <c r="L9" s="17" t="str">
        <f>"157,2210"</f>
        <v>157,2210</v>
      </c>
      <c r="M9" s="16" t="s">
        <v>584</v>
      </c>
    </row>
    <row r="10" spans="1:13">
      <c r="A10" s="19" t="s">
        <v>182</v>
      </c>
      <c r="B10" s="18" t="s">
        <v>585</v>
      </c>
      <c r="C10" s="18" t="s">
        <v>586</v>
      </c>
      <c r="D10" s="18" t="s">
        <v>587</v>
      </c>
      <c r="E10" s="18" t="s">
        <v>764</v>
      </c>
      <c r="F10" s="18" t="s">
        <v>351</v>
      </c>
      <c r="G10" s="24" t="s">
        <v>195</v>
      </c>
      <c r="H10" s="24" t="s">
        <v>151</v>
      </c>
      <c r="I10" s="25" t="s">
        <v>219</v>
      </c>
      <c r="J10" s="19"/>
      <c r="K10" s="19" t="str">
        <f>"265,0"</f>
        <v>265,0</v>
      </c>
      <c r="L10" s="19" t="str">
        <f>"161,2658"</f>
        <v>161,2658</v>
      </c>
      <c r="M10" s="18" t="s">
        <v>588</v>
      </c>
    </row>
    <row r="11" spans="1:13">
      <c r="B11" s="5" t="s">
        <v>63</v>
      </c>
    </row>
    <row r="12" spans="1:13" ht="16">
      <c r="A12" s="50" t="s">
        <v>238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3">
      <c r="A13" s="17" t="s">
        <v>62</v>
      </c>
      <c r="B13" s="16" t="s">
        <v>589</v>
      </c>
      <c r="C13" s="16" t="s">
        <v>590</v>
      </c>
      <c r="D13" s="16" t="s">
        <v>591</v>
      </c>
      <c r="E13" s="16" t="s">
        <v>764</v>
      </c>
      <c r="F13" s="16" t="s">
        <v>383</v>
      </c>
      <c r="G13" s="22" t="s">
        <v>522</v>
      </c>
      <c r="H13" s="22" t="s">
        <v>150</v>
      </c>
      <c r="I13" s="22" t="s">
        <v>151</v>
      </c>
      <c r="J13" s="23" t="s">
        <v>592</v>
      </c>
      <c r="K13" s="17" t="str">
        <f>"265,0"</f>
        <v>265,0</v>
      </c>
      <c r="L13" s="17" t="str">
        <f>"149,1023"</f>
        <v>149,1023</v>
      </c>
      <c r="M13" s="16" t="s">
        <v>593</v>
      </c>
    </row>
    <row r="14" spans="1:13">
      <c r="A14" s="19" t="s">
        <v>62</v>
      </c>
      <c r="B14" s="18" t="s">
        <v>589</v>
      </c>
      <c r="C14" s="18" t="s">
        <v>699</v>
      </c>
      <c r="D14" s="18" t="s">
        <v>591</v>
      </c>
      <c r="E14" s="18" t="s">
        <v>766</v>
      </c>
      <c r="F14" s="18" t="s">
        <v>383</v>
      </c>
      <c r="G14" s="24" t="s">
        <v>522</v>
      </c>
      <c r="H14" s="24" t="s">
        <v>150</v>
      </c>
      <c r="I14" s="24" t="s">
        <v>151</v>
      </c>
      <c r="J14" s="25" t="s">
        <v>592</v>
      </c>
      <c r="K14" s="19" t="str">
        <f>"265,0"</f>
        <v>265,0</v>
      </c>
      <c r="L14" s="19" t="str">
        <f>"159,2412"</f>
        <v>159,2412</v>
      </c>
      <c r="M14" s="18" t="s">
        <v>593</v>
      </c>
    </row>
    <row r="15" spans="1:13">
      <c r="B15" s="5" t="s">
        <v>63</v>
      </c>
    </row>
    <row r="16" spans="1:13" ht="16">
      <c r="A16" s="50" t="s">
        <v>244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3">
      <c r="A17" s="8" t="s">
        <v>62</v>
      </c>
      <c r="B17" s="7" t="s">
        <v>594</v>
      </c>
      <c r="C17" s="7" t="s">
        <v>595</v>
      </c>
      <c r="D17" s="7" t="s">
        <v>596</v>
      </c>
      <c r="E17" s="7" t="s">
        <v>764</v>
      </c>
      <c r="F17" s="7" t="s">
        <v>597</v>
      </c>
      <c r="G17" s="15" t="s">
        <v>200</v>
      </c>
      <c r="H17" s="15" t="s">
        <v>200</v>
      </c>
      <c r="I17" s="14" t="s">
        <v>200</v>
      </c>
      <c r="J17" s="8"/>
      <c r="K17" s="8" t="str">
        <f>"310,0"</f>
        <v>310,0</v>
      </c>
      <c r="L17" s="8" t="str">
        <f>"171,6625"</f>
        <v>171,6625</v>
      </c>
      <c r="M17" s="7"/>
    </row>
    <row r="18" spans="1:13">
      <c r="B18" s="5" t="s">
        <v>63</v>
      </c>
    </row>
  </sheetData>
  <mergeCells count="15">
    <mergeCell ref="A8:J8"/>
    <mergeCell ref="A12:J12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Лист12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8320312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.6640625" style="5" customWidth="1"/>
    <col min="14" max="16384" width="9.1640625" style="3"/>
  </cols>
  <sheetData>
    <row r="1" spans="1:13" s="2" customFormat="1" ht="29" customHeight="1">
      <c r="A1" s="39" t="s">
        <v>679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8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39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611</v>
      </c>
      <c r="C6" s="7" t="s">
        <v>700</v>
      </c>
      <c r="D6" s="7" t="s">
        <v>456</v>
      </c>
      <c r="E6" s="7" t="s">
        <v>772</v>
      </c>
      <c r="F6" s="7" t="s">
        <v>676</v>
      </c>
      <c r="G6" s="14" t="s">
        <v>22</v>
      </c>
      <c r="H6" s="14" t="s">
        <v>124</v>
      </c>
      <c r="I6" s="14" t="s">
        <v>236</v>
      </c>
      <c r="J6" s="8"/>
      <c r="K6" s="8" t="str">
        <f>"185,0"</f>
        <v>185,0</v>
      </c>
      <c r="L6" s="8" t="str">
        <f>"115,6435"</f>
        <v>115,6435</v>
      </c>
      <c r="M6" s="7" t="s">
        <v>745</v>
      </c>
    </row>
    <row r="7" spans="1:13">
      <c r="B7" s="5" t="s">
        <v>63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Лист13"/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39" t="s">
        <v>680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8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143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17" t="s">
        <v>62</v>
      </c>
      <c r="B6" s="16" t="s">
        <v>601</v>
      </c>
      <c r="C6" s="16" t="s">
        <v>602</v>
      </c>
      <c r="D6" s="16" t="s">
        <v>603</v>
      </c>
      <c r="E6" s="16" t="s">
        <v>764</v>
      </c>
      <c r="F6" s="16" t="s">
        <v>563</v>
      </c>
      <c r="G6" s="23" t="s">
        <v>604</v>
      </c>
      <c r="H6" s="23" t="s">
        <v>604</v>
      </c>
      <c r="I6" s="22" t="s">
        <v>604</v>
      </c>
      <c r="J6" s="17"/>
      <c r="K6" s="17" t="str">
        <f>"335,0"</f>
        <v>335,0</v>
      </c>
      <c r="L6" s="17" t="str">
        <f>"197,5327"</f>
        <v>197,5327</v>
      </c>
      <c r="M6" s="16"/>
    </row>
    <row r="7" spans="1:13">
      <c r="A7" s="19" t="s">
        <v>62</v>
      </c>
      <c r="B7" s="18" t="s">
        <v>601</v>
      </c>
      <c r="C7" s="18" t="s">
        <v>701</v>
      </c>
      <c r="D7" s="18" t="s">
        <v>603</v>
      </c>
      <c r="E7" s="18" t="s">
        <v>766</v>
      </c>
      <c r="F7" s="18" t="s">
        <v>563</v>
      </c>
      <c r="G7" s="25" t="s">
        <v>604</v>
      </c>
      <c r="H7" s="25" t="s">
        <v>604</v>
      </c>
      <c r="I7" s="24" t="s">
        <v>604</v>
      </c>
      <c r="J7" s="19"/>
      <c r="K7" s="19" t="str">
        <f>"335,0"</f>
        <v>335,0</v>
      </c>
      <c r="L7" s="19" t="str">
        <f>"199,5081"</f>
        <v>199,5081</v>
      </c>
      <c r="M7" s="18"/>
    </row>
    <row r="8" spans="1:13">
      <c r="B8" s="5" t="s">
        <v>63</v>
      </c>
    </row>
    <row r="9" spans="1:13" ht="16">
      <c r="A9" s="50" t="s">
        <v>244</v>
      </c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8" t="s">
        <v>62</v>
      </c>
      <c r="B10" s="7" t="s">
        <v>605</v>
      </c>
      <c r="C10" s="7" t="s">
        <v>702</v>
      </c>
      <c r="D10" s="7" t="s">
        <v>606</v>
      </c>
      <c r="E10" s="7" t="s">
        <v>766</v>
      </c>
      <c r="F10" s="7" t="s">
        <v>80</v>
      </c>
      <c r="G10" s="14" t="s">
        <v>607</v>
      </c>
      <c r="H10" s="15" t="s">
        <v>608</v>
      </c>
      <c r="I10" s="14" t="s">
        <v>609</v>
      </c>
      <c r="J10" s="14" t="s">
        <v>610</v>
      </c>
      <c r="K10" s="8" t="str">
        <f>"380,0"</f>
        <v>380,0</v>
      </c>
      <c r="L10" s="8" t="str">
        <f>"221,3369"</f>
        <v>221,3369</v>
      </c>
      <c r="M10" s="7"/>
    </row>
    <row r="11" spans="1:13">
      <c r="B11" s="5" t="s">
        <v>63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14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7" width="4.5" style="6" customWidth="1"/>
    <col min="8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39" t="s">
        <v>681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8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39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612</v>
      </c>
      <c r="C6" s="7" t="s">
        <v>613</v>
      </c>
      <c r="D6" s="7" t="s">
        <v>614</v>
      </c>
      <c r="E6" s="7" t="s">
        <v>766</v>
      </c>
      <c r="F6" s="7" t="s">
        <v>676</v>
      </c>
      <c r="G6" s="14" t="s">
        <v>70</v>
      </c>
      <c r="H6" s="14" t="s">
        <v>20</v>
      </c>
      <c r="I6" s="15" t="s">
        <v>48</v>
      </c>
      <c r="J6" s="8"/>
      <c r="K6" s="8" t="str">
        <f>"100,0"</f>
        <v>100,0</v>
      </c>
      <c r="L6" s="8" t="str">
        <f>"62,5442"</f>
        <v>62,5442</v>
      </c>
      <c r="M6" s="7"/>
    </row>
    <row r="7" spans="1:13">
      <c r="B7" s="5" t="s">
        <v>63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Лист18"/>
  <dimension ref="A1:M62"/>
  <sheetViews>
    <sheetView topLeftCell="A25" workbookViewId="0">
      <selection activeCell="E54" sqref="E54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8.5" style="5" bestFit="1" customWidth="1"/>
    <col min="4" max="4" width="21.5" style="5" bestFit="1" customWidth="1"/>
    <col min="5" max="5" width="17.6640625" style="5" customWidth="1"/>
    <col min="6" max="6" width="36.6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39" t="s">
        <v>754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9</v>
      </c>
      <c r="H3" s="33"/>
      <c r="I3" s="33"/>
      <c r="J3" s="33"/>
      <c r="K3" s="5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54"/>
      <c r="L4" s="34"/>
      <c r="M4" s="36"/>
    </row>
    <row r="5" spans="1:13" ht="16">
      <c r="A5" s="37" t="s">
        <v>492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493</v>
      </c>
      <c r="C6" s="7" t="s">
        <v>494</v>
      </c>
      <c r="D6" s="7" t="s">
        <v>495</v>
      </c>
      <c r="E6" s="7" t="s">
        <v>766</v>
      </c>
      <c r="F6" s="7" t="s">
        <v>676</v>
      </c>
      <c r="G6" s="14" t="s">
        <v>93</v>
      </c>
      <c r="H6" s="14" t="s">
        <v>161</v>
      </c>
      <c r="I6" s="14" t="s">
        <v>70</v>
      </c>
      <c r="J6" s="8"/>
      <c r="K6" s="29" t="str">
        <f>"90,0"</f>
        <v>90,0</v>
      </c>
      <c r="L6" s="8" t="str">
        <f>"113,9580"</f>
        <v>113,9580</v>
      </c>
      <c r="M6" s="7"/>
    </row>
    <row r="7" spans="1:13">
      <c r="B7" s="5" t="s">
        <v>63</v>
      </c>
    </row>
    <row r="8" spans="1:13" ht="16">
      <c r="A8" s="50" t="s">
        <v>370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62</v>
      </c>
      <c r="B9" s="7" t="s">
        <v>496</v>
      </c>
      <c r="C9" s="7" t="s">
        <v>497</v>
      </c>
      <c r="D9" s="7" t="s">
        <v>498</v>
      </c>
      <c r="E9" s="7" t="s">
        <v>764</v>
      </c>
      <c r="F9" s="7" t="s">
        <v>499</v>
      </c>
      <c r="G9" s="14" t="s">
        <v>70</v>
      </c>
      <c r="H9" s="14" t="s">
        <v>19</v>
      </c>
      <c r="I9" s="15" t="s">
        <v>288</v>
      </c>
      <c r="J9" s="8"/>
      <c r="K9" s="29" t="str">
        <f>"97,5"</f>
        <v>97,5</v>
      </c>
      <c r="L9" s="8" t="str">
        <f>"108,6540"</f>
        <v>108,6540</v>
      </c>
      <c r="M9" s="7"/>
    </row>
    <row r="10" spans="1:13">
      <c r="B10" s="5" t="s">
        <v>63</v>
      </c>
    </row>
    <row r="11" spans="1:13" ht="16">
      <c r="A11" s="50" t="s">
        <v>10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8" t="s">
        <v>62</v>
      </c>
      <c r="B12" s="7" t="s">
        <v>268</v>
      </c>
      <c r="C12" s="7" t="s">
        <v>269</v>
      </c>
      <c r="D12" s="7" t="s">
        <v>270</v>
      </c>
      <c r="E12" s="7" t="s">
        <v>764</v>
      </c>
      <c r="F12" s="7" t="s">
        <v>676</v>
      </c>
      <c r="G12" s="14" t="s">
        <v>17</v>
      </c>
      <c r="H12" s="14" t="s">
        <v>21</v>
      </c>
      <c r="I12" s="14" t="s">
        <v>22</v>
      </c>
      <c r="J12" s="8"/>
      <c r="K12" s="29" t="str">
        <f>"165,0"</f>
        <v>165,0</v>
      </c>
      <c r="L12" s="8" t="str">
        <f>"163,6140"</f>
        <v>163,6140</v>
      </c>
      <c r="M12" s="7" t="s">
        <v>727</v>
      </c>
    </row>
    <row r="13" spans="1:13">
      <c r="B13" s="5" t="s">
        <v>63</v>
      </c>
    </row>
    <row r="14" spans="1:13" ht="16">
      <c r="A14" s="50" t="s">
        <v>95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>
      <c r="A15" s="8" t="s">
        <v>62</v>
      </c>
      <c r="B15" s="7" t="s">
        <v>500</v>
      </c>
      <c r="C15" s="7" t="s">
        <v>501</v>
      </c>
      <c r="D15" s="7" t="s">
        <v>502</v>
      </c>
      <c r="E15" s="7" t="s">
        <v>764</v>
      </c>
      <c r="F15" s="7" t="s">
        <v>676</v>
      </c>
      <c r="G15" s="15" t="s">
        <v>112</v>
      </c>
      <c r="H15" s="14" t="s">
        <v>112</v>
      </c>
      <c r="I15" s="14" t="s">
        <v>118</v>
      </c>
      <c r="J15" s="8"/>
      <c r="K15" s="29" t="str">
        <f>"107,5"</f>
        <v>107,5</v>
      </c>
      <c r="L15" s="8" t="str">
        <f>"103,6838"</f>
        <v>103,6838</v>
      </c>
      <c r="M15" s="7" t="s">
        <v>724</v>
      </c>
    </row>
    <row r="16" spans="1:13">
      <c r="B16" s="5" t="s">
        <v>63</v>
      </c>
    </row>
    <row r="17" spans="1:13" ht="16">
      <c r="A17" s="50" t="s">
        <v>102</v>
      </c>
      <c r="B17" s="50"/>
      <c r="C17" s="50"/>
      <c r="D17" s="50"/>
      <c r="E17" s="50"/>
      <c r="F17" s="50"/>
      <c r="G17" s="50"/>
      <c r="H17" s="50"/>
      <c r="I17" s="50"/>
      <c r="J17" s="50"/>
    </row>
    <row r="18" spans="1:13">
      <c r="A18" s="8" t="s">
        <v>62</v>
      </c>
      <c r="B18" s="7" t="s">
        <v>503</v>
      </c>
      <c r="C18" s="7" t="s">
        <v>504</v>
      </c>
      <c r="D18" s="7" t="s">
        <v>505</v>
      </c>
      <c r="E18" s="7" t="s">
        <v>764</v>
      </c>
      <c r="F18" s="7" t="s">
        <v>506</v>
      </c>
      <c r="G18" s="14" t="s">
        <v>33</v>
      </c>
      <c r="H18" s="14" t="s">
        <v>126</v>
      </c>
      <c r="I18" s="14" t="s">
        <v>34</v>
      </c>
      <c r="J18" s="8"/>
      <c r="K18" s="29" t="str">
        <f>"130,0"</f>
        <v>130,0</v>
      </c>
      <c r="L18" s="8" t="str">
        <f>"111,2150"</f>
        <v>111,2150</v>
      </c>
      <c r="M18" s="7" t="s">
        <v>507</v>
      </c>
    </row>
    <row r="19" spans="1:13">
      <c r="B19" s="5" t="s">
        <v>63</v>
      </c>
    </row>
    <row r="20" spans="1:13" ht="16">
      <c r="A20" s="50" t="s">
        <v>370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3">
      <c r="A21" s="8" t="s">
        <v>62</v>
      </c>
      <c r="B21" s="7" t="s">
        <v>508</v>
      </c>
      <c r="C21" s="7" t="s">
        <v>509</v>
      </c>
      <c r="D21" s="7" t="s">
        <v>510</v>
      </c>
      <c r="E21" s="7" t="s">
        <v>764</v>
      </c>
      <c r="F21" s="7" t="s">
        <v>676</v>
      </c>
      <c r="G21" s="14" t="s">
        <v>93</v>
      </c>
      <c r="H21" s="14" t="s">
        <v>70</v>
      </c>
      <c r="I21" s="14" t="s">
        <v>19</v>
      </c>
      <c r="J21" s="8"/>
      <c r="K21" s="29" t="str">
        <f>"97,5"</f>
        <v>97,5</v>
      </c>
      <c r="L21" s="8" t="str">
        <f>"101,2489"</f>
        <v>101,2489</v>
      </c>
      <c r="M21" s="7" t="s">
        <v>511</v>
      </c>
    </row>
    <row r="22" spans="1:13">
      <c r="B22" s="5" t="s">
        <v>63</v>
      </c>
    </row>
    <row r="23" spans="1:13" ht="16">
      <c r="A23" s="50" t="s">
        <v>102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3">
      <c r="A24" s="17" t="s">
        <v>62</v>
      </c>
      <c r="B24" s="16" t="s">
        <v>512</v>
      </c>
      <c r="C24" s="16" t="s">
        <v>513</v>
      </c>
      <c r="D24" s="16" t="s">
        <v>514</v>
      </c>
      <c r="E24" s="16" t="s">
        <v>764</v>
      </c>
      <c r="F24" s="16" t="s">
        <v>676</v>
      </c>
      <c r="G24" s="23" t="s">
        <v>32</v>
      </c>
      <c r="H24" s="22" t="s">
        <v>316</v>
      </c>
      <c r="I24" s="22" t="s">
        <v>148</v>
      </c>
      <c r="J24" s="17"/>
      <c r="K24" s="30" t="str">
        <f>"207,5"</f>
        <v>207,5</v>
      </c>
      <c r="L24" s="17" t="str">
        <f>"144,3059"</f>
        <v>144,3059</v>
      </c>
      <c r="M24" s="16"/>
    </row>
    <row r="25" spans="1:13">
      <c r="A25" s="21" t="s">
        <v>182</v>
      </c>
      <c r="B25" s="20" t="s">
        <v>119</v>
      </c>
      <c r="C25" s="20" t="s">
        <v>120</v>
      </c>
      <c r="D25" s="20" t="s">
        <v>121</v>
      </c>
      <c r="E25" s="20" t="s">
        <v>764</v>
      </c>
      <c r="F25" s="20" t="s">
        <v>122</v>
      </c>
      <c r="G25" s="27" t="s">
        <v>49</v>
      </c>
      <c r="H25" s="26" t="s">
        <v>50</v>
      </c>
      <c r="I25" s="27" t="s">
        <v>37</v>
      </c>
      <c r="J25" s="21"/>
      <c r="K25" s="32" t="str">
        <f>"205,0"</f>
        <v>205,0</v>
      </c>
      <c r="L25" s="21" t="str">
        <f>"143,1515"</f>
        <v>143,1515</v>
      </c>
      <c r="M25" s="20" t="s">
        <v>719</v>
      </c>
    </row>
    <row r="26" spans="1:13">
      <c r="A26" s="21" t="s">
        <v>184</v>
      </c>
      <c r="B26" s="20" t="s">
        <v>515</v>
      </c>
      <c r="C26" s="20" t="s">
        <v>516</v>
      </c>
      <c r="D26" s="20" t="s">
        <v>517</v>
      </c>
      <c r="E26" s="20" t="s">
        <v>764</v>
      </c>
      <c r="F26" s="20" t="s">
        <v>248</v>
      </c>
      <c r="G26" s="27" t="s">
        <v>124</v>
      </c>
      <c r="H26" s="26" t="s">
        <v>124</v>
      </c>
      <c r="I26" s="26" t="s">
        <v>316</v>
      </c>
      <c r="J26" s="21"/>
      <c r="K26" s="32" t="str">
        <f>"182,5"</f>
        <v>182,5</v>
      </c>
      <c r="L26" s="21" t="str">
        <f>"127,9599"</f>
        <v>127,9599</v>
      </c>
      <c r="M26" s="20" t="s">
        <v>249</v>
      </c>
    </row>
    <row r="27" spans="1:13">
      <c r="A27" s="19" t="s">
        <v>257</v>
      </c>
      <c r="B27" s="18" t="s">
        <v>518</v>
      </c>
      <c r="C27" s="18" t="s">
        <v>519</v>
      </c>
      <c r="D27" s="18" t="s">
        <v>520</v>
      </c>
      <c r="E27" s="18" t="s">
        <v>764</v>
      </c>
      <c r="F27" s="18" t="s">
        <v>521</v>
      </c>
      <c r="G27" s="24" t="s">
        <v>21</v>
      </c>
      <c r="H27" s="24" t="s">
        <v>22</v>
      </c>
      <c r="I27" s="25" t="s">
        <v>24</v>
      </c>
      <c r="J27" s="19"/>
      <c r="K27" s="31" t="str">
        <f>"165,0"</f>
        <v>165,0</v>
      </c>
      <c r="L27" s="19" t="str">
        <f>"115,9373"</f>
        <v>115,9373</v>
      </c>
      <c r="M27" s="18"/>
    </row>
    <row r="28" spans="1:13">
      <c r="B28" s="5" t="s">
        <v>63</v>
      </c>
    </row>
    <row r="29" spans="1:13" ht="16">
      <c r="A29" s="50" t="s">
        <v>26</v>
      </c>
      <c r="B29" s="50"/>
      <c r="C29" s="50"/>
      <c r="D29" s="50"/>
      <c r="E29" s="50"/>
      <c r="F29" s="50"/>
      <c r="G29" s="50"/>
      <c r="H29" s="50"/>
      <c r="I29" s="50"/>
      <c r="J29" s="50"/>
    </row>
    <row r="30" spans="1:13">
      <c r="A30" s="17" t="s">
        <v>62</v>
      </c>
      <c r="B30" s="16" t="s">
        <v>422</v>
      </c>
      <c r="C30" s="16" t="s">
        <v>423</v>
      </c>
      <c r="D30" s="16" t="s">
        <v>424</v>
      </c>
      <c r="E30" s="16" t="s">
        <v>764</v>
      </c>
      <c r="F30" s="16" t="s">
        <v>68</v>
      </c>
      <c r="G30" s="22" t="s">
        <v>522</v>
      </c>
      <c r="H30" s="22" t="s">
        <v>169</v>
      </c>
      <c r="I30" s="22" t="s">
        <v>227</v>
      </c>
      <c r="J30" s="17"/>
      <c r="K30" s="30" t="str">
        <f>"260,0"</f>
        <v>260,0</v>
      </c>
      <c r="L30" s="17" t="str">
        <f>"167,5960"</f>
        <v>167,5960</v>
      </c>
      <c r="M30" s="16"/>
    </row>
    <row r="31" spans="1:13">
      <c r="A31" s="21" t="s">
        <v>182</v>
      </c>
      <c r="B31" s="20" t="s">
        <v>523</v>
      </c>
      <c r="C31" s="20" t="s">
        <v>524</v>
      </c>
      <c r="D31" s="20" t="s">
        <v>525</v>
      </c>
      <c r="E31" s="20" t="s">
        <v>764</v>
      </c>
      <c r="F31" s="20" t="s">
        <v>526</v>
      </c>
      <c r="G31" s="26" t="s">
        <v>36</v>
      </c>
      <c r="H31" s="27" t="s">
        <v>194</v>
      </c>
      <c r="I31" s="26" t="s">
        <v>194</v>
      </c>
      <c r="J31" s="21"/>
      <c r="K31" s="32" t="str">
        <f>"235,0"</f>
        <v>235,0</v>
      </c>
      <c r="L31" s="21" t="str">
        <f>"153,9367"</f>
        <v>153,9367</v>
      </c>
      <c r="M31" s="20" t="s">
        <v>511</v>
      </c>
    </row>
    <row r="32" spans="1:13">
      <c r="A32" s="21" t="s">
        <v>184</v>
      </c>
      <c r="B32" s="20" t="s">
        <v>527</v>
      </c>
      <c r="C32" s="20" t="s">
        <v>528</v>
      </c>
      <c r="D32" s="20" t="s">
        <v>529</v>
      </c>
      <c r="E32" s="20" t="s">
        <v>764</v>
      </c>
      <c r="F32" s="20" t="s">
        <v>676</v>
      </c>
      <c r="G32" s="26" t="s">
        <v>138</v>
      </c>
      <c r="H32" s="26" t="s">
        <v>36</v>
      </c>
      <c r="I32" s="26" t="s">
        <v>37</v>
      </c>
      <c r="J32" s="21"/>
      <c r="K32" s="32" t="str">
        <f>"230,0"</f>
        <v>230,0</v>
      </c>
      <c r="L32" s="21" t="str">
        <f>"150,4200"</f>
        <v>150,4200</v>
      </c>
      <c r="M32" s="20"/>
    </row>
    <row r="33" spans="1:13">
      <c r="A33" s="21" t="s">
        <v>257</v>
      </c>
      <c r="B33" s="20" t="s">
        <v>530</v>
      </c>
      <c r="C33" s="20" t="s">
        <v>531</v>
      </c>
      <c r="D33" s="20" t="s">
        <v>532</v>
      </c>
      <c r="E33" s="20" t="s">
        <v>764</v>
      </c>
      <c r="F33" s="20" t="s">
        <v>676</v>
      </c>
      <c r="G33" s="26" t="s">
        <v>139</v>
      </c>
      <c r="H33" s="26" t="s">
        <v>242</v>
      </c>
      <c r="I33" s="27" t="s">
        <v>37</v>
      </c>
      <c r="J33" s="21"/>
      <c r="K33" s="32" t="str">
        <f>"225,0"</f>
        <v>225,0</v>
      </c>
      <c r="L33" s="21" t="str">
        <f>"147,5213"</f>
        <v>147,5213</v>
      </c>
      <c r="M33" s="20"/>
    </row>
    <row r="34" spans="1:13">
      <c r="A34" s="21" t="s">
        <v>258</v>
      </c>
      <c r="B34" s="20" t="s">
        <v>533</v>
      </c>
      <c r="C34" s="20" t="s">
        <v>534</v>
      </c>
      <c r="D34" s="20" t="s">
        <v>427</v>
      </c>
      <c r="E34" s="20" t="s">
        <v>764</v>
      </c>
      <c r="F34" s="20" t="s">
        <v>280</v>
      </c>
      <c r="G34" s="27" t="s">
        <v>212</v>
      </c>
      <c r="H34" s="26" t="s">
        <v>212</v>
      </c>
      <c r="I34" s="26" t="s">
        <v>49</v>
      </c>
      <c r="J34" s="21"/>
      <c r="K34" s="32" t="str">
        <f>"200,0"</f>
        <v>200,0</v>
      </c>
      <c r="L34" s="21" t="str">
        <f>"129,7400"</f>
        <v>129,7400</v>
      </c>
      <c r="M34" s="20"/>
    </row>
    <row r="35" spans="1:13">
      <c r="A35" s="19" t="s">
        <v>183</v>
      </c>
      <c r="B35" s="18" t="s">
        <v>127</v>
      </c>
      <c r="C35" s="18" t="s">
        <v>128</v>
      </c>
      <c r="D35" s="18" t="s">
        <v>129</v>
      </c>
      <c r="E35" s="18" t="s">
        <v>764</v>
      </c>
      <c r="F35" s="18" t="s">
        <v>676</v>
      </c>
      <c r="G35" s="25" t="s">
        <v>37</v>
      </c>
      <c r="H35" s="25" t="s">
        <v>38</v>
      </c>
      <c r="I35" s="25" t="s">
        <v>38</v>
      </c>
      <c r="J35" s="19"/>
      <c r="K35" s="31">
        <v>0</v>
      </c>
      <c r="L35" s="19" t="str">
        <f>"0,0000"</f>
        <v>0,0000</v>
      </c>
      <c r="M35" s="18" t="s">
        <v>133</v>
      </c>
    </row>
    <row r="36" spans="1:13">
      <c r="B36" s="5" t="s">
        <v>63</v>
      </c>
    </row>
    <row r="37" spans="1:13" ht="16">
      <c r="A37" s="50" t="s">
        <v>39</v>
      </c>
      <c r="B37" s="50"/>
      <c r="C37" s="50"/>
      <c r="D37" s="50"/>
      <c r="E37" s="50"/>
      <c r="F37" s="50"/>
      <c r="G37" s="50"/>
      <c r="H37" s="50"/>
      <c r="I37" s="50"/>
      <c r="J37" s="50"/>
    </row>
    <row r="38" spans="1:13">
      <c r="A38" s="17" t="s">
        <v>62</v>
      </c>
      <c r="B38" s="16" t="s">
        <v>535</v>
      </c>
      <c r="C38" s="16" t="s">
        <v>703</v>
      </c>
      <c r="D38" s="16" t="s">
        <v>536</v>
      </c>
      <c r="E38" s="16" t="s">
        <v>765</v>
      </c>
      <c r="F38" s="16" t="s">
        <v>676</v>
      </c>
      <c r="G38" s="22" t="s">
        <v>37</v>
      </c>
      <c r="H38" s="23" t="s">
        <v>38</v>
      </c>
      <c r="I38" s="23" t="s">
        <v>522</v>
      </c>
      <c r="J38" s="17"/>
      <c r="K38" s="30" t="str">
        <f>"230,0"</f>
        <v>230,0</v>
      </c>
      <c r="L38" s="17" t="str">
        <f>"143,8650"</f>
        <v>143,8650</v>
      </c>
      <c r="M38" s="16"/>
    </row>
    <row r="39" spans="1:13">
      <c r="A39" s="21" t="s">
        <v>62</v>
      </c>
      <c r="B39" s="20" t="s">
        <v>537</v>
      </c>
      <c r="C39" s="20" t="s">
        <v>538</v>
      </c>
      <c r="D39" s="20" t="s">
        <v>326</v>
      </c>
      <c r="E39" s="20" t="s">
        <v>764</v>
      </c>
      <c r="F39" s="20" t="s">
        <v>355</v>
      </c>
      <c r="G39" s="26" t="s">
        <v>242</v>
      </c>
      <c r="H39" s="26" t="s">
        <v>194</v>
      </c>
      <c r="I39" s="27" t="s">
        <v>522</v>
      </c>
      <c r="J39" s="21"/>
      <c r="K39" s="32" t="str">
        <f>"235,0"</f>
        <v>235,0</v>
      </c>
      <c r="L39" s="21" t="str">
        <f>"148,6610"</f>
        <v>148,6610</v>
      </c>
      <c r="M39" s="20"/>
    </row>
    <row r="40" spans="1:13">
      <c r="A40" s="19" t="s">
        <v>182</v>
      </c>
      <c r="B40" s="18" t="s">
        <v>539</v>
      </c>
      <c r="C40" s="18" t="s">
        <v>540</v>
      </c>
      <c r="D40" s="18" t="s">
        <v>330</v>
      </c>
      <c r="E40" s="18" t="s">
        <v>764</v>
      </c>
      <c r="F40" s="18" t="s">
        <v>676</v>
      </c>
      <c r="G40" s="24" t="s">
        <v>124</v>
      </c>
      <c r="H40" s="25" t="s">
        <v>212</v>
      </c>
      <c r="I40" s="25" t="s">
        <v>212</v>
      </c>
      <c r="J40" s="19"/>
      <c r="K40" s="31" t="str">
        <f>"175,0"</f>
        <v>175,0</v>
      </c>
      <c r="L40" s="19" t="str">
        <f>"108,5175"</f>
        <v>108,5175</v>
      </c>
      <c r="M40" s="18" t="s">
        <v>361</v>
      </c>
    </row>
    <row r="41" spans="1:13">
      <c r="B41" s="5" t="s">
        <v>63</v>
      </c>
    </row>
    <row r="42" spans="1:13" ht="16">
      <c r="A42" s="50" t="s">
        <v>143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3">
      <c r="A43" s="8" t="s">
        <v>62</v>
      </c>
      <c r="B43" s="7" t="s">
        <v>541</v>
      </c>
      <c r="C43" s="7" t="s">
        <v>542</v>
      </c>
      <c r="D43" s="7" t="s">
        <v>209</v>
      </c>
      <c r="E43" s="7" t="s">
        <v>766</v>
      </c>
      <c r="F43" s="7" t="s">
        <v>676</v>
      </c>
      <c r="G43" s="14" t="s">
        <v>236</v>
      </c>
      <c r="H43" s="14" t="s">
        <v>131</v>
      </c>
      <c r="I43" s="15" t="s">
        <v>49</v>
      </c>
      <c r="J43" s="8"/>
      <c r="K43" s="29" t="str">
        <f>"192,5"</f>
        <v>192,5</v>
      </c>
      <c r="L43" s="8" t="str">
        <f>"117,5251"</f>
        <v>117,5251</v>
      </c>
      <c r="M43" s="7"/>
    </row>
    <row r="44" spans="1:13">
      <c r="B44" s="5" t="s">
        <v>63</v>
      </c>
    </row>
    <row r="45" spans="1:13" ht="16">
      <c r="A45" s="50" t="s">
        <v>238</v>
      </c>
      <c r="B45" s="50"/>
      <c r="C45" s="50"/>
      <c r="D45" s="50"/>
      <c r="E45" s="50"/>
      <c r="F45" s="50"/>
      <c r="G45" s="50"/>
      <c r="H45" s="50"/>
      <c r="I45" s="50"/>
      <c r="J45" s="50"/>
    </row>
    <row r="46" spans="1:13">
      <c r="A46" s="17" t="s">
        <v>62</v>
      </c>
      <c r="B46" s="16" t="s">
        <v>543</v>
      </c>
      <c r="C46" s="16" t="s">
        <v>704</v>
      </c>
      <c r="D46" s="16" t="s">
        <v>544</v>
      </c>
      <c r="E46" s="16" t="s">
        <v>767</v>
      </c>
      <c r="F46" s="16" t="s">
        <v>545</v>
      </c>
      <c r="G46" s="22" t="s">
        <v>49</v>
      </c>
      <c r="H46" s="22" t="s">
        <v>139</v>
      </c>
      <c r="I46" s="23" t="s">
        <v>36</v>
      </c>
      <c r="J46" s="17"/>
      <c r="K46" s="30" t="str">
        <f>"215,0"</f>
        <v>215,0</v>
      </c>
      <c r="L46" s="17" t="str">
        <f>"121,8297"</f>
        <v>121,8297</v>
      </c>
      <c r="M46" s="16" t="s">
        <v>746</v>
      </c>
    </row>
    <row r="47" spans="1:13">
      <c r="A47" s="19" t="s">
        <v>62</v>
      </c>
      <c r="B47" s="18" t="s">
        <v>546</v>
      </c>
      <c r="C47" s="18" t="s">
        <v>547</v>
      </c>
      <c r="D47" s="18" t="s">
        <v>240</v>
      </c>
      <c r="E47" s="18" t="s">
        <v>764</v>
      </c>
      <c r="F47" s="18" t="s">
        <v>548</v>
      </c>
      <c r="G47" s="24" t="s">
        <v>195</v>
      </c>
      <c r="H47" s="24" t="s">
        <v>227</v>
      </c>
      <c r="I47" s="19"/>
      <c r="J47" s="19"/>
      <c r="K47" s="31" t="str">
        <f>"260,0"</f>
        <v>260,0</v>
      </c>
      <c r="L47" s="19" t="str">
        <f>"147,1860"</f>
        <v>147,1860</v>
      </c>
      <c r="M47" s="18" t="s">
        <v>747</v>
      </c>
    </row>
    <row r="48" spans="1:13">
      <c r="B48" s="5" t="s">
        <v>63</v>
      </c>
    </row>
    <row r="49" spans="1:13" ht="16">
      <c r="A49" s="50" t="s">
        <v>244</v>
      </c>
      <c r="B49" s="50"/>
      <c r="C49" s="50"/>
      <c r="D49" s="50"/>
      <c r="E49" s="50"/>
      <c r="F49" s="50"/>
      <c r="G49" s="50"/>
      <c r="H49" s="50"/>
      <c r="I49" s="50"/>
      <c r="J49" s="50"/>
    </row>
    <row r="50" spans="1:13">
      <c r="A50" s="8" t="s">
        <v>62</v>
      </c>
      <c r="B50" s="7" t="s">
        <v>549</v>
      </c>
      <c r="C50" s="7" t="s">
        <v>550</v>
      </c>
      <c r="D50" s="7" t="s">
        <v>551</v>
      </c>
      <c r="E50" s="7" t="s">
        <v>764</v>
      </c>
      <c r="F50" s="7" t="s">
        <v>676</v>
      </c>
      <c r="G50" s="14" t="s">
        <v>141</v>
      </c>
      <c r="H50" s="15" t="s">
        <v>172</v>
      </c>
      <c r="I50" s="15" t="s">
        <v>172</v>
      </c>
      <c r="J50" s="8"/>
      <c r="K50" s="29" t="str">
        <f>"232,5"</f>
        <v>232,5</v>
      </c>
      <c r="L50" s="8" t="str">
        <f>"127,2240"</f>
        <v>127,2240</v>
      </c>
      <c r="M50" s="7"/>
    </row>
    <row r="51" spans="1:13">
      <c r="B51" s="5" t="s">
        <v>63</v>
      </c>
    </row>
    <row r="52" spans="1:13" ht="16">
      <c r="A52" s="50" t="s">
        <v>293</v>
      </c>
      <c r="B52" s="50"/>
      <c r="C52" s="50"/>
      <c r="D52" s="50"/>
      <c r="E52" s="50"/>
      <c r="F52" s="50"/>
      <c r="G52" s="50"/>
      <c r="H52" s="50"/>
      <c r="I52" s="50"/>
      <c r="J52" s="50"/>
    </row>
    <row r="53" spans="1:13">
      <c r="A53" s="8" t="s">
        <v>62</v>
      </c>
      <c r="B53" s="7" t="s">
        <v>552</v>
      </c>
      <c r="C53" s="7" t="s">
        <v>553</v>
      </c>
      <c r="D53" s="7" t="s">
        <v>554</v>
      </c>
      <c r="E53" s="7" t="s">
        <v>764</v>
      </c>
      <c r="F53" s="7" t="s">
        <v>555</v>
      </c>
      <c r="G53" s="14" t="s">
        <v>219</v>
      </c>
      <c r="H53" s="14" t="s">
        <v>556</v>
      </c>
      <c r="I53" s="15" t="s">
        <v>200</v>
      </c>
      <c r="J53" s="8"/>
      <c r="K53" s="29" t="str">
        <f>"302,5"</f>
        <v>302,5</v>
      </c>
      <c r="L53" s="8" t="str">
        <f>"161,8345"</f>
        <v>161,8345</v>
      </c>
      <c r="M53" s="7"/>
    </row>
    <row r="54" spans="1:13">
      <c r="B54" s="5" t="s">
        <v>63</v>
      </c>
    </row>
    <row r="55" spans="1:13">
      <c r="B55" s="5" t="s">
        <v>63</v>
      </c>
    </row>
    <row r="56" spans="1:13" ht="18">
      <c r="B56" s="9" t="s">
        <v>51</v>
      </c>
      <c r="C56" s="9"/>
    </row>
    <row r="57" spans="1:13" ht="16">
      <c r="B57" s="10" t="s">
        <v>59</v>
      </c>
      <c r="C57" s="10"/>
    </row>
    <row r="58" spans="1:13" ht="14">
      <c r="B58" s="11"/>
      <c r="C58" s="12" t="s">
        <v>53</v>
      </c>
    </row>
    <row r="59" spans="1:13" ht="14">
      <c r="B59" s="13" t="s">
        <v>54</v>
      </c>
      <c r="C59" s="13" t="s">
        <v>55</v>
      </c>
      <c r="D59" s="13" t="s">
        <v>675</v>
      </c>
      <c r="E59" s="13" t="s">
        <v>364</v>
      </c>
      <c r="F59" s="13" t="s">
        <v>58</v>
      </c>
    </row>
    <row r="60" spans="1:13">
      <c r="B60" s="5" t="s">
        <v>422</v>
      </c>
      <c r="C60" s="5" t="s">
        <v>53</v>
      </c>
      <c r="D60" s="6" t="s">
        <v>60</v>
      </c>
      <c r="E60" s="6" t="s">
        <v>227</v>
      </c>
      <c r="F60" s="6" t="s">
        <v>557</v>
      </c>
    </row>
    <row r="61" spans="1:13">
      <c r="B61" s="5" t="s">
        <v>552</v>
      </c>
      <c r="C61" s="5" t="s">
        <v>53</v>
      </c>
      <c r="D61" s="6" t="s">
        <v>297</v>
      </c>
      <c r="E61" s="6" t="s">
        <v>556</v>
      </c>
      <c r="F61" s="6" t="s">
        <v>558</v>
      </c>
    </row>
    <row r="62" spans="1:13">
      <c r="B62" s="5" t="s">
        <v>523</v>
      </c>
      <c r="C62" s="5" t="s">
        <v>53</v>
      </c>
      <c r="D62" s="6" t="s">
        <v>60</v>
      </c>
      <c r="E62" s="6" t="s">
        <v>194</v>
      </c>
      <c r="F62" s="6" t="s">
        <v>559</v>
      </c>
    </row>
  </sheetData>
  <mergeCells count="24">
    <mergeCell ref="A5:J5"/>
    <mergeCell ref="B3:B4"/>
    <mergeCell ref="A52:J52"/>
    <mergeCell ref="A8:J8"/>
    <mergeCell ref="A11:J11"/>
    <mergeCell ref="A14:J14"/>
    <mergeCell ref="A17:J17"/>
    <mergeCell ref="A20:J20"/>
    <mergeCell ref="A23:J23"/>
    <mergeCell ref="A29:J29"/>
    <mergeCell ref="A37:J37"/>
    <mergeCell ref="A42:J42"/>
    <mergeCell ref="A45:J45"/>
    <mergeCell ref="A49:J49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19"/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10" width="5.5" style="6" customWidth="1"/>
    <col min="11" max="11" width="15.5" style="6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39" t="s">
        <v>753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9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95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489</v>
      </c>
      <c r="C6" s="7" t="s">
        <v>705</v>
      </c>
      <c r="D6" s="7" t="s">
        <v>490</v>
      </c>
      <c r="E6" s="7" t="s">
        <v>765</v>
      </c>
      <c r="F6" s="7" t="s">
        <v>383</v>
      </c>
      <c r="G6" s="14" t="s">
        <v>38</v>
      </c>
      <c r="H6" s="14" t="s">
        <v>150</v>
      </c>
      <c r="I6" s="14" t="s">
        <v>228</v>
      </c>
      <c r="J6" s="15" t="s">
        <v>491</v>
      </c>
      <c r="K6" s="8" t="str">
        <f>"270,0"</f>
        <v>270,0</v>
      </c>
      <c r="L6" s="8" t="str">
        <f>"202,0680"</f>
        <v>202,0680</v>
      </c>
      <c r="M6" s="7" t="s">
        <v>748</v>
      </c>
    </row>
    <row r="7" spans="1:13">
      <c r="B7" s="5" t="s">
        <v>63</v>
      </c>
    </row>
    <row r="8" spans="1:13" ht="16">
      <c r="A8" s="50" t="s">
        <v>26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62</v>
      </c>
      <c r="B9" s="7" t="s">
        <v>27</v>
      </c>
      <c r="C9" s="7" t="s">
        <v>28</v>
      </c>
      <c r="D9" s="7" t="s">
        <v>29</v>
      </c>
      <c r="E9" s="7" t="s">
        <v>764</v>
      </c>
      <c r="F9" s="7" t="s">
        <v>688</v>
      </c>
      <c r="G9" s="14" t="s">
        <v>36</v>
      </c>
      <c r="H9" s="14" t="s">
        <v>37</v>
      </c>
      <c r="I9" s="14" t="s">
        <v>38</v>
      </c>
      <c r="J9" s="8"/>
      <c r="K9" s="8" t="str">
        <f>"240,0"</f>
        <v>240,0</v>
      </c>
      <c r="L9" s="8" t="str">
        <f>"156,3120"</f>
        <v>156,3120</v>
      </c>
      <c r="M9" s="7"/>
    </row>
    <row r="10" spans="1:13">
      <c r="B10" s="5" t="s">
        <v>63</v>
      </c>
    </row>
    <row r="11" spans="1:13" ht="16">
      <c r="A11" s="50" t="s">
        <v>44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8" t="s">
        <v>62</v>
      </c>
      <c r="B12" s="7" t="s">
        <v>45</v>
      </c>
      <c r="C12" s="7" t="s">
        <v>690</v>
      </c>
      <c r="D12" s="7" t="s">
        <v>46</v>
      </c>
      <c r="E12" s="7" t="s">
        <v>767</v>
      </c>
      <c r="F12" s="7" t="s">
        <v>676</v>
      </c>
      <c r="G12" s="14" t="s">
        <v>43</v>
      </c>
      <c r="H12" s="14" t="s">
        <v>49</v>
      </c>
      <c r="I12" s="14" t="s">
        <v>50</v>
      </c>
      <c r="J12" s="8"/>
      <c r="K12" s="8" t="str">
        <f>"205,0"</f>
        <v>205,0</v>
      </c>
      <c r="L12" s="8" t="str">
        <f>"107,3124"</f>
        <v>107,3124</v>
      </c>
      <c r="M12" s="7" t="s">
        <v>724</v>
      </c>
    </row>
    <row r="13" spans="1:13">
      <c r="B13" s="5" t="s">
        <v>63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Лист20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39" t="s">
        <v>752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9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95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560</v>
      </c>
      <c r="C6" s="7" t="s">
        <v>561</v>
      </c>
      <c r="D6" s="7" t="s">
        <v>562</v>
      </c>
      <c r="E6" s="7" t="s">
        <v>766</v>
      </c>
      <c r="F6" s="7" t="s">
        <v>563</v>
      </c>
      <c r="G6" s="14" t="s">
        <v>15</v>
      </c>
      <c r="H6" s="15" t="s">
        <v>31</v>
      </c>
      <c r="I6" s="15" t="s">
        <v>21</v>
      </c>
      <c r="J6" s="8"/>
      <c r="K6" s="8" t="str">
        <f>"137,5"</f>
        <v>137,5</v>
      </c>
      <c r="L6" s="8" t="str">
        <f>"126,6513"</f>
        <v>126,6513</v>
      </c>
      <c r="M6" s="7" t="s">
        <v>749</v>
      </c>
    </row>
    <row r="7" spans="1:13">
      <c r="B7" s="5" t="s">
        <v>63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1"/>
  <dimension ref="A1:Q1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6.164062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7.5" style="6" bestFit="1" customWidth="1"/>
    <col min="17" max="17" width="21.6640625" style="5" customWidth="1"/>
    <col min="18" max="16384" width="9.1640625" style="3"/>
  </cols>
  <sheetData>
    <row r="1" spans="1:17" s="2" customFormat="1" ht="29" customHeight="1">
      <c r="A1" s="39" t="s">
        <v>682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760</v>
      </c>
      <c r="H3" s="33"/>
      <c r="I3" s="33"/>
      <c r="J3" s="33"/>
      <c r="K3" s="33" t="s">
        <v>674</v>
      </c>
      <c r="L3" s="33"/>
      <c r="M3" s="33"/>
      <c r="N3" s="33"/>
      <c r="O3" s="3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4"/>
      <c r="Q4" s="36"/>
    </row>
    <row r="5" spans="1:17" ht="16">
      <c r="A5" s="37" t="s">
        <v>76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8" t="s">
        <v>62</v>
      </c>
      <c r="B6" s="7" t="s">
        <v>667</v>
      </c>
      <c r="C6" s="7" t="s">
        <v>706</v>
      </c>
      <c r="D6" s="7" t="s">
        <v>382</v>
      </c>
      <c r="E6" s="7" t="s">
        <v>765</v>
      </c>
      <c r="F6" s="7" t="s">
        <v>676</v>
      </c>
      <c r="G6" s="14" t="s">
        <v>85</v>
      </c>
      <c r="H6" s="14" t="s">
        <v>111</v>
      </c>
      <c r="I6" s="15" t="s">
        <v>636</v>
      </c>
      <c r="J6" s="8"/>
      <c r="K6" s="14" t="s">
        <v>84</v>
      </c>
      <c r="L6" s="14" t="s">
        <v>116</v>
      </c>
      <c r="M6" s="14" t="s">
        <v>85</v>
      </c>
      <c r="N6" s="8"/>
      <c r="O6" s="8" t="str">
        <f>"85,0"</f>
        <v>85,0</v>
      </c>
      <c r="P6" s="8" t="str">
        <f>"77,1630"</f>
        <v>77,1630</v>
      </c>
      <c r="Q6" s="7"/>
    </row>
    <row r="7" spans="1:17">
      <c r="B7" s="5" t="s">
        <v>63</v>
      </c>
    </row>
    <row r="8" spans="1:17" ht="16">
      <c r="A8" s="50" t="s">
        <v>95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>
      <c r="A9" s="8" t="s">
        <v>62</v>
      </c>
      <c r="B9" s="7" t="s">
        <v>668</v>
      </c>
      <c r="C9" s="7" t="s">
        <v>669</v>
      </c>
      <c r="D9" s="7" t="s">
        <v>670</v>
      </c>
      <c r="E9" s="7" t="s">
        <v>764</v>
      </c>
      <c r="F9" s="7" t="s">
        <v>248</v>
      </c>
      <c r="G9" s="15" t="s">
        <v>73</v>
      </c>
      <c r="H9" s="14" t="s">
        <v>73</v>
      </c>
      <c r="I9" s="15" t="s">
        <v>110</v>
      </c>
      <c r="J9" s="8"/>
      <c r="K9" s="14" t="s">
        <v>72</v>
      </c>
      <c r="L9" s="15" t="s">
        <v>73</v>
      </c>
      <c r="M9" s="15" t="s">
        <v>73</v>
      </c>
      <c r="N9" s="8"/>
      <c r="O9" s="8" t="str">
        <f>"115,0"</f>
        <v>115,0</v>
      </c>
      <c r="P9" s="8" t="str">
        <f>"88,5673"</f>
        <v>88,5673</v>
      </c>
      <c r="Q9" s="7"/>
    </row>
    <row r="10" spans="1:17">
      <c r="B10" s="5" t="s">
        <v>63</v>
      </c>
    </row>
    <row r="11" spans="1:17" ht="16">
      <c r="A11" s="50" t="s">
        <v>102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7">
      <c r="A12" s="17" t="s">
        <v>62</v>
      </c>
      <c r="B12" s="16" t="s">
        <v>671</v>
      </c>
      <c r="C12" s="16" t="s">
        <v>707</v>
      </c>
      <c r="D12" s="16" t="s">
        <v>672</v>
      </c>
      <c r="E12" s="16" t="s">
        <v>765</v>
      </c>
      <c r="F12" s="16" t="s">
        <v>676</v>
      </c>
      <c r="G12" s="22" t="s">
        <v>73</v>
      </c>
      <c r="H12" s="23" t="s">
        <v>110</v>
      </c>
      <c r="I12" s="22" t="s">
        <v>110</v>
      </c>
      <c r="J12" s="17"/>
      <c r="K12" s="22" t="s">
        <v>71</v>
      </c>
      <c r="L12" s="22" t="s">
        <v>267</v>
      </c>
      <c r="M12" s="22" t="s">
        <v>72</v>
      </c>
      <c r="N12" s="17"/>
      <c r="O12" s="17" t="str">
        <f>"117,5"</f>
        <v>117,5</v>
      </c>
      <c r="P12" s="17" t="str">
        <f>"83,0842"</f>
        <v>83,0842</v>
      </c>
      <c r="Q12" s="16" t="s">
        <v>673</v>
      </c>
    </row>
    <row r="13" spans="1:17">
      <c r="A13" s="19" t="s">
        <v>62</v>
      </c>
      <c r="B13" s="18" t="s">
        <v>623</v>
      </c>
      <c r="C13" s="18" t="s">
        <v>624</v>
      </c>
      <c r="D13" s="18" t="s">
        <v>625</v>
      </c>
      <c r="E13" s="18" t="s">
        <v>764</v>
      </c>
      <c r="F13" s="18" t="s">
        <v>626</v>
      </c>
      <c r="G13" s="24" t="s">
        <v>101</v>
      </c>
      <c r="H13" s="25" t="s">
        <v>82</v>
      </c>
      <c r="I13" s="24" t="s">
        <v>82</v>
      </c>
      <c r="J13" s="19"/>
      <c r="K13" s="24" t="s">
        <v>72</v>
      </c>
      <c r="L13" s="24" t="s">
        <v>73</v>
      </c>
      <c r="M13" s="25" t="s">
        <v>110</v>
      </c>
      <c r="N13" s="19"/>
      <c r="O13" s="19" t="str">
        <f>"135,0"</f>
        <v>135,0</v>
      </c>
      <c r="P13" s="19" t="str">
        <f>"93,0420"</f>
        <v>93,0420</v>
      </c>
      <c r="Q13" s="18" t="s">
        <v>627</v>
      </c>
    </row>
    <row r="14" spans="1:17">
      <c r="B14" s="5" t="s">
        <v>63</v>
      </c>
    </row>
    <row r="15" spans="1:17" ht="16">
      <c r="A15" s="50" t="s">
        <v>26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7">
      <c r="A16" s="8" t="s">
        <v>62</v>
      </c>
      <c r="B16" s="7" t="s">
        <v>572</v>
      </c>
      <c r="C16" s="7" t="s">
        <v>573</v>
      </c>
      <c r="D16" s="7" t="s">
        <v>129</v>
      </c>
      <c r="E16" s="7" t="s">
        <v>764</v>
      </c>
      <c r="F16" s="7" t="s">
        <v>732</v>
      </c>
      <c r="G16" s="14" t="s">
        <v>73</v>
      </c>
      <c r="H16" s="14" t="s">
        <v>105</v>
      </c>
      <c r="I16" s="15" t="s">
        <v>101</v>
      </c>
      <c r="J16" s="8"/>
      <c r="K16" s="14" t="s">
        <v>267</v>
      </c>
      <c r="L16" s="14" t="s">
        <v>90</v>
      </c>
      <c r="M16" s="14" t="s">
        <v>73</v>
      </c>
      <c r="N16" s="8"/>
      <c r="O16" s="8" t="str">
        <f>"125,0"</f>
        <v>125,0</v>
      </c>
      <c r="P16" s="8" t="str">
        <f>"81,1562"</f>
        <v>81,1562</v>
      </c>
      <c r="Q16" s="7"/>
    </row>
    <row r="17" spans="2:2">
      <c r="B17" s="5" t="s">
        <v>63</v>
      </c>
    </row>
  </sheetData>
  <mergeCells count="16">
    <mergeCell ref="A8:N8"/>
    <mergeCell ref="A11:N11"/>
    <mergeCell ref="A15:N15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2"/>
  <dimension ref="A1:Q1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4" width="5.5" style="6" customWidth="1"/>
    <col min="15" max="15" width="7.83203125" style="28" bestFit="1" customWidth="1"/>
    <col min="16" max="16" width="8.5" style="6" bestFit="1" customWidth="1"/>
    <col min="17" max="17" width="21.83203125" style="5" customWidth="1"/>
    <col min="18" max="16384" width="9.1640625" style="3"/>
  </cols>
  <sheetData>
    <row r="1" spans="1:17" s="2" customFormat="1" ht="29" customHeight="1">
      <c r="A1" s="39" t="s">
        <v>683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760</v>
      </c>
      <c r="H3" s="33"/>
      <c r="I3" s="33"/>
      <c r="J3" s="33"/>
      <c r="K3" s="33" t="s">
        <v>674</v>
      </c>
      <c r="L3" s="33"/>
      <c r="M3" s="33"/>
      <c r="N3" s="33"/>
      <c r="O3" s="5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4"/>
      <c r="P4" s="34"/>
      <c r="Q4" s="36"/>
    </row>
    <row r="5" spans="1:17" ht="16">
      <c r="A5" s="37" t="s">
        <v>95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8" t="s">
        <v>183</v>
      </c>
      <c r="B6" s="7" t="s">
        <v>661</v>
      </c>
      <c r="C6" s="7" t="s">
        <v>662</v>
      </c>
      <c r="D6" s="7" t="s">
        <v>663</v>
      </c>
      <c r="E6" s="7" t="s">
        <v>764</v>
      </c>
      <c r="F6" s="7" t="s">
        <v>664</v>
      </c>
      <c r="G6" s="15" t="s">
        <v>73</v>
      </c>
      <c r="H6" s="15" t="s">
        <v>73</v>
      </c>
      <c r="I6" s="8"/>
      <c r="J6" s="8"/>
      <c r="K6" s="15"/>
      <c r="L6" s="8"/>
      <c r="M6" s="8"/>
      <c r="N6" s="8"/>
      <c r="O6" s="29">
        <v>0</v>
      </c>
      <c r="P6" s="8" t="str">
        <f>"0,0000"</f>
        <v>0,0000</v>
      </c>
      <c r="Q6" s="7"/>
    </row>
    <row r="7" spans="1:17">
      <c r="B7" s="5" t="s">
        <v>63</v>
      </c>
    </row>
    <row r="8" spans="1:17" ht="16">
      <c r="A8" s="50" t="s">
        <v>143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>
      <c r="A9" s="8" t="s">
        <v>62</v>
      </c>
      <c r="B9" s="7" t="s">
        <v>617</v>
      </c>
      <c r="C9" s="7" t="s">
        <v>618</v>
      </c>
      <c r="D9" s="7" t="s">
        <v>619</v>
      </c>
      <c r="E9" s="7" t="s">
        <v>764</v>
      </c>
      <c r="F9" s="7" t="s">
        <v>280</v>
      </c>
      <c r="G9" s="14" t="s">
        <v>47</v>
      </c>
      <c r="H9" s="14" t="s">
        <v>74</v>
      </c>
      <c r="I9" s="14" t="s">
        <v>48</v>
      </c>
      <c r="J9" s="8"/>
      <c r="K9" s="14" t="s">
        <v>262</v>
      </c>
      <c r="L9" s="14" t="s">
        <v>92</v>
      </c>
      <c r="M9" s="15" t="s">
        <v>275</v>
      </c>
      <c r="N9" s="8"/>
      <c r="O9" s="29" t="str">
        <f>"190,0"</f>
        <v>190,0</v>
      </c>
      <c r="P9" s="8" t="str">
        <f>"110,5420"</f>
        <v>110,5420</v>
      </c>
      <c r="Q9" s="7"/>
    </row>
    <row r="10" spans="1:17">
      <c r="B10" s="5" t="s">
        <v>63</v>
      </c>
    </row>
    <row r="11" spans="1:17" ht="16">
      <c r="A11" s="50" t="s">
        <v>238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7">
      <c r="A12" s="8" t="s">
        <v>183</v>
      </c>
      <c r="B12" s="7" t="s">
        <v>665</v>
      </c>
      <c r="C12" s="7" t="s">
        <v>708</v>
      </c>
      <c r="D12" s="7" t="s">
        <v>666</v>
      </c>
      <c r="E12" s="7" t="s">
        <v>765</v>
      </c>
      <c r="F12" s="7" t="s">
        <v>676</v>
      </c>
      <c r="G12" s="15" t="s">
        <v>74</v>
      </c>
      <c r="H12" s="15" t="s">
        <v>74</v>
      </c>
      <c r="I12" s="14" t="s">
        <v>74</v>
      </c>
      <c r="J12" s="8"/>
      <c r="K12" s="15" t="s">
        <v>93</v>
      </c>
      <c r="L12" s="15" t="s">
        <v>93</v>
      </c>
      <c r="M12" s="15" t="s">
        <v>93</v>
      </c>
      <c r="N12" s="8"/>
      <c r="O12" s="29">
        <v>0</v>
      </c>
      <c r="P12" s="8" t="str">
        <f>"0,0000"</f>
        <v>0,0000</v>
      </c>
      <c r="Q12" s="7"/>
    </row>
    <row r="13" spans="1:17">
      <c r="B13" s="5" t="s">
        <v>63</v>
      </c>
    </row>
    <row r="14" spans="1:17" ht="16">
      <c r="A14" s="50" t="s">
        <v>293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7">
      <c r="A15" s="8" t="s">
        <v>62</v>
      </c>
      <c r="B15" s="7" t="s">
        <v>620</v>
      </c>
      <c r="C15" s="7" t="s">
        <v>621</v>
      </c>
      <c r="D15" s="7" t="s">
        <v>622</v>
      </c>
      <c r="E15" s="7" t="s">
        <v>764</v>
      </c>
      <c r="F15" s="7" t="s">
        <v>383</v>
      </c>
      <c r="G15" s="14" t="s">
        <v>241</v>
      </c>
      <c r="H15" s="15" t="s">
        <v>34</v>
      </c>
      <c r="I15" s="14" t="s">
        <v>34</v>
      </c>
      <c r="J15" s="8"/>
      <c r="K15" s="14" t="s">
        <v>20</v>
      </c>
      <c r="L15" s="14" t="s">
        <v>47</v>
      </c>
      <c r="M15" s="14" t="s">
        <v>118</v>
      </c>
      <c r="N15" s="15" t="s">
        <v>74</v>
      </c>
      <c r="O15" s="29" t="str">
        <f>"237,5"</f>
        <v>237,5</v>
      </c>
      <c r="P15" s="8" t="str">
        <f>"128,8010"</f>
        <v>128,8010</v>
      </c>
      <c r="Q15" s="7"/>
    </row>
    <row r="16" spans="1:17">
      <c r="B16" s="5" t="s">
        <v>63</v>
      </c>
    </row>
  </sheetData>
  <mergeCells count="16">
    <mergeCell ref="A8:N8"/>
    <mergeCell ref="A11:N11"/>
    <mergeCell ref="A14:N14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Лист5">
    <pageSetUpPr fitToPage="1"/>
  </sheetPr>
  <dimension ref="A1:U16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4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8" width="5.5" style="6" customWidth="1"/>
    <col min="19" max="19" width="7.83203125" style="6" bestFit="1" customWidth="1"/>
    <col min="20" max="20" width="8.5" style="6" bestFit="1" customWidth="1"/>
    <col min="21" max="21" width="17.6640625" style="5" bestFit="1" customWidth="1"/>
    <col min="22" max="16384" width="9.1640625" style="3"/>
  </cols>
  <sheetData>
    <row r="1" spans="1:21" s="2" customFormat="1" ht="29" customHeight="1">
      <c r="A1" s="39" t="s">
        <v>723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</v>
      </c>
      <c r="H3" s="33"/>
      <c r="I3" s="33"/>
      <c r="J3" s="33"/>
      <c r="K3" s="33" t="s">
        <v>8</v>
      </c>
      <c r="L3" s="33"/>
      <c r="M3" s="33"/>
      <c r="N3" s="33"/>
      <c r="O3" s="33" t="s">
        <v>9</v>
      </c>
      <c r="P3" s="33"/>
      <c r="Q3" s="33"/>
      <c r="R3" s="33"/>
      <c r="S3" s="33" t="s">
        <v>1</v>
      </c>
      <c r="T3" s="33" t="s">
        <v>3</v>
      </c>
      <c r="U3" s="35" t="s">
        <v>2</v>
      </c>
    </row>
    <row r="4" spans="1:21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4"/>
      <c r="U4" s="36"/>
    </row>
    <row r="5" spans="1:21" ht="16">
      <c r="A5" s="37" t="s">
        <v>10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8" t="s">
        <v>62</v>
      </c>
      <c r="B6" s="7" t="s">
        <v>11</v>
      </c>
      <c r="C6" s="7" t="s">
        <v>12</v>
      </c>
      <c r="D6" s="7" t="s">
        <v>13</v>
      </c>
      <c r="E6" s="7" t="s">
        <v>764</v>
      </c>
      <c r="F6" s="7" t="s">
        <v>14</v>
      </c>
      <c r="G6" s="14" t="s">
        <v>15</v>
      </c>
      <c r="H6" s="14" t="s">
        <v>16</v>
      </c>
      <c r="I6" s="15" t="s">
        <v>17</v>
      </c>
      <c r="J6" s="8"/>
      <c r="K6" s="14" t="s">
        <v>18</v>
      </c>
      <c r="L6" s="14" t="s">
        <v>19</v>
      </c>
      <c r="M6" s="15" t="s">
        <v>20</v>
      </c>
      <c r="N6" s="8"/>
      <c r="O6" s="14" t="s">
        <v>21</v>
      </c>
      <c r="P6" s="14" t="s">
        <v>22</v>
      </c>
      <c r="Q6" s="14" t="s">
        <v>23</v>
      </c>
      <c r="R6" s="14" t="s">
        <v>24</v>
      </c>
      <c r="S6" s="8" t="str">
        <f>"410,0"</f>
        <v>410,0</v>
      </c>
      <c r="T6" s="8" t="str">
        <f>"405,4490"</f>
        <v>405,4490</v>
      </c>
      <c r="U6" s="7" t="s">
        <v>25</v>
      </c>
    </row>
    <row r="7" spans="1:21">
      <c r="B7" s="5" t="s">
        <v>63</v>
      </c>
    </row>
    <row r="8" spans="1:21" ht="16">
      <c r="A8" s="50" t="s">
        <v>26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8" t="s">
        <v>62</v>
      </c>
      <c r="B9" s="7" t="s">
        <v>27</v>
      </c>
      <c r="C9" s="7" t="s">
        <v>28</v>
      </c>
      <c r="D9" s="7" t="s">
        <v>29</v>
      </c>
      <c r="E9" s="7" t="s">
        <v>764</v>
      </c>
      <c r="F9" s="7" t="s">
        <v>688</v>
      </c>
      <c r="G9" s="14" t="s">
        <v>30</v>
      </c>
      <c r="H9" s="14" t="s">
        <v>31</v>
      </c>
      <c r="I9" s="15" t="s">
        <v>32</v>
      </c>
      <c r="J9" s="8"/>
      <c r="K9" s="14" t="s">
        <v>33</v>
      </c>
      <c r="L9" s="14" t="s">
        <v>34</v>
      </c>
      <c r="M9" s="15" t="s">
        <v>35</v>
      </c>
      <c r="N9" s="8"/>
      <c r="O9" s="14" t="s">
        <v>36</v>
      </c>
      <c r="P9" s="14" t="s">
        <v>37</v>
      </c>
      <c r="Q9" s="14" t="s">
        <v>38</v>
      </c>
      <c r="R9" s="8"/>
      <c r="S9" s="8" t="str">
        <f>"520,0"</f>
        <v>520,0</v>
      </c>
      <c r="T9" s="8" t="str">
        <f>"338,6760"</f>
        <v>338,6760</v>
      </c>
      <c r="U9" s="7"/>
    </row>
    <row r="10" spans="1:21">
      <c r="B10" s="5" t="s">
        <v>63</v>
      </c>
    </row>
    <row r="11" spans="1:21" ht="16">
      <c r="A11" s="50" t="s">
        <v>39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>
      <c r="A12" s="8" t="s">
        <v>62</v>
      </c>
      <c r="B12" s="7" t="s">
        <v>40</v>
      </c>
      <c r="C12" s="7" t="s">
        <v>41</v>
      </c>
      <c r="D12" s="7" t="s">
        <v>42</v>
      </c>
      <c r="E12" s="7" t="s">
        <v>764</v>
      </c>
      <c r="F12" s="7" t="s">
        <v>676</v>
      </c>
      <c r="G12" s="15" t="s">
        <v>30</v>
      </c>
      <c r="H12" s="14" t="s">
        <v>30</v>
      </c>
      <c r="I12" s="15" t="s">
        <v>31</v>
      </c>
      <c r="J12" s="8"/>
      <c r="K12" s="14" t="s">
        <v>31</v>
      </c>
      <c r="L12" s="14" t="s">
        <v>32</v>
      </c>
      <c r="M12" s="15" t="s">
        <v>23</v>
      </c>
      <c r="N12" s="8"/>
      <c r="O12" s="14" t="s">
        <v>32</v>
      </c>
      <c r="P12" s="14" t="s">
        <v>23</v>
      </c>
      <c r="Q12" s="15" t="s">
        <v>43</v>
      </c>
      <c r="R12" s="8"/>
      <c r="S12" s="8" t="str">
        <f>"470,0"</f>
        <v>470,0</v>
      </c>
      <c r="T12" s="8" t="str">
        <f>"287,5695"</f>
        <v>287,5695</v>
      </c>
      <c r="U12" s="7"/>
    </row>
    <row r="13" spans="1:21">
      <c r="B13" s="5" t="s">
        <v>63</v>
      </c>
    </row>
    <row r="14" spans="1:21" ht="16">
      <c r="A14" s="50" t="s">
        <v>44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21">
      <c r="A15" s="8" t="s">
        <v>62</v>
      </c>
      <c r="B15" s="7" t="s">
        <v>45</v>
      </c>
      <c r="C15" s="7" t="s">
        <v>690</v>
      </c>
      <c r="D15" s="7" t="s">
        <v>46</v>
      </c>
      <c r="E15" s="7" t="s">
        <v>767</v>
      </c>
      <c r="F15" s="7" t="s">
        <v>676</v>
      </c>
      <c r="G15" s="14" t="s">
        <v>31</v>
      </c>
      <c r="H15" s="14" t="s">
        <v>22</v>
      </c>
      <c r="I15" s="8"/>
      <c r="J15" s="8"/>
      <c r="K15" s="14" t="s">
        <v>47</v>
      </c>
      <c r="L15" s="14" t="s">
        <v>48</v>
      </c>
      <c r="M15" s="14" t="s">
        <v>33</v>
      </c>
      <c r="N15" s="8"/>
      <c r="O15" s="14" t="s">
        <v>43</v>
      </c>
      <c r="P15" s="14" t="s">
        <v>49</v>
      </c>
      <c r="Q15" s="14" t="s">
        <v>50</v>
      </c>
      <c r="R15" s="8"/>
      <c r="S15" s="8" t="str">
        <f>"490,0"</f>
        <v>490,0</v>
      </c>
      <c r="T15" s="8" t="str">
        <f>"256,5027"</f>
        <v>256,5027</v>
      </c>
      <c r="U15" s="7" t="s">
        <v>724</v>
      </c>
    </row>
    <row r="16" spans="1:21">
      <c r="B16" s="5" t="s">
        <v>63</v>
      </c>
    </row>
  </sheetData>
  <mergeCells count="17">
    <mergeCell ref="A5:R5"/>
    <mergeCell ref="A8:R8"/>
    <mergeCell ref="A11:R11"/>
    <mergeCell ref="A14:R14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23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6.16406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39" t="s">
        <v>684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616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102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623</v>
      </c>
      <c r="C6" s="7" t="s">
        <v>624</v>
      </c>
      <c r="D6" s="7" t="s">
        <v>625</v>
      </c>
      <c r="E6" s="7" t="s">
        <v>764</v>
      </c>
      <c r="F6" s="7" t="s">
        <v>626</v>
      </c>
      <c r="G6" s="14" t="s">
        <v>101</v>
      </c>
      <c r="H6" s="15" t="s">
        <v>82</v>
      </c>
      <c r="I6" s="14" t="s">
        <v>82</v>
      </c>
      <c r="J6" s="8"/>
      <c r="K6" s="8" t="str">
        <f>"75,0"</f>
        <v>75,0</v>
      </c>
      <c r="L6" s="8" t="str">
        <f>"51,6900"</f>
        <v>51,6900</v>
      </c>
      <c r="M6" s="7" t="s">
        <v>627</v>
      </c>
    </row>
    <row r="7" spans="1:13">
      <c r="B7" s="5" t="s">
        <v>63</v>
      </c>
    </row>
    <row r="8" spans="1:13">
      <c r="B8" s="5" t="s">
        <v>63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24"/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7" style="5" customWidth="1"/>
    <col min="14" max="16384" width="9.1640625" style="3"/>
  </cols>
  <sheetData>
    <row r="1" spans="1:13" s="2" customFormat="1" ht="29" customHeight="1">
      <c r="A1" s="39" t="s">
        <v>685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616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143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617</v>
      </c>
      <c r="C6" s="7" t="s">
        <v>618</v>
      </c>
      <c r="D6" s="7" t="s">
        <v>619</v>
      </c>
      <c r="E6" s="7" t="s">
        <v>764</v>
      </c>
      <c r="F6" s="7" t="s">
        <v>280</v>
      </c>
      <c r="G6" s="14" t="s">
        <v>47</v>
      </c>
      <c r="H6" s="14" t="s">
        <v>74</v>
      </c>
      <c r="I6" s="14" t="s">
        <v>48</v>
      </c>
      <c r="J6" s="8"/>
      <c r="K6" s="8" t="str">
        <f>"112,5"</f>
        <v>112,5</v>
      </c>
      <c r="L6" s="8" t="str">
        <f>"65,4525"</f>
        <v>65,4525</v>
      </c>
      <c r="M6" s="7"/>
    </row>
    <row r="7" spans="1:13">
      <c r="B7" s="5" t="s">
        <v>63</v>
      </c>
    </row>
    <row r="8" spans="1:13" ht="16">
      <c r="A8" s="50" t="s">
        <v>293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62</v>
      </c>
      <c r="B9" s="7" t="s">
        <v>620</v>
      </c>
      <c r="C9" s="7" t="s">
        <v>621</v>
      </c>
      <c r="D9" s="7" t="s">
        <v>622</v>
      </c>
      <c r="E9" s="7" t="s">
        <v>764</v>
      </c>
      <c r="F9" s="7" t="s">
        <v>383</v>
      </c>
      <c r="G9" s="14" t="s">
        <v>241</v>
      </c>
      <c r="H9" s="15" t="s">
        <v>34</v>
      </c>
      <c r="I9" s="14" t="s">
        <v>34</v>
      </c>
      <c r="J9" s="8"/>
      <c r="K9" s="8" t="str">
        <f>"130,0"</f>
        <v>130,0</v>
      </c>
      <c r="L9" s="8" t="str">
        <f>"70,5016"</f>
        <v>70,5016</v>
      </c>
      <c r="M9" s="7"/>
    </row>
    <row r="10" spans="1:13">
      <c r="B10" s="5" t="s">
        <v>63</v>
      </c>
    </row>
    <row r="11" spans="1:13">
      <c r="B11" s="5" t="s">
        <v>63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5"/>
  <dimension ref="A1:M3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6.1640625" style="5" bestFit="1" customWidth="1"/>
    <col min="7" max="9" width="4.5" style="6" customWidth="1"/>
    <col min="10" max="10" width="4.83203125" style="6" customWidth="1"/>
    <col min="11" max="11" width="10.5" style="28" bestFit="1" customWidth="1"/>
    <col min="12" max="12" width="7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9" t="s">
        <v>686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760</v>
      </c>
      <c r="H3" s="33"/>
      <c r="I3" s="33"/>
      <c r="J3" s="33"/>
      <c r="K3" s="5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54"/>
      <c r="L4" s="34"/>
      <c r="M4" s="36"/>
    </row>
    <row r="5" spans="1:13" ht="16">
      <c r="A5" s="37" t="s">
        <v>95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630</v>
      </c>
      <c r="C6" s="7" t="s">
        <v>709</v>
      </c>
      <c r="D6" s="7" t="s">
        <v>631</v>
      </c>
      <c r="E6" s="7" t="s">
        <v>772</v>
      </c>
      <c r="F6" s="7" t="s">
        <v>355</v>
      </c>
      <c r="G6" s="14" t="s">
        <v>72</v>
      </c>
      <c r="H6" s="14" t="s">
        <v>632</v>
      </c>
      <c r="I6" s="14" t="s">
        <v>633</v>
      </c>
      <c r="J6" s="15" t="s">
        <v>90</v>
      </c>
      <c r="K6" s="29" t="str">
        <f>"57,0"</f>
        <v>57,0</v>
      </c>
      <c r="L6" s="8" t="str">
        <f>"45,0101"</f>
        <v>45,0101</v>
      </c>
      <c r="M6" s="7" t="s">
        <v>750</v>
      </c>
    </row>
    <row r="7" spans="1:13">
      <c r="B7" s="5" t="s">
        <v>63</v>
      </c>
    </row>
    <row r="8" spans="1:13" ht="16">
      <c r="A8" s="50" t="s">
        <v>102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17" t="s">
        <v>62</v>
      </c>
      <c r="B9" s="16" t="s">
        <v>634</v>
      </c>
      <c r="C9" s="16" t="s">
        <v>710</v>
      </c>
      <c r="D9" s="16" t="s">
        <v>635</v>
      </c>
      <c r="E9" s="16" t="s">
        <v>772</v>
      </c>
      <c r="F9" s="16" t="s">
        <v>563</v>
      </c>
      <c r="G9" s="22" t="s">
        <v>636</v>
      </c>
      <c r="H9" s="23" t="s">
        <v>72</v>
      </c>
      <c r="I9" s="23" t="s">
        <v>72</v>
      </c>
      <c r="J9" s="17"/>
      <c r="K9" s="30" t="str">
        <f>"47,5"</f>
        <v>47,5</v>
      </c>
      <c r="L9" s="17" t="str">
        <f>"33,2381"</f>
        <v>33,2381</v>
      </c>
      <c r="M9" s="16" t="s">
        <v>637</v>
      </c>
    </row>
    <row r="10" spans="1:13">
      <c r="A10" s="21" t="s">
        <v>62</v>
      </c>
      <c r="B10" s="20" t="s">
        <v>638</v>
      </c>
      <c r="C10" s="20" t="s">
        <v>711</v>
      </c>
      <c r="D10" s="20" t="s">
        <v>615</v>
      </c>
      <c r="E10" s="20" t="s">
        <v>765</v>
      </c>
      <c r="F10" s="20" t="s">
        <v>676</v>
      </c>
      <c r="G10" s="26" t="s">
        <v>101</v>
      </c>
      <c r="H10" s="26" t="s">
        <v>82</v>
      </c>
      <c r="I10" s="26" t="s">
        <v>93</v>
      </c>
      <c r="J10" s="27" t="s">
        <v>275</v>
      </c>
      <c r="K10" s="32" t="str">
        <f>"80,0"</f>
        <v>80,0</v>
      </c>
      <c r="L10" s="21" t="str">
        <f>"55,5760"</f>
        <v>55,5760</v>
      </c>
      <c r="M10" s="20"/>
    </row>
    <row r="11" spans="1:13">
      <c r="A11" s="21" t="s">
        <v>182</v>
      </c>
      <c r="B11" s="20" t="s">
        <v>639</v>
      </c>
      <c r="C11" s="20" t="s">
        <v>712</v>
      </c>
      <c r="D11" s="20" t="s">
        <v>640</v>
      </c>
      <c r="E11" s="20" t="s">
        <v>765</v>
      </c>
      <c r="F11" s="20" t="s">
        <v>641</v>
      </c>
      <c r="G11" s="26" t="s">
        <v>84</v>
      </c>
      <c r="H11" s="26" t="s">
        <v>85</v>
      </c>
      <c r="I11" s="26" t="s">
        <v>117</v>
      </c>
      <c r="J11" s="21"/>
      <c r="K11" s="32" t="str">
        <f>"42,5"</f>
        <v>42,5</v>
      </c>
      <c r="L11" s="21" t="str">
        <f>"30,0857"</f>
        <v>30,0857</v>
      </c>
      <c r="M11" s="20" t="s">
        <v>751</v>
      </c>
    </row>
    <row r="12" spans="1:13">
      <c r="A12" s="19" t="s">
        <v>62</v>
      </c>
      <c r="B12" s="18" t="s">
        <v>623</v>
      </c>
      <c r="C12" s="18" t="s">
        <v>624</v>
      </c>
      <c r="D12" s="18" t="s">
        <v>625</v>
      </c>
      <c r="E12" s="18" t="s">
        <v>764</v>
      </c>
      <c r="F12" s="18" t="s">
        <v>626</v>
      </c>
      <c r="G12" s="24" t="s">
        <v>72</v>
      </c>
      <c r="H12" s="24" t="s">
        <v>73</v>
      </c>
      <c r="I12" s="25" t="s">
        <v>110</v>
      </c>
      <c r="J12" s="19"/>
      <c r="K12" s="31" t="str">
        <f>"60,0"</f>
        <v>60,0</v>
      </c>
      <c r="L12" s="19" t="str">
        <f>"41,3520"</f>
        <v>41,3520</v>
      </c>
      <c r="M12" s="18" t="s">
        <v>627</v>
      </c>
    </row>
    <row r="13" spans="1:13">
      <c r="B13" s="5" t="s">
        <v>63</v>
      </c>
    </row>
    <row r="14" spans="1:13" ht="16">
      <c r="A14" s="50" t="s">
        <v>26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>
      <c r="A15" s="17" t="s">
        <v>62</v>
      </c>
      <c r="B15" s="16" t="s">
        <v>642</v>
      </c>
      <c r="C15" s="16" t="s">
        <v>713</v>
      </c>
      <c r="D15" s="16" t="s">
        <v>29</v>
      </c>
      <c r="E15" s="16" t="s">
        <v>772</v>
      </c>
      <c r="F15" s="16" t="s">
        <v>676</v>
      </c>
      <c r="G15" s="22" t="s">
        <v>90</v>
      </c>
      <c r="H15" s="22" t="s">
        <v>73</v>
      </c>
      <c r="I15" s="23" t="s">
        <v>105</v>
      </c>
      <c r="J15" s="17"/>
      <c r="K15" s="30" t="str">
        <f>"60,0"</f>
        <v>60,0</v>
      </c>
      <c r="L15" s="17" t="str">
        <f>"39,0780"</f>
        <v>39,0780</v>
      </c>
      <c r="M15" s="16" t="s">
        <v>751</v>
      </c>
    </row>
    <row r="16" spans="1:13">
      <c r="A16" s="21" t="s">
        <v>182</v>
      </c>
      <c r="B16" s="20" t="s">
        <v>643</v>
      </c>
      <c r="C16" s="20" t="s">
        <v>714</v>
      </c>
      <c r="D16" s="20" t="s">
        <v>599</v>
      </c>
      <c r="E16" s="20" t="s">
        <v>772</v>
      </c>
      <c r="F16" s="20" t="s">
        <v>676</v>
      </c>
      <c r="G16" s="26" t="s">
        <v>71</v>
      </c>
      <c r="H16" s="26" t="s">
        <v>90</v>
      </c>
      <c r="I16" s="27" t="s">
        <v>105</v>
      </c>
      <c r="J16" s="21"/>
      <c r="K16" s="32" t="str">
        <f>"57,5"</f>
        <v>57,5</v>
      </c>
      <c r="L16" s="21" t="str">
        <f>"38,6630"</f>
        <v>38,6630</v>
      </c>
      <c r="M16" s="20" t="s">
        <v>751</v>
      </c>
    </row>
    <row r="17" spans="1:13">
      <c r="A17" s="21" t="s">
        <v>62</v>
      </c>
      <c r="B17" s="20" t="s">
        <v>644</v>
      </c>
      <c r="C17" s="20" t="s">
        <v>645</v>
      </c>
      <c r="D17" s="20" t="s">
        <v>529</v>
      </c>
      <c r="E17" s="20" t="s">
        <v>764</v>
      </c>
      <c r="F17" s="20" t="s">
        <v>676</v>
      </c>
      <c r="G17" s="26" t="s">
        <v>105</v>
      </c>
      <c r="H17" s="26" t="s">
        <v>101</v>
      </c>
      <c r="I17" s="27" t="s">
        <v>262</v>
      </c>
      <c r="J17" s="21"/>
      <c r="K17" s="32" t="str">
        <f>"70,0"</f>
        <v>70,0</v>
      </c>
      <c r="L17" s="21" t="str">
        <f>"45,7800"</f>
        <v>45,7800</v>
      </c>
      <c r="M17" s="20"/>
    </row>
    <row r="18" spans="1:13">
      <c r="A18" s="21" t="s">
        <v>182</v>
      </c>
      <c r="B18" s="20" t="s">
        <v>572</v>
      </c>
      <c r="C18" s="20" t="s">
        <v>573</v>
      </c>
      <c r="D18" s="20" t="s">
        <v>129</v>
      </c>
      <c r="E18" s="20" t="s">
        <v>764</v>
      </c>
      <c r="F18" s="20" t="s">
        <v>732</v>
      </c>
      <c r="G18" s="26" t="s">
        <v>267</v>
      </c>
      <c r="H18" s="26" t="s">
        <v>90</v>
      </c>
      <c r="I18" s="26" t="s">
        <v>73</v>
      </c>
      <c r="J18" s="21"/>
      <c r="K18" s="32" t="str">
        <f>"60,0"</f>
        <v>60,0</v>
      </c>
      <c r="L18" s="21" t="str">
        <f>"38,9550"</f>
        <v>38,9550</v>
      </c>
      <c r="M18" s="20"/>
    </row>
    <row r="19" spans="1:13">
      <c r="A19" s="19" t="s">
        <v>62</v>
      </c>
      <c r="B19" s="18" t="s">
        <v>646</v>
      </c>
      <c r="C19" s="18" t="s">
        <v>715</v>
      </c>
      <c r="D19" s="18" t="s">
        <v>29</v>
      </c>
      <c r="E19" s="18" t="s">
        <v>766</v>
      </c>
      <c r="F19" s="18" t="s">
        <v>676</v>
      </c>
      <c r="G19" s="24" t="s">
        <v>73</v>
      </c>
      <c r="H19" s="24" t="s">
        <v>105</v>
      </c>
      <c r="I19" s="25" t="s">
        <v>101</v>
      </c>
      <c r="J19" s="19"/>
      <c r="K19" s="31" t="str">
        <f>"65,0"</f>
        <v>65,0</v>
      </c>
      <c r="L19" s="19" t="str">
        <f>"44,1549"</f>
        <v>44,1549</v>
      </c>
      <c r="M19" s="18" t="s">
        <v>751</v>
      </c>
    </row>
    <row r="20" spans="1:13">
      <c r="B20" s="5" t="s">
        <v>63</v>
      </c>
    </row>
    <row r="21" spans="1:13" ht="16">
      <c r="A21" s="50" t="s">
        <v>39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3">
      <c r="A22" s="17" t="s">
        <v>62</v>
      </c>
      <c r="B22" s="16" t="s">
        <v>429</v>
      </c>
      <c r="C22" s="16" t="s">
        <v>430</v>
      </c>
      <c r="D22" s="16" t="s">
        <v>431</v>
      </c>
      <c r="E22" s="16" t="s">
        <v>764</v>
      </c>
      <c r="F22" s="16" t="s">
        <v>676</v>
      </c>
      <c r="G22" s="23" t="s">
        <v>82</v>
      </c>
      <c r="H22" s="22" t="s">
        <v>82</v>
      </c>
      <c r="I22" s="23" t="s">
        <v>92</v>
      </c>
      <c r="J22" s="17"/>
      <c r="K22" s="30" t="str">
        <f>"75,0"</f>
        <v>75,0</v>
      </c>
      <c r="L22" s="17" t="str">
        <f>"45,9450"</f>
        <v>45,9450</v>
      </c>
      <c r="M22" s="16" t="s">
        <v>432</v>
      </c>
    </row>
    <row r="23" spans="1:13">
      <c r="A23" s="21" t="s">
        <v>182</v>
      </c>
      <c r="B23" s="20" t="s">
        <v>647</v>
      </c>
      <c r="C23" s="20" t="s">
        <v>648</v>
      </c>
      <c r="D23" s="20" t="s">
        <v>453</v>
      </c>
      <c r="E23" s="20" t="s">
        <v>764</v>
      </c>
      <c r="F23" s="20" t="s">
        <v>649</v>
      </c>
      <c r="G23" s="26" t="s">
        <v>101</v>
      </c>
      <c r="H23" s="27" t="s">
        <v>262</v>
      </c>
      <c r="I23" s="26" t="s">
        <v>262</v>
      </c>
      <c r="J23" s="21"/>
      <c r="K23" s="32" t="str">
        <f>"72,5"</f>
        <v>72,5</v>
      </c>
      <c r="L23" s="21" t="str">
        <f>"44,8376"</f>
        <v>44,8376</v>
      </c>
      <c r="M23" s="20"/>
    </row>
    <row r="24" spans="1:13">
      <c r="A24" s="21" t="s">
        <v>184</v>
      </c>
      <c r="B24" s="20" t="s">
        <v>650</v>
      </c>
      <c r="C24" s="20" t="s">
        <v>651</v>
      </c>
      <c r="D24" s="20" t="s">
        <v>319</v>
      </c>
      <c r="E24" s="20" t="s">
        <v>764</v>
      </c>
      <c r="F24" s="20" t="s">
        <v>676</v>
      </c>
      <c r="G24" s="26" t="s">
        <v>101</v>
      </c>
      <c r="H24" s="26" t="s">
        <v>262</v>
      </c>
      <c r="I24" s="27" t="s">
        <v>82</v>
      </c>
      <c r="J24" s="21"/>
      <c r="K24" s="32" t="str">
        <f>"72,5"</f>
        <v>72,5</v>
      </c>
      <c r="L24" s="21" t="str">
        <f>"44,7832"</f>
        <v>44,7832</v>
      </c>
      <c r="M24" s="20"/>
    </row>
    <row r="25" spans="1:13">
      <c r="A25" s="19" t="s">
        <v>183</v>
      </c>
      <c r="B25" s="18" t="s">
        <v>652</v>
      </c>
      <c r="C25" s="18" t="s">
        <v>716</v>
      </c>
      <c r="D25" s="18" t="s">
        <v>192</v>
      </c>
      <c r="E25" s="18" t="s">
        <v>766</v>
      </c>
      <c r="F25" s="18" t="s">
        <v>653</v>
      </c>
      <c r="G25" s="25" t="s">
        <v>90</v>
      </c>
      <c r="H25" s="25" t="s">
        <v>110</v>
      </c>
      <c r="I25" s="25" t="s">
        <v>110</v>
      </c>
      <c r="J25" s="19"/>
      <c r="K25" s="31">
        <v>0</v>
      </c>
      <c r="L25" s="19" t="str">
        <f>"0,0000"</f>
        <v>0,0000</v>
      </c>
      <c r="M25" s="18" t="s">
        <v>654</v>
      </c>
    </row>
    <row r="26" spans="1:13">
      <c r="B26" s="5" t="s">
        <v>63</v>
      </c>
    </row>
    <row r="27" spans="1:13" ht="16">
      <c r="A27" s="50" t="s">
        <v>143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3">
      <c r="A28" s="8" t="s">
        <v>62</v>
      </c>
      <c r="B28" s="7" t="s">
        <v>655</v>
      </c>
      <c r="C28" s="7" t="s">
        <v>656</v>
      </c>
      <c r="D28" s="7" t="s">
        <v>657</v>
      </c>
      <c r="E28" s="7" t="s">
        <v>764</v>
      </c>
      <c r="F28" s="7" t="s">
        <v>193</v>
      </c>
      <c r="G28" s="14" t="s">
        <v>101</v>
      </c>
      <c r="H28" s="15" t="s">
        <v>262</v>
      </c>
      <c r="I28" s="15" t="s">
        <v>82</v>
      </c>
      <c r="J28" s="8"/>
      <c r="K28" s="29" t="str">
        <f>"70,0"</f>
        <v>70,0</v>
      </c>
      <c r="L28" s="8" t="str">
        <f>"42,2555"</f>
        <v>42,2555</v>
      </c>
      <c r="M28" s="7"/>
    </row>
    <row r="29" spans="1:13">
      <c r="B29" s="5" t="s">
        <v>63</v>
      </c>
    </row>
    <row r="30" spans="1:13" ht="18">
      <c r="B30" s="9" t="s">
        <v>51</v>
      </c>
      <c r="C30" s="9"/>
    </row>
    <row r="31" spans="1:13" ht="16">
      <c r="B31" s="10" t="s">
        <v>59</v>
      </c>
      <c r="C31" s="10"/>
    </row>
    <row r="32" spans="1:13" ht="14">
      <c r="B32" s="11"/>
      <c r="C32" s="12" t="s">
        <v>53</v>
      </c>
    </row>
    <row r="33" spans="2:6" ht="14">
      <c r="B33" s="13" t="s">
        <v>54</v>
      </c>
      <c r="C33" s="13" t="s">
        <v>55</v>
      </c>
      <c r="D33" s="13" t="s">
        <v>675</v>
      </c>
      <c r="E33" s="13" t="s">
        <v>364</v>
      </c>
      <c r="F33" s="13" t="s">
        <v>58</v>
      </c>
    </row>
    <row r="34" spans="2:6">
      <c r="B34" s="5" t="s">
        <v>429</v>
      </c>
      <c r="C34" s="5" t="s">
        <v>53</v>
      </c>
      <c r="D34" s="6" t="s">
        <v>61</v>
      </c>
      <c r="E34" s="6" t="s">
        <v>82</v>
      </c>
      <c r="F34" s="6" t="s">
        <v>658</v>
      </c>
    </row>
    <row r="35" spans="2:6">
      <c r="B35" s="5" t="s">
        <v>644</v>
      </c>
      <c r="C35" s="5" t="s">
        <v>53</v>
      </c>
      <c r="D35" s="6" t="s">
        <v>60</v>
      </c>
      <c r="E35" s="6" t="s">
        <v>101</v>
      </c>
      <c r="F35" s="6" t="s">
        <v>659</v>
      </c>
    </row>
    <row r="36" spans="2:6">
      <c r="B36" s="5" t="s">
        <v>647</v>
      </c>
      <c r="C36" s="5" t="s">
        <v>53</v>
      </c>
      <c r="D36" s="6" t="s">
        <v>61</v>
      </c>
      <c r="E36" s="6" t="s">
        <v>262</v>
      </c>
      <c r="F36" s="6" t="s">
        <v>660</v>
      </c>
    </row>
    <row r="37" spans="2:6">
      <c r="B37" s="5" t="s">
        <v>63</v>
      </c>
    </row>
  </sheetData>
  <mergeCells count="16">
    <mergeCell ref="A8:J8"/>
    <mergeCell ref="A14:J14"/>
    <mergeCell ref="A21:J21"/>
    <mergeCell ref="A27:J2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26"/>
  <dimension ref="A1:M13"/>
  <sheetViews>
    <sheetView tabSelected="1"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39" t="s">
        <v>687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760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26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628</v>
      </c>
      <c r="C6" s="7" t="s">
        <v>717</v>
      </c>
      <c r="D6" s="7" t="s">
        <v>629</v>
      </c>
      <c r="E6" s="7" t="s">
        <v>768</v>
      </c>
      <c r="F6" s="7" t="s">
        <v>676</v>
      </c>
      <c r="G6" s="14" t="s">
        <v>71</v>
      </c>
      <c r="H6" s="14" t="s">
        <v>267</v>
      </c>
      <c r="I6" s="15" t="s">
        <v>90</v>
      </c>
      <c r="J6" s="8"/>
      <c r="K6" s="8" t="str">
        <f>"52,5"</f>
        <v>52,5</v>
      </c>
      <c r="L6" s="8" t="str">
        <f>"43,8622"</f>
        <v>43,8622</v>
      </c>
      <c r="M6" s="7"/>
    </row>
    <row r="7" spans="1:13">
      <c r="B7" s="5" t="s">
        <v>63</v>
      </c>
    </row>
    <row r="8" spans="1:13" ht="16">
      <c r="A8" s="50" t="s">
        <v>143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62</v>
      </c>
      <c r="B9" s="7" t="s">
        <v>617</v>
      </c>
      <c r="C9" s="7" t="s">
        <v>618</v>
      </c>
      <c r="D9" s="7" t="s">
        <v>619</v>
      </c>
      <c r="E9" s="7" t="s">
        <v>764</v>
      </c>
      <c r="F9" s="7" t="s">
        <v>280</v>
      </c>
      <c r="G9" s="14" t="s">
        <v>262</v>
      </c>
      <c r="H9" s="14" t="s">
        <v>92</v>
      </c>
      <c r="I9" s="15" t="s">
        <v>275</v>
      </c>
      <c r="J9" s="8"/>
      <c r="K9" s="8" t="str">
        <f>"77,5"</f>
        <v>77,5</v>
      </c>
      <c r="L9" s="8" t="str">
        <f>"45,0895"</f>
        <v>45,0895</v>
      </c>
      <c r="M9" s="7"/>
    </row>
    <row r="10" spans="1:13">
      <c r="B10" s="5" t="s">
        <v>63</v>
      </c>
    </row>
    <row r="11" spans="1:13" ht="16">
      <c r="A11" s="50" t="s">
        <v>293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8" t="s">
        <v>62</v>
      </c>
      <c r="B12" s="7" t="s">
        <v>620</v>
      </c>
      <c r="C12" s="7" t="s">
        <v>621</v>
      </c>
      <c r="D12" s="7" t="s">
        <v>622</v>
      </c>
      <c r="E12" s="7" t="s">
        <v>764</v>
      </c>
      <c r="F12" s="7" t="s">
        <v>383</v>
      </c>
      <c r="G12" s="14" t="s">
        <v>20</v>
      </c>
      <c r="H12" s="14" t="s">
        <v>47</v>
      </c>
      <c r="I12" s="14" t="s">
        <v>118</v>
      </c>
      <c r="J12" s="15" t="s">
        <v>74</v>
      </c>
      <c r="K12" s="8" t="str">
        <f>"107,5"</f>
        <v>107,5</v>
      </c>
      <c r="L12" s="8" t="str">
        <f>"58,2994"</f>
        <v>58,2994</v>
      </c>
      <c r="M12" s="7"/>
    </row>
    <row r="13" spans="1:13">
      <c r="B13" s="5" t="s">
        <v>63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"/>
  <dimension ref="A1:U29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0.1640625" style="5" bestFit="1" customWidth="1"/>
    <col min="22" max="16384" width="9.1640625" style="3"/>
  </cols>
  <sheetData>
    <row r="1" spans="1:21" s="2" customFormat="1" ht="29" customHeight="1">
      <c r="A1" s="39" t="s">
        <v>725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</v>
      </c>
      <c r="H3" s="33"/>
      <c r="I3" s="33"/>
      <c r="J3" s="33"/>
      <c r="K3" s="33" t="s">
        <v>8</v>
      </c>
      <c r="L3" s="33"/>
      <c r="M3" s="33"/>
      <c r="N3" s="33"/>
      <c r="O3" s="33" t="s">
        <v>9</v>
      </c>
      <c r="P3" s="33"/>
      <c r="Q3" s="33"/>
      <c r="R3" s="33"/>
      <c r="S3" s="53" t="s">
        <v>1</v>
      </c>
      <c r="T3" s="33" t="s">
        <v>3</v>
      </c>
      <c r="U3" s="35" t="s">
        <v>2</v>
      </c>
    </row>
    <row r="4" spans="1:21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4"/>
      <c r="T4" s="34"/>
      <c r="U4" s="36"/>
    </row>
    <row r="5" spans="1:21" ht="16">
      <c r="A5" s="37" t="s">
        <v>64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8" t="s">
        <v>62</v>
      </c>
      <c r="B6" s="7" t="s">
        <v>260</v>
      </c>
      <c r="C6" s="7" t="s">
        <v>691</v>
      </c>
      <c r="D6" s="7" t="s">
        <v>261</v>
      </c>
      <c r="E6" s="7" t="s">
        <v>765</v>
      </c>
      <c r="F6" s="7" t="s">
        <v>676</v>
      </c>
      <c r="G6" s="14" t="s">
        <v>105</v>
      </c>
      <c r="H6" s="14" t="s">
        <v>101</v>
      </c>
      <c r="I6" s="15" t="s">
        <v>262</v>
      </c>
      <c r="J6" s="8"/>
      <c r="K6" s="14" t="s">
        <v>84</v>
      </c>
      <c r="L6" s="14" t="s">
        <v>85</v>
      </c>
      <c r="M6" s="14" t="s">
        <v>117</v>
      </c>
      <c r="N6" s="8"/>
      <c r="O6" s="14" t="s">
        <v>105</v>
      </c>
      <c r="P6" s="14" t="s">
        <v>101</v>
      </c>
      <c r="Q6" s="14" t="s">
        <v>82</v>
      </c>
      <c r="R6" s="8"/>
      <c r="S6" s="29" t="str">
        <f>"187,5"</f>
        <v>187,5</v>
      </c>
      <c r="T6" s="8" t="str">
        <f>"229,0313"</f>
        <v>229,0313</v>
      </c>
      <c r="U6" s="7" t="s">
        <v>726</v>
      </c>
    </row>
    <row r="7" spans="1:21">
      <c r="B7" s="5" t="s">
        <v>63</v>
      </c>
    </row>
    <row r="8" spans="1:21" ht="16">
      <c r="A8" s="50" t="s">
        <v>76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8" t="s">
        <v>62</v>
      </c>
      <c r="B9" s="7" t="s">
        <v>263</v>
      </c>
      <c r="C9" s="7" t="s">
        <v>264</v>
      </c>
      <c r="D9" s="7" t="s">
        <v>265</v>
      </c>
      <c r="E9" s="7" t="s">
        <v>764</v>
      </c>
      <c r="F9" s="7" t="s">
        <v>266</v>
      </c>
      <c r="G9" s="14" t="s">
        <v>69</v>
      </c>
      <c r="H9" s="14" t="s">
        <v>70</v>
      </c>
      <c r="I9" s="14" t="s">
        <v>112</v>
      </c>
      <c r="J9" s="8"/>
      <c r="K9" s="14" t="s">
        <v>111</v>
      </c>
      <c r="L9" s="14" t="s">
        <v>71</v>
      </c>
      <c r="M9" s="15" t="s">
        <v>267</v>
      </c>
      <c r="N9" s="8"/>
      <c r="O9" s="14" t="s">
        <v>70</v>
      </c>
      <c r="P9" s="14" t="s">
        <v>19</v>
      </c>
      <c r="Q9" s="15" t="s">
        <v>47</v>
      </c>
      <c r="R9" s="8"/>
      <c r="S9" s="29" t="str">
        <f>"242,5"</f>
        <v>242,5</v>
      </c>
      <c r="T9" s="8" t="str">
        <f>"257,5835"</f>
        <v>257,5835</v>
      </c>
      <c r="U9" s="7" t="s">
        <v>726</v>
      </c>
    </row>
    <row r="10" spans="1:21">
      <c r="B10" s="5" t="s">
        <v>63</v>
      </c>
    </row>
    <row r="11" spans="1:21" ht="16">
      <c r="A11" s="50" t="s">
        <v>10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>
      <c r="A12" s="8" t="s">
        <v>62</v>
      </c>
      <c r="B12" s="7" t="s">
        <v>268</v>
      </c>
      <c r="C12" s="7" t="s">
        <v>269</v>
      </c>
      <c r="D12" s="7" t="s">
        <v>270</v>
      </c>
      <c r="E12" s="7" t="s">
        <v>764</v>
      </c>
      <c r="F12" s="7" t="s">
        <v>676</v>
      </c>
      <c r="G12" s="14" t="s">
        <v>93</v>
      </c>
      <c r="H12" s="15" t="s">
        <v>70</v>
      </c>
      <c r="I12" s="14" t="s">
        <v>70</v>
      </c>
      <c r="J12" s="8"/>
      <c r="K12" s="14" t="s">
        <v>72</v>
      </c>
      <c r="L12" s="14" t="s">
        <v>90</v>
      </c>
      <c r="M12" s="14" t="s">
        <v>73</v>
      </c>
      <c r="N12" s="8"/>
      <c r="O12" s="14" t="s">
        <v>17</v>
      </c>
      <c r="P12" s="14" t="s">
        <v>21</v>
      </c>
      <c r="Q12" s="14" t="s">
        <v>22</v>
      </c>
      <c r="R12" s="8"/>
      <c r="S12" s="29" t="str">
        <f>"315,0"</f>
        <v>315,0</v>
      </c>
      <c r="T12" s="8" t="str">
        <f>"312,3540"</f>
        <v>312,3540</v>
      </c>
      <c r="U12" s="7" t="s">
        <v>727</v>
      </c>
    </row>
    <row r="13" spans="1:21">
      <c r="B13" s="5" t="s">
        <v>63</v>
      </c>
    </row>
    <row r="14" spans="1:21" ht="16">
      <c r="A14" s="50" t="s">
        <v>95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21">
      <c r="A15" s="8" t="s">
        <v>62</v>
      </c>
      <c r="B15" s="7" t="s">
        <v>271</v>
      </c>
      <c r="C15" s="7" t="s">
        <v>272</v>
      </c>
      <c r="D15" s="7" t="s">
        <v>273</v>
      </c>
      <c r="E15" s="7" t="s">
        <v>764</v>
      </c>
      <c r="F15" s="7" t="s">
        <v>274</v>
      </c>
      <c r="G15" s="14" t="s">
        <v>100</v>
      </c>
      <c r="H15" s="14" t="s">
        <v>125</v>
      </c>
      <c r="I15" s="14" t="s">
        <v>34</v>
      </c>
      <c r="J15" s="8"/>
      <c r="K15" s="14" t="s">
        <v>92</v>
      </c>
      <c r="L15" s="15" t="s">
        <v>275</v>
      </c>
      <c r="M15" s="14" t="s">
        <v>275</v>
      </c>
      <c r="N15" s="8"/>
      <c r="O15" s="15" t="s">
        <v>34</v>
      </c>
      <c r="P15" s="14" t="s">
        <v>35</v>
      </c>
      <c r="Q15" s="14" t="s">
        <v>17</v>
      </c>
      <c r="R15" s="8"/>
      <c r="S15" s="29" t="str">
        <f>"357,5"</f>
        <v>357,5</v>
      </c>
      <c r="T15" s="8" t="str">
        <f>"327,7024"</f>
        <v>327,7024</v>
      </c>
      <c r="U15" s="7" t="s">
        <v>276</v>
      </c>
    </row>
    <row r="16" spans="1:21">
      <c r="B16" s="5" t="s">
        <v>63</v>
      </c>
    </row>
    <row r="17" spans="1:21" ht="16">
      <c r="A17" s="50" t="s">
        <v>95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21">
      <c r="A18" s="8" t="s">
        <v>62</v>
      </c>
      <c r="B18" s="7" t="s">
        <v>277</v>
      </c>
      <c r="C18" s="7" t="s">
        <v>278</v>
      </c>
      <c r="D18" s="7" t="s">
        <v>279</v>
      </c>
      <c r="E18" s="7" t="s">
        <v>764</v>
      </c>
      <c r="F18" s="7" t="s">
        <v>280</v>
      </c>
      <c r="G18" s="14" t="s">
        <v>241</v>
      </c>
      <c r="H18" s="14" t="s">
        <v>17</v>
      </c>
      <c r="I18" s="15" t="s">
        <v>31</v>
      </c>
      <c r="J18" s="8"/>
      <c r="K18" s="14" t="s">
        <v>70</v>
      </c>
      <c r="L18" s="14" t="s">
        <v>112</v>
      </c>
      <c r="M18" s="14" t="s">
        <v>20</v>
      </c>
      <c r="N18" s="8"/>
      <c r="O18" s="14" t="s">
        <v>30</v>
      </c>
      <c r="P18" s="14" t="s">
        <v>123</v>
      </c>
      <c r="Q18" s="8"/>
      <c r="R18" s="8"/>
      <c r="S18" s="29" t="str">
        <f>"402,5"</f>
        <v>402,5</v>
      </c>
      <c r="T18" s="8" t="str">
        <f>"303,1429"</f>
        <v>303,1429</v>
      </c>
      <c r="U18" s="7" t="s">
        <v>281</v>
      </c>
    </row>
    <row r="19" spans="1:21">
      <c r="B19" s="5" t="s">
        <v>63</v>
      </c>
    </row>
    <row r="20" spans="1:21" ht="16">
      <c r="A20" s="50" t="s">
        <v>26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21">
      <c r="A21" s="8" t="s">
        <v>62</v>
      </c>
      <c r="B21" s="7" t="s">
        <v>282</v>
      </c>
      <c r="C21" s="7" t="s">
        <v>283</v>
      </c>
      <c r="D21" s="7" t="s">
        <v>284</v>
      </c>
      <c r="E21" s="7" t="s">
        <v>764</v>
      </c>
      <c r="F21" s="7" t="s">
        <v>99</v>
      </c>
      <c r="G21" s="14" t="s">
        <v>212</v>
      </c>
      <c r="H21" s="14" t="s">
        <v>49</v>
      </c>
      <c r="I21" s="14" t="s">
        <v>138</v>
      </c>
      <c r="J21" s="8"/>
      <c r="K21" s="15" t="s">
        <v>31</v>
      </c>
      <c r="L21" s="14" t="s">
        <v>21</v>
      </c>
      <c r="M21" s="14" t="s">
        <v>32</v>
      </c>
      <c r="N21" s="8"/>
      <c r="O21" s="14" t="s">
        <v>36</v>
      </c>
      <c r="P21" s="15" t="s">
        <v>37</v>
      </c>
      <c r="Q21" s="15" t="s">
        <v>37</v>
      </c>
      <c r="R21" s="8"/>
      <c r="S21" s="29" t="str">
        <f>"590,0"</f>
        <v>590,0</v>
      </c>
      <c r="T21" s="8" t="str">
        <f>"381,2285"</f>
        <v>381,2285</v>
      </c>
      <c r="U21" s="7"/>
    </row>
    <row r="22" spans="1:21">
      <c r="B22" s="5" t="s">
        <v>63</v>
      </c>
    </row>
    <row r="23" spans="1:21" ht="16">
      <c r="A23" s="50" t="s">
        <v>39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21">
      <c r="A24" s="17" t="s">
        <v>62</v>
      </c>
      <c r="B24" s="16" t="s">
        <v>285</v>
      </c>
      <c r="C24" s="16" t="s">
        <v>286</v>
      </c>
      <c r="D24" s="16" t="s">
        <v>287</v>
      </c>
      <c r="E24" s="16" t="s">
        <v>764</v>
      </c>
      <c r="F24" s="16" t="s">
        <v>280</v>
      </c>
      <c r="G24" s="22" t="s">
        <v>21</v>
      </c>
      <c r="H24" s="22" t="s">
        <v>124</v>
      </c>
      <c r="I24" s="22" t="s">
        <v>166</v>
      </c>
      <c r="J24" s="17"/>
      <c r="K24" s="22" t="s">
        <v>288</v>
      </c>
      <c r="L24" s="22" t="s">
        <v>74</v>
      </c>
      <c r="M24" s="23" t="s">
        <v>100</v>
      </c>
      <c r="N24" s="17"/>
      <c r="O24" s="22" t="s">
        <v>212</v>
      </c>
      <c r="P24" s="22" t="s">
        <v>50</v>
      </c>
      <c r="Q24" s="23" t="s">
        <v>36</v>
      </c>
      <c r="R24" s="17"/>
      <c r="S24" s="30" t="str">
        <f>"510,0"</f>
        <v>510,0</v>
      </c>
      <c r="T24" s="17" t="str">
        <f>"319,8975"</f>
        <v>319,8975</v>
      </c>
      <c r="U24" s="16" t="s">
        <v>281</v>
      </c>
    </row>
    <row r="25" spans="1:21">
      <c r="A25" s="19" t="s">
        <v>183</v>
      </c>
      <c r="B25" s="18" t="s">
        <v>289</v>
      </c>
      <c r="C25" s="18" t="s">
        <v>290</v>
      </c>
      <c r="D25" s="18" t="s">
        <v>291</v>
      </c>
      <c r="E25" s="18" t="s">
        <v>766</v>
      </c>
      <c r="F25" s="18" t="s">
        <v>676</v>
      </c>
      <c r="G25" s="25" t="s">
        <v>292</v>
      </c>
      <c r="H25" s="25" t="s">
        <v>50</v>
      </c>
      <c r="I25" s="25" t="s">
        <v>50</v>
      </c>
      <c r="J25" s="19"/>
      <c r="K25" s="25"/>
      <c r="L25" s="19"/>
      <c r="M25" s="19"/>
      <c r="N25" s="19"/>
      <c r="O25" s="25"/>
      <c r="P25" s="19"/>
      <c r="Q25" s="19"/>
      <c r="R25" s="19"/>
      <c r="S25" s="31">
        <v>0</v>
      </c>
      <c r="T25" s="19" t="str">
        <f>"0,0000"</f>
        <v>0,0000</v>
      </c>
      <c r="U25" s="18" t="s">
        <v>106</v>
      </c>
    </row>
    <row r="26" spans="1:21">
      <c r="B26" s="5" t="s">
        <v>63</v>
      </c>
    </row>
    <row r="27" spans="1:21" ht="16">
      <c r="A27" s="50" t="s">
        <v>293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spans="1:21">
      <c r="A28" s="8" t="s">
        <v>62</v>
      </c>
      <c r="B28" s="7" t="s">
        <v>294</v>
      </c>
      <c r="C28" s="7" t="s">
        <v>295</v>
      </c>
      <c r="D28" s="7" t="s">
        <v>296</v>
      </c>
      <c r="E28" s="7" t="s">
        <v>764</v>
      </c>
      <c r="F28" s="7" t="s">
        <v>729</v>
      </c>
      <c r="G28" s="14" t="s">
        <v>227</v>
      </c>
      <c r="H28" s="15" t="s">
        <v>228</v>
      </c>
      <c r="I28" s="15" t="s">
        <v>228</v>
      </c>
      <c r="J28" s="8"/>
      <c r="K28" s="14" t="s">
        <v>21</v>
      </c>
      <c r="L28" s="15" t="s">
        <v>167</v>
      </c>
      <c r="M28" s="15" t="s">
        <v>167</v>
      </c>
      <c r="N28" s="8"/>
      <c r="O28" s="14" t="s">
        <v>195</v>
      </c>
      <c r="P28" s="15" t="s">
        <v>227</v>
      </c>
      <c r="Q28" s="15" t="s">
        <v>227</v>
      </c>
      <c r="R28" s="8"/>
      <c r="S28" s="29" t="str">
        <f>"665,0"</f>
        <v>665,0</v>
      </c>
      <c r="T28" s="8" t="str">
        <f>"355,8747"</f>
        <v>355,8747</v>
      </c>
      <c r="U28" s="7"/>
    </row>
    <row r="29" spans="1:21">
      <c r="B29" s="5" t="s">
        <v>63</v>
      </c>
    </row>
  </sheetData>
  <mergeCells count="21">
    <mergeCell ref="A27:R27"/>
    <mergeCell ref="B3:B4"/>
    <mergeCell ref="A8:R8"/>
    <mergeCell ref="A11:R11"/>
    <mergeCell ref="A14:R14"/>
    <mergeCell ref="A17:R17"/>
    <mergeCell ref="A20:R20"/>
    <mergeCell ref="A23:R23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Лист3"/>
  <dimension ref="A1:U33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.5" style="5" customWidth="1"/>
    <col min="22" max="16384" width="9.1640625" style="3"/>
  </cols>
  <sheetData>
    <row r="1" spans="1:21" s="2" customFormat="1" ht="29" customHeight="1">
      <c r="A1" s="39" t="s">
        <v>728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</v>
      </c>
      <c r="H3" s="33"/>
      <c r="I3" s="33"/>
      <c r="J3" s="33"/>
      <c r="K3" s="33" t="s">
        <v>8</v>
      </c>
      <c r="L3" s="33"/>
      <c r="M3" s="33"/>
      <c r="N3" s="33"/>
      <c r="O3" s="33" t="s">
        <v>9</v>
      </c>
      <c r="P3" s="33"/>
      <c r="Q3" s="33"/>
      <c r="R3" s="33"/>
      <c r="S3" s="33" t="s">
        <v>1</v>
      </c>
      <c r="T3" s="33" t="s">
        <v>3</v>
      </c>
      <c r="U3" s="35" t="s">
        <v>2</v>
      </c>
    </row>
    <row r="4" spans="1:21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4"/>
      <c r="U4" s="36"/>
    </row>
    <row r="5" spans="1:21" ht="16">
      <c r="A5" s="37" t="s">
        <v>102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8" t="s">
        <v>62</v>
      </c>
      <c r="B6" s="7" t="s">
        <v>185</v>
      </c>
      <c r="C6" s="7" t="s">
        <v>186</v>
      </c>
      <c r="D6" s="7" t="s">
        <v>187</v>
      </c>
      <c r="E6" s="7" t="s">
        <v>764</v>
      </c>
      <c r="F6" s="7" t="s">
        <v>188</v>
      </c>
      <c r="G6" s="14" t="s">
        <v>35</v>
      </c>
      <c r="H6" s="14" t="s">
        <v>16</v>
      </c>
      <c r="I6" s="14" t="s">
        <v>189</v>
      </c>
      <c r="J6" s="8"/>
      <c r="K6" s="14" t="s">
        <v>70</v>
      </c>
      <c r="L6" s="15" t="s">
        <v>112</v>
      </c>
      <c r="M6" s="14" t="s">
        <v>112</v>
      </c>
      <c r="N6" s="8"/>
      <c r="O6" s="14" t="s">
        <v>21</v>
      </c>
      <c r="P6" s="14" t="s">
        <v>22</v>
      </c>
      <c r="Q6" s="14" t="s">
        <v>124</v>
      </c>
      <c r="R6" s="8"/>
      <c r="S6" s="8" t="str">
        <f>"417,5"</f>
        <v>417,5</v>
      </c>
      <c r="T6" s="8" t="str">
        <f>"289,7450"</f>
        <v>289,7450</v>
      </c>
      <c r="U6" s="7"/>
    </row>
    <row r="7" spans="1:21">
      <c r="B7" s="5" t="s">
        <v>63</v>
      </c>
    </row>
    <row r="8" spans="1:21" ht="16">
      <c r="A8" s="50" t="s">
        <v>39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21">
      <c r="A9" s="8" t="s">
        <v>62</v>
      </c>
      <c r="B9" s="7" t="s">
        <v>190</v>
      </c>
      <c r="C9" s="7" t="s">
        <v>191</v>
      </c>
      <c r="D9" s="7" t="s">
        <v>192</v>
      </c>
      <c r="E9" s="7" t="s">
        <v>764</v>
      </c>
      <c r="F9" s="7" t="s">
        <v>193</v>
      </c>
      <c r="G9" s="14" t="s">
        <v>36</v>
      </c>
      <c r="H9" s="14" t="s">
        <v>37</v>
      </c>
      <c r="I9" s="14" t="s">
        <v>194</v>
      </c>
      <c r="J9" s="8"/>
      <c r="K9" s="14" t="s">
        <v>32</v>
      </c>
      <c r="L9" s="14" t="s">
        <v>168</v>
      </c>
      <c r="M9" s="14" t="s">
        <v>24</v>
      </c>
      <c r="N9" s="8"/>
      <c r="O9" s="14" t="s">
        <v>195</v>
      </c>
      <c r="P9" s="14" t="s">
        <v>151</v>
      </c>
      <c r="Q9" s="14" t="s">
        <v>196</v>
      </c>
      <c r="R9" s="8"/>
      <c r="S9" s="8" t="str">
        <f>"682,5"</f>
        <v>682,5</v>
      </c>
      <c r="T9" s="8" t="str">
        <f>"418,6114"</f>
        <v>418,6114</v>
      </c>
      <c r="U9" s="7" t="s">
        <v>152</v>
      </c>
    </row>
    <row r="10" spans="1:21">
      <c r="B10" s="5" t="s">
        <v>63</v>
      </c>
    </row>
    <row r="11" spans="1:21" ht="16">
      <c r="A11" s="50" t="s">
        <v>143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1">
      <c r="A12" s="17" t="s">
        <v>62</v>
      </c>
      <c r="B12" s="16" t="s">
        <v>197</v>
      </c>
      <c r="C12" s="16" t="s">
        <v>198</v>
      </c>
      <c r="D12" s="16" t="s">
        <v>199</v>
      </c>
      <c r="E12" s="16" t="s">
        <v>764</v>
      </c>
      <c r="F12" s="16" t="s">
        <v>730</v>
      </c>
      <c r="G12" s="22" t="s">
        <v>200</v>
      </c>
      <c r="H12" s="22" t="s">
        <v>201</v>
      </c>
      <c r="I12" s="23" t="s">
        <v>202</v>
      </c>
      <c r="J12" s="17"/>
      <c r="K12" s="22" t="s">
        <v>139</v>
      </c>
      <c r="L12" s="23" t="s">
        <v>203</v>
      </c>
      <c r="M12" s="23" t="s">
        <v>203</v>
      </c>
      <c r="N12" s="17"/>
      <c r="O12" s="22" t="s">
        <v>204</v>
      </c>
      <c r="P12" s="22" t="s">
        <v>205</v>
      </c>
      <c r="Q12" s="23" t="s">
        <v>206</v>
      </c>
      <c r="R12" s="17"/>
      <c r="S12" s="17" t="str">
        <f>"840,0"</f>
        <v>840,0</v>
      </c>
      <c r="T12" s="17" t="str">
        <f>"495,5580"</f>
        <v>495,5580</v>
      </c>
      <c r="U12" s="16" t="s">
        <v>75</v>
      </c>
    </row>
    <row r="13" spans="1:21">
      <c r="A13" s="21" t="s">
        <v>182</v>
      </c>
      <c r="B13" s="20" t="s">
        <v>207</v>
      </c>
      <c r="C13" s="20" t="s">
        <v>208</v>
      </c>
      <c r="D13" s="20" t="s">
        <v>209</v>
      </c>
      <c r="E13" s="20" t="s">
        <v>764</v>
      </c>
      <c r="F13" s="20" t="s">
        <v>731</v>
      </c>
      <c r="G13" s="26" t="s">
        <v>206</v>
      </c>
      <c r="H13" s="26" t="s">
        <v>210</v>
      </c>
      <c r="I13" s="26" t="s">
        <v>211</v>
      </c>
      <c r="J13" s="21"/>
      <c r="K13" s="26" t="s">
        <v>212</v>
      </c>
      <c r="L13" s="26" t="s">
        <v>49</v>
      </c>
      <c r="M13" s="27" t="s">
        <v>138</v>
      </c>
      <c r="N13" s="21"/>
      <c r="O13" s="26" t="s">
        <v>206</v>
      </c>
      <c r="P13" s="26" t="s">
        <v>213</v>
      </c>
      <c r="Q13" s="27" t="s">
        <v>201</v>
      </c>
      <c r="R13" s="21"/>
      <c r="S13" s="21" t="str">
        <f>"837,5"</f>
        <v>837,5</v>
      </c>
      <c r="T13" s="21" t="str">
        <f>"490,2306"</f>
        <v>490,2306</v>
      </c>
      <c r="U13" s="20" t="s">
        <v>214</v>
      </c>
    </row>
    <row r="14" spans="1:21">
      <c r="A14" s="21" t="s">
        <v>184</v>
      </c>
      <c r="B14" s="20" t="s">
        <v>215</v>
      </c>
      <c r="C14" s="20" t="s">
        <v>216</v>
      </c>
      <c r="D14" s="20" t="s">
        <v>217</v>
      </c>
      <c r="E14" s="20" t="s">
        <v>764</v>
      </c>
      <c r="F14" s="20" t="s">
        <v>218</v>
      </c>
      <c r="G14" s="26" t="s">
        <v>219</v>
      </c>
      <c r="H14" s="27" t="s">
        <v>205</v>
      </c>
      <c r="I14" s="27" t="s">
        <v>205</v>
      </c>
      <c r="J14" s="21"/>
      <c r="K14" s="26" t="s">
        <v>23</v>
      </c>
      <c r="L14" s="26" t="s">
        <v>124</v>
      </c>
      <c r="M14" s="26" t="s">
        <v>149</v>
      </c>
      <c r="N14" s="21"/>
      <c r="O14" s="26" t="s">
        <v>210</v>
      </c>
      <c r="P14" s="26" t="s">
        <v>201</v>
      </c>
      <c r="Q14" s="27" t="s">
        <v>220</v>
      </c>
      <c r="R14" s="21"/>
      <c r="S14" s="21" t="str">
        <f>"782,5"</f>
        <v>782,5</v>
      </c>
      <c r="T14" s="21" t="str">
        <f>"456,2366"</f>
        <v>456,2366</v>
      </c>
      <c r="U14" s="20" t="s">
        <v>221</v>
      </c>
    </row>
    <row r="15" spans="1:21">
      <c r="A15" s="21" t="s">
        <v>257</v>
      </c>
      <c r="B15" s="20" t="s">
        <v>222</v>
      </c>
      <c r="C15" s="20" t="s">
        <v>223</v>
      </c>
      <c r="D15" s="20" t="s">
        <v>224</v>
      </c>
      <c r="E15" s="20" t="s">
        <v>764</v>
      </c>
      <c r="F15" s="20" t="s">
        <v>225</v>
      </c>
      <c r="G15" s="27" t="s">
        <v>226</v>
      </c>
      <c r="H15" s="26" t="s">
        <v>151</v>
      </c>
      <c r="I15" s="26" t="s">
        <v>196</v>
      </c>
      <c r="J15" s="21"/>
      <c r="K15" s="26" t="s">
        <v>21</v>
      </c>
      <c r="L15" s="26" t="s">
        <v>22</v>
      </c>
      <c r="M15" s="27" t="s">
        <v>24</v>
      </c>
      <c r="N15" s="21"/>
      <c r="O15" s="26" t="s">
        <v>195</v>
      </c>
      <c r="P15" s="26" t="s">
        <v>227</v>
      </c>
      <c r="Q15" s="26" t="s">
        <v>228</v>
      </c>
      <c r="R15" s="21"/>
      <c r="S15" s="21" t="str">
        <f>"710,0"</f>
        <v>710,0</v>
      </c>
      <c r="T15" s="21" t="str">
        <f>"415,7760"</f>
        <v>415,7760</v>
      </c>
      <c r="U15" s="20"/>
    </row>
    <row r="16" spans="1:21">
      <c r="A16" s="21" t="s">
        <v>258</v>
      </c>
      <c r="B16" s="20" t="s">
        <v>229</v>
      </c>
      <c r="C16" s="20" t="s">
        <v>230</v>
      </c>
      <c r="D16" s="20" t="s">
        <v>146</v>
      </c>
      <c r="E16" s="20" t="s">
        <v>764</v>
      </c>
      <c r="F16" s="20" t="s">
        <v>231</v>
      </c>
      <c r="G16" s="26" t="s">
        <v>36</v>
      </c>
      <c r="H16" s="27" t="s">
        <v>37</v>
      </c>
      <c r="I16" s="21"/>
      <c r="J16" s="21"/>
      <c r="K16" s="27" t="s">
        <v>31</v>
      </c>
      <c r="L16" s="27" t="s">
        <v>22</v>
      </c>
      <c r="M16" s="26" t="s">
        <v>22</v>
      </c>
      <c r="N16" s="21"/>
      <c r="O16" s="26" t="s">
        <v>38</v>
      </c>
      <c r="P16" s="26" t="s">
        <v>195</v>
      </c>
      <c r="Q16" s="27" t="s">
        <v>227</v>
      </c>
      <c r="R16" s="21"/>
      <c r="S16" s="21" t="str">
        <f>"635,0"</f>
        <v>635,0</v>
      </c>
      <c r="T16" s="21" t="str">
        <f>"369,1255"</f>
        <v>369,1255</v>
      </c>
      <c r="U16" s="20"/>
    </row>
    <row r="17" spans="1:21">
      <c r="A17" s="19" t="s">
        <v>259</v>
      </c>
      <c r="B17" s="18" t="s">
        <v>232</v>
      </c>
      <c r="C17" s="18" t="s">
        <v>233</v>
      </c>
      <c r="D17" s="18" t="s">
        <v>234</v>
      </c>
      <c r="E17" s="18" t="s">
        <v>764</v>
      </c>
      <c r="F17" s="18" t="s">
        <v>235</v>
      </c>
      <c r="G17" s="25" t="s">
        <v>236</v>
      </c>
      <c r="H17" s="24" t="s">
        <v>236</v>
      </c>
      <c r="I17" s="25" t="s">
        <v>166</v>
      </c>
      <c r="J17" s="19"/>
      <c r="K17" s="25" t="s">
        <v>35</v>
      </c>
      <c r="L17" s="24" t="s">
        <v>35</v>
      </c>
      <c r="M17" s="25" t="s">
        <v>16</v>
      </c>
      <c r="N17" s="19"/>
      <c r="O17" s="24" t="s">
        <v>43</v>
      </c>
      <c r="P17" s="24" t="s">
        <v>166</v>
      </c>
      <c r="Q17" s="24" t="s">
        <v>50</v>
      </c>
      <c r="R17" s="19"/>
      <c r="S17" s="19" t="str">
        <f>"525,0"</f>
        <v>525,0</v>
      </c>
      <c r="T17" s="19" t="str">
        <f>"318,5700"</f>
        <v>318,5700</v>
      </c>
      <c r="U17" s="18" t="s">
        <v>237</v>
      </c>
    </row>
    <row r="18" spans="1:21">
      <c r="B18" s="5" t="s">
        <v>63</v>
      </c>
    </row>
    <row r="19" spans="1:21" ht="16">
      <c r="A19" s="50" t="s">
        <v>238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21">
      <c r="A20" s="8" t="s">
        <v>62</v>
      </c>
      <c r="B20" s="7" t="s">
        <v>239</v>
      </c>
      <c r="C20" s="7" t="s">
        <v>692</v>
      </c>
      <c r="D20" s="7" t="s">
        <v>240</v>
      </c>
      <c r="E20" s="7" t="s">
        <v>765</v>
      </c>
      <c r="F20" s="7" t="s">
        <v>676</v>
      </c>
      <c r="G20" s="14" t="s">
        <v>50</v>
      </c>
      <c r="H20" s="14" t="s">
        <v>36</v>
      </c>
      <c r="I20" s="15" t="s">
        <v>37</v>
      </c>
      <c r="J20" s="8"/>
      <c r="K20" s="14" t="s">
        <v>118</v>
      </c>
      <c r="L20" s="14" t="s">
        <v>132</v>
      </c>
      <c r="M20" s="14" t="s">
        <v>241</v>
      </c>
      <c r="N20" s="8"/>
      <c r="O20" s="14" t="s">
        <v>138</v>
      </c>
      <c r="P20" s="14" t="s">
        <v>242</v>
      </c>
      <c r="Q20" s="15" t="s">
        <v>38</v>
      </c>
      <c r="R20" s="8"/>
      <c r="S20" s="8" t="str">
        <f>"570,0"</f>
        <v>570,0</v>
      </c>
      <c r="T20" s="8" t="str">
        <f>"322,6770"</f>
        <v>322,6770</v>
      </c>
      <c r="U20" s="7" t="s">
        <v>243</v>
      </c>
    </row>
    <row r="21" spans="1:21">
      <c r="B21" s="5" t="s">
        <v>63</v>
      </c>
    </row>
    <row r="22" spans="1:21" ht="16">
      <c r="A22" s="50" t="s">
        <v>244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21">
      <c r="A23" s="8" t="s">
        <v>62</v>
      </c>
      <c r="B23" s="7" t="s">
        <v>245</v>
      </c>
      <c r="C23" s="7" t="s">
        <v>246</v>
      </c>
      <c r="D23" s="7" t="s">
        <v>247</v>
      </c>
      <c r="E23" s="7" t="s">
        <v>764</v>
      </c>
      <c r="F23" s="7" t="s">
        <v>248</v>
      </c>
      <c r="G23" s="14" t="s">
        <v>212</v>
      </c>
      <c r="H23" s="14" t="s">
        <v>49</v>
      </c>
      <c r="I23" s="14" t="s">
        <v>138</v>
      </c>
      <c r="J23" s="8"/>
      <c r="K23" s="14" t="s">
        <v>31</v>
      </c>
      <c r="L23" s="14" t="s">
        <v>32</v>
      </c>
      <c r="M23" s="15" t="s">
        <v>22</v>
      </c>
      <c r="N23" s="8"/>
      <c r="O23" s="14" t="s">
        <v>138</v>
      </c>
      <c r="P23" s="14" t="s">
        <v>37</v>
      </c>
      <c r="Q23" s="15" t="s">
        <v>194</v>
      </c>
      <c r="R23" s="8"/>
      <c r="S23" s="8" t="str">
        <f>"600,0"</f>
        <v>600,0</v>
      </c>
      <c r="T23" s="8" t="str">
        <f>"331,2000"</f>
        <v>331,2000</v>
      </c>
      <c r="U23" s="7" t="s">
        <v>249</v>
      </c>
    </row>
    <row r="24" spans="1:21">
      <c r="B24" s="5" t="s">
        <v>63</v>
      </c>
    </row>
    <row r="25" spans="1:21">
      <c r="B25" s="5" t="s">
        <v>63</v>
      </c>
    </row>
    <row r="26" spans="1:21" ht="18">
      <c r="B26" s="9" t="s">
        <v>51</v>
      </c>
      <c r="C26" s="9"/>
    </row>
    <row r="27" spans="1:21" ht="16">
      <c r="B27" s="10" t="s">
        <v>59</v>
      </c>
      <c r="C27" s="10"/>
    </row>
    <row r="28" spans="1:21" ht="14">
      <c r="B28" s="11"/>
      <c r="C28" s="12" t="s">
        <v>53</v>
      </c>
    </row>
    <row r="29" spans="1:21" ht="14">
      <c r="B29" s="13" t="s">
        <v>54</v>
      </c>
      <c r="C29" s="13" t="s">
        <v>55</v>
      </c>
      <c r="D29" s="13" t="s">
        <v>56</v>
      </c>
      <c r="E29" s="13" t="s">
        <v>57</v>
      </c>
      <c r="F29" s="13" t="s">
        <v>58</v>
      </c>
    </row>
    <row r="30" spans="1:21">
      <c r="B30" s="5" t="s">
        <v>197</v>
      </c>
      <c r="C30" s="5" t="s">
        <v>53</v>
      </c>
      <c r="D30" s="6" t="s">
        <v>179</v>
      </c>
      <c r="E30" s="6" t="s">
        <v>251</v>
      </c>
      <c r="F30" s="6" t="s">
        <v>252</v>
      </c>
    </row>
    <row r="31" spans="1:21">
      <c r="B31" s="5" t="s">
        <v>207</v>
      </c>
      <c r="C31" s="5" t="s">
        <v>53</v>
      </c>
      <c r="D31" s="6" t="s">
        <v>179</v>
      </c>
      <c r="E31" s="6" t="s">
        <v>253</v>
      </c>
      <c r="F31" s="6" t="s">
        <v>254</v>
      </c>
    </row>
    <row r="32" spans="1:21">
      <c r="B32" s="5" t="s">
        <v>215</v>
      </c>
      <c r="C32" s="5" t="s">
        <v>53</v>
      </c>
      <c r="D32" s="6" t="s">
        <v>179</v>
      </c>
      <c r="E32" s="6" t="s">
        <v>255</v>
      </c>
      <c r="F32" s="6" t="s">
        <v>256</v>
      </c>
    </row>
    <row r="33" spans="2:2">
      <c r="B33" s="5" t="s">
        <v>63</v>
      </c>
    </row>
  </sheetData>
  <mergeCells count="18">
    <mergeCell ref="A8:R8"/>
    <mergeCell ref="A11:R11"/>
    <mergeCell ref="A19:R19"/>
    <mergeCell ref="A22:R2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4"/>
  <dimension ref="A1:Q1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4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6640625" style="5" customWidth="1"/>
    <col min="18" max="16384" width="9.1640625" style="3"/>
  </cols>
  <sheetData>
    <row r="1" spans="1:17" s="2" customFormat="1" ht="29" customHeight="1">
      <c r="A1" s="39" t="s">
        <v>733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8</v>
      </c>
      <c r="H3" s="33"/>
      <c r="I3" s="33"/>
      <c r="J3" s="33"/>
      <c r="K3" s="33" t="s">
        <v>9</v>
      </c>
      <c r="L3" s="33"/>
      <c r="M3" s="33"/>
      <c r="N3" s="33"/>
      <c r="O3" s="3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4"/>
      <c r="Q4" s="36"/>
    </row>
    <row r="5" spans="1:17" ht="16">
      <c r="A5" s="37" t="s">
        <v>102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8" t="s">
        <v>62</v>
      </c>
      <c r="B6" s="7" t="s">
        <v>564</v>
      </c>
      <c r="C6" s="7" t="s">
        <v>565</v>
      </c>
      <c r="D6" s="7" t="s">
        <v>566</v>
      </c>
      <c r="E6" s="7" t="s">
        <v>768</v>
      </c>
      <c r="F6" s="7" t="s">
        <v>567</v>
      </c>
      <c r="G6" s="14" t="s">
        <v>111</v>
      </c>
      <c r="H6" s="15" t="s">
        <v>71</v>
      </c>
      <c r="I6" s="14" t="s">
        <v>71</v>
      </c>
      <c r="J6" s="8"/>
      <c r="K6" s="14" t="s">
        <v>112</v>
      </c>
      <c r="L6" s="14" t="s">
        <v>288</v>
      </c>
      <c r="M6" s="14" t="s">
        <v>118</v>
      </c>
      <c r="N6" s="8"/>
      <c r="O6" s="8" t="str">
        <f>"157,5"</f>
        <v>157,5</v>
      </c>
      <c r="P6" s="8" t="str">
        <f>"168,7624"</f>
        <v>168,7624</v>
      </c>
      <c r="Q6" s="7" t="s">
        <v>568</v>
      </c>
    </row>
    <row r="7" spans="1:17">
      <c r="B7" s="5" t="s">
        <v>63</v>
      </c>
    </row>
    <row r="8" spans="1:17" ht="16">
      <c r="A8" s="50" t="s">
        <v>26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7">
      <c r="A9" s="17" t="s">
        <v>62</v>
      </c>
      <c r="B9" s="16" t="s">
        <v>569</v>
      </c>
      <c r="C9" s="16" t="s">
        <v>693</v>
      </c>
      <c r="D9" s="16" t="s">
        <v>570</v>
      </c>
      <c r="E9" s="16" t="s">
        <v>767</v>
      </c>
      <c r="F9" s="16" t="s">
        <v>571</v>
      </c>
      <c r="G9" s="23" t="s">
        <v>70</v>
      </c>
      <c r="H9" s="22" t="s">
        <v>70</v>
      </c>
      <c r="I9" s="23" t="s">
        <v>20</v>
      </c>
      <c r="J9" s="17"/>
      <c r="K9" s="22" t="s">
        <v>32</v>
      </c>
      <c r="L9" s="22" t="s">
        <v>43</v>
      </c>
      <c r="M9" s="22" t="s">
        <v>236</v>
      </c>
      <c r="N9" s="17"/>
      <c r="O9" s="17" t="str">
        <f>"275,0"</f>
        <v>275,0</v>
      </c>
      <c r="P9" s="17" t="str">
        <f>"179,3963"</f>
        <v>179,3963</v>
      </c>
      <c r="Q9" s="16"/>
    </row>
    <row r="10" spans="1:17">
      <c r="A10" s="19" t="s">
        <v>62</v>
      </c>
      <c r="B10" s="18" t="s">
        <v>572</v>
      </c>
      <c r="C10" s="18" t="s">
        <v>573</v>
      </c>
      <c r="D10" s="18" t="s">
        <v>129</v>
      </c>
      <c r="E10" s="18" t="s">
        <v>764</v>
      </c>
      <c r="F10" s="18" t="s">
        <v>732</v>
      </c>
      <c r="G10" s="24" t="s">
        <v>74</v>
      </c>
      <c r="H10" s="25" t="s">
        <v>100</v>
      </c>
      <c r="I10" s="24" t="s">
        <v>100</v>
      </c>
      <c r="J10" s="19"/>
      <c r="K10" s="24" t="s">
        <v>23</v>
      </c>
      <c r="L10" s="24" t="s">
        <v>43</v>
      </c>
      <c r="M10" s="25" t="s">
        <v>49</v>
      </c>
      <c r="N10" s="19"/>
      <c r="O10" s="19" t="str">
        <f>"295,0"</f>
        <v>295,0</v>
      </c>
      <c r="P10" s="19" t="str">
        <f>"191,5287"</f>
        <v>191,5287</v>
      </c>
      <c r="Q10" s="18"/>
    </row>
    <row r="11" spans="1:17">
      <c r="B11" s="5" t="s">
        <v>63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Лист6"/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2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83203125" style="5" bestFit="1" customWidth="1"/>
    <col min="7" max="8" width="4.5" style="6" customWidth="1"/>
    <col min="9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9" t="s">
        <v>734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95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574</v>
      </c>
      <c r="C6" s="7" t="s">
        <v>575</v>
      </c>
      <c r="D6" s="7" t="s">
        <v>576</v>
      </c>
      <c r="E6" s="7" t="s">
        <v>764</v>
      </c>
      <c r="F6" s="7" t="s">
        <v>374</v>
      </c>
      <c r="G6" s="14" t="s">
        <v>93</v>
      </c>
      <c r="H6" s="14" t="s">
        <v>70</v>
      </c>
      <c r="I6" s="15" t="s">
        <v>288</v>
      </c>
      <c r="J6" s="8"/>
      <c r="K6" s="8" t="str">
        <f>"90,0"</f>
        <v>90,0</v>
      </c>
      <c r="L6" s="8" t="str">
        <f>"82,9980"</f>
        <v>82,9980</v>
      </c>
      <c r="M6" s="7"/>
    </row>
    <row r="7" spans="1:13">
      <c r="B7" s="5" t="s">
        <v>63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7"/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7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39" t="s">
        <v>759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7</v>
      </c>
      <c r="H3" s="33"/>
      <c r="I3" s="33"/>
      <c r="J3" s="33"/>
      <c r="K3" s="3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293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294</v>
      </c>
      <c r="C6" s="7" t="s">
        <v>295</v>
      </c>
      <c r="D6" s="7" t="s">
        <v>296</v>
      </c>
      <c r="E6" s="7" t="s">
        <v>764</v>
      </c>
      <c r="F6" s="7" t="s">
        <v>729</v>
      </c>
      <c r="G6" s="14" t="s">
        <v>227</v>
      </c>
      <c r="H6" s="15" t="s">
        <v>228</v>
      </c>
      <c r="I6" s="15" t="s">
        <v>228</v>
      </c>
      <c r="J6" s="8"/>
      <c r="K6" s="8" t="str">
        <f>"260,0"</f>
        <v>260,0</v>
      </c>
      <c r="L6" s="8" t="str">
        <f>"139,1390"</f>
        <v>139,1390</v>
      </c>
      <c r="M6" s="7"/>
    </row>
    <row r="7" spans="1:13">
      <c r="B7" s="5" t="s">
        <v>63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8"/>
  <dimension ref="A1:M78"/>
  <sheetViews>
    <sheetView topLeftCell="A25" workbookViewId="0">
      <selection activeCell="E62" sqref="E6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7.83203125" style="5" bestFit="1" customWidth="1"/>
    <col min="14" max="16384" width="9.1640625" style="3"/>
  </cols>
  <sheetData>
    <row r="1" spans="1:13" s="2" customFormat="1" ht="29" customHeight="1">
      <c r="A1" s="39" t="s">
        <v>758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8</v>
      </c>
      <c r="H3" s="33"/>
      <c r="I3" s="33"/>
      <c r="J3" s="33"/>
      <c r="K3" s="5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54"/>
      <c r="L4" s="34"/>
      <c r="M4" s="36"/>
    </row>
    <row r="5" spans="1:13" ht="16">
      <c r="A5" s="37" t="s">
        <v>64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65</v>
      </c>
      <c r="C6" s="7" t="s">
        <v>66</v>
      </c>
      <c r="D6" s="7" t="s">
        <v>67</v>
      </c>
      <c r="E6" s="7" t="s">
        <v>764</v>
      </c>
      <c r="F6" s="7" t="s">
        <v>68</v>
      </c>
      <c r="G6" s="14" t="s">
        <v>71</v>
      </c>
      <c r="H6" s="14" t="s">
        <v>72</v>
      </c>
      <c r="I6" s="15" t="s">
        <v>73</v>
      </c>
      <c r="J6" s="8"/>
      <c r="K6" s="29" t="str">
        <f>"55,0"</f>
        <v>55,0</v>
      </c>
      <c r="L6" s="8" t="str">
        <f>"65,7855"</f>
        <v>65,7855</v>
      </c>
      <c r="M6" s="7"/>
    </row>
    <row r="7" spans="1:13">
      <c r="B7" s="5" t="s">
        <v>63</v>
      </c>
    </row>
    <row r="8" spans="1:13" ht="16">
      <c r="A8" s="50" t="s">
        <v>370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62</v>
      </c>
      <c r="B9" s="7" t="s">
        <v>371</v>
      </c>
      <c r="C9" s="7" t="s">
        <v>372</v>
      </c>
      <c r="D9" s="7" t="s">
        <v>373</v>
      </c>
      <c r="E9" s="7" t="s">
        <v>764</v>
      </c>
      <c r="F9" s="7" t="s">
        <v>374</v>
      </c>
      <c r="G9" s="14" t="s">
        <v>72</v>
      </c>
      <c r="H9" s="14" t="s">
        <v>90</v>
      </c>
      <c r="I9" s="15" t="s">
        <v>73</v>
      </c>
      <c r="J9" s="8"/>
      <c r="K9" s="29" t="str">
        <f>"57,5"</f>
        <v>57,5</v>
      </c>
      <c r="L9" s="8" t="str">
        <f>"65,1705"</f>
        <v>65,1705</v>
      </c>
      <c r="M9" s="7" t="s">
        <v>375</v>
      </c>
    </row>
    <row r="10" spans="1:13">
      <c r="B10" s="5" t="s">
        <v>63</v>
      </c>
    </row>
    <row r="11" spans="1:13" ht="16">
      <c r="A11" s="50" t="s">
        <v>76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17" t="s">
        <v>62</v>
      </c>
      <c r="B12" s="16" t="s">
        <v>376</v>
      </c>
      <c r="C12" s="16" t="s">
        <v>377</v>
      </c>
      <c r="D12" s="16" t="s">
        <v>378</v>
      </c>
      <c r="E12" s="16" t="s">
        <v>764</v>
      </c>
      <c r="F12" s="16" t="s">
        <v>676</v>
      </c>
      <c r="G12" s="22" t="s">
        <v>82</v>
      </c>
      <c r="H12" s="22" t="s">
        <v>93</v>
      </c>
      <c r="I12" s="22" t="s">
        <v>69</v>
      </c>
      <c r="J12" s="17"/>
      <c r="K12" s="30" t="str">
        <f>"85,0"</f>
        <v>85,0</v>
      </c>
      <c r="L12" s="17" t="str">
        <f>"89,7685"</f>
        <v>89,7685</v>
      </c>
      <c r="M12" s="16" t="s">
        <v>379</v>
      </c>
    </row>
    <row r="13" spans="1:13">
      <c r="A13" s="19" t="s">
        <v>182</v>
      </c>
      <c r="B13" s="18" t="s">
        <v>380</v>
      </c>
      <c r="C13" s="18" t="s">
        <v>381</v>
      </c>
      <c r="D13" s="18" t="s">
        <v>382</v>
      </c>
      <c r="E13" s="18" t="s">
        <v>764</v>
      </c>
      <c r="F13" s="18" t="s">
        <v>383</v>
      </c>
      <c r="G13" s="24" t="s">
        <v>111</v>
      </c>
      <c r="H13" s="24" t="s">
        <v>71</v>
      </c>
      <c r="I13" s="25" t="s">
        <v>72</v>
      </c>
      <c r="J13" s="19"/>
      <c r="K13" s="31" t="str">
        <f>"50,0"</f>
        <v>50,0</v>
      </c>
      <c r="L13" s="19" t="str">
        <f>"52,8750"</f>
        <v>52,8750</v>
      </c>
      <c r="M13" s="18" t="s">
        <v>737</v>
      </c>
    </row>
    <row r="14" spans="1:13">
      <c r="B14" s="5" t="s">
        <v>63</v>
      </c>
    </row>
    <row r="15" spans="1:13" ht="16">
      <c r="A15" s="50" t="s">
        <v>10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3">
      <c r="A16" s="17" t="s">
        <v>62</v>
      </c>
      <c r="B16" s="16" t="s">
        <v>384</v>
      </c>
      <c r="C16" s="16" t="s">
        <v>385</v>
      </c>
      <c r="D16" s="16" t="s">
        <v>386</v>
      </c>
      <c r="E16" s="16" t="s">
        <v>764</v>
      </c>
      <c r="F16" s="16" t="s">
        <v>739</v>
      </c>
      <c r="G16" s="23" t="s">
        <v>111</v>
      </c>
      <c r="H16" s="22" t="s">
        <v>71</v>
      </c>
      <c r="I16" s="23" t="s">
        <v>72</v>
      </c>
      <c r="J16" s="17"/>
      <c r="K16" s="30" t="str">
        <f>"50,0"</f>
        <v>50,0</v>
      </c>
      <c r="L16" s="17" t="str">
        <f>"49,3800"</f>
        <v>49,3800</v>
      </c>
      <c r="M16" s="16" t="s">
        <v>738</v>
      </c>
    </row>
    <row r="17" spans="1:13">
      <c r="A17" s="19" t="s">
        <v>62</v>
      </c>
      <c r="B17" s="18" t="s">
        <v>387</v>
      </c>
      <c r="C17" s="18" t="s">
        <v>388</v>
      </c>
      <c r="D17" s="18" t="s">
        <v>389</v>
      </c>
      <c r="E17" s="18" t="s">
        <v>766</v>
      </c>
      <c r="F17" s="18" t="s">
        <v>676</v>
      </c>
      <c r="G17" s="24" t="s">
        <v>71</v>
      </c>
      <c r="H17" s="24" t="s">
        <v>72</v>
      </c>
      <c r="I17" s="24" t="s">
        <v>90</v>
      </c>
      <c r="J17" s="19"/>
      <c r="K17" s="31" t="str">
        <f>"57,5"</f>
        <v>57,5</v>
      </c>
      <c r="L17" s="19" t="str">
        <f>"63,7159"</f>
        <v>63,7159</v>
      </c>
      <c r="M17" s="18" t="s">
        <v>740</v>
      </c>
    </row>
    <row r="18" spans="1:13">
      <c r="B18" s="5" t="s">
        <v>63</v>
      </c>
    </row>
    <row r="19" spans="1:13" ht="16">
      <c r="A19" s="50" t="s">
        <v>95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3">
      <c r="A20" s="17" t="s">
        <v>183</v>
      </c>
      <c r="B20" s="16" t="s">
        <v>390</v>
      </c>
      <c r="C20" s="16" t="s">
        <v>391</v>
      </c>
      <c r="D20" s="16" t="s">
        <v>392</v>
      </c>
      <c r="E20" s="16" t="s">
        <v>764</v>
      </c>
      <c r="F20" s="16" t="s">
        <v>676</v>
      </c>
      <c r="G20" s="23" t="s">
        <v>33</v>
      </c>
      <c r="H20" s="23" t="s">
        <v>33</v>
      </c>
      <c r="I20" s="23" t="s">
        <v>33</v>
      </c>
      <c r="J20" s="17"/>
      <c r="K20" s="30">
        <v>0</v>
      </c>
      <c r="L20" s="17" t="str">
        <f>"0,0000"</f>
        <v>0,0000</v>
      </c>
      <c r="M20" s="16" t="s">
        <v>393</v>
      </c>
    </row>
    <row r="21" spans="1:13">
      <c r="A21" s="21" t="s">
        <v>62</v>
      </c>
      <c r="B21" s="20" t="s">
        <v>394</v>
      </c>
      <c r="C21" s="20" t="s">
        <v>395</v>
      </c>
      <c r="D21" s="20" t="s">
        <v>396</v>
      </c>
      <c r="E21" s="20" t="s">
        <v>766</v>
      </c>
      <c r="F21" s="20" t="s">
        <v>735</v>
      </c>
      <c r="G21" s="27" t="s">
        <v>74</v>
      </c>
      <c r="H21" s="27" t="s">
        <v>74</v>
      </c>
      <c r="I21" s="26" t="s">
        <v>74</v>
      </c>
      <c r="J21" s="21"/>
      <c r="K21" s="32" t="str">
        <f>"110,0"</f>
        <v>110,0</v>
      </c>
      <c r="L21" s="21" t="str">
        <f>"89,3964"</f>
        <v>89,3964</v>
      </c>
      <c r="M21" s="20"/>
    </row>
    <row r="22" spans="1:13">
      <c r="A22" s="19" t="s">
        <v>182</v>
      </c>
      <c r="B22" s="18" t="s">
        <v>397</v>
      </c>
      <c r="C22" s="18" t="s">
        <v>398</v>
      </c>
      <c r="D22" s="18" t="s">
        <v>399</v>
      </c>
      <c r="E22" s="18" t="s">
        <v>766</v>
      </c>
      <c r="F22" s="18" t="s">
        <v>676</v>
      </c>
      <c r="G22" s="25" t="s">
        <v>73</v>
      </c>
      <c r="H22" s="24" t="s">
        <v>73</v>
      </c>
      <c r="I22" s="25" t="s">
        <v>105</v>
      </c>
      <c r="J22" s="19"/>
      <c r="K22" s="31" t="str">
        <f>"60,0"</f>
        <v>60,0</v>
      </c>
      <c r="L22" s="19" t="str">
        <f>"48,0312"</f>
        <v>48,0312</v>
      </c>
      <c r="M22" s="18" t="s">
        <v>400</v>
      </c>
    </row>
    <row r="23" spans="1:13">
      <c r="B23" s="5" t="s">
        <v>63</v>
      </c>
    </row>
    <row r="24" spans="1:13" ht="16">
      <c r="A24" s="50" t="s">
        <v>102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3">
      <c r="A25" s="17" t="s">
        <v>62</v>
      </c>
      <c r="B25" s="16" t="s">
        <v>401</v>
      </c>
      <c r="C25" s="16" t="s">
        <v>694</v>
      </c>
      <c r="D25" s="16" t="s">
        <v>402</v>
      </c>
      <c r="E25" s="16" t="s">
        <v>765</v>
      </c>
      <c r="F25" s="16" t="s">
        <v>736</v>
      </c>
      <c r="G25" s="23" t="s">
        <v>241</v>
      </c>
      <c r="H25" s="23" t="s">
        <v>35</v>
      </c>
      <c r="I25" s="22" t="s">
        <v>35</v>
      </c>
      <c r="J25" s="17"/>
      <c r="K25" s="30" t="str">
        <f>"135,0"</f>
        <v>135,0</v>
      </c>
      <c r="L25" s="17" t="str">
        <f>"93,1365"</f>
        <v>93,1365</v>
      </c>
      <c r="M25" s="16" t="s">
        <v>403</v>
      </c>
    </row>
    <row r="26" spans="1:13">
      <c r="A26" s="21" t="s">
        <v>62</v>
      </c>
      <c r="B26" s="20" t="s">
        <v>404</v>
      </c>
      <c r="C26" s="20" t="s">
        <v>405</v>
      </c>
      <c r="D26" s="20" t="s">
        <v>406</v>
      </c>
      <c r="E26" s="20" t="s">
        <v>764</v>
      </c>
      <c r="F26" s="20" t="s">
        <v>676</v>
      </c>
      <c r="G26" s="26" t="s">
        <v>35</v>
      </c>
      <c r="H26" s="26" t="s">
        <v>30</v>
      </c>
      <c r="I26" s="27" t="s">
        <v>17</v>
      </c>
      <c r="J26" s="21"/>
      <c r="K26" s="32" t="str">
        <f>"140,0"</f>
        <v>140,0</v>
      </c>
      <c r="L26" s="21" t="str">
        <f>"97,5590"</f>
        <v>97,5590</v>
      </c>
      <c r="M26" s="20"/>
    </row>
    <row r="27" spans="1:13">
      <c r="A27" s="21" t="s">
        <v>182</v>
      </c>
      <c r="B27" s="20" t="s">
        <v>407</v>
      </c>
      <c r="C27" s="20" t="s">
        <v>408</v>
      </c>
      <c r="D27" s="20" t="s">
        <v>409</v>
      </c>
      <c r="E27" s="20" t="s">
        <v>764</v>
      </c>
      <c r="F27" s="20" t="s">
        <v>410</v>
      </c>
      <c r="G27" s="26" t="s">
        <v>118</v>
      </c>
      <c r="H27" s="27" t="s">
        <v>132</v>
      </c>
      <c r="I27" s="26" t="s">
        <v>132</v>
      </c>
      <c r="J27" s="21"/>
      <c r="K27" s="32" t="str">
        <f>"117,5"</f>
        <v>117,5</v>
      </c>
      <c r="L27" s="21" t="str">
        <f>"83,3604"</f>
        <v>83,3604</v>
      </c>
      <c r="M27" s="20"/>
    </row>
    <row r="28" spans="1:13">
      <c r="A28" s="21" t="s">
        <v>184</v>
      </c>
      <c r="B28" s="20" t="s">
        <v>411</v>
      </c>
      <c r="C28" s="20" t="s">
        <v>412</v>
      </c>
      <c r="D28" s="20" t="s">
        <v>413</v>
      </c>
      <c r="E28" s="20" t="s">
        <v>764</v>
      </c>
      <c r="F28" s="20" t="s">
        <v>137</v>
      </c>
      <c r="G28" s="26" t="s">
        <v>74</v>
      </c>
      <c r="H28" s="27" t="s">
        <v>132</v>
      </c>
      <c r="I28" s="27" t="s">
        <v>132</v>
      </c>
      <c r="J28" s="21"/>
      <c r="K28" s="32" t="str">
        <f>"110,0"</f>
        <v>110,0</v>
      </c>
      <c r="L28" s="21" t="str">
        <f>"76,1915"</f>
        <v>76,1915</v>
      </c>
      <c r="M28" s="20" t="s">
        <v>142</v>
      </c>
    </row>
    <row r="29" spans="1:13">
      <c r="A29" s="21" t="s">
        <v>183</v>
      </c>
      <c r="B29" s="20" t="s">
        <v>414</v>
      </c>
      <c r="C29" s="20" t="s">
        <v>415</v>
      </c>
      <c r="D29" s="20" t="s">
        <v>416</v>
      </c>
      <c r="E29" s="20" t="s">
        <v>764</v>
      </c>
      <c r="F29" s="20" t="s">
        <v>676</v>
      </c>
      <c r="G29" s="27" t="s">
        <v>241</v>
      </c>
      <c r="H29" s="27" t="s">
        <v>241</v>
      </c>
      <c r="I29" s="27" t="s">
        <v>241</v>
      </c>
      <c r="J29" s="21"/>
      <c r="K29" s="32">
        <v>0</v>
      </c>
      <c r="L29" s="21" t="str">
        <f>"0,0000"</f>
        <v>0,0000</v>
      </c>
      <c r="M29" s="20"/>
    </row>
    <row r="30" spans="1:13">
      <c r="A30" s="19" t="s">
        <v>62</v>
      </c>
      <c r="B30" s="18" t="s">
        <v>404</v>
      </c>
      <c r="C30" s="18" t="s">
        <v>417</v>
      </c>
      <c r="D30" s="18" t="s">
        <v>406</v>
      </c>
      <c r="E30" s="18" t="s">
        <v>766</v>
      </c>
      <c r="F30" s="18" t="s">
        <v>676</v>
      </c>
      <c r="G30" s="24" t="s">
        <v>35</v>
      </c>
      <c r="H30" s="24" t="s">
        <v>30</v>
      </c>
      <c r="I30" s="25" t="s">
        <v>17</v>
      </c>
      <c r="J30" s="19"/>
      <c r="K30" s="31" t="str">
        <f>"140,0"</f>
        <v>140,0</v>
      </c>
      <c r="L30" s="19" t="str">
        <f>"108,5832"</f>
        <v>108,5832</v>
      </c>
      <c r="M30" s="18"/>
    </row>
    <row r="31" spans="1:13">
      <c r="B31" s="5" t="s">
        <v>63</v>
      </c>
    </row>
    <row r="32" spans="1:13" ht="16">
      <c r="A32" s="50" t="s">
        <v>26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13">
      <c r="A33" s="17" t="s">
        <v>62</v>
      </c>
      <c r="B33" s="16" t="s">
        <v>418</v>
      </c>
      <c r="C33" s="16" t="s">
        <v>419</v>
      </c>
      <c r="D33" s="16" t="s">
        <v>420</v>
      </c>
      <c r="E33" s="16" t="s">
        <v>764</v>
      </c>
      <c r="F33" s="16" t="s">
        <v>421</v>
      </c>
      <c r="G33" s="22" t="s">
        <v>17</v>
      </c>
      <c r="H33" s="22" t="s">
        <v>31</v>
      </c>
      <c r="I33" s="22" t="s">
        <v>21</v>
      </c>
      <c r="J33" s="17"/>
      <c r="K33" s="30" t="str">
        <f>"155,0"</f>
        <v>155,0</v>
      </c>
      <c r="L33" s="17" t="str">
        <f>"102,1372"</f>
        <v>102,1372</v>
      </c>
      <c r="M33" s="16"/>
    </row>
    <row r="34" spans="1:13">
      <c r="A34" s="21" t="s">
        <v>182</v>
      </c>
      <c r="B34" s="20" t="s">
        <v>422</v>
      </c>
      <c r="C34" s="20" t="s">
        <v>423</v>
      </c>
      <c r="D34" s="20" t="s">
        <v>424</v>
      </c>
      <c r="E34" s="20" t="s">
        <v>764</v>
      </c>
      <c r="F34" s="20" t="s">
        <v>68</v>
      </c>
      <c r="G34" s="26" t="s">
        <v>31</v>
      </c>
      <c r="H34" s="27" t="s">
        <v>21</v>
      </c>
      <c r="I34" s="27" t="s">
        <v>21</v>
      </c>
      <c r="J34" s="21"/>
      <c r="K34" s="32" t="str">
        <f>"150,0"</f>
        <v>150,0</v>
      </c>
      <c r="L34" s="21" t="str">
        <f>"96,6900"</f>
        <v>96,6900</v>
      </c>
      <c r="M34" s="20"/>
    </row>
    <row r="35" spans="1:13">
      <c r="A35" s="21" t="s">
        <v>184</v>
      </c>
      <c r="B35" s="20" t="s">
        <v>425</v>
      </c>
      <c r="C35" s="20" t="s">
        <v>426</v>
      </c>
      <c r="D35" s="20" t="s">
        <v>427</v>
      </c>
      <c r="E35" s="20" t="s">
        <v>764</v>
      </c>
      <c r="F35" s="20" t="s">
        <v>248</v>
      </c>
      <c r="G35" s="26" t="s">
        <v>30</v>
      </c>
      <c r="H35" s="26" t="s">
        <v>17</v>
      </c>
      <c r="I35" s="21"/>
      <c r="J35" s="21"/>
      <c r="K35" s="32" t="str">
        <f>"145,0"</f>
        <v>145,0</v>
      </c>
      <c r="L35" s="21" t="str">
        <f>"94,0615"</f>
        <v>94,0615</v>
      </c>
      <c r="M35" s="20"/>
    </row>
    <row r="36" spans="1:13">
      <c r="A36" s="19" t="s">
        <v>62</v>
      </c>
      <c r="B36" s="18" t="s">
        <v>425</v>
      </c>
      <c r="C36" s="18" t="s">
        <v>428</v>
      </c>
      <c r="D36" s="18" t="s">
        <v>427</v>
      </c>
      <c r="E36" s="18" t="s">
        <v>766</v>
      </c>
      <c r="F36" s="18" t="s">
        <v>248</v>
      </c>
      <c r="G36" s="24" t="s">
        <v>30</v>
      </c>
      <c r="H36" s="24" t="s">
        <v>17</v>
      </c>
      <c r="I36" s="19"/>
      <c r="J36" s="19"/>
      <c r="K36" s="31" t="str">
        <f>"145,0"</f>
        <v>145,0</v>
      </c>
      <c r="L36" s="19" t="str">
        <f>"94,0615"</f>
        <v>94,0615</v>
      </c>
      <c r="M36" s="18"/>
    </row>
    <row r="37" spans="1:13">
      <c r="B37" s="5" t="s">
        <v>63</v>
      </c>
    </row>
    <row r="38" spans="1:13" ht="16">
      <c r="A38" s="50" t="s">
        <v>39</v>
      </c>
      <c r="B38" s="50"/>
      <c r="C38" s="50"/>
      <c r="D38" s="50"/>
      <c r="E38" s="50"/>
      <c r="F38" s="50"/>
      <c r="G38" s="50"/>
      <c r="H38" s="50"/>
      <c r="I38" s="50"/>
      <c r="J38" s="50"/>
    </row>
    <row r="39" spans="1:13">
      <c r="A39" s="17" t="s">
        <v>62</v>
      </c>
      <c r="B39" s="16" t="s">
        <v>429</v>
      </c>
      <c r="C39" s="16" t="s">
        <v>430</v>
      </c>
      <c r="D39" s="16" t="s">
        <v>431</v>
      </c>
      <c r="E39" s="16" t="s">
        <v>764</v>
      </c>
      <c r="F39" s="16" t="s">
        <v>676</v>
      </c>
      <c r="G39" s="22" t="s">
        <v>43</v>
      </c>
      <c r="H39" s="22" t="s">
        <v>236</v>
      </c>
      <c r="I39" s="22" t="s">
        <v>130</v>
      </c>
      <c r="J39" s="17"/>
      <c r="K39" s="30" t="str">
        <f>"187,5"</f>
        <v>187,5</v>
      </c>
      <c r="L39" s="17" t="str">
        <f>"114,8625"</f>
        <v>114,8625</v>
      </c>
      <c r="M39" s="16" t="s">
        <v>432</v>
      </c>
    </row>
    <row r="40" spans="1:13">
      <c r="A40" s="21" t="s">
        <v>182</v>
      </c>
      <c r="B40" s="20" t="s">
        <v>433</v>
      </c>
      <c r="C40" s="20" t="s">
        <v>434</v>
      </c>
      <c r="D40" s="20" t="s">
        <v>431</v>
      </c>
      <c r="E40" s="20" t="s">
        <v>764</v>
      </c>
      <c r="F40" s="20" t="s">
        <v>137</v>
      </c>
      <c r="G40" s="26" t="s">
        <v>23</v>
      </c>
      <c r="H40" s="27" t="s">
        <v>43</v>
      </c>
      <c r="I40" s="26" t="s">
        <v>43</v>
      </c>
      <c r="J40" s="21"/>
      <c r="K40" s="32" t="str">
        <f>"180,0"</f>
        <v>180,0</v>
      </c>
      <c r="L40" s="21" t="str">
        <f>"110,2680"</f>
        <v>110,2680</v>
      </c>
      <c r="M40" s="20" t="s">
        <v>142</v>
      </c>
    </row>
    <row r="41" spans="1:13">
      <c r="A41" s="21" t="s">
        <v>184</v>
      </c>
      <c r="B41" s="20" t="s">
        <v>435</v>
      </c>
      <c r="C41" s="20" t="s">
        <v>436</v>
      </c>
      <c r="D41" s="20" t="s">
        <v>437</v>
      </c>
      <c r="E41" s="20" t="s">
        <v>764</v>
      </c>
      <c r="F41" s="20" t="s">
        <v>438</v>
      </c>
      <c r="G41" s="26" t="s">
        <v>140</v>
      </c>
      <c r="H41" s="26" t="s">
        <v>123</v>
      </c>
      <c r="I41" s="27" t="s">
        <v>32</v>
      </c>
      <c r="J41" s="21"/>
      <c r="K41" s="32" t="str">
        <f>"157,5"</f>
        <v>157,5</v>
      </c>
      <c r="L41" s="21" t="str">
        <f>"96,7916"</f>
        <v>96,7916</v>
      </c>
      <c r="M41" s="20"/>
    </row>
    <row r="42" spans="1:13">
      <c r="A42" s="21" t="s">
        <v>257</v>
      </c>
      <c r="B42" s="20" t="s">
        <v>439</v>
      </c>
      <c r="C42" s="20" t="s">
        <v>440</v>
      </c>
      <c r="D42" s="20" t="s">
        <v>441</v>
      </c>
      <c r="E42" s="20" t="s">
        <v>764</v>
      </c>
      <c r="F42" s="20" t="s">
        <v>442</v>
      </c>
      <c r="G42" s="26" t="s">
        <v>35</v>
      </c>
      <c r="H42" s="26" t="s">
        <v>16</v>
      </c>
      <c r="I42" s="27" t="s">
        <v>17</v>
      </c>
      <c r="J42" s="21"/>
      <c r="K42" s="32" t="str">
        <f>"142,5"</f>
        <v>142,5</v>
      </c>
      <c r="L42" s="21" t="str">
        <f>"89,5755"</f>
        <v>89,5755</v>
      </c>
      <c r="M42" s="20" t="s">
        <v>443</v>
      </c>
    </row>
    <row r="43" spans="1:13">
      <c r="A43" s="21" t="s">
        <v>258</v>
      </c>
      <c r="B43" s="20" t="s">
        <v>444</v>
      </c>
      <c r="C43" s="20" t="s">
        <v>445</v>
      </c>
      <c r="D43" s="20" t="s">
        <v>319</v>
      </c>
      <c r="E43" s="20" t="s">
        <v>764</v>
      </c>
      <c r="F43" s="20" t="s">
        <v>446</v>
      </c>
      <c r="G43" s="26" t="s">
        <v>35</v>
      </c>
      <c r="H43" s="27" t="s">
        <v>15</v>
      </c>
      <c r="I43" s="27" t="s">
        <v>30</v>
      </c>
      <c r="J43" s="21"/>
      <c r="K43" s="32" t="str">
        <f>"135,0"</f>
        <v>135,0</v>
      </c>
      <c r="L43" s="21" t="str">
        <f>"83,3895"</f>
        <v>83,3895</v>
      </c>
      <c r="M43" s="20"/>
    </row>
    <row r="44" spans="1:13">
      <c r="A44" s="21" t="s">
        <v>259</v>
      </c>
      <c r="B44" s="20" t="s">
        <v>447</v>
      </c>
      <c r="C44" s="20" t="s">
        <v>448</v>
      </c>
      <c r="D44" s="20" t="s">
        <v>449</v>
      </c>
      <c r="E44" s="20" t="s">
        <v>764</v>
      </c>
      <c r="F44" s="20" t="s">
        <v>676</v>
      </c>
      <c r="G44" s="26" t="s">
        <v>33</v>
      </c>
      <c r="H44" s="27" t="s">
        <v>450</v>
      </c>
      <c r="I44" s="27" t="s">
        <v>450</v>
      </c>
      <c r="J44" s="21"/>
      <c r="K44" s="32" t="str">
        <f>"120,0"</f>
        <v>120,0</v>
      </c>
      <c r="L44" s="21" t="str">
        <f>"75,2220"</f>
        <v>75,2220</v>
      </c>
      <c r="M44" s="20"/>
    </row>
    <row r="45" spans="1:13">
      <c r="A45" s="21" t="s">
        <v>62</v>
      </c>
      <c r="B45" s="20" t="s">
        <v>451</v>
      </c>
      <c r="C45" s="20" t="s">
        <v>452</v>
      </c>
      <c r="D45" s="20" t="s">
        <v>453</v>
      </c>
      <c r="E45" s="20" t="s">
        <v>769</v>
      </c>
      <c r="F45" s="20" t="s">
        <v>676</v>
      </c>
      <c r="G45" s="26" t="s">
        <v>101</v>
      </c>
      <c r="H45" s="26" t="s">
        <v>70</v>
      </c>
      <c r="I45" s="21"/>
      <c r="J45" s="21"/>
      <c r="K45" s="32" t="str">
        <f>"90,0"</f>
        <v>90,0</v>
      </c>
      <c r="L45" s="21" t="str">
        <f>"65,9020"</f>
        <v>65,9020</v>
      </c>
      <c r="M45" s="20" t="s">
        <v>741</v>
      </c>
    </row>
    <row r="46" spans="1:13">
      <c r="A46" s="19" t="s">
        <v>62</v>
      </c>
      <c r="B46" s="18" t="s">
        <v>454</v>
      </c>
      <c r="C46" s="18" t="s">
        <v>455</v>
      </c>
      <c r="D46" s="18" t="s">
        <v>456</v>
      </c>
      <c r="E46" s="18" t="s">
        <v>770</v>
      </c>
      <c r="F46" s="18" t="s">
        <v>457</v>
      </c>
      <c r="G46" s="24" t="s">
        <v>118</v>
      </c>
      <c r="H46" s="25" t="s">
        <v>48</v>
      </c>
      <c r="I46" s="25" t="s">
        <v>48</v>
      </c>
      <c r="J46" s="19"/>
      <c r="K46" s="31" t="str">
        <f>"107,5"</f>
        <v>107,5</v>
      </c>
      <c r="L46" s="19" t="str">
        <f>"126,0639"</f>
        <v>126,0639</v>
      </c>
      <c r="M46" s="18" t="s">
        <v>458</v>
      </c>
    </row>
    <row r="47" spans="1:13">
      <c r="B47" s="5" t="s">
        <v>63</v>
      </c>
    </row>
    <row r="48" spans="1:13" ht="16">
      <c r="A48" s="50" t="s">
        <v>143</v>
      </c>
      <c r="B48" s="50"/>
      <c r="C48" s="50"/>
      <c r="D48" s="50"/>
      <c r="E48" s="50"/>
      <c r="F48" s="50"/>
      <c r="G48" s="50"/>
      <c r="H48" s="50"/>
      <c r="I48" s="50"/>
      <c r="J48" s="50"/>
    </row>
    <row r="49" spans="1:13">
      <c r="A49" s="17" t="s">
        <v>62</v>
      </c>
      <c r="B49" s="16" t="s">
        <v>459</v>
      </c>
      <c r="C49" s="16" t="s">
        <v>460</v>
      </c>
      <c r="D49" s="16" t="s">
        <v>461</v>
      </c>
      <c r="E49" s="16" t="s">
        <v>764</v>
      </c>
      <c r="F49" s="16" t="s">
        <v>676</v>
      </c>
      <c r="G49" s="22" t="s">
        <v>167</v>
      </c>
      <c r="H49" s="22" t="s">
        <v>168</v>
      </c>
      <c r="I49" s="22" t="s">
        <v>24</v>
      </c>
      <c r="J49" s="17"/>
      <c r="K49" s="30" t="str">
        <f>"172,5"</f>
        <v>172,5</v>
      </c>
      <c r="L49" s="17" t="str">
        <f>"101,3351"</f>
        <v>101,3351</v>
      </c>
      <c r="M49" s="16" t="s">
        <v>462</v>
      </c>
    </row>
    <row r="50" spans="1:13">
      <c r="A50" s="21" t="s">
        <v>182</v>
      </c>
      <c r="B50" s="20" t="s">
        <v>463</v>
      </c>
      <c r="C50" s="20" t="s">
        <v>464</v>
      </c>
      <c r="D50" s="20" t="s">
        <v>465</v>
      </c>
      <c r="E50" s="20" t="s">
        <v>764</v>
      </c>
      <c r="F50" s="20" t="s">
        <v>676</v>
      </c>
      <c r="G50" s="26" t="s">
        <v>34</v>
      </c>
      <c r="H50" s="26" t="s">
        <v>30</v>
      </c>
      <c r="I50" s="26" t="s">
        <v>189</v>
      </c>
      <c r="J50" s="21"/>
      <c r="K50" s="32" t="str">
        <f>"147,5"</f>
        <v>147,5</v>
      </c>
      <c r="L50" s="21" t="str">
        <f>"87,3126"</f>
        <v>87,3126</v>
      </c>
      <c r="M50" s="20" t="s">
        <v>742</v>
      </c>
    </row>
    <row r="51" spans="1:13">
      <c r="A51" s="21" t="s">
        <v>184</v>
      </c>
      <c r="B51" s="20" t="s">
        <v>466</v>
      </c>
      <c r="C51" s="20" t="s">
        <v>128</v>
      </c>
      <c r="D51" s="20" t="s">
        <v>146</v>
      </c>
      <c r="E51" s="20" t="s">
        <v>764</v>
      </c>
      <c r="F51" s="20" t="s">
        <v>137</v>
      </c>
      <c r="G51" s="26" t="s">
        <v>126</v>
      </c>
      <c r="H51" s="26" t="s">
        <v>35</v>
      </c>
      <c r="I51" s="26" t="s">
        <v>30</v>
      </c>
      <c r="J51" s="21"/>
      <c r="K51" s="32" t="str">
        <f>"140,0"</f>
        <v>140,0</v>
      </c>
      <c r="L51" s="21" t="str">
        <f>"81,3820"</f>
        <v>81,3820</v>
      </c>
      <c r="M51" s="20" t="s">
        <v>142</v>
      </c>
    </row>
    <row r="52" spans="1:13">
      <c r="A52" s="21" t="s">
        <v>62</v>
      </c>
      <c r="B52" s="20" t="s">
        <v>162</v>
      </c>
      <c r="C52" s="20" t="s">
        <v>163</v>
      </c>
      <c r="D52" s="20" t="s">
        <v>164</v>
      </c>
      <c r="E52" s="20" t="s">
        <v>766</v>
      </c>
      <c r="F52" s="20" t="s">
        <v>165</v>
      </c>
      <c r="G52" s="26" t="s">
        <v>31</v>
      </c>
      <c r="H52" s="26" t="s">
        <v>167</v>
      </c>
      <c r="I52" s="26" t="s">
        <v>168</v>
      </c>
      <c r="J52" s="21"/>
      <c r="K52" s="32" t="str">
        <f>"167,5"</f>
        <v>167,5</v>
      </c>
      <c r="L52" s="21" t="str">
        <f>"98,6743"</f>
        <v>98,6743</v>
      </c>
      <c r="M52" s="20" t="s">
        <v>721</v>
      </c>
    </row>
    <row r="53" spans="1:13">
      <c r="A53" s="19" t="s">
        <v>182</v>
      </c>
      <c r="B53" s="18" t="s">
        <v>467</v>
      </c>
      <c r="C53" s="18" t="s">
        <v>468</v>
      </c>
      <c r="D53" s="18" t="s">
        <v>469</v>
      </c>
      <c r="E53" s="18" t="s">
        <v>766</v>
      </c>
      <c r="F53" s="18" t="s">
        <v>470</v>
      </c>
      <c r="G53" s="24" t="s">
        <v>32</v>
      </c>
      <c r="H53" s="24" t="s">
        <v>22</v>
      </c>
      <c r="I53" s="25" t="s">
        <v>168</v>
      </c>
      <c r="J53" s="19"/>
      <c r="K53" s="31" t="str">
        <f>"165,0"</f>
        <v>165,0</v>
      </c>
      <c r="L53" s="19" t="str">
        <f>"105,7849"</f>
        <v>105,7849</v>
      </c>
      <c r="M53" s="18" t="s">
        <v>743</v>
      </c>
    </row>
    <row r="54" spans="1:13">
      <c r="B54" s="5" t="s">
        <v>63</v>
      </c>
    </row>
    <row r="55" spans="1:13" ht="16">
      <c r="A55" s="50" t="s">
        <v>238</v>
      </c>
      <c r="B55" s="50"/>
      <c r="C55" s="50"/>
      <c r="D55" s="50"/>
      <c r="E55" s="50"/>
      <c r="F55" s="50"/>
      <c r="G55" s="50"/>
      <c r="H55" s="50"/>
      <c r="I55" s="50"/>
      <c r="J55" s="50"/>
    </row>
    <row r="56" spans="1:13">
      <c r="A56" s="17" t="s">
        <v>62</v>
      </c>
      <c r="B56" s="16" t="s">
        <v>471</v>
      </c>
      <c r="C56" s="16" t="s">
        <v>472</v>
      </c>
      <c r="D56" s="16" t="s">
        <v>473</v>
      </c>
      <c r="E56" s="16" t="s">
        <v>764</v>
      </c>
      <c r="F56" s="16" t="s">
        <v>676</v>
      </c>
      <c r="G56" s="22" t="s">
        <v>168</v>
      </c>
      <c r="H56" s="22" t="s">
        <v>23</v>
      </c>
      <c r="I56" s="22" t="s">
        <v>24</v>
      </c>
      <c r="J56" s="17"/>
      <c r="K56" s="30" t="str">
        <f>"172,5"</f>
        <v>172,5</v>
      </c>
      <c r="L56" s="17" t="str">
        <f>"97,4970"</f>
        <v>97,4970</v>
      </c>
      <c r="M56" s="16" t="s">
        <v>724</v>
      </c>
    </row>
    <row r="57" spans="1:13">
      <c r="A57" s="21" t="s">
        <v>182</v>
      </c>
      <c r="B57" s="20" t="s">
        <v>474</v>
      </c>
      <c r="C57" s="20" t="s">
        <v>475</v>
      </c>
      <c r="D57" s="20" t="s">
        <v>476</v>
      </c>
      <c r="E57" s="20" t="s">
        <v>764</v>
      </c>
      <c r="F57" s="20" t="s">
        <v>477</v>
      </c>
      <c r="G57" s="26" t="s">
        <v>32</v>
      </c>
      <c r="H57" s="26" t="s">
        <v>168</v>
      </c>
      <c r="I57" s="26" t="s">
        <v>23</v>
      </c>
      <c r="J57" s="21"/>
      <c r="K57" s="32" t="str">
        <f>"170,0"</f>
        <v>170,0</v>
      </c>
      <c r="L57" s="21" t="str">
        <f>"95,8205"</f>
        <v>95,8205</v>
      </c>
      <c r="M57" s="20"/>
    </row>
    <row r="58" spans="1:13">
      <c r="A58" s="19" t="s">
        <v>62</v>
      </c>
      <c r="B58" s="18" t="s">
        <v>471</v>
      </c>
      <c r="C58" s="18" t="s">
        <v>478</v>
      </c>
      <c r="D58" s="18" t="s">
        <v>473</v>
      </c>
      <c r="E58" s="18" t="s">
        <v>768</v>
      </c>
      <c r="F58" s="18" t="s">
        <v>676</v>
      </c>
      <c r="G58" s="24" t="s">
        <v>168</v>
      </c>
      <c r="H58" s="24" t="s">
        <v>23</v>
      </c>
      <c r="I58" s="24" t="s">
        <v>24</v>
      </c>
      <c r="J58" s="19"/>
      <c r="K58" s="31" t="str">
        <f>"172,5"</f>
        <v>172,5</v>
      </c>
      <c r="L58" s="19" t="str">
        <f>"111,8291"</f>
        <v>111,8291</v>
      </c>
      <c r="M58" s="18" t="s">
        <v>724</v>
      </c>
    </row>
    <row r="59" spans="1:13">
      <c r="B59" s="5" t="s">
        <v>63</v>
      </c>
    </row>
    <row r="60" spans="1:13" ht="16">
      <c r="A60" s="50" t="s">
        <v>293</v>
      </c>
      <c r="B60" s="50"/>
      <c r="C60" s="50"/>
      <c r="D60" s="50"/>
      <c r="E60" s="50"/>
      <c r="F60" s="50"/>
      <c r="G60" s="50"/>
      <c r="H60" s="50"/>
      <c r="I60" s="50"/>
      <c r="J60" s="50"/>
    </row>
    <row r="61" spans="1:13">
      <c r="A61" s="8" t="s">
        <v>62</v>
      </c>
      <c r="B61" s="7" t="s">
        <v>479</v>
      </c>
      <c r="C61" s="7" t="s">
        <v>480</v>
      </c>
      <c r="D61" s="7" t="s">
        <v>481</v>
      </c>
      <c r="E61" s="7" t="s">
        <v>764</v>
      </c>
      <c r="F61" s="7" t="s">
        <v>676</v>
      </c>
      <c r="G61" s="14" t="s">
        <v>32</v>
      </c>
      <c r="H61" s="14" t="s">
        <v>316</v>
      </c>
      <c r="I61" s="15" t="s">
        <v>212</v>
      </c>
      <c r="J61" s="8"/>
      <c r="K61" s="29" t="str">
        <f>"182,5"</f>
        <v>182,5</v>
      </c>
      <c r="L61" s="8" t="str">
        <f>"97,4714"</f>
        <v>97,4714</v>
      </c>
      <c r="M61" s="7"/>
    </row>
    <row r="62" spans="1:13">
      <c r="B62" s="5" t="s">
        <v>63</v>
      </c>
    </row>
    <row r="64" spans="1:13">
      <c r="B64" s="5" t="s">
        <v>63</v>
      </c>
    </row>
    <row r="65" spans="2:6" ht="18">
      <c r="B65" s="9" t="s">
        <v>51</v>
      </c>
      <c r="C65" s="9"/>
    </row>
    <row r="66" spans="2:6" ht="16">
      <c r="B66" s="10" t="s">
        <v>59</v>
      </c>
      <c r="C66" s="10"/>
    </row>
    <row r="67" spans="2:6" ht="14">
      <c r="B67" s="11"/>
      <c r="C67" s="12" t="s">
        <v>53</v>
      </c>
    </row>
    <row r="68" spans="2:6" ht="14">
      <c r="B68" s="13" t="s">
        <v>54</v>
      </c>
      <c r="C68" s="13" t="s">
        <v>55</v>
      </c>
      <c r="D68" s="13" t="s">
        <v>675</v>
      </c>
      <c r="E68" s="13" t="s">
        <v>364</v>
      </c>
      <c r="F68" s="13" t="s">
        <v>58</v>
      </c>
    </row>
    <row r="69" spans="2:6">
      <c r="B69" s="5" t="s">
        <v>429</v>
      </c>
      <c r="C69" s="5" t="s">
        <v>53</v>
      </c>
      <c r="D69" s="6" t="s">
        <v>61</v>
      </c>
      <c r="E69" s="6" t="s">
        <v>130</v>
      </c>
      <c r="F69" s="6" t="s">
        <v>482</v>
      </c>
    </row>
    <row r="70" spans="2:6">
      <c r="B70" s="5" t="s">
        <v>433</v>
      </c>
      <c r="C70" s="5" t="s">
        <v>53</v>
      </c>
      <c r="D70" s="6" t="s">
        <v>61</v>
      </c>
      <c r="E70" s="6" t="s">
        <v>43</v>
      </c>
      <c r="F70" s="6" t="s">
        <v>483</v>
      </c>
    </row>
    <row r="71" spans="2:6">
      <c r="B71" s="5" t="s">
        <v>418</v>
      </c>
      <c r="C71" s="5" t="s">
        <v>53</v>
      </c>
      <c r="D71" s="6" t="s">
        <v>60</v>
      </c>
      <c r="E71" s="6" t="s">
        <v>21</v>
      </c>
      <c r="F71" s="6" t="s">
        <v>484</v>
      </c>
    </row>
    <row r="73" spans="2:6" ht="14">
      <c r="B73" s="11"/>
      <c r="C73" s="12" t="s">
        <v>180</v>
      </c>
    </row>
    <row r="74" spans="2:6" ht="14">
      <c r="B74" s="13" t="s">
        <v>54</v>
      </c>
      <c r="C74" s="13" t="s">
        <v>55</v>
      </c>
      <c r="D74" s="13" t="s">
        <v>675</v>
      </c>
      <c r="E74" s="13" t="s">
        <v>364</v>
      </c>
      <c r="F74" s="13" t="s">
        <v>58</v>
      </c>
    </row>
    <row r="75" spans="2:6">
      <c r="B75" s="5" t="s">
        <v>454</v>
      </c>
      <c r="C75" s="5" t="s">
        <v>485</v>
      </c>
      <c r="D75" s="6" t="s">
        <v>61</v>
      </c>
      <c r="E75" s="6" t="s">
        <v>118</v>
      </c>
      <c r="F75" s="6" t="s">
        <v>486</v>
      </c>
    </row>
    <row r="76" spans="2:6">
      <c r="B76" s="5" t="s">
        <v>471</v>
      </c>
      <c r="C76" s="5" t="s">
        <v>368</v>
      </c>
      <c r="D76" s="6" t="s">
        <v>250</v>
      </c>
      <c r="E76" s="6" t="s">
        <v>24</v>
      </c>
      <c r="F76" s="6" t="s">
        <v>487</v>
      </c>
    </row>
    <row r="77" spans="2:6">
      <c r="B77" s="5" t="s">
        <v>404</v>
      </c>
      <c r="C77" s="5" t="s">
        <v>181</v>
      </c>
      <c r="D77" s="6" t="s">
        <v>170</v>
      </c>
      <c r="E77" s="6" t="s">
        <v>30</v>
      </c>
      <c r="F77" s="6" t="s">
        <v>488</v>
      </c>
    </row>
    <row r="78" spans="2:6">
      <c r="B78" s="5" t="s">
        <v>63</v>
      </c>
    </row>
  </sheetData>
  <mergeCells count="22">
    <mergeCell ref="A38:J38"/>
    <mergeCell ref="A48:J48"/>
    <mergeCell ref="A55:J55"/>
    <mergeCell ref="A60:J60"/>
    <mergeCell ref="B3:B4"/>
    <mergeCell ref="A8:J8"/>
    <mergeCell ref="A11:J11"/>
    <mergeCell ref="A15:J15"/>
    <mergeCell ref="A19:J19"/>
    <mergeCell ref="A24:J24"/>
    <mergeCell ref="A32:J3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9"/>
  <dimension ref="A1:M48"/>
  <sheetViews>
    <sheetView topLeftCell="A5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3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9.1640625" style="5" bestFit="1" customWidth="1"/>
    <col min="14" max="16384" width="9.1640625" style="3"/>
  </cols>
  <sheetData>
    <row r="1" spans="1:13" s="2" customFormat="1" ht="29" customHeight="1">
      <c r="A1" s="39" t="s">
        <v>755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761</v>
      </c>
      <c r="B3" s="51" t="s">
        <v>0</v>
      </c>
      <c r="C3" s="49" t="s">
        <v>762</v>
      </c>
      <c r="D3" s="49" t="s">
        <v>6</v>
      </c>
      <c r="E3" s="33" t="s">
        <v>763</v>
      </c>
      <c r="F3" s="33" t="s">
        <v>5</v>
      </c>
      <c r="G3" s="33" t="s">
        <v>8</v>
      </c>
      <c r="H3" s="33"/>
      <c r="I3" s="33"/>
      <c r="J3" s="33"/>
      <c r="K3" s="53" t="s">
        <v>369</v>
      </c>
      <c r="L3" s="33" t="s">
        <v>3</v>
      </c>
      <c r="M3" s="35" t="s">
        <v>2</v>
      </c>
    </row>
    <row r="4" spans="1:13" s="1" customFormat="1" ht="21" customHeight="1" thickBot="1">
      <c r="A4" s="48"/>
      <c r="B4" s="52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54"/>
      <c r="L4" s="34"/>
      <c r="M4" s="36"/>
    </row>
    <row r="5" spans="1:13" ht="16">
      <c r="A5" s="37" t="s">
        <v>102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183</v>
      </c>
      <c r="B6" s="7" t="s">
        <v>298</v>
      </c>
      <c r="C6" s="7" t="s">
        <v>299</v>
      </c>
      <c r="D6" s="7" t="s">
        <v>300</v>
      </c>
      <c r="E6" s="7" t="s">
        <v>764</v>
      </c>
      <c r="F6" s="7" t="s">
        <v>301</v>
      </c>
      <c r="G6" s="15" t="s">
        <v>71</v>
      </c>
      <c r="H6" s="15" t="s">
        <v>71</v>
      </c>
      <c r="I6" s="15" t="s">
        <v>71</v>
      </c>
      <c r="J6" s="8"/>
      <c r="K6" s="29">
        <v>0</v>
      </c>
      <c r="L6" s="8" t="str">
        <f>"0,0000"</f>
        <v>0,0000</v>
      </c>
      <c r="M6" s="7" t="s">
        <v>756</v>
      </c>
    </row>
    <row r="7" spans="1:13">
      <c r="B7" s="5" t="s">
        <v>63</v>
      </c>
    </row>
    <row r="8" spans="1:13" ht="16">
      <c r="A8" s="50" t="s">
        <v>102</v>
      </c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8" t="s">
        <v>62</v>
      </c>
      <c r="B9" s="7" t="s">
        <v>302</v>
      </c>
      <c r="C9" s="7" t="s">
        <v>303</v>
      </c>
      <c r="D9" s="7" t="s">
        <v>304</v>
      </c>
      <c r="E9" s="7" t="s">
        <v>764</v>
      </c>
      <c r="F9" s="7" t="s">
        <v>744</v>
      </c>
      <c r="G9" s="14" t="s">
        <v>20</v>
      </c>
      <c r="H9" s="14" t="s">
        <v>47</v>
      </c>
      <c r="I9" s="15" t="s">
        <v>74</v>
      </c>
      <c r="J9" s="8"/>
      <c r="K9" s="29" t="str">
        <f>"105,0"</f>
        <v>105,0</v>
      </c>
      <c r="L9" s="8" t="str">
        <f>"76,2562"</f>
        <v>76,2562</v>
      </c>
      <c r="M9" s="7" t="s">
        <v>305</v>
      </c>
    </row>
    <row r="10" spans="1:13">
      <c r="B10" s="5" t="s">
        <v>63</v>
      </c>
    </row>
    <row r="11" spans="1:13" ht="16">
      <c r="A11" s="50" t="s">
        <v>26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>
      <c r="A12" s="17" t="s">
        <v>62</v>
      </c>
      <c r="B12" s="16" t="s">
        <v>306</v>
      </c>
      <c r="C12" s="16" t="s">
        <v>695</v>
      </c>
      <c r="D12" s="16" t="s">
        <v>307</v>
      </c>
      <c r="E12" s="16" t="s">
        <v>765</v>
      </c>
      <c r="F12" s="16" t="s">
        <v>308</v>
      </c>
      <c r="G12" s="22" t="s">
        <v>31</v>
      </c>
      <c r="H12" s="22" t="s">
        <v>22</v>
      </c>
      <c r="I12" s="23" t="s">
        <v>43</v>
      </c>
      <c r="J12" s="17"/>
      <c r="K12" s="30" t="str">
        <f>"165,0"</f>
        <v>165,0</v>
      </c>
      <c r="L12" s="17" t="str">
        <f>"106,6973"</f>
        <v>106,6973</v>
      </c>
      <c r="M12" s="16"/>
    </row>
    <row r="13" spans="1:13">
      <c r="A13" s="19" t="s">
        <v>62</v>
      </c>
      <c r="B13" s="18" t="s">
        <v>309</v>
      </c>
      <c r="C13" s="18" t="s">
        <v>310</v>
      </c>
      <c r="D13" s="18" t="s">
        <v>311</v>
      </c>
      <c r="E13" s="18" t="s">
        <v>764</v>
      </c>
      <c r="F13" s="18" t="s">
        <v>676</v>
      </c>
      <c r="G13" s="24" t="s">
        <v>241</v>
      </c>
      <c r="H13" s="24" t="s">
        <v>35</v>
      </c>
      <c r="I13" s="24" t="s">
        <v>30</v>
      </c>
      <c r="J13" s="19"/>
      <c r="K13" s="31" t="str">
        <f>"140,0"</f>
        <v>140,0</v>
      </c>
      <c r="L13" s="19" t="str">
        <f>"93,6250"</f>
        <v>93,6250</v>
      </c>
      <c r="M13" s="18" t="s">
        <v>312</v>
      </c>
    </row>
    <row r="14" spans="1:13">
      <c r="B14" s="5" t="s">
        <v>63</v>
      </c>
    </row>
    <row r="15" spans="1:13" ht="16">
      <c r="A15" s="50" t="s">
        <v>39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3">
      <c r="A16" s="17" t="s">
        <v>62</v>
      </c>
      <c r="B16" s="16" t="s">
        <v>313</v>
      </c>
      <c r="C16" s="16" t="s">
        <v>314</v>
      </c>
      <c r="D16" s="16" t="s">
        <v>315</v>
      </c>
      <c r="E16" s="16" t="s">
        <v>764</v>
      </c>
      <c r="F16" s="16" t="s">
        <v>676</v>
      </c>
      <c r="G16" s="22" t="s">
        <v>124</v>
      </c>
      <c r="H16" s="22" t="s">
        <v>316</v>
      </c>
      <c r="I16" s="22" t="s">
        <v>130</v>
      </c>
      <c r="J16" s="17"/>
      <c r="K16" s="30" t="str">
        <f>"187,5"</f>
        <v>187,5</v>
      </c>
      <c r="L16" s="17" t="str">
        <f>"114,7969"</f>
        <v>114,7969</v>
      </c>
      <c r="M16" s="16"/>
    </row>
    <row r="17" spans="1:13">
      <c r="A17" s="21" t="s">
        <v>182</v>
      </c>
      <c r="B17" s="20" t="s">
        <v>317</v>
      </c>
      <c r="C17" s="20" t="s">
        <v>318</v>
      </c>
      <c r="D17" s="20" t="s">
        <v>319</v>
      </c>
      <c r="E17" s="20" t="s">
        <v>764</v>
      </c>
      <c r="F17" s="20" t="s">
        <v>320</v>
      </c>
      <c r="G17" s="26" t="s">
        <v>124</v>
      </c>
      <c r="H17" s="27" t="s">
        <v>43</v>
      </c>
      <c r="I17" s="26" t="s">
        <v>236</v>
      </c>
      <c r="J17" s="21"/>
      <c r="K17" s="32" t="str">
        <f>"185,0"</f>
        <v>185,0</v>
      </c>
      <c r="L17" s="21" t="str">
        <f>"114,2745"</f>
        <v>114,2745</v>
      </c>
      <c r="M17" s="20"/>
    </row>
    <row r="18" spans="1:13">
      <c r="A18" s="21" t="s">
        <v>184</v>
      </c>
      <c r="B18" s="20" t="s">
        <v>321</v>
      </c>
      <c r="C18" s="20" t="s">
        <v>322</v>
      </c>
      <c r="D18" s="20" t="s">
        <v>323</v>
      </c>
      <c r="E18" s="20" t="s">
        <v>764</v>
      </c>
      <c r="F18" s="20" t="s">
        <v>193</v>
      </c>
      <c r="G18" s="26" t="s">
        <v>22</v>
      </c>
      <c r="H18" s="27" t="s">
        <v>24</v>
      </c>
      <c r="I18" s="26" t="s">
        <v>24</v>
      </c>
      <c r="J18" s="21"/>
      <c r="K18" s="32" t="str">
        <f>"172,5"</f>
        <v>172,5</v>
      </c>
      <c r="L18" s="21" t="str">
        <f>"107,1829"</f>
        <v>107,1829</v>
      </c>
      <c r="M18" s="20"/>
    </row>
    <row r="19" spans="1:13">
      <c r="A19" s="21" t="s">
        <v>257</v>
      </c>
      <c r="B19" s="20" t="s">
        <v>324</v>
      </c>
      <c r="C19" s="20" t="s">
        <v>325</v>
      </c>
      <c r="D19" s="20" t="s">
        <v>326</v>
      </c>
      <c r="E19" s="20" t="s">
        <v>764</v>
      </c>
      <c r="F19" s="20" t="s">
        <v>327</v>
      </c>
      <c r="G19" s="26" t="s">
        <v>23</v>
      </c>
      <c r="H19" s="27" t="s">
        <v>43</v>
      </c>
      <c r="I19" s="27" t="s">
        <v>43</v>
      </c>
      <c r="J19" s="21"/>
      <c r="K19" s="32" t="str">
        <f>"170,0"</f>
        <v>170,0</v>
      </c>
      <c r="L19" s="21" t="str">
        <f>"107,5420"</f>
        <v>107,5420</v>
      </c>
      <c r="M19" s="20"/>
    </row>
    <row r="20" spans="1:13">
      <c r="A20" s="21" t="s">
        <v>258</v>
      </c>
      <c r="B20" s="20" t="s">
        <v>328</v>
      </c>
      <c r="C20" s="20" t="s">
        <v>329</v>
      </c>
      <c r="D20" s="20" t="s">
        <v>330</v>
      </c>
      <c r="E20" s="20" t="s">
        <v>764</v>
      </c>
      <c r="F20" s="20" t="s">
        <v>331</v>
      </c>
      <c r="G20" s="26" t="s">
        <v>189</v>
      </c>
      <c r="H20" s="26" t="s">
        <v>140</v>
      </c>
      <c r="I20" s="26" t="s">
        <v>32</v>
      </c>
      <c r="J20" s="21"/>
      <c r="K20" s="32" t="str">
        <f>"160,0"</f>
        <v>160,0</v>
      </c>
      <c r="L20" s="21" t="str">
        <f>"99,2160"</f>
        <v>99,2160</v>
      </c>
      <c r="M20" s="20"/>
    </row>
    <row r="21" spans="1:13">
      <c r="A21" s="21" t="s">
        <v>259</v>
      </c>
      <c r="B21" s="20" t="s">
        <v>332</v>
      </c>
      <c r="C21" s="20" t="s">
        <v>333</v>
      </c>
      <c r="D21" s="20" t="s">
        <v>334</v>
      </c>
      <c r="E21" s="20" t="s">
        <v>764</v>
      </c>
      <c r="F21" s="20" t="s">
        <v>676</v>
      </c>
      <c r="G21" s="26" t="s">
        <v>15</v>
      </c>
      <c r="H21" s="26" t="s">
        <v>17</v>
      </c>
      <c r="I21" s="27" t="s">
        <v>31</v>
      </c>
      <c r="J21" s="21"/>
      <c r="K21" s="32" t="str">
        <f>"145,0"</f>
        <v>145,0</v>
      </c>
      <c r="L21" s="21" t="str">
        <f>"90,8207"</f>
        <v>90,8207</v>
      </c>
      <c r="M21" s="20" t="s">
        <v>335</v>
      </c>
    </row>
    <row r="22" spans="1:13">
      <c r="A22" s="21" t="s">
        <v>62</v>
      </c>
      <c r="B22" s="20" t="s">
        <v>324</v>
      </c>
      <c r="C22" s="20" t="s">
        <v>336</v>
      </c>
      <c r="D22" s="20" t="s">
        <v>326</v>
      </c>
      <c r="E22" s="20" t="s">
        <v>766</v>
      </c>
      <c r="F22" s="20" t="s">
        <v>327</v>
      </c>
      <c r="G22" s="26" t="s">
        <v>23</v>
      </c>
      <c r="H22" s="27" t="s">
        <v>43</v>
      </c>
      <c r="I22" s="27" t="s">
        <v>43</v>
      </c>
      <c r="J22" s="21"/>
      <c r="K22" s="32" t="str">
        <f>"170,0"</f>
        <v>170,0</v>
      </c>
      <c r="L22" s="21" t="str">
        <f>"113,4568"</f>
        <v>113,4568</v>
      </c>
      <c r="M22" s="20"/>
    </row>
    <row r="23" spans="1:13">
      <c r="A23" s="21" t="s">
        <v>62</v>
      </c>
      <c r="B23" s="20" t="s">
        <v>313</v>
      </c>
      <c r="C23" s="20" t="s">
        <v>337</v>
      </c>
      <c r="D23" s="20" t="s">
        <v>315</v>
      </c>
      <c r="E23" s="20" t="s">
        <v>768</v>
      </c>
      <c r="F23" s="20" t="s">
        <v>676</v>
      </c>
      <c r="G23" s="26" t="s">
        <v>124</v>
      </c>
      <c r="H23" s="26" t="s">
        <v>316</v>
      </c>
      <c r="I23" s="26" t="s">
        <v>130</v>
      </c>
      <c r="J23" s="21"/>
      <c r="K23" s="32" t="str">
        <f>"187,5"</f>
        <v>187,5</v>
      </c>
      <c r="L23" s="21" t="str">
        <f>"129,7205"</f>
        <v>129,7205</v>
      </c>
      <c r="M23" s="20"/>
    </row>
    <row r="24" spans="1:13">
      <c r="A24" s="19" t="s">
        <v>62</v>
      </c>
      <c r="B24" s="18" t="s">
        <v>338</v>
      </c>
      <c r="C24" s="18" t="s">
        <v>339</v>
      </c>
      <c r="D24" s="18" t="s">
        <v>326</v>
      </c>
      <c r="E24" s="18" t="s">
        <v>769</v>
      </c>
      <c r="F24" s="18" t="s">
        <v>327</v>
      </c>
      <c r="G24" s="24" t="s">
        <v>32</v>
      </c>
      <c r="H24" s="25" t="s">
        <v>22</v>
      </c>
      <c r="I24" s="25" t="s">
        <v>22</v>
      </c>
      <c r="J24" s="19"/>
      <c r="K24" s="31" t="str">
        <f>"160,0"</f>
        <v>160,0</v>
      </c>
      <c r="L24" s="19" t="str">
        <f>"138,2611"</f>
        <v>138,2611</v>
      </c>
      <c r="M24" s="18"/>
    </row>
    <row r="25" spans="1:13">
      <c r="B25" s="5" t="s">
        <v>63</v>
      </c>
    </row>
    <row r="26" spans="1:13" ht="16">
      <c r="A26" s="50" t="s">
        <v>143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3">
      <c r="A27" s="17" t="s">
        <v>62</v>
      </c>
      <c r="B27" s="16" t="s">
        <v>340</v>
      </c>
      <c r="C27" s="16" t="s">
        <v>341</v>
      </c>
      <c r="D27" s="16" t="s">
        <v>342</v>
      </c>
      <c r="E27" s="16" t="s">
        <v>764</v>
      </c>
      <c r="F27" s="16" t="s">
        <v>343</v>
      </c>
      <c r="G27" s="22" t="s">
        <v>131</v>
      </c>
      <c r="H27" s="22" t="s">
        <v>49</v>
      </c>
      <c r="I27" s="22" t="s">
        <v>50</v>
      </c>
      <c r="J27" s="17"/>
      <c r="K27" s="30" t="str">
        <f>"205,0"</f>
        <v>205,0</v>
      </c>
      <c r="L27" s="17" t="str">
        <f>"121,2370"</f>
        <v>121,2370</v>
      </c>
      <c r="M27" s="16" t="s">
        <v>344</v>
      </c>
    </row>
    <row r="28" spans="1:13">
      <c r="A28" s="21" t="s">
        <v>182</v>
      </c>
      <c r="B28" s="20" t="s">
        <v>345</v>
      </c>
      <c r="C28" s="20" t="s">
        <v>346</v>
      </c>
      <c r="D28" s="20" t="s">
        <v>347</v>
      </c>
      <c r="E28" s="20" t="s">
        <v>764</v>
      </c>
      <c r="F28" s="20" t="s">
        <v>225</v>
      </c>
      <c r="G28" s="26" t="s">
        <v>124</v>
      </c>
      <c r="H28" s="27" t="s">
        <v>236</v>
      </c>
      <c r="I28" s="27" t="s">
        <v>236</v>
      </c>
      <c r="J28" s="21"/>
      <c r="K28" s="32" t="str">
        <f>"175,0"</f>
        <v>175,0</v>
      </c>
      <c r="L28" s="21" t="str">
        <f>"102,6638"</f>
        <v>102,6638</v>
      </c>
      <c r="M28" s="20"/>
    </row>
    <row r="29" spans="1:13">
      <c r="A29" s="21" t="s">
        <v>184</v>
      </c>
      <c r="B29" s="20" t="s">
        <v>348</v>
      </c>
      <c r="C29" s="20" t="s">
        <v>349</v>
      </c>
      <c r="D29" s="20" t="s">
        <v>350</v>
      </c>
      <c r="E29" s="20" t="s">
        <v>764</v>
      </c>
      <c r="F29" s="20" t="s">
        <v>351</v>
      </c>
      <c r="G29" s="26" t="s">
        <v>22</v>
      </c>
      <c r="H29" s="26" t="s">
        <v>23</v>
      </c>
      <c r="I29" s="27" t="s">
        <v>149</v>
      </c>
      <c r="J29" s="21"/>
      <c r="K29" s="32" t="str">
        <f>"170,0"</f>
        <v>170,0</v>
      </c>
      <c r="L29" s="21" t="str">
        <f>"99,2460"</f>
        <v>99,2460</v>
      </c>
      <c r="M29" s="20"/>
    </row>
    <row r="30" spans="1:13">
      <c r="A30" s="21" t="s">
        <v>257</v>
      </c>
      <c r="B30" s="20" t="s">
        <v>352</v>
      </c>
      <c r="C30" s="20" t="s">
        <v>353</v>
      </c>
      <c r="D30" s="20" t="s">
        <v>354</v>
      </c>
      <c r="E30" s="20" t="s">
        <v>764</v>
      </c>
      <c r="F30" s="20" t="s">
        <v>355</v>
      </c>
      <c r="G30" s="26" t="s">
        <v>31</v>
      </c>
      <c r="H30" s="27" t="s">
        <v>21</v>
      </c>
      <c r="I30" s="21"/>
      <c r="J30" s="21"/>
      <c r="K30" s="32" t="str">
        <f>"150,0"</f>
        <v>150,0</v>
      </c>
      <c r="L30" s="21" t="str">
        <f>"88,9725"</f>
        <v>88,9725</v>
      </c>
      <c r="M30" s="20"/>
    </row>
    <row r="31" spans="1:13">
      <c r="A31" s="19" t="s">
        <v>62</v>
      </c>
      <c r="B31" s="18" t="s">
        <v>356</v>
      </c>
      <c r="C31" s="18" t="s">
        <v>357</v>
      </c>
      <c r="D31" s="18" t="s">
        <v>358</v>
      </c>
      <c r="E31" s="18" t="s">
        <v>766</v>
      </c>
      <c r="F31" s="18" t="s">
        <v>676</v>
      </c>
      <c r="G31" s="25" t="s">
        <v>17</v>
      </c>
      <c r="H31" s="24" t="s">
        <v>17</v>
      </c>
      <c r="I31" s="25" t="s">
        <v>140</v>
      </c>
      <c r="J31" s="19"/>
      <c r="K31" s="31" t="str">
        <f>"145,0"</f>
        <v>145,0</v>
      </c>
      <c r="L31" s="19" t="str">
        <f>"96,2581"</f>
        <v>96,2581</v>
      </c>
      <c r="M31" s="18"/>
    </row>
    <row r="32" spans="1:13">
      <c r="B32" s="5" t="s">
        <v>63</v>
      </c>
    </row>
    <row r="33" spans="1:13" ht="16">
      <c r="A33" s="50" t="s">
        <v>238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3">
      <c r="A34" s="8" t="s">
        <v>62</v>
      </c>
      <c r="B34" s="7" t="s">
        <v>359</v>
      </c>
      <c r="C34" s="7" t="s">
        <v>696</v>
      </c>
      <c r="D34" s="7" t="s">
        <v>360</v>
      </c>
      <c r="E34" s="7" t="s">
        <v>771</v>
      </c>
      <c r="F34" s="7" t="s">
        <v>676</v>
      </c>
      <c r="G34" s="14" t="s">
        <v>30</v>
      </c>
      <c r="H34" s="14" t="s">
        <v>31</v>
      </c>
      <c r="I34" s="15" t="s">
        <v>32</v>
      </c>
      <c r="J34" s="8"/>
      <c r="K34" s="29" t="str">
        <f>"150,0"</f>
        <v>150,0</v>
      </c>
      <c r="L34" s="8" t="str">
        <f>"84,7275"</f>
        <v>84,7275</v>
      </c>
      <c r="M34" s="7" t="s">
        <v>361</v>
      </c>
    </row>
    <row r="35" spans="1:13">
      <c r="B35" s="5" t="s">
        <v>63</v>
      </c>
    </row>
    <row r="36" spans="1:13" ht="16">
      <c r="A36" s="50" t="s">
        <v>244</v>
      </c>
      <c r="B36" s="50"/>
      <c r="C36" s="50"/>
      <c r="D36" s="50"/>
      <c r="E36" s="50"/>
      <c r="F36" s="50"/>
      <c r="G36" s="50"/>
      <c r="H36" s="50"/>
      <c r="I36" s="50"/>
      <c r="J36" s="50"/>
    </row>
    <row r="37" spans="1:13">
      <c r="A37" s="8" t="s">
        <v>62</v>
      </c>
      <c r="B37" s="7" t="s">
        <v>362</v>
      </c>
      <c r="C37" s="7" t="s">
        <v>697</v>
      </c>
      <c r="D37" s="7" t="s">
        <v>363</v>
      </c>
      <c r="E37" s="7" t="s">
        <v>765</v>
      </c>
      <c r="F37" s="7" t="s">
        <v>757</v>
      </c>
      <c r="G37" s="14" t="s">
        <v>49</v>
      </c>
      <c r="H37" s="15" t="s">
        <v>138</v>
      </c>
      <c r="I37" s="15" t="s">
        <v>138</v>
      </c>
      <c r="J37" s="8"/>
      <c r="K37" s="29" t="str">
        <f>"200,0"</f>
        <v>200,0</v>
      </c>
      <c r="L37" s="8" t="str">
        <f>"111,7100"</f>
        <v>111,7100</v>
      </c>
      <c r="M37" s="7"/>
    </row>
    <row r="38" spans="1:13">
      <c r="B38" s="5" t="s">
        <v>63</v>
      </c>
    </row>
    <row r="41" spans="1:13" ht="18">
      <c r="B41" s="9" t="s">
        <v>51</v>
      </c>
      <c r="C41" s="9"/>
    </row>
    <row r="42" spans="1:13" ht="16">
      <c r="B42" s="10" t="s">
        <v>59</v>
      </c>
      <c r="C42" s="10"/>
    </row>
    <row r="43" spans="1:13" ht="14">
      <c r="B43" s="11"/>
      <c r="C43" s="12" t="s">
        <v>53</v>
      </c>
    </row>
    <row r="44" spans="1:13" ht="14">
      <c r="B44" s="13" t="s">
        <v>54</v>
      </c>
      <c r="C44" s="13" t="s">
        <v>55</v>
      </c>
      <c r="D44" s="13" t="s">
        <v>675</v>
      </c>
      <c r="E44" s="13" t="s">
        <v>364</v>
      </c>
      <c r="F44" s="13" t="s">
        <v>58</v>
      </c>
    </row>
    <row r="45" spans="1:13">
      <c r="B45" s="5" t="s">
        <v>340</v>
      </c>
      <c r="C45" s="5" t="s">
        <v>53</v>
      </c>
      <c r="D45" s="6" t="s">
        <v>179</v>
      </c>
      <c r="E45" s="6" t="s">
        <v>50</v>
      </c>
      <c r="F45" s="6" t="s">
        <v>365</v>
      </c>
    </row>
    <row r="46" spans="1:13">
      <c r="B46" s="5" t="s">
        <v>313</v>
      </c>
      <c r="C46" s="5" t="s">
        <v>53</v>
      </c>
      <c r="D46" s="6" t="s">
        <v>61</v>
      </c>
      <c r="E46" s="6" t="s">
        <v>130</v>
      </c>
      <c r="F46" s="6" t="s">
        <v>366</v>
      </c>
    </row>
    <row r="47" spans="1:13">
      <c r="B47" s="5" t="s">
        <v>317</v>
      </c>
      <c r="C47" s="5" t="s">
        <v>53</v>
      </c>
      <c r="D47" s="6" t="s">
        <v>61</v>
      </c>
      <c r="E47" s="6" t="s">
        <v>236</v>
      </c>
      <c r="F47" s="6" t="s">
        <v>367</v>
      </c>
    </row>
    <row r="48" spans="1:13">
      <c r="B48" s="5" t="s">
        <v>63</v>
      </c>
    </row>
  </sheetData>
  <mergeCells count="18">
    <mergeCell ref="A36:J36"/>
    <mergeCell ref="K3:K4"/>
    <mergeCell ref="L3:L4"/>
    <mergeCell ref="M3:M4"/>
    <mergeCell ref="A5:J5"/>
    <mergeCell ref="B3:B4"/>
    <mergeCell ref="A8:J8"/>
    <mergeCell ref="A11:J11"/>
    <mergeCell ref="A15:J15"/>
    <mergeCell ref="A26:J26"/>
    <mergeCell ref="A33:J33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Двоеборье без экип ДК</vt:lpstr>
      <vt:lpstr>GPA Присед без экипировки ДК</vt:lpstr>
      <vt:lpstr>GPA Присед в бинтах ДК</vt:lpstr>
      <vt:lpstr>GPA Жим без экипировки ДК</vt:lpstr>
      <vt:lpstr>GPA Жим без экипировки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GPA Тяга без экипировки ДК</vt:lpstr>
      <vt:lpstr>GPA Тяга без экипировки</vt:lpstr>
      <vt:lpstr>IPO Тяга в экипировке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2021-03-30T13:21:21Z</dcterms:modified>
</cp:coreProperties>
</file>