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51A2592D-E651-9344-BF2D-67AC6F906820}" xr6:coauthVersionLast="45" xr6:coauthVersionMax="45" xr10:uidLastSave="{00000000-0000-0000-0000-000000000000}"/>
  <bookViews>
    <workbookView xWindow="480" yWindow="460" windowWidth="28100" windowHeight="15540" activeTab="2" xr2:uid="{00000000-000D-0000-FFFF-FFFF00000000}"/>
  </bookViews>
  <sheets>
    <sheet name="IPL Жим без экипировки" sheetId="5" r:id="rId1"/>
    <sheet name="СПР Жим софт однопетельная" sheetId="7" r:id="rId2"/>
    <sheet name="СПР Жим софт многопетельная" sheetId="8" r:id="rId3"/>
    <sheet name="IPL Тяга без экипировки" sheetId="6" r:id="rId4"/>
  </sheets>
  <definedNames>
    <definedName name="_FilterDatabase" localSheetId="0" hidden="1">'IPL Жим без экипировки'!$A$1:$K$3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8" l="1"/>
  <c r="K12" i="8"/>
  <c r="L9" i="8"/>
  <c r="L6" i="8"/>
  <c r="K6" i="8"/>
  <c r="L22" i="7"/>
  <c r="K22" i="7"/>
  <c r="L19" i="7"/>
  <c r="K19" i="7"/>
  <c r="L18" i="7"/>
  <c r="K18" i="7"/>
  <c r="L17" i="7"/>
  <c r="K17" i="7"/>
  <c r="L16" i="7"/>
  <c r="K16" i="7"/>
  <c r="L15" i="7"/>
  <c r="K15" i="7"/>
  <c r="L12" i="7"/>
  <c r="K12" i="7"/>
  <c r="L11" i="7"/>
  <c r="K11" i="7"/>
  <c r="L10" i="7"/>
  <c r="K10" i="7"/>
  <c r="L9" i="7"/>
  <c r="K9" i="7"/>
  <c r="L6" i="7"/>
  <c r="K6" i="7"/>
  <c r="L34" i="6"/>
  <c r="K34" i="6"/>
  <c r="L31" i="6"/>
  <c r="K31" i="6"/>
  <c r="L30" i="6"/>
  <c r="K30" i="6"/>
  <c r="L29" i="6"/>
  <c r="K29" i="6"/>
  <c r="L26" i="6"/>
  <c r="K26" i="6"/>
  <c r="L25" i="6"/>
  <c r="K25" i="6"/>
  <c r="L22" i="6"/>
  <c r="K22" i="6"/>
  <c r="L19" i="6"/>
  <c r="K19" i="6"/>
  <c r="L18" i="6"/>
  <c r="K18" i="6"/>
  <c r="L15" i="6"/>
  <c r="K15" i="6"/>
  <c r="L12" i="6"/>
  <c r="K12" i="6"/>
  <c r="L9" i="6"/>
  <c r="K9" i="6"/>
  <c r="L6" i="6"/>
  <c r="K6" i="6"/>
  <c r="L67" i="5"/>
  <c r="K67" i="5"/>
  <c r="L64" i="5"/>
  <c r="K64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6" i="5"/>
  <c r="K36" i="5"/>
  <c r="L35" i="5"/>
  <c r="K35" i="5"/>
  <c r="L34" i="5"/>
  <c r="K34" i="5"/>
  <c r="L33" i="5"/>
  <c r="K33" i="5"/>
  <c r="L32" i="5"/>
  <c r="K32" i="5"/>
  <c r="L31" i="5"/>
  <c r="L28" i="5"/>
  <c r="K28" i="5"/>
  <c r="L27" i="5"/>
  <c r="K27" i="5"/>
  <c r="L26" i="5"/>
  <c r="K26" i="5"/>
  <c r="L25" i="5"/>
  <c r="K25" i="5"/>
  <c r="L22" i="5"/>
  <c r="K22" i="5"/>
  <c r="L21" i="5"/>
  <c r="K21" i="5"/>
  <c r="L20" i="5"/>
  <c r="K20" i="5"/>
  <c r="L19" i="5"/>
  <c r="K19" i="5"/>
  <c r="L18" i="5"/>
  <c r="K18" i="5"/>
  <c r="L15" i="5"/>
  <c r="K15" i="5"/>
  <c r="L14" i="5"/>
  <c r="K14" i="5"/>
  <c r="L13" i="5"/>
  <c r="K13" i="5"/>
  <c r="L12" i="5"/>
  <c r="K12" i="5"/>
  <c r="L9" i="5"/>
  <c r="K9" i="5"/>
  <c r="L6" i="5"/>
  <c r="K6" i="5"/>
</calcChain>
</file>

<file path=xl/sharedStrings.xml><?xml version="1.0" encoding="utf-8"?>
<sst xmlns="http://schemas.openxmlformats.org/spreadsheetml/2006/main" count="836" uniqueCount="337">
  <si>
    <t>ФИО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</si>
  <si>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</si>
  <si>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</si>
  <si>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</si>
  <si>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</si>
  <si>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</si>
  <si>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</si>
  <si>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48</t>
  </si>
  <si>
    <t>Скляр Екатерина</t>
  </si>
  <si>
    <t>Открытая (15.06.1978)/42</t>
  </si>
  <si>
    <t>47,65</t>
  </si>
  <si>
    <t xml:space="preserve">Пермь/Пермский край </t>
  </si>
  <si>
    <t>55,0</t>
  </si>
  <si>
    <t>57,5</t>
  </si>
  <si>
    <t>60,0</t>
  </si>
  <si>
    <t xml:space="preserve">Завьялова А. </t>
  </si>
  <si>
    <t>ВЕСОВАЯ КАТЕГОРИЯ   56</t>
  </si>
  <si>
    <t>Лаврентьева Ольга</t>
  </si>
  <si>
    <t>Открытая (26.04.1983)/37</t>
  </si>
  <si>
    <t>55,70</t>
  </si>
  <si>
    <t>47,5</t>
  </si>
  <si>
    <t>50,0</t>
  </si>
  <si>
    <t>52,5</t>
  </si>
  <si>
    <t>ВЕСОВАЯ КАТЕГОРИЯ   60</t>
  </si>
  <si>
    <t>Гурьянов Олег</t>
  </si>
  <si>
    <t>Юноши 15-19 (06.07.2006)/14</t>
  </si>
  <si>
    <t>59,20</t>
  </si>
  <si>
    <t xml:space="preserve">Новоильинский/Пермский край </t>
  </si>
  <si>
    <t>80,0</t>
  </si>
  <si>
    <t>85,0</t>
  </si>
  <si>
    <t>87,5</t>
  </si>
  <si>
    <t xml:space="preserve">Попков А. </t>
  </si>
  <si>
    <t>Бурматов Даниил</t>
  </si>
  <si>
    <t>Юноши 15-19 (19.08.2003)/17</t>
  </si>
  <si>
    <t>57,60</t>
  </si>
  <si>
    <t>90,0</t>
  </si>
  <si>
    <t xml:space="preserve">Окулов Ю. </t>
  </si>
  <si>
    <t>Попов Валентин</t>
  </si>
  <si>
    <t>Юноши 15-19 (26.09.2006)/14</t>
  </si>
  <si>
    <t>59,00</t>
  </si>
  <si>
    <t xml:space="preserve">Нытва/Пермский край </t>
  </si>
  <si>
    <t>70,0</t>
  </si>
  <si>
    <t>75,0</t>
  </si>
  <si>
    <t>77,5</t>
  </si>
  <si>
    <t xml:space="preserve">Койков Е. </t>
  </si>
  <si>
    <t>Попков Александр</t>
  </si>
  <si>
    <t>Открытая (24.12.1983)/37</t>
  </si>
  <si>
    <t>59,60</t>
  </si>
  <si>
    <t>95,0</t>
  </si>
  <si>
    <t>100,0</t>
  </si>
  <si>
    <t>105,0</t>
  </si>
  <si>
    <t>ВЕСОВАЯ КАТЕГОРИЯ   67.5</t>
  </si>
  <si>
    <t>Бахарев Кирилл</t>
  </si>
  <si>
    <t>Юноши 15-19 (17.12.2004)/16</t>
  </si>
  <si>
    <t>66,50</t>
  </si>
  <si>
    <t xml:space="preserve">Бахарев О. </t>
  </si>
  <si>
    <t>Яхин Эльдар</t>
  </si>
  <si>
    <t>Юноши 15-19 (11.09.2006)/14</t>
  </si>
  <si>
    <t>66,10</t>
  </si>
  <si>
    <t>102,5</t>
  </si>
  <si>
    <t>Филимоненко Тимур</t>
  </si>
  <si>
    <t>Юноши 15-19 (19.02.2008)/13</t>
  </si>
  <si>
    <t>60,90</t>
  </si>
  <si>
    <t xml:space="preserve">Филимоненко В. </t>
  </si>
  <si>
    <t>Киселев Денис</t>
  </si>
  <si>
    <t>110,0</t>
  </si>
  <si>
    <t>115,0</t>
  </si>
  <si>
    <t xml:space="preserve">Баландин С. </t>
  </si>
  <si>
    <t>Ошмарин Владимир</t>
  </si>
  <si>
    <t>65,00</t>
  </si>
  <si>
    <t>107,5</t>
  </si>
  <si>
    <t xml:space="preserve">Малышев И. </t>
  </si>
  <si>
    <t>ВЕСОВАЯ КАТЕГОРИЯ   75</t>
  </si>
  <si>
    <t>Куликов Ярослав</t>
  </si>
  <si>
    <t>Юноши 15-19 (12.07.2005)/15</t>
  </si>
  <si>
    <t>71,50</t>
  </si>
  <si>
    <t>92,5</t>
  </si>
  <si>
    <t xml:space="preserve">Шестаков М. </t>
  </si>
  <si>
    <t>Старков Валентин</t>
  </si>
  <si>
    <t>Юноши 15-19 (13.08.2004)/16</t>
  </si>
  <si>
    <t>69,90</t>
  </si>
  <si>
    <t>Шавшуков Петр</t>
  </si>
  <si>
    <t>Открытая (04.09.1986)/34</t>
  </si>
  <si>
    <t>73,20</t>
  </si>
  <si>
    <t>132,5</t>
  </si>
  <si>
    <t>137,5</t>
  </si>
  <si>
    <t>Открытая (03.09.1985)/35</t>
  </si>
  <si>
    <t>120,0</t>
  </si>
  <si>
    <t>125,0</t>
  </si>
  <si>
    <t>130,0</t>
  </si>
  <si>
    <t>ВЕСОВАЯ КАТЕГОРИЯ   82.5</t>
  </si>
  <si>
    <t>Белов Александр</t>
  </si>
  <si>
    <t>Юноши 15-19 (23.06.2004)/16</t>
  </si>
  <si>
    <t>79,10</t>
  </si>
  <si>
    <t>Южаков Антон</t>
  </si>
  <si>
    <t>Открытая (18.02.1995)/26</t>
  </si>
  <si>
    <t>78,30</t>
  </si>
  <si>
    <t xml:space="preserve">Верещагино/Пермский край </t>
  </si>
  <si>
    <t>185,0</t>
  </si>
  <si>
    <t>192,5</t>
  </si>
  <si>
    <t>200,0</t>
  </si>
  <si>
    <t>Попов Максим</t>
  </si>
  <si>
    <t>Открытая (18.09.1979)/41</t>
  </si>
  <si>
    <t>76,10</t>
  </si>
  <si>
    <t>140,0</t>
  </si>
  <si>
    <t>150,0</t>
  </si>
  <si>
    <t>157,5</t>
  </si>
  <si>
    <t>Фадеев Борис</t>
  </si>
  <si>
    <t>Открытая (23.04.1986)/34</t>
  </si>
  <si>
    <t>81,50</t>
  </si>
  <si>
    <t>142,5</t>
  </si>
  <si>
    <t>147,5</t>
  </si>
  <si>
    <t>Политов Сергей</t>
  </si>
  <si>
    <t>Открытая (04.09.1991)/29</t>
  </si>
  <si>
    <t>80,70</t>
  </si>
  <si>
    <t xml:space="preserve">Машанов Е. </t>
  </si>
  <si>
    <t>Кайгородов Константин</t>
  </si>
  <si>
    <t>Открытая (19.09.1991)/29</t>
  </si>
  <si>
    <t>80,80</t>
  </si>
  <si>
    <t xml:space="preserve">Очёр/Пермский край </t>
  </si>
  <si>
    <t>135,0</t>
  </si>
  <si>
    <t>145,0</t>
  </si>
  <si>
    <t>ВЕСОВАЯ КАТЕГОРИЯ   90</t>
  </si>
  <si>
    <t>Харин Вячеслав</t>
  </si>
  <si>
    <t>Юноши 15-19 (03.10.2004)/16</t>
  </si>
  <si>
    <t>84,20</t>
  </si>
  <si>
    <t>Худяков Александр</t>
  </si>
  <si>
    <t>Открытая (29.04.1977)/43</t>
  </si>
  <si>
    <t>90,00</t>
  </si>
  <si>
    <t>177,5</t>
  </si>
  <si>
    <t>187,5</t>
  </si>
  <si>
    <t>197,5</t>
  </si>
  <si>
    <t>Турдиев Азиз</t>
  </si>
  <si>
    <t>Открытая (27.05.1992)/28</t>
  </si>
  <si>
    <t>87,00</t>
  </si>
  <si>
    <t>170,0</t>
  </si>
  <si>
    <t>175,0</t>
  </si>
  <si>
    <t>180,0</t>
  </si>
  <si>
    <t>Дейбус Иван</t>
  </si>
  <si>
    <t>Открытая (20.08.1987)/33</t>
  </si>
  <si>
    <t>84,40</t>
  </si>
  <si>
    <t>Трубицын Антон</t>
  </si>
  <si>
    <t>Открытая (14.11.1985)/35</t>
  </si>
  <si>
    <t>86,90</t>
  </si>
  <si>
    <t>Абзалидинов Айдар</t>
  </si>
  <si>
    <t>88,40</t>
  </si>
  <si>
    <t xml:space="preserve">Березники/Пермский край </t>
  </si>
  <si>
    <t xml:space="preserve">Манин А. </t>
  </si>
  <si>
    <t>Лузин Сергей</t>
  </si>
  <si>
    <t>84,70</t>
  </si>
  <si>
    <t>112,5</t>
  </si>
  <si>
    <t>117,5</t>
  </si>
  <si>
    <t>ВЕСОВАЯ КАТЕГОРИЯ   100</t>
  </si>
  <si>
    <t>Лузин Иван</t>
  </si>
  <si>
    <t>Юноши 15-19 (24.02.2004)/17</t>
  </si>
  <si>
    <t>96,50</t>
  </si>
  <si>
    <t>Сергеев Игорь</t>
  </si>
  <si>
    <t>Открытая (07.08.1966)/54</t>
  </si>
  <si>
    <t>97,20</t>
  </si>
  <si>
    <t>210,0</t>
  </si>
  <si>
    <t>217,5</t>
  </si>
  <si>
    <t>222,5</t>
  </si>
  <si>
    <t>Новинский Александр</t>
  </si>
  <si>
    <t>Открытая (08.08.1983)/37</t>
  </si>
  <si>
    <t>95,80</t>
  </si>
  <si>
    <t>207,5</t>
  </si>
  <si>
    <t>215,0</t>
  </si>
  <si>
    <t xml:space="preserve">Пикляев Д. </t>
  </si>
  <si>
    <t>Машанов Егор</t>
  </si>
  <si>
    <t>Открытая (17.06.1991)/29</t>
  </si>
  <si>
    <t>97,40</t>
  </si>
  <si>
    <t>190,0</t>
  </si>
  <si>
    <t>202,5</t>
  </si>
  <si>
    <t>Степанов Илья</t>
  </si>
  <si>
    <t>Открытая (27.08.1987)/33</t>
  </si>
  <si>
    <t>162,5</t>
  </si>
  <si>
    <t xml:space="preserve">Некрасов И. </t>
  </si>
  <si>
    <t>Окулов Юрий</t>
  </si>
  <si>
    <t>Открытая (26.09.1987)/33</t>
  </si>
  <si>
    <t>95,00</t>
  </si>
  <si>
    <t>160,0</t>
  </si>
  <si>
    <t>172,5</t>
  </si>
  <si>
    <t>Филимоненко Владимир</t>
  </si>
  <si>
    <t>Открытая (18.10.1981)/39</t>
  </si>
  <si>
    <t>94,50</t>
  </si>
  <si>
    <t>165,0</t>
  </si>
  <si>
    <t>Бахматов Вадим</t>
  </si>
  <si>
    <t>Открытая (05.03.1997)/24</t>
  </si>
  <si>
    <t>94,00</t>
  </si>
  <si>
    <t>155,0</t>
  </si>
  <si>
    <t xml:space="preserve">Жилкин А. </t>
  </si>
  <si>
    <t>Садыков Рустам</t>
  </si>
  <si>
    <t>Открытая (02.06.1992)/28</t>
  </si>
  <si>
    <t>99,20</t>
  </si>
  <si>
    <t xml:space="preserve">Брохман С. </t>
  </si>
  <si>
    <t>Кургульский Денис</t>
  </si>
  <si>
    <t>Открытая (11.02.1976)/45</t>
  </si>
  <si>
    <t>98,20</t>
  </si>
  <si>
    <t>152,5</t>
  </si>
  <si>
    <t>Королев Дмитрий</t>
  </si>
  <si>
    <t>Открытая (24.08.1990)/30</t>
  </si>
  <si>
    <t>96,20</t>
  </si>
  <si>
    <t>Косков Сергей</t>
  </si>
  <si>
    <t>97,90</t>
  </si>
  <si>
    <t>ВЕСОВАЯ КАТЕГОРИЯ   110</t>
  </si>
  <si>
    <t>Крутиков Алексей</t>
  </si>
  <si>
    <t>Открытая (07.05.1993)/27</t>
  </si>
  <si>
    <t>103,10</t>
  </si>
  <si>
    <t>ВЕСОВАЯ КАТЕГОРИЯ   140</t>
  </si>
  <si>
    <t>Шестаков Андрей</t>
  </si>
  <si>
    <t>129,30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</si>
  <si>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</si>
  <si>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</si>
  <si>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</si>
  <si>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</si>
  <si>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</si>
  <si>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</si>
  <si>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 xml:space="preserve">Мужчины </t>
  </si>
  <si>
    <t>100</t>
  </si>
  <si>
    <t>82.5</t>
  </si>
  <si>
    <t>138,4400</t>
  </si>
  <si>
    <t>137,0155</t>
  </si>
  <si>
    <t>133,2355</t>
  </si>
  <si>
    <t>Результат</t>
  </si>
  <si>
    <t>1</t>
  </si>
  <si>
    <t/>
  </si>
  <si>
    <t>2</t>
  </si>
  <si>
    <t>3</t>
  </si>
  <si>
    <t>-</t>
  </si>
  <si>
    <t>4</t>
  </si>
  <si>
    <t>5</t>
  </si>
  <si>
    <t>6</t>
  </si>
  <si>
    <t>7</t>
  </si>
  <si>
    <t>8</t>
  </si>
  <si>
    <t>9</t>
  </si>
  <si>
    <t>10</t>
  </si>
  <si>
    <t>Становая тяга</t>
  </si>
  <si>
    <t>ВЕСОВАЯ КАТЕГОРИЯ   52</t>
  </si>
  <si>
    <t>Прохоренкова Кристина</t>
  </si>
  <si>
    <t>Девушки 15-19 (23.04.2004)/16</t>
  </si>
  <si>
    <t>49,15</t>
  </si>
  <si>
    <t>Соловьева Мария</t>
  </si>
  <si>
    <t>Открытая (22.11.1988)/32</t>
  </si>
  <si>
    <t>53,60</t>
  </si>
  <si>
    <t>Фадеев Алексей</t>
  </si>
  <si>
    <t>Юноши 15-19 (10.07.2006)/14</t>
  </si>
  <si>
    <t>53,00</t>
  </si>
  <si>
    <t>Шемякин Владимир</t>
  </si>
  <si>
    <t>Юноши 15-19 (01.07.2005)/15</t>
  </si>
  <si>
    <t>67,00</t>
  </si>
  <si>
    <t>Давыдов Олег</t>
  </si>
  <si>
    <t>Юноши 15-19 (17.04.2006)/14</t>
  </si>
  <si>
    <t>62,40</t>
  </si>
  <si>
    <t>Коротаев Роман</t>
  </si>
  <si>
    <t>Открытая (20.01.1987)/34</t>
  </si>
  <si>
    <t>72,00</t>
  </si>
  <si>
    <t>195,0</t>
  </si>
  <si>
    <t>230,0</t>
  </si>
  <si>
    <t>237,5</t>
  </si>
  <si>
    <t>242,5</t>
  </si>
  <si>
    <t>290,0</t>
  </si>
  <si>
    <t>295,0</t>
  </si>
  <si>
    <t>310,0</t>
  </si>
  <si>
    <t>220,0</t>
  </si>
  <si>
    <t>240,0</t>
  </si>
  <si>
    <t>260,0</t>
  </si>
  <si>
    <t>205,0</t>
  </si>
  <si>
    <t>ВЕСОВАЯ КАТЕГОРИЯ   125</t>
  </si>
  <si>
    <t>Зямилов Александр</t>
  </si>
  <si>
    <t>Открытая (10.01.1995)/26</t>
  </si>
  <si>
    <t>111,20</t>
  </si>
  <si>
    <t>270,0</t>
  </si>
  <si>
    <t>285,0</t>
  </si>
  <si>
    <t>Гвоздева Валерия</t>
  </si>
  <si>
    <t>52,00</t>
  </si>
  <si>
    <t>65,0</t>
  </si>
  <si>
    <t>Кивелев Иван</t>
  </si>
  <si>
    <t>Открытая (01.01.1991)/30</t>
  </si>
  <si>
    <t>76,05</t>
  </si>
  <si>
    <t>Богданов Михаил</t>
  </si>
  <si>
    <t>Открытая (11.11.1987)/33</t>
  </si>
  <si>
    <t>81,20</t>
  </si>
  <si>
    <t>Сидельцев Роман</t>
  </si>
  <si>
    <t>Открытая (22.02.1991)/30</t>
  </si>
  <si>
    <t>81,15</t>
  </si>
  <si>
    <t>95,75</t>
  </si>
  <si>
    <t>280,0</t>
  </si>
  <si>
    <t>300,0</t>
  </si>
  <si>
    <t>312,5</t>
  </si>
  <si>
    <t>Галкин Владимир</t>
  </si>
  <si>
    <t>Открытая (19.10.1975)/45</t>
  </si>
  <si>
    <t>99,95</t>
  </si>
  <si>
    <t>250,0</t>
  </si>
  <si>
    <t>Куликов Олег</t>
  </si>
  <si>
    <t>Открытая (09.03.1985)/36</t>
  </si>
  <si>
    <t>96,25</t>
  </si>
  <si>
    <t>Березин Николай</t>
  </si>
  <si>
    <t>Открытая (09.08.1984)/36</t>
  </si>
  <si>
    <t>92,20</t>
  </si>
  <si>
    <t>Щупов Вячеслав</t>
  </si>
  <si>
    <t>Открытая (07.09.1984)/36</t>
  </si>
  <si>
    <t>105,25</t>
  </si>
  <si>
    <t xml:space="preserve">Gloss </t>
  </si>
  <si>
    <t>177,8100</t>
  </si>
  <si>
    <t>156,9848</t>
  </si>
  <si>
    <t>153,5480</t>
  </si>
  <si>
    <t>Койков Стас</t>
  </si>
  <si>
    <t>Открытая (10.11.1990)/30</t>
  </si>
  <si>
    <t>82,05</t>
  </si>
  <si>
    <t>Власов Денис</t>
  </si>
  <si>
    <t>Открытая (16.01.1983)/38</t>
  </si>
  <si>
    <t>95,45</t>
  </si>
  <si>
    <t>Открытый турнир "Традиции Нытвы"
IPL Жим лежа без экипировки
Нытва/Пермский край, 3 апреля 2021 года</t>
  </si>
  <si>
    <t>Открытый турнир "Традиции Нытвы"
СПР Жим лежа в однопетельной софт экипировке
Нытва/Пермский край, 3 апреля 2021 года</t>
  </si>
  <si>
    <t>Открытый турнир "Традиции Нытвы"
СПР Жим лежа в многопетельной софт экипировке
Нытва/Пермский край, 3 апреля 2021 года</t>
  </si>
  <si>
    <t>Открытый турнир "Традиции Нытвы"
IPL Становая тяга без экипировки
Нытва/Пермский край, 3 апреля 2021 года</t>
  </si>
  <si>
    <t>Мастера 40-44 (23.02.1980)/41</t>
  </si>
  <si>
    <t>Мастера 50-54 (30.04.1967)/53</t>
  </si>
  <si>
    <t>Мастера 40-44 (29.04.1977)/43</t>
  </si>
  <si>
    <t>Мастера 50-54 (21.11.1968)/52</t>
  </si>
  <si>
    <t>Мастера 65-69 (30.04.1954)/66</t>
  </si>
  <si>
    <t>Мастера 45-49 (11.02.1976)/45</t>
  </si>
  <si>
    <t>Мастера 60-64 (03.01.1957)/64</t>
  </si>
  <si>
    <t>Мастера 50-54 (12.12.1970)/50</t>
  </si>
  <si>
    <t>Девушки 13-19 (13.11.2005)/15</t>
  </si>
  <si>
    <t>Ярино/Пермский край</t>
  </si>
  <si>
    <t>Весовая категория</t>
  </si>
  <si>
    <t>№</t>
  </si>
  <si>
    <t xml:space="preserve">
Дата рождения/Возраст</t>
  </si>
  <si>
    <t>Возрастная группа</t>
  </si>
  <si>
    <t>T</t>
  </si>
  <si>
    <t>O</t>
  </si>
  <si>
    <t>M5</t>
  </si>
  <si>
    <t>M1</t>
  </si>
  <si>
    <t>M3</t>
  </si>
  <si>
    <t>M6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</si>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</sst>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M76"/>
  <sheetViews>
    <sheetView topLeftCell="A30" workbookViewId="0">
      <selection activeCell="E68" sqref="E68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6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41" t="s">
        <v>312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327</v>
      </c>
      <c r="B3" s="54" t="s">
        <v>0</v>
      </c>
      <c r="C3" s="51" t="s">
        <v>328</v>
      </c>
      <c r="D3" s="51" t="s">
        <v>5</v>
      </c>
      <c r="E3" s="37" t="s">
        <v>329</v>
      </c>
      <c r="F3" s="37" t="s">
        <v>4</v>
      </c>
      <c r="G3" s="37" t="s">
        <v>6</v>
      </c>
      <c r="H3" s="37"/>
      <c r="I3" s="37"/>
      <c r="J3" s="37"/>
      <c r="K3" s="39" t="s">
        <v>223</v>
      </c>
      <c r="L3" s="37" t="s">
        <v>2</v>
      </c>
      <c r="M3" s="52" t="s">
        <v>1</v>
      </c>
    </row>
    <row r="4" spans="1:13" s="1" customFormat="1" ht="21" customHeight="1" thickBot="1">
      <c r="A4" s="50"/>
      <c r="B4" s="55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3</v>
      </c>
      <c r="K4" s="40"/>
      <c r="L4" s="38"/>
      <c r="M4" s="53"/>
    </row>
    <row r="5" spans="1:13" ht="16">
      <c r="A5" s="35" t="s">
        <v>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224</v>
      </c>
      <c r="B6" s="7" t="s">
        <v>8</v>
      </c>
      <c r="C6" s="7" t="s">
        <v>9</v>
      </c>
      <c r="D6" s="7" t="s">
        <v>10</v>
      </c>
      <c r="E6" s="7" t="s">
        <v>331</v>
      </c>
      <c r="F6" s="7" t="s">
        <v>11</v>
      </c>
      <c r="G6" s="20" t="s">
        <v>12</v>
      </c>
      <c r="H6" s="20" t="s">
        <v>13</v>
      </c>
      <c r="I6" s="20" t="s">
        <v>14</v>
      </c>
      <c r="J6" s="8"/>
      <c r="K6" s="29" t="str">
        <f>"60,0"</f>
        <v>60,0</v>
      </c>
      <c r="L6" s="8" t="str">
        <f>"89,6160"</f>
        <v>89,6160</v>
      </c>
      <c r="M6" s="7" t="s">
        <v>15</v>
      </c>
    </row>
    <row r="7" spans="1:13">
      <c r="B7" s="5" t="s">
        <v>225</v>
      </c>
    </row>
    <row r="8" spans="1:13" ht="16">
      <c r="A8" s="33" t="s">
        <v>16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224</v>
      </c>
      <c r="B9" s="7" t="s">
        <v>17</v>
      </c>
      <c r="C9" s="7" t="s">
        <v>18</v>
      </c>
      <c r="D9" s="7" t="s">
        <v>19</v>
      </c>
      <c r="E9" s="7" t="s">
        <v>331</v>
      </c>
      <c r="F9" s="7" t="s">
        <v>11</v>
      </c>
      <c r="G9" s="20" t="s">
        <v>20</v>
      </c>
      <c r="H9" s="20" t="s">
        <v>21</v>
      </c>
      <c r="I9" s="21" t="s">
        <v>22</v>
      </c>
      <c r="J9" s="8"/>
      <c r="K9" s="29" t="str">
        <f>"50,0"</f>
        <v>50,0</v>
      </c>
      <c r="L9" s="8" t="str">
        <f>"59,0800"</f>
        <v>59,0800</v>
      </c>
      <c r="M9" s="7" t="s">
        <v>15</v>
      </c>
    </row>
    <row r="10" spans="1:13">
      <c r="B10" s="5" t="s">
        <v>225</v>
      </c>
    </row>
    <row r="11" spans="1:13" ht="16">
      <c r="A11" s="33" t="s">
        <v>23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10" t="s">
        <v>224</v>
      </c>
      <c r="B12" s="9" t="s">
        <v>24</v>
      </c>
      <c r="C12" s="9" t="s">
        <v>25</v>
      </c>
      <c r="D12" s="9" t="s">
        <v>26</v>
      </c>
      <c r="E12" s="9" t="s">
        <v>330</v>
      </c>
      <c r="F12" s="9" t="s">
        <v>27</v>
      </c>
      <c r="G12" s="22" t="s">
        <v>28</v>
      </c>
      <c r="H12" s="22" t="s">
        <v>29</v>
      </c>
      <c r="I12" s="22" t="s">
        <v>30</v>
      </c>
      <c r="J12" s="10"/>
      <c r="K12" s="30" t="str">
        <f>"87,5"</f>
        <v>87,5</v>
      </c>
      <c r="L12" s="10" t="str">
        <f>"75,5562"</f>
        <v>75,5562</v>
      </c>
      <c r="M12" s="9" t="s">
        <v>31</v>
      </c>
    </row>
    <row r="13" spans="1:13">
      <c r="A13" s="12" t="s">
        <v>226</v>
      </c>
      <c r="B13" s="11" t="s">
        <v>32</v>
      </c>
      <c r="C13" s="11" t="s">
        <v>33</v>
      </c>
      <c r="D13" s="11" t="s">
        <v>34</v>
      </c>
      <c r="E13" s="11" t="s">
        <v>330</v>
      </c>
      <c r="F13" s="11" t="s">
        <v>325</v>
      </c>
      <c r="G13" s="23" t="s">
        <v>28</v>
      </c>
      <c r="H13" s="24" t="s">
        <v>29</v>
      </c>
      <c r="I13" s="24" t="s">
        <v>35</v>
      </c>
      <c r="J13" s="12"/>
      <c r="K13" s="31" t="str">
        <f>"80,0"</f>
        <v>80,0</v>
      </c>
      <c r="L13" s="12" t="str">
        <f>"70,8720"</f>
        <v>70,8720</v>
      </c>
      <c r="M13" s="11" t="s">
        <v>36</v>
      </c>
    </row>
    <row r="14" spans="1:13">
      <c r="A14" s="12" t="s">
        <v>227</v>
      </c>
      <c r="B14" s="11" t="s">
        <v>37</v>
      </c>
      <c r="C14" s="11" t="s">
        <v>38</v>
      </c>
      <c r="D14" s="11" t="s">
        <v>39</v>
      </c>
      <c r="E14" s="11" t="s">
        <v>330</v>
      </c>
      <c r="F14" s="11" t="s">
        <v>40</v>
      </c>
      <c r="G14" s="23" t="s">
        <v>41</v>
      </c>
      <c r="H14" s="23" t="s">
        <v>42</v>
      </c>
      <c r="I14" s="24" t="s">
        <v>43</v>
      </c>
      <c r="J14" s="12"/>
      <c r="K14" s="31" t="str">
        <f>"75,0"</f>
        <v>75,0</v>
      </c>
      <c r="L14" s="12" t="str">
        <f>"64,9650"</f>
        <v>64,9650</v>
      </c>
      <c r="M14" s="11" t="s">
        <v>44</v>
      </c>
    </row>
    <row r="15" spans="1:13">
      <c r="A15" s="14" t="s">
        <v>224</v>
      </c>
      <c r="B15" s="13" t="s">
        <v>45</v>
      </c>
      <c r="C15" s="13" t="s">
        <v>46</v>
      </c>
      <c r="D15" s="13" t="s">
        <v>47</v>
      </c>
      <c r="E15" s="13" t="s">
        <v>331</v>
      </c>
      <c r="F15" s="13" t="s">
        <v>40</v>
      </c>
      <c r="G15" s="25" t="s">
        <v>48</v>
      </c>
      <c r="H15" s="25" t="s">
        <v>49</v>
      </c>
      <c r="I15" s="25" t="s">
        <v>50</v>
      </c>
      <c r="J15" s="14"/>
      <c r="K15" s="32" t="str">
        <f>"105,0"</f>
        <v>105,0</v>
      </c>
      <c r="L15" s="14" t="str">
        <f>"90,1005"</f>
        <v>90,1005</v>
      </c>
      <c r="M15" s="13" t="s">
        <v>44</v>
      </c>
    </row>
    <row r="16" spans="1:13">
      <c r="B16" s="5" t="s">
        <v>225</v>
      </c>
    </row>
    <row r="17" spans="1:13" ht="16">
      <c r="A17" s="33" t="s">
        <v>51</v>
      </c>
      <c r="B17" s="33"/>
      <c r="C17" s="34"/>
      <c r="D17" s="34"/>
      <c r="E17" s="34"/>
      <c r="F17" s="34"/>
      <c r="G17" s="34"/>
      <c r="H17" s="34"/>
      <c r="I17" s="34"/>
      <c r="J17" s="34"/>
    </row>
    <row r="18" spans="1:13">
      <c r="A18" s="10" t="s">
        <v>224</v>
      </c>
      <c r="B18" s="9" t="s">
        <v>52</v>
      </c>
      <c r="C18" s="9" t="s">
        <v>53</v>
      </c>
      <c r="D18" s="9" t="s">
        <v>54</v>
      </c>
      <c r="E18" s="9" t="s">
        <v>330</v>
      </c>
      <c r="F18" s="9" t="s">
        <v>11</v>
      </c>
      <c r="G18" s="26" t="s">
        <v>49</v>
      </c>
      <c r="H18" s="22" t="s">
        <v>49</v>
      </c>
      <c r="I18" s="22" t="s">
        <v>50</v>
      </c>
      <c r="J18" s="10"/>
      <c r="K18" s="30" t="str">
        <f>"105,0"</f>
        <v>105,0</v>
      </c>
      <c r="L18" s="10" t="str">
        <f>"81,9420"</f>
        <v>81,9420</v>
      </c>
      <c r="M18" s="9" t="s">
        <v>55</v>
      </c>
    </row>
    <row r="19" spans="1:13">
      <c r="A19" s="12" t="s">
        <v>226</v>
      </c>
      <c r="B19" s="11" t="s">
        <v>56</v>
      </c>
      <c r="C19" s="11" t="s">
        <v>57</v>
      </c>
      <c r="D19" s="11" t="s">
        <v>58</v>
      </c>
      <c r="E19" s="11" t="s">
        <v>330</v>
      </c>
      <c r="F19" s="11" t="s">
        <v>325</v>
      </c>
      <c r="G19" s="23" t="s">
        <v>48</v>
      </c>
      <c r="H19" s="24" t="s">
        <v>49</v>
      </c>
      <c r="I19" s="24" t="s">
        <v>59</v>
      </c>
      <c r="J19" s="12"/>
      <c r="K19" s="31" t="str">
        <f>"95,0"</f>
        <v>95,0</v>
      </c>
      <c r="L19" s="12" t="str">
        <f>"74,4990"</f>
        <v>74,4990</v>
      </c>
      <c r="M19" s="11" t="s">
        <v>36</v>
      </c>
    </row>
    <row r="20" spans="1:13">
      <c r="A20" s="12" t="s">
        <v>227</v>
      </c>
      <c r="B20" s="11" t="s">
        <v>60</v>
      </c>
      <c r="C20" s="11" t="s">
        <v>61</v>
      </c>
      <c r="D20" s="11" t="s">
        <v>62</v>
      </c>
      <c r="E20" s="11" t="s">
        <v>330</v>
      </c>
      <c r="F20" s="11" t="s">
        <v>40</v>
      </c>
      <c r="G20" s="24" t="s">
        <v>28</v>
      </c>
      <c r="H20" s="23" t="s">
        <v>28</v>
      </c>
      <c r="I20" s="23" t="s">
        <v>30</v>
      </c>
      <c r="J20" s="12"/>
      <c r="K20" s="31" t="str">
        <f>"87,5"</f>
        <v>87,5</v>
      </c>
      <c r="L20" s="12" t="str">
        <f>"73,6312"</f>
        <v>73,6312</v>
      </c>
      <c r="M20" s="11" t="s">
        <v>63</v>
      </c>
    </row>
    <row r="21" spans="1:13">
      <c r="A21" s="12" t="s">
        <v>224</v>
      </c>
      <c r="B21" s="11" t="s">
        <v>64</v>
      </c>
      <c r="C21" s="11" t="s">
        <v>316</v>
      </c>
      <c r="D21" s="11" t="s">
        <v>58</v>
      </c>
      <c r="E21" s="11" t="s">
        <v>333</v>
      </c>
      <c r="F21" s="11" t="s">
        <v>11</v>
      </c>
      <c r="G21" s="24" t="s">
        <v>65</v>
      </c>
      <c r="H21" s="23" t="s">
        <v>65</v>
      </c>
      <c r="I21" s="23" t="s">
        <v>66</v>
      </c>
      <c r="J21" s="12"/>
      <c r="K21" s="31" t="str">
        <f>"115,0"</f>
        <v>115,0</v>
      </c>
      <c r="L21" s="12" t="str">
        <f>"90,6339"</f>
        <v>90,6339</v>
      </c>
      <c r="M21" s="11" t="s">
        <v>67</v>
      </c>
    </row>
    <row r="22" spans="1:13">
      <c r="A22" s="14" t="s">
        <v>224</v>
      </c>
      <c r="B22" s="13" t="s">
        <v>68</v>
      </c>
      <c r="C22" s="13" t="s">
        <v>317</v>
      </c>
      <c r="D22" s="13" t="s">
        <v>69</v>
      </c>
      <c r="E22" s="13" t="s">
        <v>334</v>
      </c>
      <c r="F22" s="13" t="s">
        <v>11</v>
      </c>
      <c r="G22" s="25" t="s">
        <v>49</v>
      </c>
      <c r="H22" s="25" t="s">
        <v>70</v>
      </c>
      <c r="I22" s="25" t="s">
        <v>65</v>
      </c>
      <c r="J22" s="14"/>
      <c r="K22" s="32" t="str">
        <f>"110,0"</f>
        <v>110,0</v>
      </c>
      <c r="L22" s="14" t="str">
        <f>"105,5787"</f>
        <v>105,5787</v>
      </c>
      <c r="M22" s="13" t="s">
        <v>71</v>
      </c>
    </row>
    <row r="23" spans="1:13">
      <c r="B23" s="5" t="s">
        <v>225</v>
      </c>
    </row>
    <row r="24" spans="1:13" ht="16">
      <c r="A24" s="33" t="s">
        <v>72</v>
      </c>
      <c r="B24" s="33"/>
      <c r="C24" s="34"/>
      <c r="D24" s="34"/>
      <c r="E24" s="34"/>
      <c r="F24" s="34"/>
      <c r="G24" s="34"/>
      <c r="H24" s="34"/>
      <c r="I24" s="34"/>
      <c r="J24" s="34"/>
    </row>
    <row r="25" spans="1:13">
      <c r="A25" s="10" t="s">
        <v>224</v>
      </c>
      <c r="B25" s="9" t="s">
        <v>73</v>
      </c>
      <c r="C25" s="9" t="s">
        <v>74</v>
      </c>
      <c r="D25" s="9" t="s">
        <v>75</v>
      </c>
      <c r="E25" s="9" t="s">
        <v>330</v>
      </c>
      <c r="F25" s="9" t="s">
        <v>11</v>
      </c>
      <c r="G25" s="22" t="s">
        <v>29</v>
      </c>
      <c r="H25" s="26" t="s">
        <v>76</v>
      </c>
      <c r="I25" s="26" t="s">
        <v>76</v>
      </c>
      <c r="J25" s="10"/>
      <c r="K25" s="30" t="str">
        <f>"85,0"</f>
        <v>85,0</v>
      </c>
      <c r="L25" s="10" t="str">
        <f>"62,6875"</f>
        <v>62,6875</v>
      </c>
      <c r="M25" s="9" t="s">
        <v>77</v>
      </c>
    </row>
    <row r="26" spans="1:13">
      <c r="A26" s="12" t="s">
        <v>226</v>
      </c>
      <c r="B26" s="11" t="s">
        <v>78</v>
      </c>
      <c r="C26" s="11" t="s">
        <v>79</v>
      </c>
      <c r="D26" s="11" t="s">
        <v>80</v>
      </c>
      <c r="E26" s="11" t="s">
        <v>330</v>
      </c>
      <c r="F26" s="11" t="s">
        <v>325</v>
      </c>
      <c r="G26" s="23" t="s">
        <v>41</v>
      </c>
      <c r="H26" s="24" t="s">
        <v>42</v>
      </c>
      <c r="I26" s="23" t="s">
        <v>28</v>
      </c>
      <c r="J26" s="12"/>
      <c r="K26" s="31" t="str">
        <f>"80,0"</f>
        <v>80,0</v>
      </c>
      <c r="L26" s="12" t="str">
        <f>"60,0160"</f>
        <v>60,0160</v>
      </c>
      <c r="M26" s="11" t="s">
        <v>36</v>
      </c>
    </row>
    <row r="27" spans="1:13">
      <c r="A27" s="12" t="s">
        <v>224</v>
      </c>
      <c r="B27" s="11" t="s">
        <v>81</v>
      </c>
      <c r="C27" s="11" t="s">
        <v>82</v>
      </c>
      <c r="D27" s="11" t="s">
        <v>83</v>
      </c>
      <c r="E27" s="11" t="s">
        <v>331</v>
      </c>
      <c r="F27" s="11" t="s">
        <v>11</v>
      </c>
      <c r="G27" s="24" t="s">
        <v>84</v>
      </c>
      <c r="H27" s="23" t="s">
        <v>84</v>
      </c>
      <c r="I27" s="24" t="s">
        <v>85</v>
      </c>
      <c r="J27" s="12"/>
      <c r="K27" s="31" t="str">
        <f>"132,5"</f>
        <v>132,5</v>
      </c>
      <c r="L27" s="12" t="str">
        <f>"96,0493"</f>
        <v>96,0493</v>
      </c>
      <c r="M27" s="11" t="s">
        <v>44</v>
      </c>
    </row>
    <row r="28" spans="1:13">
      <c r="A28" s="14" t="s">
        <v>226</v>
      </c>
      <c r="B28" s="13" t="s">
        <v>45</v>
      </c>
      <c r="C28" s="13" t="s">
        <v>86</v>
      </c>
      <c r="D28" s="13" t="s">
        <v>83</v>
      </c>
      <c r="E28" s="13" t="s">
        <v>331</v>
      </c>
      <c r="F28" s="13" t="s">
        <v>27</v>
      </c>
      <c r="G28" s="25" t="s">
        <v>87</v>
      </c>
      <c r="H28" s="25" t="s">
        <v>88</v>
      </c>
      <c r="I28" s="25" t="s">
        <v>89</v>
      </c>
      <c r="J28" s="14"/>
      <c r="K28" s="32" t="str">
        <f>"130,0"</f>
        <v>130,0</v>
      </c>
      <c r="L28" s="14" t="str">
        <f>"94,2370"</f>
        <v>94,2370</v>
      </c>
      <c r="M28" s="13"/>
    </row>
    <row r="29" spans="1:13">
      <c r="B29" s="5" t="s">
        <v>225</v>
      </c>
    </row>
    <row r="30" spans="1:13" ht="16">
      <c r="A30" s="33" t="s">
        <v>90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3">
      <c r="A31" s="10" t="s">
        <v>228</v>
      </c>
      <c r="B31" s="9" t="s">
        <v>91</v>
      </c>
      <c r="C31" s="9" t="s">
        <v>92</v>
      </c>
      <c r="D31" s="9" t="s">
        <v>93</v>
      </c>
      <c r="E31" s="9" t="s">
        <v>330</v>
      </c>
      <c r="F31" s="9" t="s">
        <v>27</v>
      </c>
      <c r="G31" s="26" t="s">
        <v>49</v>
      </c>
      <c r="H31" s="26" t="s">
        <v>49</v>
      </c>
      <c r="I31" s="26" t="s">
        <v>49</v>
      </c>
      <c r="J31" s="10"/>
      <c r="K31" s="30">
        <v>0</v>
      </c>
      <c r="L31" s="10" t="str">
        <f>"0,0000"</f>
        <v>0,0000</v>
      </c>
      <c r="M31" s="9" t="s">
        <v>31</v>
      </c>
    </row>
    <row r="32" spans="1:13">
      <c r="A32" s="12" t="s">
        <v>224</v>
      </c>
      <c r="B32" s="11" t="s">
        <v>94</v>
      </c>
      <c r="C32" s="11" t="s">
        <v>95</v>
      </c>
      <c r="D32" s="11" t="s">
        <v>96</v>
      </c>
      <c r="E32" s="11" t="s">
        <v>331</v>
      </c>
      <c r="F32" s="11" t="s">
        <v>97</v>
      </c>
      <c r="G32" s="23" t="s">
        <v>98</v>
      </c>
      <c r="H32" s="23" t="s">
        <v>99</v>
      </c>
      <c r="I32" s="23" t="s">
        <v>100</v>
      </c>
      <c r="J32" s="12"/>
      <c r="K32" s="31" t="str">
        <f>"200,0"</f>
        <v>200,0</v>
      </c>
      <c r="L32" s="12" t="str">
        <f>"138,4400"</f>
        <v>138,4400</v>
      </c>
      <c r="M32" s="11"/>
    </row>
    <row r="33" spans="1:13">
      <c r="A33" s="12" t="s">
        <v>226</v>
      </c>
      <c r="B33" s="11" t="s">
        <v>101</v>
      </c>
      <c r="C33" s="11" t="s">
        <v>102</v>
      </c>
      <c r="D33" s="11" t="s">
        <v>103</v>
      </c>
      <c r="E33" s="11" t="s">
        <v>331</v>
      </c>
      <c r="F33" s="11" t="s">
        <v>40</v>
      </c>
      <c r="G33" s="23" t="s">
        <v>104</v>
      </c>
      <c r="H33" s="23" t="s">
        <v>105</v>
      </c>
      <c r="I33" s="23" t="s">
        <v>106</v>
      </c>
      <c r="J33" s="12"/>
      <c r="K33" s="31" t="str">
        <f>"157,5"</f>
        <v>157,5</v>
      </c>
      <c r="L33" s="12" t="str">
        <f>"111,1163"</f>
        <v>111,1163</v>
      </c>
      <c r="M33" s="11" t="s">
        <v>44</v>
      </c>
    </row>
    <row r="34" spans="1:13">
      <c r="A34" s="12" t="s">
        <v>227</v>
      </c>
      <c r="B34" s="11" t="s">
        <v>107</v>
      </c>
      <c r="C34" s="11" t="s">
        <v>108</v>
      </c>
      <c r="D34" s="11" t="s">
        <v>109</v>
      </c>
      <c r="E34" s="11" t="s">
        <v>331</v>
      </c>
      <c r="F34" s="11" t="s">
        <v>11</v>
      </c>
      <c r="G34" s="23" t="s">
        <v>110</v>
      </c>
      <c r="H34" s="24" t="s">
        <v>111</v>
      </c>
      <c r="I34" s="23" t="s">
        <v>105</v>
      </c>
      <c r="J34" s="12"/>
      <c r="K34" s="31" t="str">
        <f>"150,0"</f>
        <v>150,0</v>
      </c>
      <c r="L34" s="12" t="str">
        <f>"101,2350"</f>
        <v>101,2350</v>
      </c>
      <c r="M34" s="11"/>
    </row>
    <row r="35" spans="1:13">
      <c r="A35" s="12" t="s">
        <v>229</v>
      </c>
      <c r="B35" s="11" t="s">
        <v>112</v>
      </c>
      <c r="C35" s="11" t="s">
        <v>113</v>
      </c>
      <c r="D35" s="11" t="s">
        <v>114</v>
      </c>
      <c r="E35" s="11" t="s">
        <v>331</v>
      </c>
      <c r="F35" s="11" t="s">
        <v>97</v>
      </c>
      <c r="G35" s="24" t="s">
        <v>85</v>
      </c>
      <c r="H35" s="23" t="s">
        <v>85</v>
      </c>
      <c r="I35" s="24" t="s">
        <v>110</v>
      </c>
      <c r="J35" s="12"/>
      <c r="K35" s="31" t="str">
        <f>"137,5"</f>
        <v>137,5</v>
      </c>
      <c r="L35" s="12" t="str">
        <f>"93,3625"</f>
        <v>93,3625</v>
      </c>
      <c r="M35" s="11" t="s">
        <v>115</v>
      </c>
    </row>
    <row r="36" spans="1:13">
      <c r="A36" s="14" t="s">
        <v>230</v>
      </c>
      <c r="B36" s="13" t="s">
        <v>116</v>
      </c>
      <c r="C36" s="13" t="s">
        <v>117</v>
      </c>
      <c r="D36" s="13" t="s">
        <v>118</v>
      </c>
      <c r="E36" s="13" t="s">
        <v>331</v>
      </c>
      <c r="F36" s="13" t="s">
        <v>119</v>
      </c>
      <c r="G36" s="25" t="s">
        <v>120</v>
      </c>
      <c r="H36" s="25" t="s">
        <v>85</v>
      </c>
      <c r="I36" s="27" t="s">
        <v>121</v>
      </c>
      <c r="J36" s="14"/>
      <c r="K36" s="32" t="str">
        <f>"137,5"</f>
        <v>137,5</v>
      </c>
      <c r="L36" s="14" t="str">
        <f>"93,2937"</f>
        <v>93,2937</v>
      </c>
      <c r="M36" s="13"/>
    </row>
    <row r="37" spans="1:13">
      <c r="B37" s="5" t="s">
        <v>225</v>
      </c>
    </row>
    <row r="38" spans="1:13" ht="16">
      <c r="A38" s="33" t="s">
        <v>122</v>
      </c>
      <c r="B38" s="33"/>
      <c r="C38" s="34"/>
      <c r="D38" s="34"/>
      <c r="E38" s="34"/>
      <c r="F38" s="34"/>
      <c r="G38" s="34"/>
      <c r="H38" s="34"/>
      <c r="I38" s="34"/>
      <c r="J38" s="34"/>
    </row>
    <row r="39" spans="1:13">
      <c r="A39" s="10" t="s">
        <v>224</v>
      </c>
      <c r="B39" s="9" t="s">
        <v>123</v>
      </c>
      <c r="C39" s="9" t="s">
        <v>124</v>
      </c>
      <c r="D39" s="9" t="s">
        <v>125</v>
      </c>
      <c r="E39" s="9" t="s">
        <v>330</v>
      </c>
      <c r="F39" s="9" t="s">
        <v>40</v>
      </c>
      <c r="G39" s="22" t="s">
        <v>50</v>
      </c>
      <c r="H39" s="22" t="s">
        <v>70</v>
      </c>
      <c r="I39" s="22" t="s">
        <v>65</v>
      </c>
      <c r="J39" s="10"/>
      <c r="K39" s="30" t="str">
        <f>"110,0"</f>
        <v>110,0</v>
      </c>
      <c r="L39" s="10" t="str">
        <f>"72,8090"</f>
        <v>72,8090</v>
      </c>
      <c r="M39" s="9" t="s">
        <v>44</v>
      </c>
    </row>
    <row r="40" spans="1:13">
      <c r="A40" s="12" t="s">
        <v>224</v>
      </c>
      <c r="B40" s="11" t="s">
        <v>126</v>
      </c>
      <c r="C40" s="11" t="s">
        <v>127</v>
      </c>
      <c r="D40" s="11" t="s">
        <v>128</v>
      </c>
      <c r="E40" s="11" t="s">
        <v>331</v>
      </c>
      <c r="F40" s="11" t="s">
        <v>11</v>
      </c>
      <c r="G40" s="23" t="s">
        <v>129</v>
      </c>
      <c r="H40" s="23" t="s">
        <v>130</v>
      </c>
      <c r="I40" s="24" t="s">
        <v>131</v>
      </c>
      <c r="J40" s="12"/>
      <c r="K40" s="31" t="str">
        <f>"187,5"</f>
        <v>187,5</v>
      </c>
      <c r="L40" s="12" t="str">
        <f>"119,7000"</f>
        <v>119,7000</v>
      </c>
      <c r="M40" s="11"/>
    </row>
    <row r="41" spans="1:13">
      <c r="A41" s="12" t="s">
        <v>226</v>
      </c>
      <c r="B41" s="11" t="s">
        <v>132</v>
      </c>
      <c r="C41" s="11" t="s">
        <v>133</v>
      </c>
      <c r="D41" s="11" t="s">
        <v>134</v>
      </c>
      <c r="E41" s="11" t="s">
        <v>331</v>
      </c>
      <c r="F41" s="11" t="s">
        <v>11</v>
      </c>
      <c r="G41" s="23" t="s">
        <v>135</v>
      </c>
      <c r="H41" s="23" t="s">
        <v>136</v>
      </c>
      <c r="I41" s="24" t="s">
        <v>137</v>
      </c>
      <c r="J41" s="12"/>
      <c r="K41" s="31" t="str">
        <f>"175,0"</f>
        <v>175,0</v>
      </c>
      <c r="L41" s="12" t="str">
        <f>"113,7325"</f>
        <v>113,7325</v>
      </c>
      <c r="M41" s="11"/>
    </row>
    <row r="42" spans="1:13">
      <c r="A42" s="12" t="s">
        <v>227</v>
      </c>
      <c r="B42" s="11" t="s">
        <v>138</v>
      </c>
      <c r="C42" s="11" t="s">
        <v>139</v>
      </c>
      <c r="D42" s="11" t="s">
        <v>140</v>
      </c>
      <c r="E42" s="11" t="s">
        <v>331</v>
      </c>
      <c r="F42" s="11" t="s">
        <v>11</v>
      </c>
      <c r="G42" s="23" t="s">
        <v>89</v>
      </c>
      <c r="H42" s="23" t="s">
        <v>85</v>
      </c>
      <c r="I42" s="23" t="s">
        <v>104</v>
      </c>
      <c r="J42" s="12"/>
      <c r="K42" s="31" t="str">
        <f>"140,0"</f>
        <v>140,0</v>
      </c>
      <c r="L42" s="12" t="str">
        <f>"92,5400"</f>
        <v>92,5400</v>
      </c>
      <c r="M42" s="11"/>
    </row>
    <row r="43" spans="1:13">
      <c r="A43" s="12" t="s">
        <v>229</v>
      </c>
      <c r="B43" s="11" t="s">
        <v>141</v>
      </c>
      <c r="C43" s="11" t="s">
        <v>142</v>
      </c>
      <c r="D43" s="11" t="s">
        <v>143</v>
      </c>
      <c r="E43" s="11" t="s">
        <v>331</v>
      </c>
      <c r="F43" s="11" t="s">
        <v>11</v>
      </c>
      <c r="G43" s="23" t="s">
        <v>35</v>
      </c>
      <c r="H43" s="24" t="s">
        <v>49</v>
      </c>
      <c r="I43" s="24" t="s">
        <v>49</v>
      </c>
      <c r="J43" s="12"/>
      <c r="K43" s="31" t="str">
        <f>"90,0"</f>
        <v>90,0</v>
      </c>
      <c r="L43" s="12" t="str">
        <f>"58,5270"</f>
        <v>58,5270</v>
      </c>
      <c r="M43" s="11" t="s">
        <v>67</v>
      </c>
    </row>
    <row r="44" spans="1:13">
      <c r="A44" s="12" t="s">
        <v>224</v>
      </c>
      <c r="B44" s="11" t="s">
        <v>126</v>
      </c>
      <c r="C44" s="11" t="s">
        <v>318</v>
      </c>
      <c r="D44" s="11" t="s">
        <v>128</v>
      </c>
      <c r="E44" s="11" t="s">
        <v>333</v>
      </c>
      <c r="F44" s="11" t="s">
        <v>11</v>
      </c>
      <c r="G44" s="23" t="s">
        <v>129</v>
      </c>
      <c r="H44" s="23" t="s">
        <v>130</v>
      </c>
      <c r="I44" s="24" t="s">
        <v>131</v>
      </c>
      <c r="J44" s="12"/>
      <c r="K44" s="31" t="str">
        <f>"187,5"</f>
        <v>187,5</v>
      </c>
      <c r="L44" s="12" t="str">
        <f>"123,0516"</f>
        <v>123,0516</v>
      </c>
      <c r="M44" s="11"/>
    </row>
    <row r="45" spans="1:13">
      <c r="A45" s="12" t="s">
        <v>224</v>
      </c>
      <c r="B45" s="11" t="s">
        <v>144</v>
      </c>
      <c r="C45" s="11" t="s">
        <v>319</v>
      </c>
      <c r="D45" s="11" t="s">
        <v>145</v>
      </c>
      <c r="E45" s="11" t="s">
        <v>334</v>
      </c>
      <c r="F45" s="11" t="s">
        <v>146</v>
      </c>
      <c r="G45" s="23" t="s">
        <v>65</v>
      </c>
      <c r="H45" s="23" t="s">
        <v>87</v>
      </c>
      <c r="I45" s="23" t="s">
        <v>89</v>
      </c>
      <c r="J45" s="12"/>
      <c r="K45" s="31" t="str">
        <f>"130,0"</f>
        <v>130,0</v>
      </c>
      <c r="L45" s="12" t="str">
        <f>"99,4374"</f>
        <v>99,4374</v>
      </c>
      <c r="M45" s="11" t="s">
        <v>147</v>
      </c>
    </row>
    <row r="46" spans="1:13">
      <c r="A46" s="14" t="s">
        <v>224</v>
      </c>
      <c r="B46" s="13" t="s">
        <v>148</v>
      </c>
      <c r="C46" s="13" t="s">
        <v>320</v>
      </c>
      <c r="D46" s="13" t="s">
        <v>149</v>
      </c>
      <c r="E46" s="13" t="s">
        <v>335</v>
      </c>
      <c r="F46" s="13" t="s">
        <v>11</v>
      </c>
      <c r="G46" s="25" t="s">
        <v>150</v>
      </c>
      <c r="H46" s="25" t="s">
        <v>151</v>
      </c>
      <c r="I46" s="27" t="s">
        <v>87</v>
      </c>
      <c r="J46" s="14"/>
      <c r="K46" s="32" t="str">
        <f>"117,5"</f>
        <v>117,5</v>
      </c>
      <c r="L46" s="14" t="str">
        <f>"121,3106"</f>
        <v>121,3106</v>
      </c>
      <c r="M46" s="13"/>
    </row>
    <row r="47" spans="1:13">
      <c r="B47" s="5" t="s">
        <v>225</v>
      </c>
    </row>
    <row r="48" spans="1:13" ht="16">
      <c r="A48" s="33" t="s">
        <v>152</v>
      </c>
      <c r="B48" s="33"/>
      <c r="C48" s="34"/>
      <c r="D48" s="34"/>
      <c r="E48" s="34"/>
      <c r="F48" s="34"/>
      <c r="G48" s="34"/>
      <c r="H48" s="34"/>
      <c r="I48" s="34"/>
      <c r="J48" s="34"/>
    </row>
    <row r="49" spans="1:13">
      <c r="A49" s="10" t="s">
        <v>224</v>
      </c>
      <c r="B49" s="9" t="s">
        <v>153</v>
      </c>
      <c r="C49" s="9" t="s">
        <v>154</v>
      </c>
      <c r="D49" s="9" t="s">
        <v>155</v>
      </c>
      <c r="E49" s="9" t="s">
        <v>330</v>
      </c>
      <c r="F49" s="9" t="s">
        <v>27</v>
      </c>
      <c r="G49" s="22" t="s">
        <v>89</v>
      </c>
      <c r="H49" s="22" t="s">
        <v>120</v>
      </c>
      <c r="I49" s="26" t="s">
        <v>104</v>
      </c>
      <c r="J49" s="10"/>
      <c r="K49" s="30" t="str">
        <f>"135,0"</f>
        <v>135,0</v>
      </c>
      <c r="L49" s="10" t="str">
        <f>"83,3895"</f>
        <v>83,3895</v>
      </c>
      <c r="M49" s="9" t="s">
        <v>31</v>
      </c>
    </row>
    <row r="50" spans="1:13">
      <c r="A50" s="12" t="s">
        <v>224</v>
      </c>
      <c r="B50" s="11" t="s">
        <v>156</v>
      </c>
      <c r="C50" s="11" t="s">
        <v>157</v>
      </c>
      <c r="D50" s="11" t="s">
        <v>158</v>
      </c>
      <c r="E50" s="11" t="s">
        <v>331</v>
      </c>
      <c r="F50" s="11" t="s">
        <v>11</v>
      </c>
      <c r="G50" s="23" t="s">
        <v>159</v>
      </c>
      <c r="H50" s="23" t="s">
        <v>160</v>
      </c>
      <c r="I50" s="23" t="s">
        <v>161</v>
      </c>
      <c r="J50" s="12"/>
      <c r="K50" s="31" t="str">
        <f>"222,5"</f>
        <v>222,5</v>
      </c>
      <c r="L50" s="12" t="str">
        <f>"137,0155"</f>
        <v>137,0155</v>
      </c>
      <c r="M50" s="11"/>
    </row>
    <row r="51" spans="1:13">
      <c r="A51" s="12" t="s">
        <v>226</v>
      </c>
      <c r="B51" s="11" t="s">
        <v>162</v>
      </c>
      <c r="C51" s="11" t="s">
        <v>163</v>
      </c>
      <c r="D51" s="11" t="s">
        <v>164</v>
      </c>
      <c r="E51" s="11" t="s">
        <v>331</v>
      </c>
      <c r="F51" s="11" t="s">
        <v>11</v>
      </c>
      <c r="G51" s="23" t="s">
        <v>165</v>
      </c>
      <c r="H51" s="23" t="s">
        <v>166</v>
      </c>
      <c r="I51" s="24" t="s">
        <v>161</v>
      </c>
      <c r="J51" s="12"/>
      <c r="K51" s="31" t="str">
        <f>"215,0"</f>
        <v>215,0</v>
      </c>
      <c r="L51" s="12" t="str">
        <f>"133,2355"</f>
        <v>133,2355</v>
      </c>
      <c r="M51" s="11" t="s">
        <v>167</v>
      </c>
    </row>
    <row r="52" spans="1:13">
      <c r="A52" s="12" t="s">
        <v>227</v>
      </c>
      <c r="B52" s="11" t="s">
        <v>168</v>
      </c>
      <c r="C52" s="11" t="s">
        <v>169</v>
      </c>
      <c r="D52" s="11" t="s">
        <v>170</v>
      </c>
      <c r="E52" s="11" t="s">
        <v>331</v>
      </c>
      <c r="F52" s="11" t="s">
        <v>97</v>
      </c>
      <c r="G52" s="23" t="s">
        <v>171</v>
      </c>
      <c r="H52" s="23" t="s">
        <v>131</v>
      </c>
      <c r="I52" s="23" t="s">
        <v>172</v>
      </c>
      <c r="J52" s="12"/>
      <c r="K52" s="31" t="str">
        <f>"202,5"</f>
        <v>202,5</v>
      </c>
      <c r="L52" s="12" t="str">
        <f>"124,5780"</f>
        <v>124,5780</v>
      </c>
      <c r="M52" s="11"/>
    </row>
    <row r="53" spans="1:13">
      <c r="A53" s="12" t="s">
        <v>229</v>
      </c>
      <c r="B53" s="11" t="s">
        <v>173</v>
      </c>
      <c r="C53" s="11" t="s">
        <v>174</v>
      </c>
      <c r="D53" s="11" t="s">
        <v>164</v>
      </c>
      <c r="E53" s="11" t="s">
        <v>331</v>
      </c>
      <c r="F53" s="11" t="s">
        <v>11</v>
      </c>
      <c r="G53" s="23" t="s">
        <v>175</v>
      </c>
      <c r="H53" s="23" t="s">
        <v>135</v>
      </c>
      <c r="I53" s="23" t="s">
        <v>136</v>
      </c>
      <c r="J53" s="12"/>
      <c r="K53" s="31" t="str">
        <f>"175,0"</f>
        <v>175,0</v>
      </c>
      <c r="L53" s="12" t="str">
        <f>"108,4475"</f>
        <v>108,4475</v>
      </c>
      <c r="M53" s="11" t="s">
        <v>176</v>
      </c>
    </row>
    <row r="54" spans="1:13">
      <c r="A54" s="12" t="s">
        <v>230</v>
      </c>
      <c r="B54" s="11" t="s">
        <v>177</v>
      </c>
      <c r="C54" s="11" t="s">
        <v>178</v>
      </c>
      <c r="D54" s="11" t="s">
        <v>179</v>
      </c>
      <c r="E54" s="11" t="s">
        <v>331</v>
      </c>
      <c r="F54" s="11" t="s">
        <v>325</v>
      </c>
      <c r="G54" s="23" t="s">
        <v>180</v>
      </c>
      <c r="H54" s="24" t="s">
        <v>135</v>
      </c>
      <c r="I54" s="23" t="s">
        <v>181</v>
      </c>
      <c r="J54" s="12"/>
      <c r="K54" s="31" t="str">
        <f>"172,5"</f>
        <v>172,5</v>
      </c>
      <c r="L54" s="12" t="str">
        <f>"107,2950"</f>
        <v>107,2950</v>
      </c>
      <c r="M54" s="11"/>
    </row>
    <row r="55" spans="1:13">
      <c r="A55" s="12" t="s">
        <v>231</v>
      </c>
      <c r="B55" s="11" t="s">
        <v>182</v>
      </c>
      <c r="C55" s="11" t="s">
        <v>183</v>
      </c>
      <c r="D55" s="11" t="s">
        <v>184</v>
      </c>
      <c r="E55" s="11" t="s">
        <v>331</v>
      </c>
      <c r="F55" s="11" t="s">
        <v>40</v>
      </c>
      <c r="G55" s="23" t="s">
        <v>180</v>
      </c>
      <c r="H55" s="23" t="s">
        <v>185</v>
      </c>
      <c r="I55" s="24" t="s">
        <v>135</v>
      </c>
      <c r="J55" s="12"/>
      <c r="K55" s="31" t="str">
        <f>"165,0"</f>
        <v>165,0</v>
      </c>
      <c r="L55" s="12" t="str">
        <f>"102,8775"</f>
        <v>102,8775</v>
      </c>
      <c r="M55" s="11"/>
    </row>
    <row r="56" spans="1:13">
      <c r="A56" s="12" t="s">
        <v>232</v>
      </c>
      <c r="B56" s="11" t="s">
        <v>186</v>
      </c>
      <c r="C56" s="11" t="s">
        <v>187</v>
      </c>
      <c r="D56" s="11" t="s">
        <v>188</v>
      </c>
      <c r="E56" s="11" t="s">
        <v>331</v>
      </c>
      <c r="F56" s="11" t="s">
        <v>11</v>
      </c>
      <c r="G56" s="23" t="s">
        <v>189</v>
      </c>
      <c r="H56" s="23" t="s">
        <v>175</v>
      </c>
      <c r="I56" s="24" t="s">
        <v>135</v>
      </c>
      <c r="J56" s="12"/>
      <c r="K56" s="31" t="str">
        <f>"162,5"</f>
        <v>162,5</v>
      </c>
      <c r="L56" s="12" t="str">
        <f>"101,5625"</f>
        <v>101,5625</v>
      </c>
      <c r="M56" s="11" t="s">
        <v>190</v>
      </c>
    </row>
    <row r="57" spans="1:13">
      <c r="A57" s="12" t="s">
        <v>233</v>
      </c>
      <c r="B57" s="11" t="s">
        <v>191</v>
      </c>
      <c r="C57" s="11" t="s">
        <v>192</v>
      </c>
      <c r="D57" s="11" t="s">
        <v>193</v>
      </c>
      <c r="E57" s="11" t="s">
        <v>331</v>
      </c>
      <c r="F57" s="11" t="s">
        <v>11</v>
      </c>
      <c r="G57" s="23" t="s">
        <v>121</v>
      </c>
      <c r="H57" s="23" t="s">
        <v>189</v>
      </c>
      <c r="I57" s="23" t="s">
        <v>180</v>
      </c>
      <c r="J57" s="12"/>
      <c r="K57" s="31" t="str">
        <f>"160,0"</f>
        <v>160,0</v>
      </c>
      <c r="L57" s="12" t="str">
        <f>"97,6960"</f>
        <v>97,6960</v>
      </c>
      <c r="M57" s="11" t="s">
        <v>194</v>
      </c>
    </row>
    <row r="58" spans="1:13">
      <c r="A58" s="12" t="s">
        <v>234</v>
      </c>
      <c r="B58" s="11" t="s">
        <v>195</v>
      </c>
      <c r="C58" s="11" t="s">
        <v>196</v>
      </c>
      <c r="D58" s="11" t="s">
        <v>197</v>
      </c>
      <c r="E58" s="11" t="s">
        <v>331</v>
      </c>
      <c r="F58" s="11" t="s">
        <v>40</v>
      </c>
      <c r="G58" s="23" t="s">
        <v>121</v>
      </c>
      <c r="H58" s="23" t="s">
        <v>105</v>
      </c>
      <c r="I58" s="23" t="s">
        <v>198</v>
      </c>
      <c r="J58" s="12"/>
      <c r="K58" s="31" t="str">
        <f>"152,5"</f>
        <v>152,5</v>
      </c>
      <c r="L58" s="12" t="str">
        <f>"93,4977"</f>
        <v>93,4977</v>
      </c>
      <c r="M58" s="11" t="s">
        <v>44</v>
      </c>
    </row>
    <row r="59" spans="1:13">
      <c r="A59" s="12" t="s">
        <v>235</v>
      </c>
      <c r="B59" s="11" t="s">
        <v>199</v>
      </c>
      <c r="C59" s="11" t="s">
        <v>200</v>
      </c>
      <c r="D59" s="11" t="s">
        <v>201</v>
      </c>
      <c r="E59" s="11" t="s">
        <v>331</v>
      </c>
      <c r="F59" s="11" t="s">
        <v>146</v>
      </c>
      <c r="G59" s="24" t="s">
        <v>104</v>
      </c>
      <c r="H59" s="23" t="s">
        <v>121</v>
      </c>
      <c r="I59" s="23" t="s">
        <v>105</v>
      </c>
      <c r="J59" s="12"/>
      <c r="K59" s="31" t="str">
        <f>"150,0"</f>
        <v>150,0</v>
      </c>
      <c r="L59" s="12" t="str">
        <f>"92,7900"</f>
        <v>92,7900</v>
      </c>
      <c r="M59" s="11" t="s">
        <v>147</v>
      </c>
    </row>
    <row r="60" spans="1:13">
      <c r="A60" s="12" t="s">
        <v>224</v>
      </c>
      <c r="B60" s="11" t="s">
        <v>195</v>
      </c>
      <c r="C60" s="11" t="s">
        <v>321</v>
      </c>
      <c r="D60" s="11" t="s">
        <v>197</v>
      </c>
      <c r="E60" s="11" t="s">
        <v>336</v>
      </c>
      <c r="F60" s="11" t="s">
        <v>40</v>
      </c>
      <c r="G60" s="23" t="s">
        <v>121</v>
      </c>
      <c r="H60" s="23" t="s">
        <v>105</v>
      </c>
      <c r="I60" s="23" t="s">
        <v>198</v>
      </c>
      <c r="J60" s="12"/>
      <c r="K60" s="31" t="str">
        <f>"152,5"</f>
        <v>152,5</v>
      </c>
      <c r="L60" s="12" t="str">
        <f>"99,1076"</f>
        <v>99,1076</v>
      </c>
      <c r="M60" s="11" t="s">
        <v>44</v>
      </c>
    </row>
    <row r="61" spans="1:13">
      <c r="A61" s="14" t="s">
        <v>224</v>
      </c>
      <c r="B61" s="13" t="s">
        <v>202</v>
      </c>
      <c r="C61" s="13" t="s">
        <v>322</v>
      </c>
      <c r="D61" s="13" t="s">
        <v>203</v>
      </c>
      <c r="E61" s="13" t="s">
        <v>332</v>
      </c>
      <c r="F61" s="13" t="s">
        <v>40</v>
      </c>
      <c r="G61" s="25" t="s">
        <v>65</v>
      </c>
      <c r="H61" s="25" t="s">
        <v>150</v>
      </c>
      <c r="I61" s="25" t="s">
        <v>66</v>
      </c>
      <c r="J61" s="14"/>
      <c r="K61" s="32" t="str">
        <f>"115,0"</f>
        <v>115,0</v>
      </c>
      <c r="L61" s="14" t="str">
        <f>"105,9683"</f>
        <v>105,9683</v>
      </c>
      <c r="M61" s="13"/>
    </row>
    <row r="62" spans="1:13">
      <c r="B62" s="5" t="s">
        <v>225</v>
      </c>
    </row>
    <row r="63" spans="1:13" ht="16">
      <c r="A63" s="33" t="s">
        <v>204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3">
      <c r="A64" s="8" t="s">
        <v>224</v>
      </c>
      <c r="B64" s="7" t="s">
        <v>205</v>
      </c>
      <c r="C64" s="7" t="s">
        <v>206</v>
      </c>
      <c r="D64" s="7" t="s">
        <v>207</v>
      </c>
      <c r="E64" s="7" t="s">
        <v>331</v>
      </c>
      <c r="F64" s="7" t="s">
        <v>11</v>
      </c>
      <c r="G64" s="20" t="s">
        <v>180</v>
      </c>
      <c r="H64" s="20" t="s">
        <v>135</v>
      </c>
      <c r="I64" s="21" t="s">
        <v>136</v>
      </c>
      <c r="J64" s="8"/>
      <c r="K64" s="29" t="str">
        <f>"170,0"</f>
        <v>170,0</v>
      </c>
      <c r="L64" s="8" t="str">
        <f>"102,2550"</f>
        <v>102,2550</v>
      </c>
      <c r="M64" s="7"/>
    </row>
    <row r="65" spans="1:13">
      <c r="B65" s="5" t="s">
        <v>225</v>
      </c>
    </row>
    <row r="66" spans="1:13" ht="16">
      <c r="A66" s="33" t="s">
        <v>208</v>
      </c>
      <c r="B66" s="33"/>
      <c r="C66" s="34"/>
      <c r="D66" s="34"/>
      <c r="E66" s="34"/>
      <c r="F66" s="34"/>
      <c r="G66" s="34"/>
      <c r="H66" s="34"/>
      <c r="I66" s="34"/>
      <c r="J66" s="34"/>
    </row>
    <row r="67" spans="1:13">
      <c r="A67" s="8" t="s">
        <v>224</v>
      </c>
      <c r="B67" s="7" t="s">
        <v>209</v>
      </c>
      <c r="C67" s="7" t="s">
        <v>323</v>
      </c>
      <c r="D67" s="7" t="s">
        <v>210</v>
      </c>
      <c r="E67" s="7" t="s">
        <v>334</v>
      </c>
      <c r="F67" s="7" t="s">
        <v>40</v>
      </c>
      <c r="G67" s="20" t="s">
        <v>180</v>
      </c>
      <c r="H67" s="20" t="s">
        <v>185</v>
      </c>
      <c r="I67" s="21" t="s">
        <v>135</v>
      </c>
      <c r="J67" s="8"/>
      <c r="K67" s="29" t="str">
        <f>"165,0"</f>
        <v>165,0</v>
      </c>
      <c r="L67" s="8" t="str">
        <f>"107,4175"</f>
        <v>107,4175</v>
      </c>
      <c r="M67" s="7"/>
    </row>
    <row r="68" spans="1:13">
      <c r="B68" s="5" t="s">
        <v>225</v>
      </c>
    </row>
    <row r="69" spans="1:13">
      <c r="B69" s="5" t="s">
        <v>225</v>
      </c>
    </row>
    <row r="70" spans="1:13">
      <c r="B70" s="5" t="s">
        <v>225</v>
      </c>
    </row>
    <row r="71" spans="1:13" ht="18">
      <c r="B71" s="15" t="s">
        <v>211</v>
      </c>
      <c r="C71" s="15"/>
    </row>
    <row r="72" spans="1:13" ht="14">
      <c r="B72" s="17"/>
      <c r="C72" s="18" t="s">
        <v>212</v>
      </c>
    </row>
    <row r="73" spans="1:13" ht="14">
      <c r="B73" s="19" t="s">
        <v>213</v>
      </c>
      <c r="C73" s="19" t="s">
        <v>214</v>
      </c>
      <c r="D73" s="19" t="s">
        <v>326</v>
      </c>
      <c r="E73" s="19" t="s">
        <v>215</v>
      </c>
      <c r="F73" s="19" t="s">
        <v>216</v>
      </c>
    </row>
    <row r="74" spans="1:13">
      <c r="B74" s="5" t="s">
        <v>94</v>
      </c>
      <c r="C74" s="5" t="s">
        <v>212</v>
      </c>
      <c r="D74" s="6" t="s">
        <v>219</v>
      </c>
      <c r="E74" s="6" t="s">
        <v>100</v>
      </c>
      <c r="F74" s="6" t="s">
        <v>220</v>
      </c>
    </row>
    <row r="75" spans="1:13">
      <c r="B75" s="5" t="s">
        <v>156</v>
      </c>
      <c r="C75" s="5" t="s">
        <v>212</v>
      </c>
      <c r="D75" s="6" t="s">
        <v>218</v>
      </c>
      <c r="E75" s="6" t="s">
        <v>161</v>
      </c>
      <c r="F75" s="6" t="s">
        <v>221</v>
      </c>
    </row>
    <row r="76" spans="1:13">
      <c r="B76" s="5" t="s">
        <v>162</v>
      </c>
      <c r="C76" s="5" t="s">
        <v>212</v>
      </c>
      <c r="D76" s="6" t="s">
        <v>218</v>
      </c>
      <c r="E76" s="6" t="s">
        <v>166</v>
      </c>
      <c r="F76" s="6" t="s">
        <v>222</v>
      </c>
    </row>
  </sheetData>
  <mergeCells count="21"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B3:B4"/>
    <mergeCell ref="A5:J5"/>
    <mergeCell ref="A8:J8"/>
    <mergeCell ref="A11:J11"/>
    <mergeCell ref="A17:J17"/>
    <mergeCell ref="A24:J24"/>
    <mergeCell ref="A30:J30"/>
    <mergeCell ref="A38:J38"/>
    <mergeCell ref="A48:J48"/>
    <mergeCell ref="A63:J63"/>
    <mergeCell ref="A66:J66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1DF6E-0EC1-45DD-9D39-6DDBAF606310}">
  <dimension ref="A1:M3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6640625" style="5" customWidth="1"/>
    <col min="14" max="16384" width="9.1640625" style="3"/>
  </cols>
  <sheetData>
    <row r="1" spans="1:13" s="2" customFormat="1" ht="29" customHeight="1">
      <c r="A1" s="41" t="s">
        <v>313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327</v>
      </c>
      <c r="B3" s="54" t="s">
        <v>0</v>
      </c>
      <c r="C3" s="51" t="s">
        <v>328</v>
      </c>
      <c r="D3" s="51" t="s">
        <v>5</v>
      </c>
      <c r="E3" s="37" t="s">
        <v>329</v>
      </c>
      <c r="F3" s="37" t="s">
        <v>4</v>
      </c>
      <c r="G3" s="37" t="s">
        <v>6</v>
      </c>
      <c r="H3" s="37"/>
      <c r="I3" s="37"/>
      <c r="J3" s="37"/>
      <c r="K3" s="37" t="s">
        <v>223</v>
      </c>
      <c r="L3" s="37" t="s">
        <v>2</v>
      </c>
      <c r="M3" s="52" t="s">
        <v>1</v>
      </c>
    </row>
    <row r="4" spans="1:13" s="1" customFormat="1" ht="21" customHeight="1" thickBot="1">
      <c r="A4" s="50"/>
      <c r="B4" s="55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3</v>
      </c>
      <c r="K4" s="38"/>
      <c r="L4" s="38"/>
      <c r="M4" s="53"/>
    </row>
    <row r="5" spans="1:13" ht="16">
      <c r="A5" s="35" t="s">
        <v>237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224</v>
      </c>
      <c r="B6" s="7" t="s">
        <v>273</v>
      </c>
      <c r="C6" s="7" t="s">
        <v>324</v>
      </c>
      <c r="D6" s="7" t="s">
        <v>274</v>
      </c>
      <c r="E6" s="7" t="s">
        <v>330</v>
      </c>
      <c r="F6" s="7" t="s">
        <v>40</v>
      </c>
      <c r="G6" s="20" t="s">
        <v>14</v>
      </c>
      <c r="H6" s="20" t="s">
        <v>275</v>
      </c>
      <c r="I6" s="21" t="s">
        <v>41</v>
      </c>
      <c r="J6" s="8"/>
      <c r="K6" s="8" t="str">
        <f>"65,0"</f>
        <v>65,0</v>
      </c>
      <c r="L6" s="8" t="str">
        <f>"71,9940"</f>
        <v>71,9940</v>
      </c>
      <c r="M6" s="7" t="s">
        <v>44</v>
      </c>
    </row>
    <row r="7" spans="1:13">
      <c r="B7" s="5" t="s">
        <v>225</v>
      </c>
    </row>
    <row r="8" spans="1:13" ht="16">
      <c r="A8" s="33" t="s">
        <v>90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0" t="s">
        <v>224</v>
      </c>
      <c r="B9" s="9" t="s">
        <v>276</v>
      </c>
      <c r="C9" s="9" t="s">
        <v>277</v>
      </c>
      <c r="D9" s="9" t="s">
        <v>96</v>
      </c>
      <c r="E9" s="9" t="s">
        <v>331</v>
      </c>
      <c r="F9" s="9" t="s">
        <v>11</v>
      </c>
      <c r="G9" s="22" t="s">
        <v>159</v>
      </c>
      <c r="H9" s="22" t="s">
        <v>263</v>
      </c>
      <c r="I9" s="22" t="s">
        <v>257</v>
      </c>
      <c r="J9" s="10"/>
      <c r="K9" s="10" t="str">
        <f>"230,0"</f>
        <v>230,0</v>
      </c>
      <c r="L9" s="10" t="str">
        <f>"153,5480"</f>
        <v>153,5480</v>
      </c>
      <c r="M9" s="9" t="s">
        <v>55</v>
      </c>
    </row>
    <row r="10" spans="1:13">
      <c r="A10" s="12" t="s">
        <v>226</v>
      </c>
      <c r="B10" s="11" t="s">
        <v>101</v>
      </c>
      <c r="C10" s="11" t="s">
        <v>102</v>
      </c>
      <c r="D10" s="11" t="s">
        <v>278</v>
      </c>
      <c r="E10" s="11" t="s">
        <v>331</v>
      </c>
      <c r="F10" s="11" t="s">
        <v>40</v>
      </c>
      <c r="G10" s="23" t="s">
        <v>100</v>
      </c>
      <c r="H10" s="23" t="s">
        <v>159</v>
      </c>
      <c r="I10" s="24" t="s">
        <v>263</v>
      </c>
      <c r="J10" s="12"/>
      <c r="K10" s="12" t="str">
        <f>"210,0"</f>
        <v>210,0</v>
      </c>
      <c r="L10" s="12" t="str">
        <f>"143,1308"</f>
        <v>143,1308</v>
      </c>
      <c r="M10" s="11" t="s">
        <v>44</v>
      </c>
    </row>
    <row r="11" spans="1:13">
      <c r="A11" s="12" t="s">
        <v>227</v>
      </c>
      <c r="B11" s="11" t="s">
        <v>279</v>
      </c>
      <c r="C11" s="11" t="s">
        <v>280</v>
      </c>
      <c r="D11" s="11" t="s">
        <v>281</v>
      </c>
      <c r="E11" s="11" t="s">
        <v>331</v>
      </c>
      <c r="F11" s="11" t="s">
        <v>40</v>
      </c>
      <c r="G11" s="24" t="s">
        <v>171</v>
      </c>
      <c r="H11" s="23" t="s">
        <v>171</v>
      </c>
      <c r="I11" s="24" t="s">
        <v>256</v>
      </c>
      <c r="J11" s="12"/>
      <c r="K11" s="12" t="str">
        <f>"190,0"</f>
        <v>190,0</v>
      </c>
      <c r="L11" s="12" t="str">
        <f>"123,7470"</f>
        <v>123,7470</v>
      </c>
      <c r="M11" s="11" t="s">
        <v>44</v>
      </c>
    </row>
    <row r="12" spans="1:13">
      <c r="A12" s="14" t="s">
        <v>229</v>
      </c>
      <c r="B12" s="13" t="s">
        <v>282</v>
      </c>
      <c r="C12" s="13" t="s">
        <v>283</v>
      </c>
      <c r="D12" s="13" t="s">
        <v>284</v>
      </c>
      <c r="E12" s="13" t="s">
        <v>331</v>
      </c>
      <c r="F12" s="13" t="s">
        <v>11</v>
      </c>
      <c r="G12" s="25" t="s">
        <v>87</v>
      </c>
      <c r="H12" s="25" t="s">
        <v>89</v>
      </c>
      <c r="I12" s="27" t="s">
        <v>104</v>
      </c>
      <c r="J12" s="14"/>
      <c r="K12" s="14" t="str">
        <f>"130,0"</f>
        <v>130,0</v>
      </c>
      <c r="L12" s="14" t="str">
        <f>"84,7048"</f>
        <v>84,7048</v>
      </c>
      <c r="M12" s="13" t="s">
        <v>67</v>
      </c>
    </row>
    <row r="13" spans="1:13">
      <c r="B13" s="5" t="s">
        <v>225</v>
      </c>
    </row>
    <row r="14" spans="1:13" ht="16">
      <c r="A14" s="33" t="s">
        <v>152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10" t="s">
        <v>224</v>
      </c>
      <c r="B15" s="9" t="s">
        <v>162</v>
      </c>
      <c r="C15" s="9" t="s">
        <v>163</v>
      </c>
      <c r="D15" s="9" t="s">
        <v>285</v>
      </c>
      <c r="E15" s="9" t="s">
        <v>331</v>
      </c>
      <c r="F15" s="9" t="s">
        <v>11</v>
      </c>
      <c r="G15" s="22" t="s">
        <v>286</v>
      </c>
      <c r="H15" s="22" t="s">
        <v>287</v>
      </c>
      <c r="I15" s="26" t="s">
        <v>288</v>
      </c>
      <c r="J15" s="10"/>
      <c r="K15" s="10" t="str">
        <f>"300,0"</f>
        <v>300,0</v>
      </c>
      <c r="L15" s="10" t="str">
        <f>"177,8100"</f>
        <v>177,8100</v>
      </c>
      <c r="M15" s="9" t="s">
        <v>167</v>
      </c>
    </row>
    <row r="16" spans="1:13">
      <c r="A16" s="12" t="s">
        <v>226</v>
      </c>
      <c r="B16" s="11" t="s">
        <v>289</v>
      </c>
      <c r="C16" s="11" t="s">
        <v>290</v>
      </c>
      <c r="D16" s="11" t="s">
        <v>291</v>
      </c>
      <c r="E16" s="11" t="s">
        <v>331</v>
      </c>
      <c r="F16" s="11" t="s">
        <v>11</v>
      </c>
      <c r="G16" s="23" t="s">
        <v>292</v>
      </c>
      <c r="H16" s="23" t="s">
        <v>271</v>
      </c>
      <c r="I16" s="24" t="s">
        <v>287</v>
      </c>
      <c r="J16" s="12"/>
      <c r="K16" s="12" t="str">
        <f>"270,0"</f>
        <v>270,0</v>
      </c>
      <c r="L16" s="12" t="str">
        <f>"156,9848"</f>
        <v>156,9848</v>
      </c>
      <c r="M16" s="11"/>
    </row>
    <row r="17" spans="1:13">
      <c r="A17" s="12" t="s">
        <v>227</v>
      </c>
      <c r="B17" s="11" t="s">
        <v>182</v>
      </c>
      <c r="C17" s="11" t="s">
        <v>183</v>
      </c>
      <c r="D17" s="11" t="s">
        <v>184</v>
      </c>
      <c r="E17" s="11" t="s">
        <v>331</v>
      </c>
      <c r="F17" s="11" t="s">
        <v>40</v>
      </c>
      <c r="G17" s="23" t="s">
        <v>159</v>
      </c>
      <c r="H17" s="23" t="s">
        <v>263</v>
      </c>
      <c r="I17" s="23" t="s">
        <v>257</v>
      </c>
      <c r="J17" s="12"/>
      <c r="K17" s="12" t="str">
        <f>"230,0"</f>
        <v>230,0</v>
      </c>
      <c r="L17" s="12" t="str">
        <f>"137,1835"</f>
        <v>137,1835</v>
      </c>
      <c r="M17" s="11"/>
    </row>
    <row r="18" spans="1:13">
      <c r="A18" s="12" t="s">
        <v>229</v>
      </c>
      <c r="B18" s="11" t="s">
        <v>293</v>
      </c>
      <c r="C18" s="11" t="s">
        <v>294</v>
      </c>
      <c r="D18" s="11" t="s">
        <v>295</v>
      </c>
      <c r="E18" s="11" t="s">
        <v>331</v>
      </c>
      <c r="F18" s="11" t="s">
        <v>11</v>
      </c>
      <c r="G18" s="23" t="s">
        <v>137</v>
      </c>
      <c r="H18" s="23" t="s">
        <v>171</v>
      </c>
      <c r="I18" s="24" t="s">
        <v>172</v>
      </c>
      <c r="J18" s="12"/>
      <c r="K18" s="12" t="str">
        <f>"190,0"</f>
        <v>190,0</v>
      </c>
      <c r="L18" s="12" t="str">
        <f>"112,3375"</f>
        <v>112,3375</v>
      </c>
      <c r="M18" s="11" t="s">
        <v>77</v>
      </c>
    </row>
    <row r="19" spans="1:13">
      <c r="A19" s="14" t="s">
        <v>230</v>
      </c>
      <c r="B19" s="13" t="s">
        <v>296</v>
      </c>
      <c r="C19" s="13" t="s">
        <v>297</v>
      </c>
      <c r="D19" s="13" t="s">
        <v>298</v>
      </c>
      <c r="E19" s="13" t="s">
        <v>331</v>
      </c>
      <c r="F19" s="13" t="s">
        <v>40</v>
      </c>
      <c r="G19" s="27" t="s">
        <v>135</v>
      </c>
      <c r="H19" s="27" t="s">
        <v>135</v>
      </c>
      <c r="I19" s="25" t="s">
        <v>135</v>
      </c>
      <c r="J19" s="14"/>
      <c r="K19" s="14" t="str">
        <f>"170,0"</f>
        <v>170,0</v>
      </c>
      <c r="L19" s="14" t="str">
        <f>"102,6800"</f>
        <v>102,6800</v>
      </c>
      <c r="M19" s="13" t="s">
        <v>44</v>
      </c>
    </row>
    <row r="20" spans="1:13">
      <c r="B20" s="5" t="s">
        <v>225</v>
      </c>
    </row>
    <row r="21" spans="1:13" ht="16">
      <c r="A21" s="33" t="s">
        <v>204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8" t="s">
        <v>224</v>
      </c>
      <c r="B22" s="7" t="s">
        <v>299</v>
      </c>
      <c r="C22" s="7" t="s">
        <v>300</v>
      </c>
      <c r="D22" s="7" t="s">
        <v>301</v>
      </c>
      <c r="E22" s="7" t="s">
        <v>331</v>
      </c>
      <c r="F22" s="7" t="s">
        <v>40</v>
      </c>
      <c r="G22" s="20" t="s">
        <v>100</v>
      </c>
      <c r="H22" s="21" t="s">
        <v>266</v>
      </c>
      <c r="I22" s="20" t="s">
        <v>159</v>
      </c>
      <c r="J22" s="8"/>
      <c r="K22" s="8" t="str">
        <f>"210,0"</f>
        <v>210,0</v>
      </c>
      <c r="L22" s="8" t="str">
        <f>"119,7420"</f>
        <v>119,7420</v>
      </c>
      <c r="M22" s="7" t="s">
        <v>44</v>
      </c>
    </row>
    <row r="23" spans="1:13">
      <c r="B23" s="5" t="s">
        <v>225</v>
      </c>
    </row>
    <row r="24" spans="1:13">
      <c r="B24" s="5" t="s">
        <v>225</v>
      </c>
    </row>
    <row r="25" spans="1:13">
      <c r="B25" s="5" t="s">
        <v>225</v>
      </c>
    </row>
    <row r="26" spans="1:13" ht="18">
      <c r="B26" s="15" t="s">
        <v>211</v>
      </c>
      <c r="C26" s="15"/>
    </row>
    <row r="27" spans="1:13" ht="16">
      <c r="B27" s="16" t="s">
        <v>217</v>
      </c>
      <c r="C27" s="16"/>
    </row>
    <row r="28" spans="1:13" ht="14">
      <c r="B28" s="17"/>
      <c r="C28" s="18" t="s">
        <v>212</v>
      </c>
    </row>
    <row r="29" spans="1:13" ht="14">
      <c r="B29" s="19" t="s">
        <v>213</v>
      </c>
      <c r="C29" s="19" t="s">
        <v>214</v>
      </c>
      <c r="D29" s="19" t="s">
        <v>326</v>
      </c>
      <c r="E29" s="19" t="s">
        <v>215</v>
      </c>
      <c r="F29" s="19" t="s">
        <v>302</v>
      </c>
    </row>
    <row r="30" spans="1:13">
      <c r="B30" s="5" t="s">
        <v>162</v>
      </c>
      <c r="C30" s="5" t="s">
        <v>212</v>
      </c>
      <c r="D30" s="6" t="s">
        <v>218</v>
      </c>
      <c r="E30" s="6" t="s">
        <v>287</v>
      </c>
      <c r="F30" s="6" t="s">
        <v>303</v>
      </c>
    </row>
    <row r="31" spans="1:13">
      <c r="B31" s="5" t="s">
        <v>289</v>
      </c>
      <c r="C31" s="5" t="s">
        <v>212</v>
      </c>
      <c r="D31" s="6" t="s">
        <v>218</v>
      </c>
      <c r="E31" s="6" t="s">
        <v>271</v>
      </c>
      <c r="F31" s="6" t="s">
        <v>304</v>
      </c>
    </row>
    <row r="32" spans="1:13">
      <c r="B32" s="5" t="s">
        <v>276</v>
      </c>
      <c r="C32" s="5" t="s">
        <v>212</v>
      </c>
      <c r="D32" s="6" t="s">
        <v>219</v>
      </c>
      <c r="E32" s="6" t="s">
        <v>257</v>
      </c>
      <c r="F32" s="6" t="s">
        <v>305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4:J14"/>
    <mergeCell ref="A21:J21"/>
    <mergeCell ref="B3:B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0F33-BF2B-43B1-A7A5-FB97D212D8E4}"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6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41" t="s">
        <v>314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327</v>
      </c>
      <c r="B3" s="54" t="s">
        <v>0</v>
      </c>
      <c r="C3" s="51" t="s">
        <v>328</v>
      </c>
      <c r="D3" s="51" t="s">
        <v>5</v>
      </c>
      <c r="E3" s="37" t="s">
        <v>329</v>
      </c>
      <c r="F3" s="37" t="s">
        <v>4</v>
      </c>
      <c r="G3" s="37" t="s">
        <v>6</v>
      </c>
      <c r="H3" s="37"/>
      <c r="I3" s="37"/>
      <c r="J3" s="37"/>
      <c r="K3" s="39" t="s">
        <v>223</v>
      </c>
      <c r="L3" s="37" t="s">
        <v>2</v>
      </c>
      <c r="M3" s="52" t="s">
        <v>1</v>
      </c>
    </row>
    <row r="4" spans="1:13" s="1" customFormat="1" ht="21" customHeight="1" thickBot="1">
      <c r="A4" s="50"/>
      <c r="B4" s="55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3</v>
      </c>
      <c r="K4" s="40"/>
      <c r="L4" s="38"/>
      <c r="M4" s="53"/>
    </row>
    <row r="5" spans="1:13" ht="16">
      <c r="A5" s="35" t="s">
        <v>72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224</v>
      </c>
      <c r="B6" s="7" t="s">
        <v>45</v>
      </c>
      <c r="C6" s="7" t="s">
        <v>86</v>
      </c>
      <c r="D6" s="7" t="s">
        <v>83</v>
      </c>
      <c r="E6" s="7" t="s">
        <v>331</v>
      </c>
      <c r="F6" s="7" t="s">
        <v>27</v>
      </c>
      <c r="G6" s="20" t="s">
        <v>105</v>
      </c>
      <c r="H6" s="20" t="s">
        <v>180</v>
      </c>
      <c r="I6" s="21" t="s">
        <v>135</v>
      </c>
      <c r="J6" s="8"/>
      <c r="K6" s="29" t="str">
        <f>"160,0"</f>
        <v>160,0</v>
      </c>
      <c r="L6" s="8" t="str">
        <f>"112,1840"</f>
        <v>112,1840</v>
      </c>
      <c r="M6" s="7"/>
    </row>
    <row r="7" spans="1:13">
      <c r="B7" s="5" t="s">
        <v>225</v>
      </c>
    </row>
    <row r="8" spans="1:13" ht="16">
      <c r="A8" s="33" t="s">
        <v>90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228</v>
      </c>
      <c r="B9" s="7" t="s">
        <v>306</v>
      </c>
      <c r="C9" s="7" t="s">
        <v>307</v>
      </c>
      <c r="D9" s="7" t="s">
        <v>308</v>
      </c>
      <c r="E9" s="7" t="s">
        <v>331</v>
      </c>
      <c r="F9" s="7" t="s">
        <v>11</v>
      </c>
      <c r="G9" s="21" t="s">
        <v>100</v>
      </c>
      <c r="H9" s="21" t="s">
        <v>166</v>
      </c>
      <c r="I9" s="21" t="s">
        <v>166</v>
      </c>
      <c r="J9" s="8"/>
      <c r="K9" s="29">
        <v>0</v>
      </c>
      <c r="L9" s="8" t="str">
        <f>"0,0000"</f>
        <v>0,0000</v>
      </c>
      <c r="M9" s="7"/>
    </row>
    <row r="10" spans="1:13">
      <c r="B10" s="5" t="s">
        <v>225</v>
      </c>
    </row>
    <row r="11" spans="1:13" ht="16">
      <c r="A11" s="33" t="s">
        <v>152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8" t="s">
        <v>224</v>
      </c>
      <c r="B12" s="7" t="s">
        <v>309</v>
      </c>
      <c r="C12" s="7" t="s">
        <v>310</v>
      </c>
      <c r="D12" s="7" t="s">
        <v>311</v>
      </c>
      <c r="E12" s="7" t="s">
        <v>331</v>
      </c>
      <c r="F12" s="7" t="s">
        <v>40</v>
      </c>
      <c r="G12" s="21" t="s">
        <v>263</v>
      </c>
      <c r="H12" s="21" t="s">
        <v>263</v>
      </c>
      <c r="I12" s="20" t="s">
        <v>263</v>
      </c>
      <c r="J12" s="8"/>
      <c r="K12" s="29" t="str">
        <f>"220,0"</f>
        <v>220,0</v>
      </c>
      <c r="L12" s="8" t="str">
        <f>"130,5920"</f>
        <v>130,5920</v>
      </c>
      <c r="M12" s="7" t="s">
        <v>44</v>
      </c>
    </row>
    <row r="13" spans="1:13">
      <c r="B13" s="5" t="s">
        <v>225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2911D-B4F0-4B8A-915C-281C2BC96A19}">
  <dimension ref="A1:M35"/>
  <sheetViews>
    <sheetView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6640625" style="5" bestFit="1" customWidth="1"/>
    <col min="7" max="9" width="5.5" style="6" customWidth="1"/>
    <col min="10" max="10" width="4.83203125" style="6" customWidth="1"/>
    <col min="11" max="11" width="7.8320312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41" t="s">
        <v>315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327</v>
      </c>
      <c r="B3" s="54" t="s">
        <v>0</v>
      </c>
      <c r="C3" s="51" t="s">
        <v>328</v>
      </c>
      <c r="D3" s="51" t="s">
        <v>5</v>
      </c>
      <c r="E3" s="37" t="s">
        <v>329</v>
      </c>
      <c r="F3" s="37" t="s">
        <v>4</v>
      </c>
      <c r="G3" s="37" t="s">
        <v>236</v>
      </c>
      <c r="H3" s="37"/>
      <c r="I3" s="37"/>
      <c r="J3" s="37"/>
      <c r="K3" s="37" t="s">
        <v>223</v>
      </c>
      <c r="L3" s="37" t="s">
        <v>2</v>
      </c>
      <c r="M3" s="52" t="s">
        <v>1</v>
      </c>
    </row>
    <row r="4" spans="1:13" s="1" customFormat="1" ht="21" customHeight="1" thickBot="1">
      <c r="A4" s="50"/>
      <c r="B4" s="55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3</v>
      </c>
      <c r="K4" s="38"/>
      <c r="L4" s="38"/>
      <c r="M4" s="53"/>
    </row>
    <row r="5" spans="1:13" ht="16">
      <c r="A5" s="35" t="s">
        <v>237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224</v>
      </c>
      <c r="B6" s="7" t="s">
        <v>238</v>
      </c>
      <c r="C6" s="7" t="s">
        <v>239</v>
      </c>
      <c r="D6" s="7" t="s">
        <v>240</v>
      </c>
      <c r="E6" s="7" t="s">
        <v>330</v>
      </c>
      <c r="F6" s="7" t="s">
        <v>27</v>
      </c>
      <c r="G6" s="20" t="s">
        <v>14</v>
      </c>
      <c r="H6" s="20" t="s">
        <v>41</v>
      </c>
      <c r="I6" s="20" t="s">
        <v>42</v>
      </c>
      <c r="J6" s="8"/>
      <c r="K6" s="8" t="str">
        <f>"75,0"</f>
        <v>75,0</v>
      </c>
      <c r="L6" s="8" t="str">
        <f>"100,1550"</f>
        <v>100,1550</v>
      </c>
      <c r="M6" s="7" t="s">
        <v>31</v>
      </c>
    </row>
    <row r="7" spans="1:13">
      <c r="B7" s="5" t="s">
        <v>225</v>
      </c>
    </row>
    <row r="8" spans="1:13" ht="16">
      <c r="A8" s="33" t="s">
        <v>16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224</v>
      </c>
      <c r="B9" s="7" t="s">
        <v>241</v>
      </c>
      <c r="C9" s="7" t="s">
        <v>242</v>
      </c>
      <c r="D9" s="7" t="s">
        <v>243</v>
      </c>
      <c r="E9" s="7" t="s">
        <v>331</v>
      </c>
      <c r="F9" s="7" t="s">
        <v>11</v>
      </c>
      <c r="G9" s="20" t="s">
        <v>49</v>
      </c>
      <c r="H9" s="20" t="s">
        <v>50</v>
      </c>
      <c r="I9" s="21" t="s">
        <v>65</v>
      </c>
      <c r="J9" s="8"/>
      <c r="K9" s="8" t="str">
        <f>"105,0"</f>
        <v>105,0</v>
      </c>
      <c r="L9" s="8" t="str">
        <f>"127,8480"</f>
        <v>127,8480</v>
      </c>
      <c r="M9" s="7" t="s">
        <v>44</v>
      </c>
    </row>
    <row r="10" spans="1:13">
      <c r="B10" s="5" t="s">
        <v>225</v>
      </c>
    </row>
    <row r="11" spans="1:13" ht="16">
      <c r="A11" s="33" t="s">
        <v>16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8" t="s">
        <v>224</v>
      </c>
      <c r="B12" s="7" t="s">
        <v>244</v>
      </c>
      <c r="C12" s="7" t="s">
        <v>245</v>
      </c>
      <c r="D12" s="7" t="s">
        <v>246</v>
      </c>
      <c r="E12" s="7" t="s">
        <v>330</v>
      </c>
      <c r="F12" s="7" t="s">
        <v>97</v>
      </c>
      <c r="G12" s="20" t="s">
        <v>65</v>
      </c>
      <c r="H12" s="20" t="s">
        <v>87</v>
      </c>
      <c r="I12" s="20" t="s">
        <v>88</v>
      </c>
      <c r="J12" s="8"/>
      <c r="K12" s="8" t="str">
        <f>"125,0"</f>
        <v>125,0</v>
      </c>
      <c r="L12" s="8" t="str">
        <f>"120,2625"</f>
        <v>120,2625</v>
      </c>
      <c r="M12" s="7" t="s">
        <v>31</v>
      </c>
    </row>
    <row r="13" spans="1:13">
      <c r="B13" s="5" t="s">
        <v>225</v>
      </c>
    </row>
    <row r="14" spans="1:13" ht="16">
      <c r="A14" s="33" t="s">
        <v>23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8" t="s">
        <v>224</v>
      </c>
      <c r="B15" s="7" t="s">
        <v>24</v>
      </c>
      <c r="C15" s="7" t="s">
        <v>25</v>
      </c>
      <c r="D15" s="7" t="s">
        <v>26</v>
      </c>
      <c r="E15" s="7" t="s">
        <v>330</v>
      </c>
      <c r="F15" s="7" t="s">
        <v>27</v>
      </c>
      <c r="G15" s="20" t="s">
        <v>87</v>
      </c>
      <c r="H15" s="20" t="s">
        <v>89</v>
      </c>
      <c r="I15" s="20" t="s">
        <v>120</v>
      </c>
      <c r="J15" s="8"/>
      <c r="K15" s="8" t="str">
        <f>"135,0"</f>
        <v>135,0</v>
      </c>
      <c r="L15" s="8" t="str">
        <f>"116,5725"</f>
        <v>116,5725</v>
      </c>
      <c r="M15" s="7" t="s">
        <v>31</v>
      </c>
    </row>
    <row r="16" spans="1:13">
      <c r="B16" s="5" t="s">
        <v>225</v>
      </c>
    </row>
    <row r="17" spans="1:13" ht="16">
      <c r="A17" s="33" t="s">
        <v>51</v>
      </c>
      <c r="B17" s="33"/>
      <c r="C17" s="34"/>
      <c r="D17" s="34"/>
      <c r="E17" s="34"/>
      <c r="F17" s="34"/>
      <c r="G17" s="34"/>
      <c r="H17" s="34"/>
      <c r="I17" s="34"/>
      <c r="J17" s="34"/>
    </row>
    <row r="18" spans="1:13">
      <c r="A18" s="10" t="s">
        <v>224</v>
      </c>
      <c r="B18" s="9" t="s">
        <v>247</v>
      </c>
      <c r="C18" s="9" t="s">
        <v>248</v>
      </c>
      <c r="D18" s="9" t="s">
        <v>249</v>
      </c>
      <c r="E18" s="9" t="s">
        <v>330</v>
      </c>
      <c r="F18" s="9" t="s">
        <v>27</v>
      </c>
      <c r="G18" s="22" t="s">
        <v>89</v>
      </c>
      <c r="H18" s="22" t="s">
        <v>104</v>
      </c>
      <c r="I18" s="26" t="s">
        <v>121</v>
      </c>
      <c r="J18" s="10"/>
      <c r="K18" s="10" t="str">
        <f>"140,0"</f>
        <v>140,0</v>
      </c>
      <c r="L18" s="10" t="str">
        <f>"108,5840"</f>
        <v>108,5840</v>
      </c>
      <c r="M18" s="9" t="s">
        <v>31</v>
      </c>
    </row>
    <row r="19" spans="1:13">
      <c r="A19" s="14" t="s">
        <v>226</v>
      </c>
      <c r="B19" s="13" t="s">
        <v>250</v>
      </c>
      <c r="C19" s="13" t="s">
        <v>251</v>
      </c>
      <c r="D19" s="13" t="s">
        <v>252</v>
      </c>
      <c r="E19" s="13" t="s">
        <v>330</v>
      </c>
      <c r="F19" s="13" t="s">
        <v>27</v>
      </c>
      <c r="G19" s="25" t="s">
        <v>49</v>
      </c>
      <c r="H19" s="25" t="s">
        <v>50</v>
      </c>
      <c r="I19" s="27" t="s">
        <v>65</v>
      </c>
      <c r="J19" s="14"/>
      <c r="K19" s="14" t="str">
        <f>"105,0"</f>
        <v>105,0</v>
      </c>
      <c r="L19" s="14" t="str">
        <f>"86,4675"</f>
        <v>86,4675</v>
      </c>
      <c r="M19" s="13" t="s">
        <v>31</v>
      </c>
    </row>
    <row r="20" spans="1:13">
      <c r="B20" s="5" t="s">
        <v>225</v>
      </c>
    </row>
    <row r="21" spans="1:13" ht="16">
      <c r="A21" s="33" t="s">
        <v>72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8" t="s">
        <v>224</v>
      </c>
      <c r="B22" s="7" t="s">
        <v>253</v>
      </c>
      <c r="C22" s="7" t="s">
        <v>254</v>
      </c>
      <c r="D22" s="7" t="s">
        <v>255</v>
      </c>
      <c r="E22" s="7" t="s">
        <v>331</v>
      </c>
      <c r="F22" s="7" t="s">
        <v>40</v>
      </c>
      <c r="G22" s="20" t="s">
        <v>171</v>
      </c>
      <c r="H22" s="20" t="s">
        <v>100</v>
      </c>
      <c r="I22" s="20" t="s">
        <v>159</v>
      </c>
      <c r="J22" s="8"/>
      <c r="K22" s="8" t="str">
        <f>"210,0"</f>
        <v>210,0</v>
      </c>
      <c r="L22" s="8" t="str">
        <f>"154,0770"</f>
        <v>154,0770</v>
      </c>
      <c r="M22" s="7" t="s">
        <v>44</v>
      </c>
    </row>
    <row r="23" spans="1:13">
      <c r="B23" s="5" t="s">
        <v>225</v>
      </c>
    </row>
    <row r="24" spans="1:13" ht="16">
      <c r="A24" s="33" t="s">
        <v>90</v>
      </c>
      <c r="B24" s="33"/>
      <c r="C24" s="34"/>
      <c r="D24" s="34"/>
      <c r="E24" s="34"/>
      <c r="F24" s="34"/>
      <c r="G24" s="34"/>
      <c r="H24" s="34"/>
      <c r="I24" s="34"/>
      <c r="J24" s="34"/>
    </row>
    <row r="25" spans="1:13">
      <c r="A25" s="10" t="s">
        <v>224</v>
      </c>
      <c r="B25" s="9" t="s">
        <v>91</v>
      </c>
      <c r="C25" s="9" t="s">
        <v>92</v>
      </c>
      <c r="D25" s="9" t="s">
        <v>93</v>
      </c>
      <c r="E25" s="9" t="s">
        <v>330</v>
      </c>
      <c r="F25" s="9" t="s">
        <v>27</v>
      </c>
      <c r="G25" s="22" t="s">
        <v>98</v>
      </c>
      <c r="H25" s="22" t="s">
        <v>256</v>
      </c>
      <c r="I25" s="22" t="s">
        <v>100</v>
      </c>
      <c r="J25" s="10"/>
      <c r="K25" s="10" t="str">
        <f>"200,0"</f>
        <v>200,0</v>
      </c>
      <c r="L25" s="10" t="str">
        <f>"137,5200"</f>
        <v>137,5200</v>
      </c>
      <c r="M25" s="9" t="s">
        <v>31</v>
      </c>
    </row>
    <row r="26" spans="1:13">
      <c r="A26" s="14" t="s">
        <v>224</v>
      </c>
      <c r="B26" s="13" t="s">
        <v>112</v>
      </c>
      <c r="C26" s="13" t="s">
        <v>113</v>
      </c>
      <c r="D26" s="13" t="s">
        <v>114</v>
      </c>
      <c r="E26" s="13" t="s">
        <v>331</v>
      </c>
      <c r="F26" s="13" t="s">
        <v>97</v>
      </c>
      <c r="G26" s="25" t="s">
        <v>257</v>
      </c>
      <c r="H26" s="25" t="s">
        <v>258</v>
      </c>
      <c r="I26" s="25" t="s">
        <v>259</v>
      </c>
      <c r="J26" s="14"/>
      <c r="K26" s="14" t="str">
        <f>"242,5"</f>
        <v>242,5</v>
      </c>
      <c r="L26" s="14" t="str">
        <f>"164,6575"</f>
        <v>164,6575</v>
      </c>
      <c r="M26" s="13" t="s">
        <v>115</v>
      </c>
    </row>
    <row r="27" spans="1:13">
      <c r="B27" s="5" t="s">
        <v>225</v>
      </c>
    </row>
    <row r="28" spans="1:13" ht="16">
      <c r="A28" s="33" t="s">
        <v>152</v>
      </c>
      <c r="B28" s="33"/>
      <c r="C28" s="34"/>
      <c r="D28" s="34"/>
      <c r="E28" s="34"/>
      <c r="F28" s="34"/>
      <c r="G28" s="34"/>
      <c r="H28" s="34"/>
      <c r="I28" s="34"/>
      <c r="J28" s="34"/>
    </row>
    <row r="29" spans="1:13">
      <c r="A29" s="10" t="s">
        <v>224</v>
      </c>
      <c r="B29" s="9" t="s">
        <v>168</v>
      </c>
      <c r="C29" s="9" t="s">
        <v>169</v>
      </c>
      <c r="D29" s="9" t="s">
        <v>170</v>
      </c>
      <c r="E29" s="9" t="s">
        <v>331</v>
      </c>
      <c r="F29" s="9" t="s">
        <v>97</v>
      </c>
      <c r="G29" s="26" t="s">
        <v>260</v>
      </c>
      <c r="H29" s="22" t="s">
        <v>261</v>
      </c>
      <c r="I29" s="26" t="s">
        <v>262</v>
      </c>
      <c r="J29" s="10"/>
      <c r="K29" s="10" t="str">
        <f>"295,0"</f>
        <v>295,0</v>
      </c>
      <c r="L29" s="10" t="str">
        <f>"181,4840"</f>
        <v>181,4840</v>
      </c>
      <c r="M29" s="9"/>
    </row>
    <row r="30" spans="1:13">
      <c r="A30" s="12" t="s">
        <v>226</v>
      </c>
      <c r="B30" s="11" t="s">
        <v>199</v>
      </c>
      <c r="C30" s="11" t="s">
        <v>200</v>
      </c>
      <c r="D30" s="11" t="s">
        <v>201</v>
      </c>
      <c r="E30" s="11" t="s">
        <v>331</v>
      </c>
      <c r="F30" s="11" t="s">
        <v>146</v>
      </c>
      <c r="G30" s="23" t="s">
        <v>263</v>
      </c>
      <c r="H30" s="23" t="s">
        <v>264</v>
      </c>
      <c r="I30" s="24" t="s">
        <v>265</v>
      </c>
      <c r="J30" s="12"/>
      <c r="K30" s="12" t="str">
        <f>"240,0"</f>
        <v>240,0</v>
      </c>
      <c r="L30" s="12" t="str">
        <f>"148,4640"</f>
        <v>148,4640</v>
      </c>
      <c r="M30" s="11" t="s">
        <v>147</v>
      </c>
    </row>
    <row r="31" spans="1:13">
      <c r="A31" s="14" t="s">
        <v>224</v>
      </c>
      <c r="B31" s="13" t="s">
        <v>202</v>
      </c>
      <c r="C31" s="13" t="s">
        <v>322</v>
      </c>
      <c r="D31" s="13" t="s">
        <v>203</v>
      </c>
      <c r="E31" s="13" t="s">
        <v>332</v>
      </c>
      <c r="F31" s="13" t="s">
        <v>40</v>
      </c>
      <c r="G31" s="25" t="s">
        <v>98</v>
      </c>
      <c r="H31" s="25" t="s">
        <v>256</v>
      </c>
      <c r="I31" s="25" t="s">
        <v>266</v>
      </c>
      <c r="J31" s="14"/>
      <c r="K31" s="14" t="str">
        <f>"205,0"</f>
        <v>205,0</v>
      </c>
      <c r="L31" s="14" t="str">
        <f>"188,9001"</f>
        <v>188,9001</v>
      </c>
      <c r="M31" s="13"/>
    </row>
    <row r="32" spans="1:13">
      <c r="B32" s="5" t="s">
        <v>225</v>
      </c>
    </row>
    <row r="33" spans="1:13" ht="16">
      <c r="A33" s="33" t="s">
        <v>267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3">
      <c r="A34" s="8" t="s">
        <v>224</v>
      </c>
      <c r="B34" s="7" t="s">
        <v>268</v>
      </c>
      <c r="C34" s="7" t="s">
        <v>269</v>
      </c>
      <c r="D34" s="7" t="s">
        <v>270</v>
      </c>
      <c r="E34" s="7" t="s">
        <v>331</v>
      </c>
      <c r="F34" s="7" t="s">
        <v>11</v>
      </c>
      <c r="G34" s="20" t="s">
        <v>271</v>
      </c>
      <c r="H34" s="21" t="s">
        <v>272</v>
      </c>
      <c r="I34" s="21" t="s">
        <v>272</v>
      </c>
      <c r="J34" s="8"/>
      <c r="K34" s="8" t="str">
        <f>"270,0"</f>
        <v>270,0</v>
      </c>
      <c r="L34" s="8" t="str">
        <f>"158,3820"</f>
        <v>158,3820</v>
      </c>
      <c r="M34" s="7"/>
    </row>
    <row r="35" spans="1:13">
      <c r="B35" s="5" t="s">
        <v>225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A33:J33"/>
    <mergeCell ref="B3:B4"/>
    <mergeCell ref="A8:J8"/>
    <mergeCell ref="A11:J11"/>
    <mergeCell ref="A14:J14"/>
    <mergeCell ref="A17:J17"/>
    <mergeCell ref="A21:J21"/>
    <mergeCell ref="A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Жим без экипировки</vt:lpstr>
      <vt:lpstr>СПР Жим софт однопетельная</vt:lpstr>
      <vt:lpstr>СПР Жим софт многопетельная</vt:lpstr>
      <vt:lpstr>IPL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2021-04-06T19:32:27Z</dcterms:modified>
</cp:coreProperties>
</file>