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Апрель/"/>
    </mc:Choice>
  </mc:AlternateContent>
  <xr:revisionPtr revIDLastSave="0" documentId="13_ncr:1_{98898076-2FFD-8C47-9406-A10F82C457A0}" xr6:coauthVersionLast="45" xr6:coauthVersionMax="45" xr10:uidLastSave="{00000000-0000-0000-0000-000000000000}"/>
  <bookViews>
    <workbookView xWindow="320" yWindow="460" windowWidth="28480" windowHeight="16140" xr2:uid="{00000000-000D-0000-FFFF-FFFF00000000}"/>
  </bookViews>
  <sheets>
    <sheet name="IPL ПЛ без экипировки ДК" sheetId="6" r:id="rId1"/>
    <sheet name="IPL ПЛ без экипировки" sheetId="5" r:id="rId2"/>
    <sheet name="IPL ПЛ в бинтах ДК" sheetId="8" r:id="rId3"/>
    <sheet name="IPL ПЛ в бинтах" sheetId="7" r:id="rId4"/>
    <sheet name="IPL Двоеборье без экип ДК" sheetId="18" r:id="rId5"/>
    <sheet name="IPL Двоеборье без экип" sheetId="17" r:id="rId6"/>
    <sheet name="IPL Присед без экипировки ДК" sheetId="16" r:id="rId7"/>
    <sheet name="IPL Жим без экипировки ДК" sheetId="10" r:id="rId8"/>
    <sheet name="IPL Жим без экипировки" sheetId="9" r:id="rId9"/>
    <sheet name="IPL Жим однослой" sheetId="11" r:id="rId10"/>
    <sheet name="СПР Жим софт однопетельная" sheetId="25" r:id="rId11"/>
    <sheet name="IPL Тяга без экипировки ДК" sheetId="14" r:id="rId12"/>
    <sheet name="IPL Тяга без экипировки" sheetId="13" r:id="rId13"/>
    <sheet name="СПР Пауэрспорт ДК" sheetId="34" r:id="rId14"/>
    <sheet name="СПР Подъем на бицепс ДК" sheetId="32" r:id="rId15"/>
    <sheet name="СПР Подъем на бицепс" sheetId="31" r:id="rId16"/>
  </sheets>
  <definedNames>
    <definedName name="_FilterDatabase" localSheetId="1" hidden="1">'IPL ПЛ без экипировки'!$A$1:$S$3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18" l="1"/>
  <c r="P15" i="34" l="1"/>
  <c r="O15" i="34"/>
  <c r="P12" i="34"/>
  <c r="O12" i="34"/>
  <c r="P9" i="34"/>
  <c r="O9" i="34"/>
  <c r="P6" i="34"/>
  <c r="O6" i="34"/>
  <c r="L47" i="32"/>
  <c r="K47" i="32"/>
  <c r="L46" i="32"/>
  <c r="K46" i="32"/>
  <c r="L43" i="32"/>
  <c r="K43" i="32"/>
  <c r="L42" i="32"/>
  <c r="K42" i="32"/>
  <c r="L41" i="32"/>
  <c r="K41" i="32"/>
  <c r="L40" i="32"/>
  <c r="K40" i="32"/>
  <c r="L37" i="32"/>
  <c r="K37" i="32"/>
  <c r="L36" i="32"/>
  <c r="K36" i="32"/>
  <c r="L35" i="32"/>
  <c r="K35" i="32"/>
  <c r="L34" i="32"/>
  <c r="K34" i="32"/>
  <c r="L31" i="32"/>
  <c r="K31" i="32"/>
  <c r="L30" i="32"/>
  <c r="K30" i="32"/>
  <c r="L29" i="32"/>
  <c r="K29" i="32"/>
  <c r="L28" i="32"/>
  <c r="K28" i="32"/>
  <c r="L27" i="32"/>
  <c r="K27" i="32"/>
  <c r="L26" i="32"/>
  <c r="K26" i="32"/>
  <c r="L25" i="32"/>
  <c r="K25" i="32"/>
  <c r="L22" i="32"/>
  <c r="K22" i="32"/>
  <c r="L21" i="32"/>
  <c r="K21" i="32"/>
  <c r="L20" i="32"/>
  <c r="K20" i="32"/>
  <c r="L19" i="32"/>
  <c r="K19" i="32"/>
  <c r="L16" i="32"/>
  <c r="K16" i="32"/>
  <c r="L13" i="32"/>
  <c r="K13" i="32"/>
  <c r="L12" i="32"/>
  <c r="K12" i="32"/>
  <c r="L9" i="32"/>
  <c r="K9" i="32"/>
  <c r="L6" i="32"/>
  <c r="K6" i="32"/>
  <c r="L7" i="31"/>
  <c r="K7" i="31"/>
  <c r="L6" i="31"/>
  <c r="K6" i="31"/>
  <c r="L10" i="25"/>
  <c r="K10" i="25"/>
  <c r="L7" i="25"/>
  <c r="K7" i="25"/>
  <c r="L6" i="25"/>
  <c r="K6" i="25"/>
  <c r="P32" i="18"/>
  <c r="O32" i="18"/>
  <c r="P31" i="18"/>
  <c r="O31" i="18"/>
  <c r="P30" i="18"/>
  <c r="P27" i="18"/>
  <c r="O27" i="18"/>
  <c r="P24" i="18"/>
  <c r="P21" i="18"/>
  <c r="O21" i="18"/>
  <c r="P18" i="18"/>
  <c r="P17" i="18"/>
  <c r="O17" i="18"/>
  <c r="P16" i="18"/>
  <c r="O16" i="18"/>
  <c r="P13" i="18"/>
  <c r="O13" i="18"/>
  <c r="P12" i="18"/>
  <c r="P6" i="18"/>
  <c r="O6" i="18"/>
  <c r="P13" i="17"/>
  <c r="O13" i="17"/>
  <c r="P12" i="17"/>
  <c r="O12" i="17"/>
  <c r="P9" i="17"/>
  <c r="O9" i="17"/>
  <c r="P6" i="17"/>
  <c r="L10" i="16"/>
  <c r="K10" i="16"/>
  <c r="L7" i="16"/>
  <c r="K7" i="16"/>
  <c r="L6" i="16"/>
  <c r="K6" i="16"/>
  <c r="L42" i="14"/>
  <c r="K42" i="14"/>
  <c r="L39" i="14"/>
  <c r="K39" i="14"/>
  <c r="L36" i="14"/>
  <c r="L35" i="14"/>
  <c r="K35" i="14"/>
  <c r="L34" i="14"/>
  <c r="K34" i="14"/>
  <c r="L31" i="14"/>
  <c r="K31" i="14"/>
  <c r="L30" i="14"/>
  <c r="K30" i="14"/>
  <c r="L29" i="14"/>
  <c r="K29" i="14"/>
  <c r="L26" i="14"/>
  <c r="K26" i="14"/>
  <c r="L25" i="14"/>
  <c r="K25" i="14"/>
  <c r="L22" i="14"/>
  <c r="K22" i="14"/>
  <c r="L19" i="14"/>
  <c r="K19" i="14"/>
  <c r="L16" i="14"/>
  <c r="K16" i="14"/>
  <c r="L15" i="14"/>
  <c r="K15" i="14"/>
  <c r="L14" i="14"/>
  <c r="K14" i="14"/>
  <c r="L11" i="14"/>
  <c r="K11" i="14"/>
  <c r="L10" i="14"/>
  <c r="K10" i="14"/>
  <c r="L9" i="14"/>
  <c r="K9" i="14"/>
  <c r="L6" i="14"/>
  <c r="K6" i="14"/>
  <c r="L23" i="13"/>
  <c r="K23" i="13"/>
  <c r="L20" i="13"/>
  <c r="K20" i="13"/>
  <c r="L19" i="13"/>
  <c r="K19" i="13"/>
  <c r="L16" i="13"/>
  <c r="L13" i="13"/>
  <c r="K13" i="13"/>
  <c r="L10" i="13"/>
  <c r="L9" i="13"/>
  <c r="L6" i="13"/>
  <c r="K6" i="13"/>
  <c r="L9" i="11"/>
  <c r="L6" i="11"/>
  <c r="L74" i="10"/>
  <c r="L71" i="10"/>
  <c r="K71" i="10"/>
  <c r="L70" i="10"/>
  <c r="K70" i="10"/>
  <c r="L69" i="10"/>
  <c r="K69" i="10"/>
  <c r="L66" i="10"/>
  <c r="K66" i="10"/>
  <c r="L63" i="10"/>
  <c r="K63" i="10"/>
  <c r="L62" i="10"/>
  <c r="K62" i="10"/>
  <c r="L61" i="10"/>
  <c r="K61" i="10"/>
  <c r="L60" i="10"/>
  <c r="K60" i="10"/>
  <c r="L59" i="10"/>
  <c r="K59" i="10"/>
  <c r="L56" i="10"/>
  <c r="K56" i="10"/>
  <c r="L55" i="10"/>
  <c r="K55" i="10"/>
  <c r="L54" i="10"/>
  <c r="L53" i="10"/>
  <c r="K53" i="10"/>
  <c r="L52" i="10"/>
  <c r="K52" i="10"/>
  <c r="L51" i="10"/>
  <c r="K51" i="10"/>
  <c r="L50" i="10"/>
  <c r="K50" i="10"/>
  <c r="L47" i="10"/>
  <c r="K47" i="10"/>
  <c r="L46" i="10"/>
  <c r="K46" i="10"/>
  <c r="L45" i="10"/>
  <c r="K45" i="10"/>
  <c r="L42" i="10"/>
  <c r="K42" i="10"/>
  <c r="L41" i="10"/>
  <c r="K41" i="10"/>
  <c r="L40" i="10"/>
  <c r="K40" i="10"/>
  <c r="L39" i="10"/>
  <c r="K39" i="10"/>
  <c r="L38" i="10"/>
  <c r="K38" i="10"/>
  <c r="L37" i="10"/>
  <c r="K37" i="10"/>
  <c r="L36" i="10"/>
  <c r="K36" i="10"/>
  <c r="L35" i="10"/>
  <c r="K35" i="10"/>
  <c r="L34" i="10"/>
  <c r="K34" i="10"/>
  <c r="L31" i="10"/>
  <c r="K31" i="10"/>
  <c r="L28" i="10"/>
  <c r="K28" i="10"/>
  <c r="L27" i="10"/>
  <c r="K27" i="10"/>
  <c r="L24" i="10"/>
  <c r="K24" i="10"/>
  <c r="L23" i="10"/>
  <c r="K23" i="10"/>
  <c r="L22" i="10"/>
  <c r="K22" i="10"/>
  <c r="L21" i="10"/>
  <c r="K21" i="10"/>
  <c r="L18" i="10"/>
  <c r="K18" i="10"/>
  <c r="L17" i="10"/>
  <c r="L16" i="10"/>
  <c r="K16" i="10"/>
  <c r="L15" i="10"/>
  <c r="K15" i="10"/>
  <c r="L12" i="10"/>
  <c r="K12" i="10"/>
  <c r="L9" i="10"/>
  <c r="K9" i="10"/>
  <c r="L8" i="10"/>
  <c r="K8" i="10"/>
  <c r="L7" i="10"/>
  <c r="K7" i="10"/>
  <c r="L6" i="10"/>
  <c r="K6" i="10"/>
  <c r="L39" i="9"/>
  <c r="K39" i="9"/>
  <c r="L36" i="9"/>
  <c r="K36" i="9"/>
  <c r="L35" i="9"/>
  <c r="K35" i="9"/>
  <c r="L34" i="9"/>
  <c r="K34" i="9"/>
  <c r="L33" i="9"/>
  <c r="K33" i="9"/>
  <c r="L30" i="9"/>
  <c r="K30" i="9"/>
  <c r="L29" i="9"/>
  <c r="K29" i="9"/>
  <c r="L28" i="9"/>
  <c r="K28" i="9"/>
  <c r="L27" i="9"/>
  <c r="K27" i="9"/>
  <c r="L24" i="9"/>
  <c r="K24" i="9"/>
  <c r="L23" i="9"/>
  <c r="K23" i="9"/>
  <c r="L20" i="9"/>
  <c r="K20" i="9"/>
  <c r="L19" i="9"/>
  <c r="K19" i="9"/>
  <c r="L18" i="9"/>
  <c r="K18" i="9"/>
  <c r="L17" i="9"/>
  <c r="K17" i="9"/>
  <c r="L14" i="9"/>
  <c r="L13" i="9"/>
  <c r="K13" i="9"/>
  <c r="L12" i="9"/>
  <c r="K12" i="9"/>
  <c r="L9" i="9"/>
  <c r="K9" i="9"/>
  <c r="L6" i="9"/>
  <c r="K6" i="9"/>
  <c r="T6" i="8"/>
  <c r="T12" i="7"/>
  <c r="T9" i="7"/>
  <c r="S9" i="7"/>
  <c r="T6" i="7"/>
  <c r="T53" i="6"/>
  <c r="T52" i="6"/>
  <c r="S52" i="6"/>
  <c r="T49" i="6"/>
  <c r="T48" i="6"/>
  <c r="S48" i="6"/>
  <c r="T47" i="6"/>
  <c r="T46" i="6"/>
  <c r="T43" i="6"/>
  <c r="T42" i="6"/>
  <c r="S42" i="6"/>
  <c r="T41" i="6"/>
  <c r="S41" i="6"/>
  <c r="T38" i="6"/>
  <c r="T37" i="6"/>
  <c r="S37" i="6"/>
  <c r="T36" i="6"/>
  <c r="T33" i="6"/>
  <c r="S33" i="6"/>
  <c r="T32" i="6"/>
  <c r="T29" i="6"/>
  <c r="T26" i="6"/>
  <c r="S26" i="6"/>
  <c r="T23" i="6"/>
  <c r="S23" i="6"/>
  <c r="T22" i="6"/>
  <c r="S22" i="6"/>
  <c r="T21" i="6"/>
  <c r="T20" i="6"/>
  <c r="S20" i="6"/>
  <c r="T19" i="6"/>
  <c r="S19" i="6"/>
  <c r="T18" i="6"/>
  <c r="S18" i="6"/>
  <c r="T15" i="6"/>
  <c r="T14" i="6"/>
  <c r="S14" i="6"/>
  <c r="T13" i="6"/>
  <c r="T12" i="6"/>
  <c r="S12" i="6"/>
  <c r="T9" i="6"/>
  <c r="T6" i="6"/>
  <c r="T11" i="5"/>
  <c r="T8" i="5"/>
  <c r="S8" i="5"/>
  <c r="T7" i="5"/>
  <c r="S7" i="5"/>
  <c r="T6" i="5"/>
  <c r="S6" i="5"/>
</calcChain>
</file>

<file path=xl/sharedStrings.xml><?xml version="1.0" encoding="utf-8"?>
<sst xmlns="http://schemas.openxmlformats.org/spreadsheetml/2006/main" count="2591" uniqueCount="719">
  <si>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</si>
  <si>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</si>
  <si>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</si>
  <si>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</si>
  <si>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</si>
  <si>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</si>
  <si>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</si>
  <si>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</si>
  <si>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</si>
  <si>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</si>
  <si>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110</t>
  </si>
  <si>
    <t>Филимонов Павел</t>
  </si>
  <si>
    <t>109,50</t>
  </si>
  <si>
    <t>220,0</t>
  </si>
  <si>
    <t>230,0</t>
  </si>
  <si>
    <t>240,0</t>
  </si>
  <si>
    <t>135,0</t>
  </si>
  <si>
    <t>145,0</t>
  </si>
  <si>
    <t>255,0</t>
  </si>
  <si>
    <t>265,0</t>
  </si>
  <si>
    <t xml:space="preserve">Смирнов О. </t>
  </si>
  <si>
    <t>Лысиков Дмитрий</t>
  </si>
  <si>
    <t>Открытая (18.02.1988)/33</t>
  </si>
  <si>
    <t>109,80</t>
  </si>
  <si>
    <t>235,0</t>
  </si>
  <si>
    <t>245,0</t>
  </si>
  <si>
    <t>140,0</t>
  </si>
  <si>
    <t>150,0</t>
  </si>
  <si>
    <t>155,0</t>
  </si>
  <si>
    <t>295,0</t>
  </si>
  <si>
    <t>305,0</t>
  </si>
  <si>
    <t>310,0</t>
  </si>
  <si>
    <t>Открытая (09.09.1999)/21</t>
  </si>
  <si>
    <t>ВЕСОВАЯ КАТЕГОРИЯ   125</t>
  </si>
  <si>
    <t>Смирнов Сергей</t>
  </si>
  <si>
    <t>Открытая (11.08.1987)/33</t>
  </si>
  <si>
    <t>116,40</t>
  </si>
  <si>
    <t>275,0</t>
  </si>
  <si>
    <t xml:space="preserve">Абсолютный зачёт </t>
  </si>
  <si>
    <t xml:space="preserve">Мужчины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</si>
  <si>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</si>
  <si>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</si>
  <si>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</si>
  <si>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</si>
  <si>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</si>
  <si>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110</t>
  </si>
  <si>
    <t xml:space="preserve">Открытая </t>
  </si>
  <si>
    <t>125</t>
  </si>
  <si>
    <t>1</t>
  </si>
  <si>
    <t>2</t>
  </si>
  <si>
    <t/>
  </si>
  <si>
    <t>ВЕСОВАЯ КАТЕГОРИЯ   52</t>
  </si>
  <si>
    <t>Скворцова Варвара</t>
  </si>
  <si>
    <t>Открытая (19.01.1994)/27</t>
  </si>
  <si>
    <t>52,00</t>
  </si>
  <si>
    <t>80,0</t>
  </si>
  <si>
    <t>40,0</t>
  </si>
  <si>
    <t>45,0</t>
  </si>
  <si>
    <t>47,5</t>
  </si>
  <si>
    <t>92,5</t>
  </si>
  <si>
    <t>97,5</t>
  </si>
  <si>
    <t>100,0</t>
  </si>
  <si>
    <t>ВЕСОВАЯ КАТЕГОРИЯ   56</t>
  </si>
  <si>
    <t>Пономарева Елена</t>
  </si>
  <si>
    <t>Открытая (30.10.1988)/32</t>
  </si>
  <si>
    <t>52,90</t>
  </si>
  <si>
    <t>55,0</t>
  </si>
  <si>
    <t>35,0</t>
  </si>
  <si>
    <t>42,5</t>
  </si>
  <si>
    <t>75,0</t>
  </si>
  <si>
    <t>85,0</t>
  </si>
  <si>
    <t xml:space="preserve">Глобин Д. </t>
  </si>
  <si>
    <t>ВЕСОВАЯ КАТЕГОРИЯ   60</t>
  </si>
  <si>
    <t>Кияшко Надежда</t>
  </si>
  <si>
    <t>Открытая (19.05.1994)/26</t>
  </si>
  <si>
    <t>59,70</t>
  </si>
  <si>
    <t>115,0</t>
  </si>
  <si>
    <t>130,0</t>
  </si>
  <si>
    <t>70,0</t>
  </si>
  <si>
    <t>190,0</t>
  </si>
  <si>
    <t xml:space="preserve">Конников С. </t>
  </si>
  <si>
    <t>Колоницкая Екатерина</t>
  </si>
  <si>
    <t>Открытая (02.08.1985)/35</t>
  </si>
  <si>
    <t>59,10</t>
  </si>
  <si>
    <t>105,0</t>
  </si>
  <si>
    <t>62,5</t>
  </si>
  <si>
    <t xml:space="preserve">Матиев З. </t>
  </si>
  <si>
    <t>Руденко Зинаида</t>
  </si>
  <si>
    <t>Открытая (07.09.1975)/45</t>
  </si>
  <si>
    <t>58,90</t>
  </si>
  <si>
    <t>95,0</t>
  </si>
  <si>
    <t>57,5</t>
  </si>
  <si>
    <t>60,0</t>
  </si>
  <si>
    <t>137,5</t>
  </si>
  <si>
    <t>142,5</t>
  </si>
  <si>
    <t xml:space="preserve">Немнонов С. </t>
  </si>
  <si>
    <t>Рогозина Варвара</t>
  </si>
  <si>
    <t>Открытая (17.11.1992)/28</t>
  </si>
  <si>
    <t>59,00</t>
  </si>
  <si>
    <t>50,0</t>
  </si>
  <si>
    <t>52,5</t>
  </si>
  <si>
    <t>110,0</t>
  </si>
  <si>
    <t>ВЕСОВАЯ КАТЕГОРИЯ   67.5</t>
  </si>
  <si>
    <t>Москаленко Анна</t>
  </si>
  <si>
    <t>Открытая (24.01.1988)/33</t>
  </si>
  <si>
    <t>67,00</t>
  </si>
  <si>
    <t>120,0</t>
  </si>
  <si>
    <t xml:space="preserve">Ермолаева Д. </t>
  </si>
  <si>
    <t>Соколова Татьяна</t>
  </si>
  <si>
    <t>Открытая (25.06.1990)/30</t>
  </si>
  <si>
    <t>64,40</t>
  </si>
  <si>
    <t>Лозыченко Александра</t>
  </si>
  <si>
    <t>Открытая (17.10.1991)/29</t>
  </si>
  <si>
    <t>64,00</t>
  </si>
  <si>
    <t>Фирсова Анастасия</t>
  </si>
  <si>
    <t>Открытая (14.09.1983)/37</t>
  </si>
  <si>
    <t>64,70</t>
  </si>
  <si>
    <t xml:space="preserve">Матвеев С. </t>
  </si>
  <si>
    <t>Пчелкина Светлана</t>
  </si>
  <si>
    <t>Открытая (18.08.1986)/34</t>
  </si>
  <si>
    <t>Мишурина Елена</t>
  </si>
  <si>
    <t>Открытая (21.02.1983)/38</t>
  </si>
  <si>
    <t>66,50</t>
  </si>
  <si>
    <t>90,0</t>
  </si>
  <si>
    <t>65,0</t>
  </si>
  <si>
    <t>67,5</t>
  </si>
  <si>
    <t>102,5</t>
  </si>
  <si>
    <t>ВЕСОВАЯ КАТЕГОРИЯ   82.5</t>
  </si>
  <si>
    <t>Кондратьева Кристина</t>
  </si>
  <si>
    <t>79,50</t>
  </si>
  <si>
    <t>Ляховская Юлианна</t>
  </si>
  <si>
    <t>Открытая (26.10.1995)/25</t>
  </si>
  <si>
    <t>50,30</t>
  </si>
  <si>
    <t>72,5</t>
  </si>
  <si>
    <t xml:space="preserve">Абашин А. </t>
  </si>
  <si>
    <t>ВЕСОВАЯ КАТЕГОРИЯ   75</t>
  </si>
  <si>
    <t>Осиновский Александр</t>
  </si>
  <si>
    <t>Открытая (18.07.1991)/29</t>
  </si>
  <si>
    <t>71,80</t>
  </si>
  <si>
    <t>187,5</t>
  </si>
  <si>
    <t>195,0</t>
  </si>
  <si>
    <t>205,0</t>
  </si>
  <si>
    <t xml:space="preserve">Астахов Д. </t>
  </si>
  <si>
    <t>Панкратьев Алексей</t>
  </si>
  <si>
    <t>Открытая (08.05.1988)/32</t>
  </si>
  <si>
    <t>74,40</t>
  </si>
  <si>
    <t xml:space="preserve">Отрадное/Ленинградская область </t>
  </si>
  <si>
    <t>125,0</t>
  </si>
  <si>
    <t>180,0</t>
  </si>
  <si>
    <t>200,0</t>
  </si>
  <si>
    <t>215,0</t>
  </si>
  <si>
    <t>Литовкин Дмитрий</t>
  </si>
  <si>
    <t>Открытая (13.12.1987)/33</t>
  </si>
  <si>
    <t>81,90</t>
  </si>
  <si>
    <t xml:space="preserve">Нарскин А. </t>
  </si>
  <si>
    <t>Хохлов Александр</t>
  </si>
  <si>
    <t>Открытая (16.05.1987)/33</t>
  </si>
  <si>
    <t>82,00</t>
  </si>
  <si>
    <t>172,5</t>
  </si>
  <si>
    <t>182,5</t>
  </si>
  <si>
    <t>112,0</t>
  </si>
  <si>
    <t>217,5</t>
  </si>
  <si>
    <t>Хитрецов Станислав</t>
  </si>
  <si>
    <t>81,50</t>
  </si>
  <si>
    <t>ВЕСОВАЯ КАТЕГОРИЯ   90</t>
  </si>
  <si>
    <t>Иванов Владимир</t>
  </si>
  <si>
    <t>Открытая (13.06.1990)/30</t>
  </si>
  <si>
    <t>88,50</t>
  </si>
  <si>
    <t xml:space="preserve">Санкт-Петербург </t>
  </si>
  <si>
    <t>162,5</t>
  </si>
  <si>
    <t>167,5</t>
  </si>
  <si>
    <t>185,0</t>
  </si>
  <si>
    <t>202,5</t>
  </si>
  <si>
    <t xml:space="preserve">Смирнов А. </t>
  </si>
  <si>
    <t>Лысцов Евгений</t>
  </si>
  <si>
    <t>Открытая (11.06.1989)/31</t>
  </si>
  <si>
    <t>89,20</t>
  </si>
  <si>
    <t>160,0</t>
  </si>
  <si>
    <t>165,0</t>
  </si>
  <si>
    <t>Мартынов Илья</t>
  </si>
  <si>
    <t>Открытая (29.04.1986)/34</t>
  </si>
  <si>
    <t>89,00</t>
  </si>
  <si>
    <t>ВЕСОВАЯ КАТЕГОРИЯ   100</t>
  </si>
  <si>
    <t>Парамоненко Никита</t>
  </si>
  <si>
    <t>Юноши 15-19 (26.01.2006)/15</t>
  </si>
  <si>
    <t>96,20</t>
  </si>
  <si>
    <t xml:space="preserve">Сланцы/Ленинградская область </t>
  </si>
  <si>
    <t xml:space="preserve">Васильев С. </t>
  </si>
  <si>
    <t>Зубков Александр</t>
  </si>
  <si>
    <t>Открытая (08.10.1978)/42</t>
  </si>
  <si>
    <t>99,60</t>
  </si>
  <si>
    <t>225,0</t>
  </si>
  <si>
    <t>Пономарев Игорь</t>
  </si>
  <si>
    <t>Открытая (28.02.1990)/31</t>
  </si>
  <si>
    <t>91,00</t>
  </si>
  <si>
    <t>Протопопов Андрей</t>
  </si>
  <si>
    <t>Открытая (27.02.1996)/25</t>
  </si>
  <si>
    <t>95,00</t>
  </si>
  <si>
    <t>147,5</t>
  </si>
  <si>
    <t>Суворов Александр</t>
  </si>
  <si>
    <t>Открытая (16.04.1995)/25</t>
  </si>
  <si>
    <t>108,00</t>
  </si>
  <si>
    <t>250,0</t>
  </si>
  <si>
    <t>280,0</t>
  </si>
  <si>
    <t>300,0</t>
  </si>
  <si>
    <t xml:space="preserve">Савченко А. </t>
  </si>
  <si>
    <t>Шиляев Алексей</t>
  </si>
  <si>
    <t>Открытая (07.07.1995)/25</t>
  </si>
  <si>
    <t>105,00</t>
  </si>
  <si>
    <t>117,5</t>
  </si>
  <si>
    <t xml:space="preserve">Тимофеев Д. </t>
  </si>
  <si>
    <t xml:space="preserve">Женщины </t>
  </si>
  <si>
    <t>82.5</t>
  </si>
  <si>
    <t>60</t>
  </si>
  <si>
    <t>350,0</t>
  </si>
  <si>
    <t>391,7200</t>
  </si>
  <si>
    <t>344,0705</t>
  </si>
  <si>
    <t>302,5</t>
  </si>
  <si>
    <t>342,1275</t>
  </si>
  <si>
    <t>100</t>
  </si>
  <si>
    <t>625,0</t>
  </si>
  <si>
    <t>420,5625</t>
  </si>
  <si>
    <t>690,0</t>
  </si>
  <si>
    <t>408,4110</t>
  </si>
  <si>
    <t>75</t>
  </si>
  <si>
    <t>530,0</t>
  </si>
  <si>
    <t>389,6560</t>
  </si>
  <si>
    <t>-</t>
  </si>
  <si>
    <t>3</t>
  </si>
  <si>
    <t>4</t>
  </si>
  <si>
    <t>5</t>
  </si>
  <si>
    <t>6</t>
  </si>
  <si>
    <t>Калинин Максим</t>
  </si>
  <si>
    <t>Открытая (29.03.1987)/34</t>
  </si>
  <si>
    <t>81,70</t>
  </si>
  <si>
    <t>Смирнов Александр</t>
  </si>
  <si>
    <t>Открытая (17.02.1987)/34</t>
  </si>
  <si>
    <t>93,30</t>
  </si>
  <si>
    <t>170,0</t>
  </si>
  <si>
    <t>270,0</t>
  </si>
  <si>
    <t>Комков Александр</t>
  </si>
  <si>
    <t>Открытая (26.11.1983)/37</t>
  </si>
  <si>
    <t>120,80</t>
  </si>
  <si>
    <t>210,0</t>
  </si>
  <si>
    <t>Николаев Александр</t>
  </si>
  <si>
    <t>Открытая (21.09.1985)/35</t>
  </si>
  <si>
    <t>115,00</t>
  </si>
  <si>
    <t>Галич Инга</t>
  </si>
  <si>
    <t>Открытая (18.01.1970)/51</t>
  </si>
  <si>
    <t>69,50</t>
  </si>
  <si>
    <t xml:space="preserve">Суслов Н. </t>
  </si>
  <si>
    <t>Кучугуров Иван</t>
  </si>
  <si>
    <t>Открытая (23.05.1991)/29</t>
  </si>
  <si>
    <t>81,40</t>
  </si>
  <si>
    <t>Клищ Роман</t>
  </si>
  <si>
    <t>Открытая (29.03.1992)/29</t>
  </si>
  <si>
    <t>90,00</t>
  </si>
  <si>
    <t>Кармальков Сергей</t>
  </si>
  <si>
    <t>Открытая (01.06.1981)/39</t>
  </si>
  <si>
    <t>89,80</t>
  </si>
  <si>
    <t>Филиппов Станислав</t>
  </si>
  <si>
    <t>Открытая (06.08.1991)/29</t>
  </si>
  <si>
    <t>86,60</t>
  </si>
  <si>
    <t>Кротиков Евгений</t>
  </si>
  <si>
    <t>Открытая (13.01.1992)/29</t>
  </si>
  <si>
    <t>96,00</t>
  </si>
  <si>
    <t>Артамонов Вячеслав</t>
  </si>
  <si>
    <t>Открытая (16.07.1987)/33</t>
  </si>
  <si>
    <t>96,90</t>
  </si>
  <si>
    <t xml:space="preserve">Всеволожск/Ленинградская область </t>
  </si>
  <si>
    <t xml:space="preserve">Антонов Л. </t>
  </si>
  <si>
    <t>Мельник Андрей</t>
  </si>
  <si>
    <t>Открытая (27.07.1989)/31</t>
  </si>
  <si>
    <t>98,70</t>
  </si>
  <si>
    <t>Брагинец Алексей</t>
  </si>
  <si>
    <t>Открытая (14.08.1987)/33</t>
  </si>
  <si>
    <t>100,00</t>
  </si>
  <si>
    <t>Генералов Илья</t>
  </si>
  <si>
    <t>Открытая (27.07.1995)/25</t>
  </si>
  <si>
    <t>108,60</t>
  </si>
  <si>
    <t>Кожемякин Евгений</t>
  </si>
  <si>
    <t>Открытая (30.09.1982)/38</t>
  </si>
  <si>
    <t>107,10</t>
  </si>
  <si>
    <t xml:space="preserve">Тучин А. </t>
  </si>
  <si>
    <t>Пухов Алексей</t>
  </si>
  <si>
    <t>Открытая (08.02.1974)/47</t>
  </si>
  <si>
    <t>110,90</t>
  </si>
  <si>
    <t xml:space="preserve">Дроздов А. </t>
  </si>
  <si>
    <t>Вересов Павел</t>
  </si>
  <si>
    <t>Открытая (05.12.1981)/39</t>
  </si>
  <si>
    <t>116,60</t>
  </si>
  <si>
    <t>Пешков Андрей</t>
  </si>
  <si>
    <t>124,30</t>
  </si>
  <si>
    <t>207,5</t>
  </si>
  <si>
    <t xml:space="preserve">Грахов Ю. </t>
  </si>
  <si>
    <t>Ефименков Александр</t>
  </si>
  <si>
    <t>118,50</t>
  </si>
  <si>
    <t>ВЕСОВАЯ КАТЕГОРИЯ   140</t>
  </si>
  <si>
    <t>Крылов Олег</t>
  </si>
  <si>
    <t>Открытая (04.11.1973)/47</t>
  </si>
  <si>
    <t>130,00</t>
  </si>
  <si>
    <t>Зубарев Андрей</t>
  </si>
  <si>
    <t>Открытая (01.02.1981)/40</t>
  </si>
  <si>
    <t>133,40</t>
  </si>
  <si>
    <t>ВЕСОВАЯ КАТЕГОРИЯ   140+</t>
  </si>
  <si>
    <t>Гогуев Расул</t>
  </si>
  <si>
    <t>Открытая (26.08.1987)/33</t>
  </si>
  <si>
    <t>160,70</t>
  </si>
  <si>
    <t xml:space="preserve">Гаджиев Р. </t>
  </si>
  <si>
    <t xml:space="preserve">Результат </t>
  </si>
  <si>
    <t>129,1400</t>
  </si>
  <si>
    <t>120,7245</t>
  </si>
  <si>
    <t>140+</t>
  </si>
  <si>
    <t>120,5380</t>
  </si>
  <si>
    <t>Результат</t>
  </si>
  <si>
    <t>Антонова Eкатерина</t>
  </si>
  <si>
    <t>Захватова Анастасия</t>
  </si>
  <si>
    <t>Открытая (21.07.1986)/34</t>
  </si>
  <si>
    <t>49,95</t>
  </si>
  <si>
    <t xml:space="preserve">Рак Я. </t>
  </si>
  <si>
    <t>Иудина Анастасия</t>
  </si>
  <si>
    <t>Открытая (03.12.1993)/27</t>
  </si>
  <si>
    <t>50,80</t>
  </si>
  <si>
    <t>Андреева Ольга</t>
  </si>
  <si>
    <t>Открытая (18.04.1993)/27</t>
  </si>
  <si>
    <t>51,40</t>
  </si>
  <si>
    <t>42,5o</t>
  </si>
  <si>
    <t>Кравцова Алина</t>
  </si>
  <si>
    <t>55,80</t>
  </si>
  <si>
    <t>Сайфуллина Юлия</t>
  </si>
  <si>
    <t>Открытая (25.03.1985)/36</t>
  </si>
  <si>
    <t>59,90</t>
  </si>
  <si>
    <t>Горшкова Елизавета</t>
  </si>
  <si>
    <t>Открытая (21.08.1982)/38</t>
  </si>
  <si>
    <t xml:space="preserve">Кияшко Н. </t>
  </si>
  <si>
    <t>Андриянова Ольга</t>
  </si>
  <si>
    <t>59,20</t>
  </si>
  <si>
    <t xml:space="preserve">Дмитриева Е. </t>
  </si>
  <si>
    <t>Семашко Ксения</t>
  </si>
  <si>
    <t>Девушки 15-19 (01.12.2005)/15</t>
  </si>
  <si>
    <t>63,50</t>
  </si>
  <si>
    <t>Кручина Светлана</t>
  </si>
  <si>
    <t>Открытая (19.02.1985)/36</t>
  </si>
  <si>
    <t>67,40</t>
  </si>
  <si>
    <t>Веселова Ирина</t>
  </si>
  <si>
    <t>Открытая (21.09.1991)/29</t>
  </si>
  <si>
    <t>66,40</t>
  </si>
  <si>
    <t>Малинина Елена</t>
  </si>
  <si>
    <t>71,20</t>
  </si>
  <si>
    <t>Дмитриева Елена</t>
  </si>
  <si>
    <t>68,00</t>
  </si>
  <si>
    <t>Заремба Денис</t>
  </si>
  <si>
    <t>Открытая (06.03.1995)/26</t>
  </si>
  <si>
    <t xml:space="preserve">Мурино/Ленинградская область </t>
  </si>
  <si>
    <t>Шелковый Максим</t>
  </si>
  <si>
    <t>Юноши 15-19 (03.08.2006)/14</t>
  </si>
  <si>
    <t>73,50</t>
  </si>
  <si>
    <t xml:space="preserve">Находка/Приморский край </t>
  </si>
  <si>
    <t>77,5</t>
  </si>
  <si>
    <t>Владыкин Игорь</t>
  </si>
  <si>
    <t>73,80</t>
  </si>
  <si>
    <t xml:space="preserve">Зуевка/Кировская область </t>
  </si>
  <si>
    <t>127,5</t>
  </si>
  <si>
    <t>Берков Дмитрий</t>
  </si>
  <si>
    <t>Открытая (07.08.1986)/34</t>
  </si>
  <si>
    <t>74,90</t>
  </si>
  <si>
    <t xml:space="preserve">Гатчина/Ленинградская область </t>
  </si>
  <si>
    <t>Рак Ярослав</t>
  </si>
  <si>
    <t>Открытая (09.04.1986)/34</t>
  </si>
  <si>
    <t>74,50</t>
  </si>
  <si>
    <t>Бандурко Сергей</t>
  </si>
  <si>
    <t>Открытая (13.01.1989)/32</t>
  </si>
  <si>
    <t>72,90</t>
  </si>
  <si>
    <t xml:space="preserve">Ивашин К. </t>
  </si>
  <si>
    <t>Николаев Артем</t>
  </si>
  <si>
    <t>Открытая (03.06.1995)/25</t>
  </si>
  <si>
    <t>73,10</t>
  </si>
  <si>
    <t>Колесников Дмитрий</t>
  </si>
  <si>
    <t>Открытая (26.09.1992)/28</t>
  </si>
  <si>
    <t>70,90</t>
  </si>
  <si>
    <t>107,5</t>
  </si>
  <si>
    <t>112,5</t>
  </si>
  <si>
    <t>Миленин Станислав</t>
  </si>
  <si>
    <t>73,30</t>
  </si>
  <si>
    <t xml:space="preserve">Скворцов М. </t>
  </si>
  <si>
    <t>Томинг Сергей</t>
  </si>
  <si>
    <t>Плешанов Дмитрий</t>
  </si>
  <si>
    <t>Открытая (10.05.1997)/23</t>
  </si>
  <si>
    <t>81,10</t>
  </si>
  <si>
    <t>Васильев Никита</t>
  </si>
  <si>
    <t>Открытая (01.03.1989)/32</t>
  </si>
  <si>
    <t>81,80</t>
  </si>
  <si>
    <t>132,5</t>
  </si>
  <si>
    <t>Шишкин Даниил</t>
  </si>
  <si>
    <t>Открытая (18.03.1999)/22</t>
  </si>
  <si>
    <t>78,50</t>
  </si>
  <si>
    <t>Антонов Антон</t>
  </si>
  <si>
    <t>Открытая (07.03.1989)/32</t>
  </si>
  <si>
    <t>87,80</t>
  </si>
  <si>
    <t>Галашкин Виталий</t>
  </si>
  <si>
    <t>Открытая (20.05.1990)/30</t>
  </si>
  <si>
    <t>89,90</t>
  </si>
  <si>
    <t xml:space="preserve">Валдай/Новгородская область </t>
  </si>
  <si>
    <t>Иванов Вадим</t>
  </si>
  <si>
    <t>Открытая (07.01.1988)/33</t>
  </si>
  <si>
    <t>152,5</t>
  </si>
  <si>
    <t>Юдкевич Михаил</t>
  </si>
  <si>
    <t>Открытая (19.10.1987)/33</t>
  </si>
  <si>
    <t>86,10</t>
  </si>
  <si>
    <t>Плешанов Сергей</t>
  </si>
  <si>
    <t>Открытая (21.01.1984)/37</t>
  </si>
  <si>
    <t>88,80</t>
  </si>
  <si>
    <t>Берзон Виталий</t>
  </si>
  <si>
    <t>88,90</t>
  </si>
  <si>
    <t xml:space="preserve">Нефёдова Н. </t>
  </si>
  <si>
    <t>Паншин Константин</t>
  </si>
  <si>
    <t>87,30</t>
  </si>
  <si>
    <t>Казарян Давид</t>
  </si>
  <si>
    <t>Юноши 15-19 (26.04.2002)/18</t>
  </si>
  <si>
    <t>99,50</t>
  </si>
  <si>
    <t>Прыгунов Михаил</t>
  </si>
  <si>
    <t>Открытая (16.08.1984)/36</t>
  </si>
  <si>
    <t>97,40</t>
  </si>
  <si>
    <t>Иванов Сергей</t>
  </si>
  <si>
    <t>Открытая (12.11.1986)/34</t>
  </si>
  <si>
    <t>96,60</t>
  </si>
  <si>
    <t>Архипов Вячеслав</t>
  </si>
  <si>
    <t>Открытая (08.02.1995)/26</t>
  </si>
  <si>
    <t>99,70</t>
  </si>
  <si>
    <t xml:space="preserve">Гробовой А. </t>
  </si>
  <si>
    <t>Чирков Алексей</t>
  </si>
  <si>
    <t>94,00</t>
  </si>
  <si>
    <t>Смирнов Виктор</t>
  </si>
  <si>
    <t>Открытая (07.03.1984)/37</t>
  </si>
  <si>
    <t>Золотов Анатолий</t>
  </si>
  <si>
    <t>Открытая (13.04.1972)/48</t>
  </si>
  <si>
    <t>120,00</t>
  </si>
  <si>
    <t xml:space="preserve">Фёдоров А. </t>
  </si>
  <si>
    <t>Иванов Михаил</t>
  </si>
  <si>
    <t>Открытая (02.07.1976)/44</t>
  </si>
  <si>
    <t>123,10</t>
  </si>
  <si>
    <t xml:space="preserve">Рыбаков Д. </t>
  </si>
  <si>
    <t>Захарьянц Денис</t>
  </si>
  <si>
    <t>Открытая (30.11.1984)/36</t>
  </si>
  <si>
    <t>118,80</t>
  </si>
  <si>
    <t>157,5</t>
  </si>
  <si>
    <t>Модин Валентин</t>
  </si>
  <si>
    <t>194,80</t>
  </si>
  <si>
    <t xml:space="preserve">Корсаков М. </t>
  </si>
  <si>
    <t>67.5</t>
  </si>
  <si>
    <t>52</t>
  </si>
  <si>
    <t>70,9460</t>
  </si>
  <si>
    <t>69,7687</t>
  </si>
  <si>
    <t>69,6398</t>
  </si>
  <si>
    <t>116,4172</t>
  </si>
  <si>
    <t>90</t>
  </si>
  <si>
    <t>111,5558</t>
  </si>
  <si>
    <t>110,1930</t>
  </si>
  <si>
    <t>Анфарович Александр</t>
  </si>
  <si>
    <t>Кравцов Константин</t>
  </si>
  <si>
    <t>Открытая (26.10.1982)/38</t>
  </si>
  <si>
    <t>98,10</t>
  </si>
  <si>
    <t>Кузнецова Анастасия</t>
  </si>
  <si>
    <t>Открытая (08.02.1988)/33</t>
  </si>
  <si>
    <t>71,10</t>
  </si>
  <si>
    <t xml:space="preserve">Киселёв С. </t>
  </si>
  <si>
    <t>Курдун Анастасия</t>
  </si>
  <si>
    <t>Девушки 15-19 (11.05.2006)/14</t>
  </si>
  <si>
    <t>76,60</t>
  </si>
  <si>
    <t>Открытая (11.05.2006)/14</t>
  </si>
  <si>
    <t>Михайлов Александр</t>
  </si>
  <si>
    <t>88,10</t>
  </si>
  <si>
    <t xml:space="preserve">Таранухин Г. </t>
  </si>
  <si>
    <t>Костылев Алексей</t>
  </si>
  <si>
    <t>116,70</t>
  </si>
  <si>
    <t>Голубева Кристина</t>
  </si>
  <si>
    <t>Открытая (02.02.1990)/31</t>
  </si>
  <si>
    <t>54,70</t>
  </si>
  <si>
    <t xml:space="preserve">Василенко А. </t>
  </si>
  <si>
    <t>Кремлева Анна</t>
  </si>
  <si>
    <t>Открытая (22.06.1990)/30</t>
  </si>
  <si>
    <t>Христова Диана</t>
  </si>
  <si>
    <t>Открытая (23.11.1995)/25</t>
  </si>
  <si>
    <t>65,00</t>
  </si>
  <si>
    <t>122,5</t>
  </si>
  <si>
    <t>Глазачева Станислава</t>
  </si>
  <si>
    <t>Девушки 15-19 (17.02.2004)/17</t>
  </si>
  <si>
    <t>74,00</t>
  </si>
  <si>
    <t xml:space="preserve">Кузнецова А. </t>
  </si>
  <si>
    <t>Петров Егор</t>
  </si>
  <si>
    <t>Юноши 15-19 (12.11.2001)/19</t>
  </si>
  <si>
    <t xml:space="preserve">Левин А. </t>
  </si>
  <si>
    <t>Павлов Роман</t>
  </si>
  <si>
    <t>Открытая (12.12.1986)/34</t>
  </si>
  <si>
    <t xml:space="preserve">Боровичи/Новгородская область </t>
  </si>
  <si>
    <t>Литвиненко Павел</t>
  </si>
  <si>
    <t>Открытая (17.04.1981)/39</t>
  </si>
  <si>
    <t>86,00</t>
  </si>
  <si>
    <t>Макеев Павел</t>
  </si>
  <si>
    <t>88,20</t>
  </si>
  <si>
    <t>Андреев Алексей</t>
  </si>
  <si>
    <t>Мамешин Андрей</t>
  </si>
  <si>
    <t>Открытая (17.02.1988)/33</t>
  </si>
  <si>
    <t>94,70</t>
  </si>
  <si>
    <t>252,5</t>
  </si>
  <si>
    <t xml:space="preserve">Кудряшов С. </t>
  </si>
  <si>
    <t>Хайко Александр</t>
  </si>
  <si>
    <t>Открытая (14.09.1992)/28</t>
  </si>
  <si>
    <t>93,10</t>
  </si>
  <si>
    <t>Макаров Артур</t>
  </si>
  <si>
    <t>115,30</t>
  </si>
  <si>
    <t>161,1675</t>
  </si>
  <si>
    <t>145,1190</t>
  </si>
  <si>
    <t>136,3830</t>
  </si>
  <si>
    <t>165,7320</t>
  </si>
  <si>
    <t>162,4560</t>
  </si>
  <si>
    <t>149,4960</t>
  </si>
  <si>
    <t>Попенков Никита</t>
  </si>
  <si>
    <t>Открытая (18.03.1998)/23</t>
  </si>
  <si>
    <t>124,70</t>
  </si>
  <si>
    <t>242,5</t>
  </si>
  <si>
    <t>Седляр Леонид</t>
  </si>
  <si>
    <t>72,70</t>
  </si>
  <si>
    <t>Кульпин Никита</t>
  </si>
  <si>
    <t>Открытая (11.10.1993)/27</t>
  </si>
  <si>
    <t>51,50</t>
  </si>
  <si>
    <t>Сафонова Елена</t>
  </si>
  <si>
    <t xml:space="preserve">Ковтун Е. </t>
  </si>
  <si>
    <t>Томилов Никита</t>
  </si>
  <si>
    <t>73,20</t>
  </si>
  <si>
    <t>Василенко Александр</t>
  </si>
  <si>
    <t>Открытая (09.12.1995)/25</t>
  </si>
  <si>
    <t>88,30</t>
  </si>
  <si>
    <t xml:space="preserve">Солдатов А. </t>
  </si>
  <si>
    <t>Ковтун Евгений</t>
  </si>
  <si>
    <t>Открытая (21.09.1982)/38</t>
  </si>
  <si>
    <t>91,90</t>
  </si>
  <si>
    <t xml:space="preserve">Забайкальск/Забайкальский край </t>
  </si>
  <si>
    <t>Альтмарк Александр</t>
  </si>
  <si>
    <t>92,40</t>
  </si>
  <si>
    <t>192,5</t>
  </si>
  <si>
    <t>320,0</t>
  </si>
  <si>
    <t>Тяга</t>
  </si>
  <si>
    <t xml:space="preserve">Gloss </t>
  </si>
  <si>
    <t>25,0</t>
  </si>
  <si>
    <t>Соколов Алексей</t>
  </si>
  <si>
    <t>Открытая (10.10.1984)/36</t>
  </si>
  <si>
    <t>97,30</t>
  </si>
  <si>
    <t xml:space="preserve">Тихвин/Ленинградская область </t>
  </si>
  <si>
    <t>260,0</t>
  </si>
  <si>
    <t>Горностаев Александр</t>
  </si>
  <si>
    <t>92,90</t>
  </si>
  <si>
    <t>Алтухов Александр</t>
  </si>
  <si>
    <t>Открытая (31.03.1989)/32</t>
  </si>
  <si>
    <t>107,50</t>
  </si>
  <si>
    <t>232,5</t>
  </si>
  <si>
    <t>ВЕСОВАЯ КАТЕГОРИЯ   75+</t>
  </si>
  <si>
    <t>27,5</t>
  </si>
  <si>
    <t>Коцюбинская Жаннета</t>
  </si>
  <si>
    <t>Открытая (10.02.1990)/31</t>
  </si>
  <si>
    <t>51,70</t>
  </si>
  <si>
    <t>32,5</t>
  </si>
  <si>
    <t>37,5</t>
  </si>
  <si>
    <t>41,0</t>
  </si>
  <si>
    <t>30,0</t>
  </si>
  <si>
    <t>Галкина Нина</t>
  </si>
  <si>
    <t>Открытая (02.04.1988)/33</t>
  </si>
  <si>
    <t>65,40</t>
  </si>
  <si>
    <t xml:space="preserve">Череповец/Вологодская область </t>
  </si>
  <si>
    <t>55,5</t>
  </si>
  <si>
    <t>Джатиев Эльбрус</t>
  </si>
  <si>
    <t>Открытая (17.07.2006)/14</t>
  </si>
  <si>
    <t>Иванов Евгений</t>
  </si>
  <si>
    <t>Открытая (27.08.1988)/32</t>
  </si>
  <si>
    <t>Зубов Владимир</t>
  </si>
  <si>
    <t>Открытая (21.12.1992)/28</t>
  </si>
  <si>
    <t>72,10</t>
  </si>
  <si>
    <t>Калачев Александр</t>
  </si>
  <si>
    <t>Открытая (07.05.1993)/27</t>
  </si>
  <si>
    <t>78,60</t>
  </si>
  <si>
    <t>Лимаренко Юрий</t>
  </si>
  <si>
    <t>Открытая (08.06.1994)/26</t>
  </si>
  <si>
    <t xml:space="preserve">Руденко А. </t>
  </si>
  <si>
    <t>Панов Андрей</t>
  </si>
  <si>
    <t>Открытая (29.02.1992)/29</t>
  </si>
  <si>
    <t>82,50</t>
  </si>
  <si>
    <t>Никитин Иван</t>
  </si>
  <si>
    <t>Открытая (19.12.1994)/26</t>
  </si>
  <si>
    <t>79,40</t>
  </si>
  <si>
    <t>Тарасенко Иван</t>
  </si>
  <si>
    <t>Открытая (10.11.1985)/35</t>
  </si>
  <si>
    <t>80,00</t>
  </si>
  <si>
    <t>Боровиков Артем</t>
  </si>
  <si>
    <t>82,20</t>
  </si>
  <si>
    <t xml:space="preserve">Костюченков К. </t>
  </si>
  <si>
    <t>Руденко Антон</t>
  </si>
  <si>
    <t>Открытая (28.12.1990)/30</t>
  </si>
  <si>
    <t>87,50</t>
  </si>
  <si>
    <t>Федосов Вячеслав</t>
  </si>
  <si>
    <t>Васильев Станислав</t>
  </si>
  <si>
    <t>97,80</t>
  </si>
  <si>
    <t>Открытая (18.11.1997)/23</t>
  </si>
  <si>
    <t>Старцев Ефим</t>
  </si>
  <si>
    <t>Открытая (21.05.1976)/44</t>
  </si>
  <si>
    <t>97,10</t>
  </si>
  <si>
    <t>Лысенко Дмитрий</t>
  </si>
  <si>
    <t>Открытая (07.04.1986)/34</t>
  </si>
  <si>
    <t>109,00</t>
  </si>
  <si>
    <t>103,30</t>
  </si>
  <si>
    <t>46,9560</t>
  </si>
  <si>
    <t>46,4479</t>
  </si>
  <si>
    <t>45,1160</t>
  </si>
  <si>
    <t>Анникова Елена</t>
  </si>
  <si>
    <t>Открытая (19.12.1987)/33</t>
  </si>
  <si>
    <t>58,00</t>
  </si>
  <si>
    <t>Поплевкин Леонид</t>
  </si>
  <si>
    <t>Открытая (21.06.1988)/32</t>
  </si>
  <si>
    <t>87,70</t>
  </si>
  <si>
    <t xml:space="preserve">Поплевкин А. </t>
  </si>
  <si>
    <t>20,0</t>
  </si>
  <si>
    <t>Грахов Ю.</t>
  </si>
  <si>
    <t>Санкт-Петербург</t>
  </si>
  <si>
    <t>Всероссийский мастерский турнир "Северная Столица V"
IPL Пауэрлифтинг без экипировки ДК
Санкт-Петербург, 3-4 апреля 2021 года</t>
  </si>
  <si>
    <t>Юниорки 20-23 (30.05.2000)/20</t>
  </si>
  <si>
    <t>Мастера 45-49 (08.04.1975)/45</t>
  </si>
  <si>
    <t>Всероссийский мастерский турнир "Северная Столица V"
IPL Пауэрлифтинг без экипировки
Санкт-Петербург, 3-4 апреля 2021 года</t>
  </si>
  <si>
    <t>Юниоры 20-23 (09.09.1999)/21</t>
  </si>
  <si>
    <t>Всероссийский мастерский турнир "Северная Столица V"
IPL Пауэрлифтинг в бинтах ДК
Санкт-Петербург, 3-4 апреля 2021 года</t>
  </si>
  <si>
    <t>Всероссийский мастерский турнир "Северная Столица V"
IPL Пауэрлифтинг в бинтах
Санкт-Петербург, 3-4 апреля 2021 года</t>
  </si>
  <si>
    <t>Всероссийский мастерский турнир "Северная Столица V"
IPL Силовое двоеборье без экипировки ДК
Санкт-Петербург, 3-4 апреля 2021 года</t>
  </si>
  <si>
    <t>Мастера 55-59 (17.05.1964)/56</t>
  </si>
  <si>
    <t>Юниоры 20-23 (16.11.1999)/21</t>
  </si>
  <si>
    <t>Юниоры 20-23 (10.05.1997)/23</t>
  </si>
  <si>
    <t>Мастера 40-44 (23.09.1978)/42</t>
  </si>
  <si>
    <t>Всероссийский мастерский турнир "Северная Столица V"
IPL Силовое двоеборье без экипировки
Санкт-Петербург, 3-4 апреля 2021 года</t>
  </si>
  <si>
    <t>Мастера 45-49 (31.01.1973)/48</t>
  </si>
  <si>
    <t>Всероссийский мастерский турнир "Северная Столица V"
IPL Присед без экипировки ДК
Санкт-Петербург, 3-4 апреля 2021 года</t>
  </si>
  <si>
    <t>Мастера 40-44 (13.08.1978)/42</t>
  </si>
  <si>
    <t>Всероссийский мастерский турнир "Северная Столица V"
IPL Жим лежа без экипировки ДК
Санкт-Петербург, 3-4 апреля 2021 года</t>
  </si>
  <si>
    <t>Юниорки 20-23 (06.12.2000)/20</t>
  </si>
  <si>
    <t>Юниорки 20-23 (30.03.1999)/22</t>
  </si>
  <si>
    <t>Мастера 45-49 (09.02.1972)/49</t>
  </si>
  <si>
    <t>Мастера 40-44 (19.07.1976)/44</t>
  </si>
  <si>
    <t>Мастера 45-49 (03.11.1974)/46</t>
  </si>
  <si>
    <t>Юниоры 20-23 (29.10.2000)/20</t>
  </si>
  <si>
    <t>Мастера 45-49 (04.07.1975)/45</t>
  </si>
  <si>
    <t>Мастера 50-54 (09.12.1968)/52</t>
  </si>
  <si>
    <t>Мастера 45-49 (27.07.1974)/46</t>
  </si>
  <si>
    <t>Мастера 60-64 (22.01.1960)/61</t>
  </si>
  <si>
    <t>Мастера 45-49 (04.04.1973)/47</t>
  </si>
  <si>
    <t>Всероссийский мастерский турнир "Северная Столица V"
IPL Жим лежа без экипировки
Санкт-Петербург, 3-4 апреля 2021 года</t>
  </si>
  <si>
    <t>Мастера 55-59 (05.11.1963)/57</t>
  </si>
  <si>
    <t>Мастера 60-64 (09.09.1958)/62</t>
  </si>
  <si>
    <t>Мастера 40-44 (01.02.1981)/40</t>
  </si>
  <si>
    <t>Мастера 45-49 (04.11.1973)/47</t>
  </si>
  <si>
    <t>Всероссийский мастерский турнир "Северная Столица V"
IPL Жим лежа в однослойной экипировке
Санкт-Петербург, 3-4 апреля 2021 года</t>
  </si>
  <si>
    <t>Всероссийский мастерский турнир "Северная Столица V"
СПР Жим лежа в однопетельной софт экипировке
Санкт-Петербург, 3-4 апреля 2021 года</t>
  </si>
  <si>
    <t>Мастера 40-49 (25.04.1980)/40</t>
  </si>
  <si>
    <t>Мастера 40-49 (04.07.1975)/45</t>
  </si>
  <si>
    <t>Всероссийский мастерский турнир "Северная Столица V"
IPL Становая тяга без экипировки ДК
Санкт-Петербург, 3-4 апреля 2021 года</t>
  </si>
  <si>
    <t>Мастера 40-44 (27.05.1980)/40</t>
  </si>
  <si>
    <t>Мастера 55-59 (18.02.1965)/56</t>
  </si>
  <si>
    <t>Юниоры 20-23 (10.07.1997)/23</t>
  </si>
  <si>
    <t>Всероссийский мастерский турнир "Северная Столица V"
IPL Становая тяга без экипировки
Санкт-Петербург, 3-4 апреля 2021 года</t>
  </si>
  <si>
    <t>Мастера 60-64 (09.12.1958)/62</t>
  </si>
  <si>
    <t>Мастера 45-49 (04.09.1973)/47</t>
  </si>
  <si>
    <t>Всероссийский мастерский турнир "Северная Столица V"
СПР Пауэрспорт ДК
Санкт-Петербург, 3-4 апреля 2021 года</t>
  </si>
  <si>
    <t>Всероссийский мастерский турнир "Северная Столица V"
СПР Строгий подъем штанги на бицепс ДК
Санкт-Петербург, 3-4 апреля 2021 года</t>
  </si>
  <si>
    <t>Мастера 40-49 (07.01.1979)/42</t>
  </si>
  <si>
    <t>Мастера 40-49 (16.10.1978)/42</t>
  </si>
  <si>
    <t>Юниоры 20-23 (18.11.1997)/23</t>
  </si>
  <si>
    <t>Всероссийский мастерский турнир "Северная Столица V"
СПР Строгий подъем штанги на бицепс
Санкт-Петербург, 3-4 апреля 2021 года</t>
  </si>
  <si>
    <t>Девушки 13-19 (11.05.2006)/14</t>
  </si>
  <si>
    <t>Алтухов А.</t>
  </si>
  <si>
    <t>Матиев З.</t>
  </si>
  <si>
    <t>Нефедова Н.</t>
  </si>
  <si>
    <t>Ермолаева Д.</t>
  </si>
  <si>
    <t>Весовая категория</t>
  </si>
  <si>
    <t>Большие Колпаны/Ленинградская область</t>
  </si>
  <si>
    <t>Сестрорецк/Ленинградская область</t>
  </si>
  <si>
    <t>Кронштадт/Ленинградская область</t>
  </si>
  <si>
    <t>Видяево/Мурманская область</t>
  </si>
  <si>
    <t xml:space="preserve">Петрозаводск/Республика Карелия </t>
  </si>
  <si>
    <t>Скворцов М.</t>
  </si>
  <si>
    <t>Смирнов О.</t>
  </si>
  <si>
    <t>Пасынков А.</t>
  </si>
  <si>
    <t>Губкинский/ЯНАО</t>
  </si>
  <si>
    <t>Пушкин/Ленинградская область</t>
  </si>
  <si>
    <t>Мастера 55-59 (03.12.1961)/59</t>
  </si>
  <si>
    <t>Криволап Ф.</t>
  </si>
  <si>
    <t>Сабитов Р.</t>
  </si>
  <si>
    <t>Карлюков К.</t>
  </si>
  <si>
    <t>197,5</t>
  </si>
  <si>
    <t xml:space="preserve">Ахтырский/Краснодарский край </t>
  </si>
  <si>
    <t>Пангоды/ЯНАО</t>
  </si>
  <si>
    <t>Нижневартовск/ХМАО</t>
  </si>
  <si>
    <t>Соловьев А.</t>
  </si>
  <si>
    <t>Берков Д.</t>
  </si>
  <si>
    <t>Москва</t>
  </si>
  <si>
    <t>Веселов А.</t>
  </si>
  <si>
    <t>175,0</t>
  </si>
  <si>
    <t>340,0</t>
  </si>
  <si>
    <t>290,0</t>
  </si>
  <si>
    <t>Кузнецов А.</t>
  </si>
  <si>
    <t>177,5</t>
  </si>
  <si>
    <t>297,5</t>
  </si>
  <si>
    <t>Гомель/Беларусь</t>
  </si>
  <si>
    <t>№</t>
  </si>
  <si>
    <t>Жим</t>
  </si>
  <si>
    <t xml:space="preserve">
Дата рождения/Возраст</t>
  </si>
  <si>
    <t>Возрастная группа</t>
  </si>
  <si>
    <t>T</t>
  </si>
  <si>
    <t>O</t>
  </si>
  <si>
    <t>M1</t>
  </si>
  <si>
    <t>J</t>
  </si>
  <si>
    <t>M5</t>
  </si>
  <si>
    <t>M2</t>
  </si>
  <si>
    <t>M4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</si>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</sst>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AB797-0877-44A3-BF6B-95826410D199}">
  <dimension ref="A1:U70"/>
  <sheetViews>
    <sheetView tabSelected="1" topLeftCell="A18" workbookViewId="0">
      <selection activeCell="E54" sqref="E54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1.5" style="5" bestFit="1" customWidth="1"/>
    <col min="7" max="9" width="5.6640625" style="6" bestFit="1" customWidth="1"/>
    <col min="10" max="10" width="4.33203125" style="6" bestFit="1" customWidth="1"/>
    <col min="11" max="12" width="5.6640625" style="6" bestFit="1" customWidth="1"/>
    <col min="13" max="13" width="5.6640625" style="6" customWidth="1"/>
    <col min="14" max="14" width="4.33203125" style="6" bestFit="1" customWidth="1"/>
    <col min="15" max="17" width="5.6640625" style="6" bestFit="1" customWidth="1"/>
    <col min="18" max="18" width="4.33203125" style="6" bestFit="1" customWidth="1"/>
    <col min="19" max="19" width="7.83203125" style="28" bestFit="1" customWidth="1"/>
    <col min="20" max="20" width="8.5" style="6" bestFit="1" customWidth="1"/>
    <col min="21" max="21" width="17.33203125" style="5" bestFit="1" customWidth="1"/>
    <col min="22" max="16384" width="9.1640625" style="3"/>
  </cols>
  <sheetData>
    <row r="1" spans="1:21" s="2" customFormat="1" ht="29" customHeight="1">
      <c r="A1" s="46" t="s">
        <v>622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1" s="1" customFormat="1" ht="12.75" customHeight="1">
      <c r="A3" s="54" t="s">
        <v>707</v>
      </c>
      <c r="B3" s="59" t="s">
        <v>0</v>
      </c>
      <c r="C3" s="56" t="s">
        <v>709</v>
      </c>
      <c r="D3" s="56" t="s">
        <v>6</v>
      </c>
      <c r="E3" s="40" t="s">
        <v>710</v>
      </c>
      <c r="F3" s="40" t="s">
        <v>5</v>
      </c>
      <c r="G3" s="40" t="s">
        <v>7</v>
      </c>
      <c r="H3" s="40"/>
      <c r="I3" s="40"/>
      <c r="J3" s="40"/>
      <c r="K3" s="40" t="s">
        <v>8</v>
      </c>
      <c r="L3" s="40"/>
      <c r="M3" s="40"/>
      <c r="N3" s="40"/>
      <c r="O3" s="40" t="s">
        <v>9</v>
      </c>
      <c r="P3" s="40"/>
      <c r="Q3" s="40"/>
      <c r="R3" s="40"/>
      <c r="S3" s="38" t="s">
        <v>1</v>
      </c>
      <c r="T3" s="40" t="s">
        <v>3</v>
      </c>
      <c r="U3" s="42" t="s">
        <v>2</v>
      </c>
    </row>
    <row r="4" spans="1:21" s="1" customFormat="1" ht="21" customHeight="1" thickBot="1">
      <c r="A4" s="55"/>
      <c r="B4" s="60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41"/>
      <c r="U4" s="43"/>
    </row>
    <row r="5" spans="1:21" ht="16">
      <c r="A5" s="44" t="s">
        <v>51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1">
      <c r="A6" s="14" t="s">
        <v>227</v>
      </c>
      <c r="B6" s="13" t="s">
        <v>52</v>
      </c>
      <c r="C6" s="13" t="s">
        <v>53</v>
      </c>
      <c r="D6" s="13" t="s">
        <v>54</v>
      </c>
      <c r="E6" s="13" t="s">
        <v>712</v>
      </c>
      <c r="F6" s="13" t="s">
        <v>621</v>
      </c>
      <c r="G6" s="27" t="s">
        <v>55</v>
      </c>
      <c r="H6" s="27" t="s">
        <v>55</v>
      </c>
      <c r="I6" s="27" t="s">
        <v>55</v>
      </c>
      <c r="J6" s="14"/>
      <c r="K6" s="14"/>
      <c r="L6" s="14"/>
      <c r="M6" s="27"/>
      <c r="N6" s="14"/>
      <c r="O6" s="14"/>
      <c r="P6" s="14"/>
      <c r="Q6" s="27"/>
      <c r="R6" s="14"/>
      <c r="S6" s="29">
        <v>0</v>
      </c>
      <c r="T6" s="14" t="str">
        <f>"0,0000"</f>
        <v>0,0000</v>
      </c>
      <c r="U6" s="13" t="s">
        <v>107</v>
      </c>
    </row>
    <row r="7" spans="1:21">
      <c r="B7" s="5" t="s">
        <v>50</v>
      </c>
    </row>
    <row r="8" spans="1:21" ht="16">
      <c r="A8" s="57" t="s">
        <v>62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21">
      <c r="A9" s="14" t="s">
        <v>227</v>
      </c>
      <c r="B9" s="13" t="s">
        <v>63</v>
      </c>
      <c r="C9" s="13" t="s">
        <v>64</v>
      </c>
      <c r="D9" s="13" t="s">
        <v>65</v>
      </c>
      <c r="E9" s="13" t="s">
        <v>712</v>
      </c>
      <c r="F9" s="13" t="s">
        <v>621</v>
      </c>
      <c r="G9" s="27" t="s">
        <v>66</v>
      </c>
      <c r="H9" s="14"/>
      <c r="I9" s="14"/>
      <c r="J9" s="14"/>
      <c r="K9" s="27"/>
      <c r="L9" s="14"/>
      <c r="M9" s="27"/>
      <c r="N9" s="14"/>
      <c r="O9" s="14"/>
      <c r="P9" s="14"/>
      <c r="Q9" s="14"/>
      <c r="R9" s="14"/>
      <c r="S9" s="29">
        <v>0</v>
      </c>
      <c r="T9" s="14" t="str">
        <f>"0,0000"</f>
        <v>0,0000</v>
      </c>
      <c r="U9" s="13" t="s">
        <v>71</v>
      </c>
    </row>
    <row r="10" spans="1:21">
      <c r="B10" s="5" t="s">
        <v>50</v>
      </c>
    </row>
    <row r="11" spans="1:21" ht="16">
      <c r="A11" s="57" t="s">
        <v>72</v>
      </c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spans="1:21">
      <c r="A12" s="8" t="s">
        <v>48</v>
      </c>
      <c r="B12" s="7" t="s">
        <v>73</v>
      </c>
      <c r="C12" s="7" t="s">
        <v>74</v>
      </c>
      <c r="D12" s="7" t="s">
        <v>75</v>
      </c>
      <c r="E12" s="7" t="s">
        <v>712</v>
      </c>
      <c r="F12" s="7" t="s">
        <v>621</v>
      </c>
      <c r="G12" s="21" t="s">
        <v>61</v>
      </c>
      <c r="H12" s="20" t="s">
        <v>76</v>
      </c>
      <c r="I12" s="21" t="s">
        <v>77</v>
      </c>
      <c r="J12" s="8"/>
      <c r="K12" s="20" t="s">
        <v>78</v>
      </c>
      <c r="L12" s="20" t="s">
        <v>55</v>
      </c>
      <c r="M12" s="20" t="s">
        <v>70</v>
      </c>
      <c r="N12" s="8"/>
      <c r="O12" s="20" t="s">
        <v>77</v>
      </c>
      <c r="P12" s="20" t="s">
        <v>27</v>
      </c>
      <c r="Q12" s="21" t="s">
        <v>79</v>
      </c>
      <c r="R12" s="8"/>
      <c r="S12" s="30" t="str">
        <f>"350,0"</f>
        <v>350,0</v>
      </c>
      <c r="T12" s="8" t="str">
        <f>"391,7200"</f>
        <v>391,7200</v>
      </c>
      <c r="U12" s="7" t="s">
        <v>80</v>
      </c>
    </row>
    <row r="13" spans="1:21">
      <c r="A13" s="10" t="s">
        <v>49</v>
      </c>
      <c r="B13" s="9" t="s">
        <v>81</v>
      </c>
      <c r="C13" s="9" t="s">
        <v>82</v>
      </c>
      <c r="D13" s="9" t="s">
        <v>83</v>
      </c>
      <c r="E13" s="9" t="s">
        <v>712</v>
      </c>
      <c r="F13" s="9" t="s">
        <v>679</v>
      </c>
      <c r="G13" s="22" t="s">
        <v>90</v>
      </c>
      <c r="H13" s="22" t="s">
        <v>61</v>
      </c>
      <c r="I13" s="23" t="s">
        <v>84</v>
      </c>
      <c r="J13" s="10"/>
      <c r="K13" s="22" t="s">
        <v>91</v>
      </c>
      <c r="L13" s="22" t="s">
        <v>92</v>
      </c>
      <c r="M13" s="23" t="s">
        <v>85</v>
      </c>
      <c r="N13" s="10"/>
      <c r="O13" s="22" t="s">
        <v>392</v>
      </c>
      <c r="P13" s="22" t="s">
        <v>93</v>
      </c>
      <c r="Q13" s="22" t="s">
        <v>17</v>
      </c>
      <c r="R13" s="10"/>
      <c r="S13" s="32">
        <v>305</v>
      </c>
      <c r="T13" s="10" t="str">
        <f>"344,0705"</f>
        <v>344,0705</v>
      </c>
      <c r="U13" s="9" t="s">
        <v>86</v>
      </c>
    </row>
    <row r="14" spans="1:21">
      <c r="A14" s="10" t="s">
        <v>228</v>
      </c>
      <c r="B14" s="9" t="s">
        <v>87</v>
      </c>
      <c r="C14" s="9" t="s">
        <v>88</v>
      </c>
      <c r="D14" s="9" t="s">
        <v>89</v>
      </c>
      <c r="E14" s="9" t="s">
        <v>712</v>
      </c>
      <c r="F14" s="9" t="s">
        <v>621</v>
      </c>
      <c r="G14" s="22" t="s">
        <v>90</v>
      </c>
      <c r="H14" s="22" t="s">
        <v>60</v>
      </c>
      <c r="I14" s="22" t="s">
        <v>61</v>
      </c>
      <c r="J14" s="10"/>
      <c r="K14" s="22" t="s">
        <v>91</v>
      </c>
      <c r="L14" s="22" t="s">
        <v>92</v>
      </c>
      <c r="M14" s="23" t="s">
        <v>85</v>
      </c>
      <c r="N14" s="10"/>
      <c r="O14" s="22" t="s">
        <v>93</v>
      </c>
      <c r="P14" s="22" t="s">
        <v>94</v>
      </c>
      <c r="Q14" s="23" t="s">
        <v>27</v>
      </c>
      <c r="R14" s="10"/>
      <c r="S14" s="32" t="str">
        <f>"302,5"</f>
        <v>302,5</v>
      </c>
      <c r="T14" s="10" t="str">
        <f>"342,1275"</f>
        <v>342,1275</v>
      </c>
      <c r="U14" s="9" t="s">
        <v>95</v>
      </c>
    </row>
    <row r="15" spans="1:21">
      <c r="A15" s="12" t="s">
        <v>227</v>
      </c>
      <c r="B15" s="11" t="s">
        <v>96</v>
      </c>
      <c r="C15" s="11" t="s">
        <v>97</v>
      </c>
      <c r="D15" s="11" t="s">
        <v>98</v>
      </c>
      <c r="E15" s="11" t="s">
        <v>712</v>
      </c>
      <c r="F15" s="11" t="s">
        <v>621</v>
      </c>
      <c r="G15" s="25" t="s">
        <v>55</v>
      </c>
      <c r="H15" s="12"/>
      <c r="I15" s="12"/>
      <c r="J15" s="12"/>
      <c r="K15" s="12"/>
      <c r="L15" s="12"/>
      <c r="M15" s="25"/>
      <c r="N15" s="12"/>
      <c r="O15" s="25"/>
      <c r="P15" s="12"/>
      <c r="Q15" s="12"/>
      <c r="R15" s="12"/>
      <c r="S15" s="31">
        <v>0</v>
      </c>
      <c r="T15" s="12" t="str">
        <f>"0,0000"</f>
        <v>0,0000</v>
      </c>
      <c r="U15" s="11" t="s">
        <v>107</v>
      </c>
    </row>
    <row r="16" spans="1:21">
      <c r="B16" s="5" t="s">
        <v>50</v>
      </c>
    </row>
    <row r="17" spans="1:21" ht="16">
      <c r="A17" s="57" t="s">
        <v>102</v>
      </c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  <row r="18" spans="1:21">
      <c r="A18" s="8" t="s">
        <v>48</v>
      </c>
      <c r="B18" s="7" t="s">
        <v>103</v>
      </c>
      <c r="C18" s="7" t="s">
        <v>104</v>
      </c>
      <c r="D18" s="7" t="s">
        <v>105</v>
      </c>
      <c r="E18" s="7" t="s">
        <v>712</v>
      </c>
      <c r="F18" s="7" t="s">
        <v>621</v>
      </c>
      <c r="G18" s="20" t="s">
        <v>101</v>
      </c>
      <c r="H18" s="20" t="s">
        <v>76</v>
      </c>
      <c r="I18" s="20" t="s">
        <v>106</v>
      </c>
      <c r="J18" s="8"/>
      <c r="K18" s="20" t="s">
        <v>99</v>
      </c>
      <c r="L18" s="20" t="s">
        <v>100</v>
      </c>
      <c r="M18" s="21" t="s">
        <v>66</v>
      </c>
      <c r="N18" s="8"/>
      <c r="O18" s="20" t="s">
        <v>106</v>
      </c>
      <c r="P18" s="20" t="s">
        <v>77</v>
      </c>
      <c r="Q18" s="21" t="s">
        <v>26</v>
      </c>
      <c r="R18" s="8"/>
      <c r="S18" s="30" t="str">
        <f>"302,5"</f>
        <v>302,5</v>
      </c>
      <c r="T18" s="8" t="str">
        <f>"310,3953"</f>
        <v>310,3953</v>
      </c>
      <c r="U18" s="7" t="s">
        <v>107</v>
      </c>
    </row>
    <row r="19" spans="1:21">
      <c r="A19" s="10" t="s">
        <v>49</v>
      </c>
      <c r="B19" s="9" t="s">
        <v>108</v>
      </c>
      <c r="C19" s="9" t="s">
        <v>109</v>
      </c>
      <c r="D19" s="9" t="s">
        <v>110</v>
      </c>
      <c r="E19" s="9" t="s">
        <v>712</v>
      </c>
      <c r="F19" s="9" t="s">
        <v>621</v>
      </c>
      <c r="G19" s="22" t="s">
        <v>90</v>
      </c>
      <c r="H19" s="22" t="s">
        <v>84</v>
      </c>
      <c r="I19" s="23" t="s">
        <v>76</v>
      </c>
      <c r="J19" s="10"/>
      <c r="K19" s="22" t="s">
        <v>99</v>
      </c>
      <c r="L19" s="22" t="s">
        <v>66</v>
      </c>
      <c r="M19" s="22" t="s">
        <v>92</v>
      </c>
      <c r="N19" s="10"/>
      <c r="O19" s="22" t="s">
        <v>61</v>
      </c>
      <c r="P19" s="22" t="s">
        <v>101</v>
      </c>
      <c r="Q19" s="22" t="s">
        <v>106</v>
      </c>
      <c r="R19" s="10"/>
      <c r="S19" s="32" t="str">
        <f>"285,0"</f>
        <v>285,0</v>
      </c>
      <c r="T19" s="10" t="str">
        <f>"301,0740"</f>
        <v>301,0740</v>
      </c>
      <c r="U19" s="9" t="s">
        <v>80</v>
      </c>
    </row>
    <row r="20" spans="1:21">
      <c r="A20" s="10" t="s">
        <v>228</v>
      </c>
      <c r="B20" s="9" t="s">
        <v>111</v>
      </c>
      <c r="C20" s="9" t="s">
        <v>112</v>
      </c>
      <c r="D20" s="9" t="s">
        <v>113</v>
      </c>
      <c r="E20" s="9" t="s">
        <v>712</v>
      </c>
      <c r="F20" s="9" t="s">
        <v>621</v>
      </c>
      <c r="G20" s="22" t="s">
        <v>84</v>
      </c>
      <c r="H20" s="23" t="s">
        <v>101</v>
      </c>
      <c r="I20" s="22" t="s">
        <v>101</v>
      </c>
      <c r="J20" s="10"/>
      <c r="K20" s="22" t="s">
        <v>57</v>
      </c>
      <c r="L20" s="22" t="s">
        <v>99</v>
      </c>
      <c r="M20" s="23" t="s">
        <v>100</v>
      </c>
      <c r="N20" s="10"/>
      <c r="O20" s="22" t="s">
        <v>61</v>
      </c>
      <c r="P20" s="22" t="s">
        <v>84</v>
      </c>
      <c r="Q20" s="22" t="s">
        <v>101</v>
      </c>
      <c r="R20" s="10"/>
      <c r="S20" s="32" t="str">
        <f>"270,0"</f>
        <v>270,0</v>
      </c>
      <c r="T20" s="10" t="str">
        <f>"286,5510"</f>
        <v>286,5510</v>
      </c>
      <c r="U20" s="9" t="s">
        <v>684</v>
      </c>
    </row>
    <row r="21" spans="1:21">
      <c r="A21" s="10" t="s">
        <v>229</v>
      </c>
      <c r="B21" s="9" t="s">
        <v>114</v>
      </c>
      <c r="C21" s="9" t="s">
        <v>115</v>
      </c>
      <c r="D21" s="9" t="s">
        <v>116</v>
      </c>
      <c r="E21" s="9" t="s">
        <v>712</v>
      </c>
      <c r="F21" s="9" t="s">
        <v>621</v>
      </c>
      <c r="G21" s="22" t="s">
        <v>69</v>
      </c>
      <c r="H21" s="22" t="s">
        <v>55</v>
      </c>
      <c r="I21" s="22" t="s">
        <v>70</v>
      </c>
      <c r="J21" s="10"/>
      <c r="K21" s="22" t="s">
        <v>66</v>
      </c>
      <c r="L21" s="22" t="s">
        <v>91</v>
      </c>
      <c r="M21" s="22" t="s">
        <v>92</v>
      </c>
      <c r="N21" s="10"/>
      <c r="O21" s="22" t="s">
        <v>101</v>
      </c>
      <c r="P21" s="22" t="s">
        <v>76</v>
      </c>
      <c r="Q21" s="22" t="s">
        <v>106</v>
      </c>
      <c r="R21" s="10"/>
      <c r="S21" s="32">
        <v>265</v>
      </c>
      <c r="T21" s="10" t="str">
        <f>"278,9655"</f>
        <v>278,9655</v>
      </c>
      <c r="U21" s="9" t="s">
        <v>117</v>
      </c>
    </row>
    <row r="22" spans="1:21">
      <c r="A22" s="10" t="s">
        <v>230</v>
      </c>
      <c r="B22" s="9" t="s">
        <v>118</v>
      </c>
      <c r="C22" s="9" t="s">
        <v>119</v>
      </c>
      <c r="D22" s="9" t="s">
        <v>113</v>
      </c>
      <c r="E22" s="9" t="s">
        <v>712</v>
      </c>
      <c r="F22" s="9" t="s">
        <v>621</v>
      </c>
      <c r="G22" s="23" t="s">
        <v>61</v>
      </c>
      <c r="H22" s="23" t="s">
        <v>61</v>
      </c>
      <c r="I22" s="22" t="s">
        <v>61</v>
      </c>
      <c r="J22" s="10"/>
      <c r="K22" s="22" t="s">
        <v>100</v>
      </c>
      <c r="L22" s="23" t="s">
        <v>66</v>
      </c>
      <c r="M22" s="10"/>
      <c r="N22" s="10"/>
      <c r="O22" s="22" t="s">
        <v>101</v>
      </c>
      <c r="P22" s="23" t="s">
        <v>76</v>
      </c>
      <c r="Q22" s="10"/>
      <c r="R22" s="10"/>
      <c r="S22" s="32" t="str">
        <f>"262,5"</f>
        <v>262,5</v>
      </c>
      <c r="T22" s="10" t="str">
        <f>"278,5913"</f>
        <v>278,5913</v>
      </c>
      <c r="U22" s="9" t="s">
        <v>107</v>
      </c>
    </row>
    <row r="23" spans="1:21">
      <c r="A23" s="12" t="s">
        <v>231</v>
      </c>
      <c r="B23" s="11" t="s">
        <v>120</v>
      </c>
      <c r="C23" s="11" t="s">
        <v>121</v>
      </c>
      <c r="D23" s="11" t="s">
        <v>122</v>
      </c>
      <c r="E23" s="11" t="s">
        <v>712</v>
      </c>
      <c r="F23" s="11" t="s">
        <v>621</v>
      </c>
      <c r="G23" s="24" t="s">
        <v>55</v>
      </c>
      <c r="H23" s="24" t="s">
        <v>70</v>
      </c>
      <c r="I23" s="24" t="s">
        <v>123</v>
      </c>
      <c r="J23" s="12"/>
      <c r="K23" s="24" t="s">
        <v>124</v>
      </c>
      <c r="L23" s="24" t="s">
        <v>125</v>
      </c>
      <c r="M23" s="25" t="s">
        <v>78</v>
      </c>
      <c r="N23" s="12"/>
      <c r="O23" s="24" t="s">
        <v>90</v>
      </c>
      <c r="P23" s="25" t="s">
        <v>126</v>
      </c>
      <c r="Q23" s="24" t="s">
        <v>84</v>
      </c>
      <c r="R23" s="12"/>
      <c r="S23" s="31" t="str">
        <f>"262,5"</f>
        <v>262,5</v>
      </c>
      <c r="T23" s="12" t="str">
        <f>"270,8213"</f>
        <v>270,8213</v>
      </c>
      <c r="U23" s="11" t="s">
        <v>95</v>
      </c>
    </row>
    <row r="24" spans="1:21">
      <c r="B24" s="5" t="s">
        <v>50</v>
      </c>
    </row>
    <row r="25" spans="1:21" ht="16">
      <c r="A25" s="57" t="s">
        <v>127</v>
      </c>
      <c r="B25" s="57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</row>
    <row r="26" spans="1:21">
      <c r="A26" s="14" t="s">
        <v>48</v>
      </c>
      <c r="B26" s="13" t="s">
        <v>128</v>
      </c>
      <c r="C26" s="13" t="s">
        <v>623</v>
      </c>
      <c r="D26" s="13" t="s">
        <v>129</v>
      </c>
      <c r="E26" s="13" t="s">
        <v>714</v>
      </c>
      <c r="F26" s="13" t="s">
        <v>621</v>
      </c>
      <c r="G26" s="26" t="s">
        <v>78</v>
      </c>
      <c r="H26" s="26" t="s">
        <v>69</v>
      </c>
      <c r="I26" s="26" t="s">
        <v>55</v>
      </c>
      <c r="J26" s="14"/>
      <c r="K26" s="26" t="s">
        <v>58</v>
      </c>
      <c r="L26" s="27" t="s">
        <v>100</v>
      </c>
      <c r="M26" s="26" t="s">
        <v>100</v>
      </c>
      <c r="N26" s="14"/>
      <c r="O26" s="26" t="s">
        <v>70</v>
      </c>
      <c r="P26" s="26" t="s">
        <v>90</v>
      </c>
      <c r="Q26" s="27" t="s">
        <v>61</v>
      </c>
      <c r="R26" s="14"/>
      <c r="S26" s="29" t="str">
        <f>"227,5"</f>
        <v>227,5</v>
      </c>
      <c r="T26" s="14" t="str">
        <f>"208,8905"</f>
        <v>208,8905</v>
      </c>
      <c r="U26" s="13" t="s">
        <v>95</v>
      </c>
    </row>
    <row r="27" spans="1:21">
      <c r="B27" s="5" t="s">
        <v>50</v>
      </c>
    </row>
    <row r="28" spans="1:21" ht="16">
      <c r="A28" s="57" t="s">
        <v>51</v>
      </c>
      <c r="B28" s="57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</row>
    <row r="29" spans="1:21">
      <c r="A29" s="14" t="s">
        <v>48</v>
      </c>
      <c r="B29" s="13" t="s">
        <v>130</v>
      </c>
      <c r="C29" s="13" t="s">
        <v>131</v>
      </c>
      <c r="D29" s="13" t="s">
        <v>132</v>
      </c>
      <c r="E29" s="13" t="s">
        <v>712</v>
      </c>
      <c r="F29" s="13" t="s">
        <v>621</v>
      </c>
      <c r="G29" s="26" t="s">
        <v>124</v>
      </c>
      <c r="H29" s="27" t="s">
        <v>133</v>
      </c>
      <c r="I29" s="27" t="s">
        <v>133</v>
      </c>
      <c r="J29" s="14"/>
      <c r="K29" s="27" t="s">
        <v>56</v>
      </c>
      <c r="L29" s="26" t="s">
        <v>57</v>
      </c>
      <c r="M29" s="27" t="s">
        <v>58</v>
      </c>
      <c r="N29" s="14"/>
      <c r="O29" s="26" t="s">
        <v>90</v>
      </c>
      <c r="P29" s="26" t="s">
        <v>61</v>
      </c>
      <c r="Q29" s="27" t="s">
        <v>84</v>
      </c>
      <c r="R29" s="14"/>
      <c r="S29" s="29">
        <v>210</v>
      </c>
      <c r="T29" s="14" t="str">
        <f>"213,4860"</f>
        <v>213,4860</v>
      </c>
      <c r="U29" s="13" t="s">
        <v>134</v>
      </c>
    </row>
    <row r="30" spans="1:21">
      <c r="B30" s="5" t="s">
        <v>50</v>
      </c>
    </row>
    <row r="31" spans="1:21" ht="16">
      <c r="A31" s="57" t="s">
        <v>135</v>
      </c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</row>
    <row r="32" spans="1:21">
      <c r="A32" s="8" t="s">
        <v>48</v>
      </c>
      <c r="B32" s="7" t="s">
        <v>136</v>
      </c>
      <c r="C32" s="7" t="s">
        <v>137</v>
      </c>
      <c r="D32" s="7" t="s">
        <v>138</v>
      </c>
      <c r="E32" s="7" t="s">
        <v>712</v>
      </c>
      <c r="F32" s="7" t="s">
        <v>621</v>
      </c>
      <c r="G32" s="20" t="s">
        <v>700</v>
      </c>
      <c r="H32" s="20" t="s">
        <v>159</v>
      </c>
      <c r="I32" s="21" t="s">
        <v>139</v>
      </c>
      <c r="J32" s="8"/>
      <c r="K32" s="20" t="s">
        <v>392</v>
      </c>
      <c r="L32" s="21" t="s">
        <v>26</v>
      </c>
      <c r="M32" s="21" t="s">
        <v>26</v>
      </c>
      <c r="N32" s="8"/>
      <c r="O32" s="20" t="s">
        <v>140</v>
      </c>
      <c r="P32" s="20" t="s">
        <v>141</v>
      </c>
      <c r="Q32" s="20" t="s">
        <v>150</v>
      </c>
      <c r="R32" s="8"/>
      <c r="S32" s="30">
        <v>530</v>
      </c>
      <c r="T32" s="8" t="str">
        <f>"389,6560"</f>
        <v>389,6560</v>
      </c>
      <c r="U32" s="7" t="s">
        <v>142</v>
      </c>
    </row>
    <row r="33" spans="1:21">
      <c r="A33" s="12" t="s">
        <v>49</v>
      </c>
      <c r="B33" s="11" t="s">
        <v>143</v>
      </c>
      <c r="C33" s="11" t="s">
        <v>144</v>
      </c>
      <c r="D33" s="11" t="s">
        <v>145</v>
      </c>
      <c r="E33" s="11" t="s">
        <v>712</v>
      </c>
      <c r="F33" s="11" t="s">
        <v>146</v>
      </c>
      <c r="G33" s="24" t="s">
        <v>147</v>
      </c>
      <c r="H33" s="24" t="s">
        <v>16</v>
      </c>
      <c r="I33" s="24" t="s">
        <v>17</v>
      </c>
      <c r="J33" s="12"/>
      <c r="K33" s="24" t="s">
        <v>61</v>
      </c>
      <c r="L33" s="25" t="s">
        <v>101</v>
      </c>
      <c r="M33" s="24" t="s">
        <v>101</v>
      </c>
      <c r="N33" s="12"/>
      <c r="O33" s="24" t="s">
        <v>148</v>
      </c>
      <c r="P33" s="24" t="s">
        <v>149</v>
      </c>
      <c r="Q33" s="24" t="s">
        <v>150</v>
      </c>
      <c r="R33" s="12"/>
      <c r="S33" s="31" t="str">
        <f>"470,0"</f>
        <v>470,0</v>
      </c>
      <c r="T33" s="12" t="str">
        <f>"336,8020"</f>
        <v>336,8020</v>
      </c>
      <c r="U33" s="11"/>
    </row>
    <row r="34" spans="1:21">
      <c r="B34" s="5" t="s">
        <v>50</v>
      </c>
    </row>
    <row r="35" spans="1:21" ht="16">
      <c r="A35" s="57" t="s">
        <v>127</v>
      </c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</row>
    <row r="36" spans="1:21">
      <c r="A36" s="8" t="s">
        <v>48</v>
      </c>
      <c r="B36" s="7" t="s">
        <v>151</v>
      </c>
      <c r="C36" s="7" t="s">
        <v>152</v>
      </c>
      <c r="D36" s="7" t="s">
        <v>153</v>
      </c>
      <c r="E36" s="7" t="s">
        <v>712</v>
      </c>
      <c r="F36" s="7" t="s">
        <v>706</v>
      </c>
      <c r="G36" s="20" t="s">
        <v>13</v>
      </c>
      <c r="H36" s="21" t="s">
        <v>14</v>
      </c>
      <c r="I36" s="21" t="s">
        <v>14</v>
      </c>
      <c r="J36" s="8"/>
      <c r="K36" s="20" t="s">
        <v>17</v>
      </c>
      <c r="L36" s="21" t="s">
        <v>27</v>
      </c>
      <c r="M36" s="21" t="s">
        <v>27</v>
      </c>
      <c r="N36" s="8"/>
      <c r="O36" s="20" t="s">
        <v>202</v>
      </c>
      <c r="P36" s="20" t="s">
        <v>549</v>
      </c>
      <c r="Q36" s="21" t="s">
        <v>19</v>
      </c>
      <c r="R36" s="8"/>
      <c r="S36" s="30">
        <v>625</v>
      </c>
      <c r="T36" s="8" t="str">
        <f>"420,5625"</f>
        <v>420,5625</v>
      </c>
      <c r="U36" s="7" t="s">
        <v>154</v>
      </c>
    </row>
    <row r="37" spans="1:21">
      <c r="A37" s="10" t="s">
        <v>49</v>
      </c>
      <c r="B37" s="9" t="s">
        <v>155</v>
      </c>
      <c r="C37" s="9" t="s">
        <v>156</v>
      </c>
      <c r="D37" s="9" t="s">
        <v>157</v>
      </c>
      <c r="E37" s="9" t="s">
        <v>712</v>
      </c>
      <c r="F37" s="9" t="s">
        <v>621</v>
      </c>
      <c r="G37" s="22" t="s">
        <v>158</v>
      </c>
      <c r="H37" s="22" t="s">
        <v>159</v>
      </c>
      <c r="I37" s="23" t="s">
        <v>139</v>
      </c>
      <c r="J37" s="10"/>
      <c r="K37" s="22" t="s">
        <v>84</v>
      </c>
      <c r="L37" s="22" t="s">
        <v>160</v>
      </c>
      <c r="M37" s="23" t="s">
        <v>76</v>
      </c>
      <c r="N37" s="10"/>
      <c r="O37" s="22" t="s">
        <v>140</v>
      </c>
      <c r="P37" s="22" t="s">
        <v>150</v>
      </c>
      <c r="Q37" s="23" t="s">
        <v>161</v>
      </c>
      <c r="R37" s="10"/>
      <c r="S37" s="32" t="str">
        <f>"509,5"</f>
        <v>509,5</v>
      </c>
      <c r="T37" s="10" t="str">
        <f>"342,5878"</f>
        <v>342,5878</v>
      </c>
      <c r="U37" s="9" t="s">
        <v>684</v>
      </c>
    </row>
    <row r="38" spans="1:21">
      <c r="A38" s="12" t="s">
        <v>48</v>
      </c>
      <c r="B38" s="11" t="s">
        <v>162</v>
      </c>
      <c r="C38" s="11" t="s">
        <v>624</v>
      </c>
      <c r="D38" s="11" t="s">
        <v>163</v>
      </c>
      <c r="E38" s="11" t="s">
        <v>716</v>
      </c>
      <c r="F38" s="11" t="s">
        <v>621</v>
      </c>
      <c r="G38" s="24" t="s">
        <v>171</v>
      </c>
      <c r="H38" s="25" t="s">
        <v>149</v>
      </c>
      <c r="I38" s="25" t="s">
        <v>149</v>
      </c>
      <c r="J38" s="12"/>
      <c r="K38" s="24" t="s">
        <v>26</v>
      </c>
      <c r="L38" s="24" t="s">
        <v>17</v>
      </c>
      <c r="M38" s="25" t="s">
        <v>27</v>
      </c>
      <c r="N38" s="12"/>
      <c r="O38" s="24" t="s">
        <v>149</v>
      </c>
      <c r="P38" s="24" t="s">
        <v>243</v>
      </c>
      <c r="Q38" s="25" t="s">
        <v>13</v>
      </c>
      <c r="R38" s="12"/>
      <c r="S38" s="31">
        <v>540</v>
      </c>
      <c r="T38" s="12" t="str">
        <f>"386,3128"</f>
        <v>386,3128</v>
      </c>
      <c r="U38" s="11"/>
    </row>
    <row r="39" spans="1:21">
      <c r="B39" s="5" t="s">
        <v>50</v>
      </c>
    </row>
    <row r="40" spans="1:21" ht="16">
      <c r="A40" s="57" t="s">
        <v>164</v>
      </c>
      <c r="B40" s="57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</row>
    <row r="41" spans="1:21">
      <c r="A41" s="8" t="s">
        <v>48</v>
      </c>
      <c r="B41" s="7" t="s">
        <v>165</v>
      </c>
      <c r="C41" s="7" t="s">
        <v>166</v>
      </c>
      <c r="D41" s="7" t="s">
        <v>167</v>
      </c>
      <c r="E41" s="7" t="s">
        <v>712</v>
      </c>
      <c r="F41" s="7" t="s">
        <v>168</v>
      </c>
      <c r="G41" s="20" t="s">
        <v>28</v>
      </c>
      <c r="H41" s="20" t="s">
        <v>169</v>
      </c>
      <c r="I41" s="21" t="s">
        <v>170</v>
      </c>
      <c r="J41" s="8"/>
      <c r="K41" s="20" t="s">
        <v>84</v>
      </c>
      <c r="L41" s="21" t="s">
        <v>76</v>
      </c>
      <c r="M41" s="21" t="s">
        <v>76</v>
      </c>
      <c r="N41" s="8"/>
      <c r="O41" s="20" t="s">
        <v>171</v>
      </c>
      <c r="P41" s="20" t="s">
        <v>140</v>
      </c>
      <c r="Q41" s="21" t="s">
        <v>172</v>
      </c>
      <c r="R41" s="8"/>
      <c r="S41" s="30" t="str">
        <f>"462,5"</f>
        <v>462,5</v>
      </c>
      <c r="T41" s="8" t="str">
        <f>"297,8500"</f>
        <v>297,8500</v>
      </c>
      <c r="U41" s="7" t="s">
        <v>173</v>
      </c>
    </row>
    <row r="42" spans="1:21">
      <c r="A42" s="10" t="s">
        <v>49</v>
      </c>
      <c r="B42" s="9" t="s">
        <v>174</v>
      </c>
      <c r="C42" s="9" t="s">
        <v>175</v>
      </c>
      <c r="D42" s="9" t="s">
        <v>176</v>
      </c>
      <c r="E42" s="9" t="s">
        <v>712</v>
      </c>
      <c r="F42" s="9" t="s">
        <v>168</v>
      </c>
      <c r="G42" s="22" t="s">
        <v>27</v>
      </c>
      <c r="H42" s="23" t="s">
        <v>177</v>
      </c>
      <c r="I42" s="23" t="s">
        <v>177</v>
      </c>
      <c r="J42" s="10"/>
      <c r="K42" s="22" t="s">
        <v>101</v>
      </c>
      <c r="L42" s="23" t="s">
        <v>76</v>
      </c>
      <c r="M42" s="22" t="s">
        <v>76</v>
      </c>
      <c r="N42" s="10"/>
      <c r="O42" s="22" t="s">
        <v>178</v>
      </c>
      <c r="P42" s="22" t="s">
        <v>148</v>
      </c>
      <c r="Q42" s="22" t="s">
        <v>79</v>
      </c>
      <c r="R42" s="10"/>
      <c r="S42" s="32" t="str">
        <f>"455,0"</f>
        <v>455,0</v>
      </c>
      <c r="T42" s="10" t="str">
        <f>"291,7915"</f>
        <v>291,7915</v>
      </c>
      <c r="U42" s="9"/>
    </row>
    <row r="43" spans="1:21">
      <c r="A43" s="12" t="s">
        <v>227</v>
      </c>
      <c r="B43" s="11" t="s">
        <v>179</v>
      </c>
      <c r="C43" s="11" t="s">
        <v>180</v>
      </c>
      <c r="D43" s="11" t="s">
        <v>181</v>
      </c>
      <c r="E43" s="11" t="s">
        <v>712</v>
      </c>
      <c r="F43" s="11" t="s">
        <v>621</v>
      </c>
      <c r="G43" s="25" t="s">
        <v>27</v>
      </c>
      <c r="H43" s="25" t="s">
        <v>28</v>
      </c>
      <c r="I43" s="25" t="s">
        <v>28</v>
      </c>
      <c r="J43" s="12"/>
      <c r="K43" s="25"/>
      <c r="L43" s="12"/>
      <c r="M43" s="12"/>
      <c r="N43" s="12"/>
      <c r="O43" s="25"/>
      <c r="P43" s="12"/>
      <c r="Q43" s="12"/>
      <c r="R43" s="12"/>
      <c r="S43" s="31">
        <v>0</v>
      </c>
      <c r="T43" s="12" t="str">
        <f>"0,0000"</f>
        <v>0,0000</v>
      </c>
      <c r="U43" s="11" t="s">
        <v>684</v>
      </c>
    </row>
    <row r="44" spans="1:21">
      <c r="B44" s="5" t="s">
        <v>50</v>
      </c>
    </row>
    <row r="45" spans="1:21" ht="16">
      <c r="A45" s="57" t="s">
        <v>182</v>
      </c>
      <c r="B45" s="57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</row>
    <row r="46" spans="1:21">
      <c r="A46" s="8" t="s">
        <v>48</v>
      </c>
      <c r="B46" s="7" t="s">
        <v>183</v>
      </c>
      <c r="C46" s="7" t="s">
        <v>184</v>
      </c>
      <c r="D46" s="7" t="s">
        <v>185</v>
      </c>
      <c r="E46" s="7" t="s">
        <v>711</v>
      </c>
      <c r="F46" s="7" t="s">
        <v>186</v>
      </c>
      <c r="G46" s="20" t="s">
        <v>84</v>
      </c>
      <c r="H46" s="21" t="s">
        <v>147</v>
      </c>
      <c r="I46" s="20" t="s">
        <v>147</v>
      </c>
      <c r="J46" s="8"/>
      <c r="K46" s="20" t="s">
        <v>69</v>
      </c>
      <c r="L46" s="20" t="s">
        <v>70</v>
      </c>
      <c r="M46" s="21" t="s">
        <v>123</v>
      </c>
      <c r="N46" s="8"/>
      <c r="O46" s="20" t="s">
        <v>27</v>
      </c>
      <c r="P46" s="20" t="s">
        <v>238</v>
      </c>
      <c r="Q46" s="20" t="s">
        <v>700</v>
      </c>
      <c r="R46" s="8"/>
      <c r="S46" s="30">
        <v>385</v>
      </c>
      <c r="T46" s="8" t="str">
        <f>"238,1610"</f>
        <v>238,1610</v>
      </c>
      <c r="U46" s="7" t="s">
        <v>187</v>
      </c>
    </row>
    <row r="47" spans="1:21">
      <c r="A47" s="10" t="s">
        <v>48</v>
      </c>
      <c r="B47" s="9" t="s">
        <v>188</v>
      </c>
      <c r="C47" s="9" t="s">
        <v>189</v>
      </c>
      <c r="D47" s="9" t="s">
        <v>190</v>
      </c>
      <c r="E47" s="9" t="s">
        <v>712</v>
      </c>
      <c r="F47" s="9" t="s">
        <v>621</v>
      </c>
      <c r="G47" s="22" t="s">
        <v>150</v>
      </c>
      <c r="H47" s="23" t="s">
        <v>191</v>
      </c>
      <c r="I47" s="22" t="s">
        <v>191</v>
      </c>
      <c r="J47" s="10"/>
      <c r="K47" s="22" t="s">
        <v>77</v>
      </c>
      <c r="L47" s="22" t="s">
        <v>16</v>
      </c>
      <c r="M47" s="23" t="s">
        <v>93</v>
      </c>
      <c r="N47" s="10"/>
      <c r="O47" s="22" t="s">
        <v>13</v>
      </c>
      <c r="P47" s="22" t="s">
        <v>14</v>
      </c>
      <c r="Q47" s="22" t="s">
        <v>15</v>
      </c>
      <c r="R47" s="10"/>
      <c r="S47" s="32">
        <v>600</v>
      </c>
      <c r="T47" s="10" t="str">
        <f>"365,7600"</f>
        <v>365,7600</v>
      </c>
      <c r="U47" s="9"/>
    </row>
    <row r="48" spans="1:21">
      <c r="A48" s="10" t="s">
        <v>49</v>
      </c>
      <c r="B48" s="9" t="s">
        <v>192</v>
      </c>
      <c r="C48" s="9" t="s">
        <v>193</v>
      </c>
      <c r="D48" s="9" t="s">
        <v>194</v>
      </c>
      <c r="E48" s="9" t="s">
        <v>712</v>
      </c>
      <c r="F48" s="9" t="s">
        <v>621</v>
      </c>
      <c r="G48" s="22" t="s">
        <v>61</v>
      </c>
      <c r="H48" s="22" t="s">
        <v>101</v>
      </c>
      <c r="I48" s="22" t="s">
        <v>106</v>
      </c>
      <c r="J48" s="10"/>
      <c r="K48" s="22" t="s">
        <v>78</v>
      </c>
      <c r="L48" s="22" t="s">
        <v>55</v>
      </c>
      <c r="M48" s="23" t="s">
        <v>123</v>
      </c>
      <c r="N48" s="10"/>
      <c r="O48" s="22" t="s">
        <v>26</v>
      </c>
      <c r="P48" s="22" t="s">
        <v>27</v>
      </c>
      <c r="Q48" s="22" t="s">
        <v>177</v>
      </c>
      <c r="R48" s="10"/>
      <c r="S48" s="32" t="str">
        <f>"360,0"</f>
        <v>360,0</v>
      </c>
      <c r="T48" s="10" t="str">
        <f>"228,5640"</f>
        <v>228,5640</v>
      </c>
      <c r="U48" s="9" t="s">
        <v>71</v>
      </c>
    </row>
    <row r="49" spans="1:21">
      <c r="A49" s="12" t="s">
        <v>227</v>
      </c>
      <c r="B49" s="11" t="s">
        <v>195</v>
      </c>
      <c r="C49" s="11" t="s">
        <v>196</v>
      </c>
      <c r="D49" s="11" t="s">
        <v>197</v>
      </c>
      <c r="E49" s="11" t="s">
        <v>712</v>
      </c>
      <c r="F49" s="11" t="s">
        <v>621</v>
      </c>
      <c r="G49" s="25" t="s">
        <v>93</v>
      </c>
      <c r="H49" s="25" t="s">
        <v>17</v>
      </c>
      <c r="I49" s="25" t="s">
        <v>17</v>
      </c>
      <c r="J49" s="12"/>
      <c r="K49" s="12"/>
      <c r="L49" s="12"/>
      <c r="M49" s="12"/>
      <c r="N49" s="12"/>
      <c r="O49" s="25"/>
      <c r="P49" s="12"/>
      <c r="Q49" s="12"/>
      <c r="R49" s="12"/>
      <c r="S49" s="31">
        <v>0</v>
      </c>
      <c r="T49" s="12" t="str">
        <f>"0,0000"</f>
        <v>0,0000</v>
      </c>
      <c r="U49" s="11" t="s">
        <v>107</v>
      </c>
    </row>
    <row r="50" spans="1:21">
      <c r="B50" s="5" t="s">
        <v>50</v>
      </c>
    </row>
    <row r="51" spans="1:21" ht="16">
      <c r="A51" s="57" t="s">
        <v>10</v>
      </c>
      <c r="B51" s="57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</row>
    <row r="52" spans="1:21">
      <c r="A52" s="8" t="s">
        <v>48</v>
      </c>
      <c r="B52" s="7" t="s">
        <v>199</v>
      </c>
      <c r="C52" s="7" t="s">
        <v>200</v>
      </c>
      <c r="D52" s="7" t="s">
        <v>201</v>
      </c>
      <c r="E52" s="7" t="s">
        <v>712</v>
      </c>
      <c r="F52" s="7" t="s">
        <v>621</v>
      </c>
      <c r="G52" s="20" t="s">
        <v>24</v>
      </c>
      <c r="H52" s="20" t="s">
        <v>25</v>
      </c>
      <c r="I52" s="20" t="s">
        <v>202</v>
      </c>
      <c r="J52" s="8"/>
      <c r="K52" s="20" t="s">
        <v>27</v>
      </c>
      <c r="L52" s="20" t="s">
        <v>177</v>
      </c>
      <c r="M52" s="21" t="s">
        <v>178</v>
      </c>
      <c r="N52" s="8"/>
      <c r="O52" s="20" t="s">
        <v>203</v>
      </c>
      <c r="P52" s="21" t="s">
        <v>204</v>
      </c>
      <c r="Q52" s="8"/>
      <c r="R52" s="8"/>
      <c r="S52" s="30" t="str">
        <f>"690,0"</f>
        <v>690,0</v>
      </c>
      <c r="T52" s="8" t="str">
        <f>"408,4110"</f>
        <v>408,4110</v>
      </c>
      <c r="U52" s="7" t="s">
        <v>205</v>
      </c>
    </row>
    <row r="53" spans="1:21">
      <c r="A53" s="12" t="s">
        <v>49</v>
      </c>
      <c r="B53" s="11" t="s">
        <v>206</v>
      </c>
      <c r="C53" s="11" t="s">
        <v>207</v>
      </c>
      <c r="D53" s="11" t="s">
        <v>208</v>
      </c>
      <c r="E53" s="11" t="s">
        <v>712</v>
      </c>
      <c r="F53" s="11" t="s">
        <v>621</v>
      </c>
      <c r="G53" s="24" t="s">
        <v>77</v>
      </c>
      <c r="H53" s="24" t="s">
        <v>26</v>
      </c>
      <c r="I53" s="24" t="s">
        <v>27</v>
      </c>
      <c r="J53" s="12"/>
      <c r="K53" s="24" t="s">
        <v>101</v>
      </c>
      <c r="L53" s="24" t="s">
        <v>76</v>
      </c>
      <c r="M53" s="25" t="s">
        <v>209</v>
      </c>
      <c r="N53" s="12"/>
      <c r="O53" s="24" t="s">
        <v>178</v>
      </c>
      <c r="P53" s="24" t="s">
        <v>148</v>
      </c>
      <c r="Q53" s="24" t="s">
        <v>540</v>
      </c>
      <c r="R53" s="12"/>
      <c r="S53" s="31">
        <v>457.5</v>
      </c>
      <c r="T53" s="12" t="str">
        <f>"273,4020"</f>
        <v>273,4020</v>
      </c>
      <c r="U53" s="11" t="s">
        <v>210</v>
      </c>
    </row>
    <row r="54" spans="1:21">
      <c r="B54" s="5" t="s">
        <v>50</v>
      </c>
    </row>
    <row r="55" spans="1:21">
      <c r="B55" s="5" t="s">
        <v>50</v>
      </c>
    </row>
    <row r="56" spans="1:21">
      <c r="B56" s="5" t="s">
        <v>50</v>
      </c>
    </row>
    <row r="57" spans="1:21" ht="18">
      <c r="B57" s="15" t="s">
        <v>38</v>
      </c>
      <c r="C57" s="15"/>
      <c r="F57" s="3"/>
    </row>
    <row r="58" spans="1:21" ht="16">
      <c r="B58" s="16" t="s">
        <v>211</v>
      </c>
      <c r="C58" s="16"/>
      <c r="F58" s="3"/>
    </row>
    <row r="59" spans="1:21" ht="14">
      <c r="B59" s="17"/>
      <c r="C59" s="18" t="s">
        <v>46</v>
      </c>
      <c r="F59" s="3"/>
    </row>
    <row r="60" spans="1:21" ht="14">
      <c r="B60" s="19" t="s">
        <v>40</v>
      </c>
      <c r="C60" s="19" t="s">
        <v>41</v>
      </c>
      <c r="D60" s="19" t="s">
        <v>677</v>
      </c>
      <c r="E60" s="19" t="s">
        <v>43</v>
      </c>
      <c r="F60" s="19" t="s">
        <v>44</v>
      </c>
    </row>
    <row r="61" spans="1:21">
      <c r="B61" s="5" t="s">
        <v>73</v>
      </c>
      <c r="C61" s="5" t="s">
        <v>46</v>
      </c>
      <c r="D61" s="6" t="s">
        <v>213</v>
      </c>
      <c r="E61" s="6" t="s">
        <v>214</v>
      </c>
      <c r="F61" s="6" t="s">
        <v>215</v>
      </c>
    </row>
    <row r="62" spans="1:21">
      <c r="B62" s="5" t="s">
        <v>81</v>
      </c>
      <c r="C62" s="5" t="s">
        <v>46</v>
      </c>
      <c r="D62" s="6" t="s">
        <v>213</v>
      </c>
      <c r="E62" s="6" t="s">
        <v>30</v>
      </c>
      <c r="F62" s="6" t="s">
        <v>216</v>
      </c>
    </row>
    <row r="63" spans="1:21">
      <c r="B63" s="5" t="s">
        <v>87</v>
      </c>
      <c r="C63" s="5" t="s">
        <v>46</v>
      </c>
      <c r="D63" s="6" t="s">
        <v>213</v>
      </c>
      <c r="E63" s="6" t="s">
        <v>217</v>
      </c>
      <c r="F63" s="6" t="s">
        <v>218</v>
      </c>
    </row>
    <row r="65" spans="2:6" ht="16">
      <c r="B65" s="16" t="s">
        <v>39</v>
      </c>
      <c r="C65" s="16"/>
    </row>
    <row r="66" spans="2:6" ht="14">
      <c r="B66" s="17"/>
      <c r="C66" s="18" t="s">
        <v>46</v>
      </c>
    </row>
    <row r="67" spans="2:6" ht="14">
      <c r="B67" s="19" t="s">
        <v>40</v>
      </c>
      <c r="C67" s="19" t="s">
        <v>41</v>
      </c>
      <c r="D67" s="19" t="s">
        <v>677</v>
      </c>
      <c r="E67" s="19" t="s">
        <v>43</v>
      </c>
      <c r="F67" s="19" t="s">
        <v>44</v>
      </c>
    </row>
    <row r="68" spans="2:6">
      <c r="B68" s="5" t="s">
        <v>151</v>
      </c>
      <c r="C68" s="5" t="s">
        <v>46</v>
      </c>
      <c r="D68" s="6" t="s">
        <v>212</v>
      </c>
      <c r="E68" s="6" t="s">
        <v>220</v>
      </c>
      <c r="F68" s="6" t="s">
        <v>221</v>
      </c>
    </row>
    <row r="69" spans="2:6">
      <c r="B69" s="5" t="s">
        <v>199</v>
      </c>
      <c r="C69" s="5" t="s">
        <v>46</v>
      </c>
      <c r="D69" s="6" t="s">
        <v>45</v>
      </c>
      <c r="E69" s="6" t="s">
        <v>222</v>
      </c>
      <c r="F69" s="6" t="s">
        <v>223</v>
      </c>
    </row>
    <row r="70" spans="2:6">
      <c r="B70" s="5" t="s">
        <v>136</v>
      </c>
      <c r="C70" s="5" t="s">
        <v>46</v>
      </c>
      <c r="D70" s="6" t="s">
        <v>224</v>
      </c>
      <c r="E70" s="6" t="s">
        <v>225</v>
      </c>
      <c r="F70" s="6" t="s">
        <v>226</v>
      </c>
    </row>
  </sheetData>
  <mergeCells count="24">
    <mergeCell ref="A35:R35"/>
    <mergeCell ref="A40:R40"/>
    <mergeCell ref="A45:R45"/>
    <mergeCell ref="A51:R51"/>
    <mergeCell ref="B3:B4"/>
    <mergeCell ref="A8:R8"/>
    <mergeCell ref="A11:R11"/>
    <mergeCell ref="A17:R17"/>
    <mergeCell ref="A25:R25"/>
    <mergeCell ref="A28:R28"/>
    <mergeCell ref="A31:R31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1DFD-5056-480C-BE3D-19E47BFC75E8}">
  <dimension ref="A1:M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8.5" style="5" bestFit="1" customWidth="1"/>
    <col min="4" max="4" width="15.5" style="5" bestFit="1" customWidth="1"/>
    <col min="5" max="5" width="12" style="5" customWidth="1"/>
    <col min="6" max="6" width="29.8320312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6.5" style="6" bestFit="1" customWidth="1"/>
    <col min="13" max="13" width="18.83203125" style="5" customWidth="1"/>
    <col min="14" max="16384" width="9.1640625" style="3"/>
  </cols>
  <sheetData>
    <row r="1" spans="1:13" s="2" customFormat="1" ht="29" customHeight="1">
      <c r="A1" s="46" t="s">
        <v>655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707</v>
      </c>
      <c r="B3" s="59" t="s">
        <v>0</v>
      </c>
      <c r="C3" s="56" t="s">
        <v>709</v>
      </c>
      <c r="D3" s="56" t="s">
        <v>6</v>
      </c>
      <c r="E3" s="40" t="s">
        <v>710</v>
      </c>
      <c r="F3" s="40" t="s">
        <v>5</v>
      </c>
      <c r="G3" s="40" t="s">
        <v>8</v>
      </c>
      <c r="H3" s="40"/>
      <c r="I3" s="40"/>
      <c r="J3" s="40"/>
      <c r="K3" s="38" t="s">
        <v>314</v>
      </c>
      <c r="L3" s="40" t="s">
        <v>3</v>
      </c>
      <c r="M3" s="42" t="s">
        <v>2</v>
      </c>
    </row>
    <row r="4" spans="1:13" s="1" customFormat="1" ht="21" customHeight="1" thickBot="1">
      <c r="A4" s="55"/>
      <c r="B4" s="60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39"/>
      <c r="L4" s="41"/>
      <c r="M4" s="43"/>
    </row>
    <row r="5" spans="1:13" ht="16">
      <c r="A5" s="44" t="s">
        <v>127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4" t="s">
        <v>227</v>
      </c>
      <c r="B6" s="13" t="s">
        <v>458</v>
      </c>
      <c r="C6" s="13" t="s">
        <v>688</v>
      </c>
      <c r="D6" s="13" t="s">
        <v>153</v>
      </c>
      <c r="E6" s="13" t="s">
        <v>717</v>
      </c>
      <c r="F6" s="13" t="s">
        <v>366</v>
      </c>
      <c r="G6" s="27" t="s">
        <v>77</v>
      </c>
      <c r="H6" s="27" t="s">
        <v>77</v>
      </c>
      <c r="I6" s="14"/>
      <c r="J6" s="14"/>
      <c r="K6" s="29">
        <v>0</v>
      </c>
      <c r="L6" s="14" t="str">
        <f>"0,0000"</f>
        <v>0,0000</v>
      </c>
      <c r="M6" s="13"/>
    </row>
    <row r="7" spans="1:13">
      <c r="B7" s="5" t="s">
        <v>50</v>
      </c>
    </row>
    <row r="8" spans="1:13" ht="16">
      <c r="A8" s="57" t="s">
        <v>182</v>
      </c>
      <c r="B8" s="57"/>
      <c r="C8" s="58"/>
      <c r="D8" s="58"/>
      <c r="E8" s="58"/>
      <c r="F8" s="58"/>
      <c r="G8" s="58"/>
      <c r="H8" s="58"/>
      <c r="I8" s="58"/>
      <c r="J8" s="58"/>
    </row>
    <row r="9" spans="1:13">
      <c r="A9" s="14" t="s">
        <v>227</v>
      </c>
      <c r="B9" s="13" t="s">
        <v>459</v>
      </c>
      <c r="C9" s="13" t="s">
        <v>460</v>
      </c>
      <c r="D9" s="13" t="s">
        <v>461</v>
      </c>
      <c r="E9" s="13" t="s">
        <v>712</v>
      </c>
      <c r="F9" s="13" t="s">
        <v>366</v>
      </c>
      <c r="G9" s="27" t="s">
        <v>15</v>
      </c>
      <c r="H9" s="27" t="s">
        <v>15</v>
      </c>
      <c r="I9" s="27" t="s">
        <v>202</v>
      </c>
      <c r="J9" s="14"/>
      <c r="K9" s="29">
        <v>0</v>
      </c>
      <c r="L9" s="14" t="str">
        <f>"0,0000"</f>
        <v>0,0000</v>
      </c>
      <c r="M9" s="13"/>
    </row>
    <row r="10" spans="1:13">
      <c r="B10" s="5" t="s">
        <v>50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3D5DD-78C4-488F-A2C2-94C8D89DA9A7}">
  <dimension ref="A1:M11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9" style="5" bestFit="1" customWidth="1"/>
    <col min="7" max="9" width="5.6640625" style="6" bestFit="1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7" style="5" bestFit="1" customWidth="1"/>
    <col min="14" max="16384" width="9.1640625" style="3"/>
  </cols>
  <sheetData>
    <row r="1" spans="1:13" s="2" customFormat="1" ht="29" customHeight="1">
      <c r="A1" s="46" t="s">
        <v>656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707</v>
      </c>
      <c r="B3" s="59" t="s">
        <v>0</v>
      </c>
      <c r="C3" s="56" t="s">
        <v>709</v>
      </c>
      <c r="D3" s="56" t="s">
        <v>6</v>
      </c>
      <c r="E3" s="40" t="s">
        <v>710</v>
      </c>
      <c r="F3" s="40" t="s">
        <v>5</v>
      </c>
      <c r="G3" s="40" t="s">
        <v>8</v>
      </c>
      <c r="H3" s="40"/>
      <c r="I3" s="40"/>
      <c r="J3" s="40"/>
      <c r="K3" s="40" t="s">
        <v>314</v>
      </c>
      <c r="L3" s="40" t="s">
        <v>3</v>
      </c>
      <c r="M3" s="42" t="s">
        <v>2</v>
      </c>
    </row>
    <row r="4" spans="1:13" s="1" customFormat="1" ht="21" customHeight="1" thickBot="1">
      <c r="A4" s="55"/>
      <c r="B4" s="60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182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8" t="s">
        <v>48</v>
      </c>
      <c r="B6" s="7" t="s">
        <v>545</v>
      </c>
      <c r="C6" s="7" t="s">
        <v>546</v>
      </c>
      <c r="D6" s="7" t="s">
        <v>547</v>
      </c>
      <c r="E6" s="7" t="s">
        <v>712</v>
      </c>
      <c r="F6" s="7" t="s">
        <v>548</v>
      </c>
      <c r="G6" s="20" t="s">
        <v>202</v>
      </c>
      <c r="H6" s="20" t="s">
        <v>549</v>
      </c>
      <c r="I6" s="21" t="s">
        <v>37</v>
      </c>
      <c r="J6" s="8"/>
      <c r="K6" s="8" t="str">
        <f>"260,0"</f>
        <v>260,0</v>
      </c>
      <c r="L6" s="8" t="str">
        <f>"152,9450"</f>
        <v>152,9450</v>
      </c>
      <c r="M6" s="7"/>
    </row>
    <row r="7" spans="1:13">
      <c r="A7" s="12" t="s">
        <v>48</v>
      </c>
      <c r="B7" s="11" t="s">
        <v>550</v>
      </c>
      <c r="C7" s="11" t="s">
        <v>657</v>
      </c>
      <c r="D7" s="11" t="s">
        <v>551</v>
      </c>
      <c r="E7" s="11" t="s">
        <v>713</v>
      </c>
      <c r="F7" s="11" t="s">
        <v>168</v>
      </c>
      <c r="G7" s="25" t="s">
        <v>149</v>
      </c>
      <c r="H7" s="24" t="s">
        <v>149</v>
      </c>
      <c r="I7" s="25" t="s">
        <v>243</v>
      </c>
      <c r="J7" s="12"/>
      <c r="K7" s="12" t="str">
        <f>"200,0"</f>
        <v>200,0</v>
      </c>
      <c r="L7" s="12" t="str">
        <f>"120,3200"</f>
        <v>120,3200</v>
      </c>
      <c r="M7" s="11" t="s">
        <v>683</v>
      </c>
    </row>
    <row r="8" spans="1:13">
      <c r="B8" s="5" t="s">
        <v>50</v>
      </c>
    </row>
    <row r="9" spans="1:13" ht="16">
      <c r="A9" s="57" t="s">
        <v>10</v>
      </c>
      <c r="B9" s="57"/>
      <c r="C9" s="58"/>
      <c r="D9" s="58"/>
      <c r="E9" s="58"/>
      <c r="F9" s="58"/>
      <c r="G9" s="58"/>
      <c r="H9" s="58"/>
      <c r="I9" s="58"/>
      <c r="J9" s="58"/>
    </row>
    <row r="10" spans="1:13">
      <c r="A10" s="14" t="s">
        <v>48</v>
      </c>
      <c r="B10" s="13" t="s">
        <v>552</v>
      </c>
      <c r="C10" s="13" t="s">
        <v>553</v>
      </c>
      <c r="D10" s="13" t="s">
        <v>554</v>
      </c>
      <c r="E10" s="13" t="s">
        <v>712</v>
      </c>
      <c r="F10" s="13" t="s">
        <v>168</v>
      </c>
      <c r="G10" s="26" t="s">
        <v>150</v>
      </c>
      <c r="H10" s="26" t="s">
        <v>191</v>
      </c>
      <c r="I10" s="27" t="s">
        <v>555</v>
      </c>
      <c r="J10" s="14"/>
      <c r="K10" s="14" t="str">
        <f>"225,0"</f>
        <v>225,0</v>
      </c>
      <c r="L10" s="14" t="str">
        <f>"127,4175"</f>
        <v>127,4175</v>
      </c>
      <c r="M10" s="13" t="s">
        <v>620</v>
      </c>
    </row>
    <row r="11" spans="1:13">
      <c r="B11" s="5" t="s">
        <v>50</v>
      </c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3A16-AC1B-42F0-84CC-9E8DF9F3CD0D}">
  <dimension ref="A1:M59"/>
  <sheetViews>
    <sheetView topLeftCell="A17" workbookViewId="0">
      <selection activeCell="E43" sqref="E43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4.83203125" style="5" bestFit="1" customWidth="1"/>
    <col min="7" max="9" width="5.6640625" style="6" bestFit="1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8.1640625" style="5" bestFit="1" customWidth="1"/>
    <col min="14" max="16384" width="9.1640625" style="3"/>
  </cols>
  <sheetData>
    <row r="1" spans="1:13" s="2" customFormat="1" ht="29" customHeight="1">
      <c r="A1" s="46" t="s">
        <v>659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707</v>
      </c>
      <c r="B3" s="59" t="s">
        <v>0</v>
      </c>
      <c r="C3" s="56" t="s">
        <v>709</v>
      </c>
      <c r="D3" s="56" t="s">
        <v>6</v>
      </c>
      <c r="E3" s="40" t="s">
        <v>710</v>
      </c>
      <c r="F3" s="40" t="s">
        <v>5</v>
      </c>
      <c r="G3" s="40" t="s">
        <v>9</v>
      </c>
      <c r="H3" s="40"/>
      <c r="I3" s="40"/>
      <c r="J3" s="40"/>
      <c r="K3" s="38" t="s">
        <v>314</v>
      </c>
      <c r="L3" s="40" t="s">
        <v>3</v>
      </c>
      <c r="M3" s="42" t="s">
        <v>2</v>
      </c>
    </row>
    <row r="4" spans="1:13" s="1" customFormat="1" ht="21" customHeight="1" thickBot="1">
      <c r="A4" s="55"/>
      <c r="B4" s="60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39"/>
      <c r="L4" s="41"/>
      <c r="M4" s="43"/>
    </row>
    <row r="5" spans="1:13" ht="16">
      <c r="A5" s="44" t="s">
        <v>62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4" t="s">
        <v>48</v>
      </c>
      <c r="B6" s="13" t="s">
        <v>475</v>
      </c>
      <c r="C6" s="13" t="s">
        <v>476</v>
      </c>
      <c r="D6" s="13" t="s">
        <v>477</v>
      </c>
      <c r="E6" s="13" t="s">
        <v>712</v>
      </c>
      <c r="F6" s="13" t="s">
        <v>621</v>
      </c>
      <c r="G6" s="27" t="s">
        <v>61</v>
      </c>
      <c r="H6" s="27" t="s">
        <v>61</v>
      </c>
      <c r="I6" s="26" t="s">
        <v>61</v>
      </c>
      <c r="J6" s="14"/>
      <c r="K6" s="29" t="str">
        <f>"100,0"</f>
        <v>100,0</v>
      </c>
      <c r="L6" s="14" t="str">
        <f>"119,8500"</f>
        <v>119,8500</v>
      </c>
      <c r="M6" s="13" t="s">
        <v>478</v>
      </c>
    </row>
    <row r="7" spans="1:13">
      <c r="B7" s="5" t="s">
        <v>50</v>
      </c>
    </row>
    <row r="8" spans="1:13" ht="16">
      <c r="A8" s="57" t="s">
        <v>72</v>
      </c>
      <c r="B8" s="57"/>
      <c r="C8" s="58"/>
      <c r="D8" s="58"/>
      <c r="E8" s="58"/>
      <c r="F8" s="58"/>
      <c r="G8" s="58"/>
      <c r="H8" s="58"/>
      <c r="I8" s="58"/>
      <c r="J8" s="58"/>
    </row>
    <row r="9" spans="1:13">
      <c r="A9" s="8" t="s">
        <v>48</v>
      </c>
      <c r="B9" s="7" t="s">
        <v>87</v>
      </c>
      <c r="C9" s="7" t="s">
        <v>88</v>
      </c>
      <c r="D9" s="7" t="s">
        <v>89</v>
      </c>
      <c r="E9" s="7" t="s">
        <v>712</v>
      </c>
      <c r="F9" s="7" t="s">
        <v>621</v>
      </c>
      <c r="G9" s="20" t="s">
        <v>93</v>
      </c>
      <c r="H9" s="20" t="s">
        <v>94</v>
      </c>
      <c r="I9" s="21" t="s">
        <v>27</v>
      </c>
      <c r="J9" s="8"/>
      <c r="K9" s="30" t="str">
        <f>"142,5"</f>
        <v>142,5</v>
      </c>
      <c r="L9" s="8" t="str">
        <f>"161,1675"</f>
        <v>161,1675</v>
      </c>
      <c r="M9" s="7" t="s">
        <v>95</v>
      </c>
    </row>
    <row r="10" spans="1:13">
      <c r="A10" s="10" t="s">
        <v>49</v>
      </c>
      <c r="B10" s="9" t="s">
        <v>329</v>
      </c>
      <c r="C10" s="9" t="s">
        <v>330</v>
      </c>
      <c r="D10" s="9" t="s">
        <v>331</v>
      </c>
      <c r="E10" s="9" t="s">
        <v>712</v>
      </c>
      <c r="F10" s="9" t="s">
        <v>621</v>
      </c>
      <c r="G10" s="22" t="s">
        <v>147</v>
      </c>
      <c r="H10" s="22" t="s">
        <v>77</v>
      </c>
      <c r="I10" s="23" t="s">
        <v>16</v>
      </c>
      <c r="J10" s="10"/>
      <c r="K10" s="32" t="str">
        <f>"130,0"</f>
        <v>130,0</v>
      </c>
      <c r="L10" s="10" t="str">
        <f>"145,1190"</f>
        <v>145,1190</v>
      </c>
      <c r="M10" s="9"/>
    </row>
    <row r="11" spans="1:13">
      <c r="A11" s="12" t="s">
        <v>228</v>
      </c>
      <c r="B11" s="11" t="s">
        <v>479</v>
      </c>
      <c r="C11" s="11" t="s">
        <v>480</v>
      </c>
      <c r="D11" s="11" t="s">
        <v>75</v>
      </c>
      <c r="E11" s="11" t="s">
        <v>712</v>
      </c>
      <c r="F11" s="11" t="s">
        <v>621</v>
      </c>
      <c r="G11" s="24" t="s">
        <v>61</v>
      </c>
      <c r="H11" s="24" t="s">
        <v>380</v>
      </c>
      <c r="I11" s="24" t="s">
        <v>101</v>
      </c>
      <c r="J11" s="12"/>
      <c r="K11" s="31" t="str">
        <f>"110,0"</f>
        <v>110,0</v>
      </c>
      <c r="L11" s="12" t="str">
        <f>"123,1120"</f>
        <v>123,1120</v>
      </c>
      <c r="M11" s="11" t="s">
        <v>250</v>
      </c>
    </row>
    <row r="12" spans="1:13">
      <c r="B12" s="5" t="s">
        <v>50</v>
      </c>
    </row>
    <row r="13" spans="1:13" ht="16">
      <c r="A13" s="57" t="s">
        <v>102</v>
      </c>
      <c r="B13" s="57"/>
      <c r="C13" s="58"/>
      <c r="D13" s="58"/>
      <c r="E13" s="58"/>
      <c r="F13" s="58"/>
      <c r="G13" s="58"/>
      <c r="H13" s="58"/>
      <c r="I13" s="58"/>
      <c r="J13" s="58"/>
    </row>
    <row r="14" spans="1:13">
      <c r="A14" s="8" t="s">
        <v>48</v>
      </c>
      <c r="B14" s="7" t="s">
        <v>481</v>
      </c>
      <c r="C14" s="7" t="s">
        <v>482</v>
      </c>
      <c r="D14" s="7" t="s">
        <v>483</v>
      </c>
      <c r="E14" s="7" t="s">
        <v>712</v>
      </c>
      <c r="F14" s="7" t="s">
        <v>680</v>
      </c>
      <c r="G14" s="20" t="s">
        <v>76</v>
      </c>
      <c r="H14" s="20" t="s">
        <v>484</v>
      </c>
      <c r="I14" s="20" t="s">
        <v>77</v>
      </c>
      <c r="J14" s="8"/>
      <c r="K14" s="30" t="str">
        <f>"130,0"</f>
        <v>130,0</v>
      </c>
      <c r="L14" s="8" t="str">
        <f>"136,3830"</f>
        <v>136,3830</v>
      </c>
      <c r="M14" s="7" t="s">
        <v>683</v>
      </c>
    </row>
    <row r="15" spans="1:13">
      <c r="A15" s="10" t="s">
        <v>49</v>
      </c>
      <c r="B15" s="9" t="s">
        <v>103</v>
      </c>
      <c r="C15" s="9" t="s">
        <v>104</v>
      </c>
      <c r="D15" s="9" t="s">
        <v>105</v>
      </c>
      <c r="E15" s="9" t="s">
        <v>712</v>
      </c>
      <c r="F15" s="9" t="s">
        <v>621</v>
      </c>
      <c r="G15" s="22" t="s">
        <v>106</v>
      </c>
      <c r="H15" s="22" t="s">
        <v>77</v>
      </c>
      <c r="I15" s="23" t="s">
        <v>26</v>
      </c>
      <c r="J15" s="10"/>
      <c r="K15" s="32" t="str">
        <f>"130,0"</f>
        <v>130,0</v>
      </c>
      <c r="L15" s="10" t="str">
        <f>"133,3930"</f>
        <v>133,3930</v>
      </c>
      <c r="M15" s="9" t="s">
        <v>107</v>
      </c>
    </row>
    <row r="16" spans="1:13">
      <c r="A16" s="12" t="s">
        <v>228</v>
      </c>
      <c r="B16" s="11" t="s">
        <v>120</v>
      </c>
      <c r="C16" s="11" t="s">
        <v>121</v>
      </c>
      <c r="D16" s="11" t="s">
        <v>122</v>
      </c>
      <c r="E16" s="11" t="s">
        <v>712</v>
      </c>
      <c r="F16" s="11" t="s">
        <v>621</v>
      </c>
      <c r="G16" s="24" t="s">
        <v>90</v>
      </c>
      <c r="H16" s="25" t="s">
        <v>126</v>
      </c>
      <c r="I16" s="24" t="s">
        <v>84</v>
      </c>
      <c r="J16" s="12"/>
      <c r="K16" s="31" t="str">
        <f>"105,0"</f>
        <v>105,0</v>
      </c>
      <c r="L16" s="12" t="str">
        <f>"108,3285"</f>
        <v>108,3285</v>
      </c>
      <c r="M16" s="11" t="s">
        <v>95</v>
      </c>
    </row>
    <row r="17" spans="1:13">
      <c r="B17" s="5" t="s">
        <v>50</v>
      </c>
    </row>
    <row r="18" spans="1:13" ht="16">
      <c r="A18" s="57" t="s">
        <v>135</v>
      </c>
      <c r="B18" s="57"/>
      <c r="C18" s="58"/>
      <c r="D18" s="58"/>
      <c r="E18" s="58"/>
      <c r="F18" s="58"/>
      <c r="G18" s="58"/>
      <c r="H18" s="58"/>
      <c r="I18" s="58"/>
      <c r="J18" s="58"/>
    </row>
    <row r="19" spans="1:13">
      <c r="A19" s="14" t="s">
        <v>48</v>
      </c>
      <c r="B19" s="13" t="s">
        <v>485</v>
      </c>
      <c r="C19" s="13" t="s">
        <v>486</v>
      </c>
      <c r="D19" s="13" t="s">
        <v>487</v>
      </c>
      <c r="E19" s="13" t="s">
        <v>711</v>
      </c>
      <c r="F19" s="13" t="s">
        <v>621</v>
      </c>
      <c r="G19" s="26" t="s">
        <v>106</v>
      </c>
      <c r="H19" s="26" t="s">
        <v>362</v>
      </c>
      <c r="I19" s="26" t="s">
        <v>16</v>
      </c>
      <c r="J19" s="14"/>
      <c r="K19" s="29" t="str">
        <f>"135,0"</f>
        <v>135,0</v>
      </c>
      <c r="L19" s="14" t="str">
        <f>"129,4245"</f>
        <v>129,4245</v>
      </c>
      <c r="M19" s="13" t="s">
        <v>488</v>
      </c>
    </row>
    <row r="20" spans="1:13">
      <c r="B20" s="5" t="s">
        <v>50</v>
      </c>
    </row>
    <row r="21" spans="1:13" ht="16">
      <c r="A21" s="57" t="s">
        <v>135</v>
      </c>
      <c r="B21" s="57"/>
      <c r="C21" s="58"/>
      <c r="D21" s="58"/>
      <c r="E21" s="58"/>
      <c r="F21" s="58"/>
      <c r="G21" s="58"/>
      <c r="H21" s="58"/>
      <c r="I21" s="58"/>
      <c r="J21" s="58"/>
    </row>
    <row r="22" spans="1:13">
      <c r="A22" s="14" t="s">
        <v>48</v>
      </c>
      <c r="B22" s="13" t="s">
        <v>489</v>
      </c>
      <c r="C22" s="13" t="s">
        <v>490</v>
      </c>
      <c r="D22" s="13" t="s">
        <v>372</v>
      </c>
      <c r="E22" s="13" t="s">
        <v>711</v>
      </c>
      <c r="F22" s="13" t="s">
        <v>621</v>
      </c>
      <c r="G22" s="26" t="s">
        <v>106</v>
      </c>
      <c r="H22" s="26" t="s">
        <v>77</v>
      </c>
      <c r="I22" s="26" t="s">
        <v>16</v>
      </c>
      <c r="J22" s="14"/>
      <c r="K22" s="29" t="str">
        <f>"135,0"</f>
        <v>135,0</v>
      </c>
      <c r="L22" s="14" t="str">
        <f>"98,1585"</f>
        <v>98,1585</v>
      </c>
      <c r="M22" s="13" t="s">
        <v>491</v>
      </c>
    </row>
    <row r="23" spans="1:13">
      <c r="B23" s="5" t="s">
        <v>50</v>
      </c>
    </row>
    <row r="24" spans="1:13" ht="16">
      <c r="A24" s="57" t="s">
        <v>127</v>
      </c>
      <c r="B24" s="57"/>
      <c r="C24" s="58"/>
      <c r="D24" s="58"/>
      <c r="E24" s="58"/>
      <c r="F24" s="58"/>
      <c r="G24" s="58"/>
      <c r="H24" s="58"/>
      <c r="I24" s="58"/>
      <c r="J24" s="58"/>
    </row>
    <row r="25" spans="1:13">
      <c r="A25" s="8" t="s">
        <v>48</v>
      </c>
      <c r="B25" s="7" t="s">
        <v>492</v>
      </c>
      <c r="C25" s="7" t="s">
        <v>493</v>
      </c>
      <c r="D25" s="7" t="s">
        <v>388</v>
      </c>
      <c r="E25" s="7" t="s">
        <v>712</v>
      </c>
      <c r="F25" s="7" t="s">
        <v>494</v>
      </c>
      <c r="G25" s="20" t="s">
        <v>24</v>
      </c>
      <c r="H25" s="20" t="s">
        <v>15</v>
      </c>
      <c r="I25" s="21" t="s">
        <v>202</v>
      </c>
      <c r="J25" s="8"/>
      <c r="K25" s="30" t="str">
        <f>"240,0"</f>
        <v>240,0</v>
      </c>
      <c r="L25" s="8" t="str">
        <f>"162,4560"</f>
        <v>162,4560</v>
      </c>
      <c r="M25" s="7"/>
    </row>
    <row r="26" spans="1:13">
      <c r="A26" s="12" t="s">
        <v>49</v>
      </c>
      <c r="B26" s="11" t="s">
        <v>155</v>
      </c>
      <c r="C26" s="11" t="s">
        <v>156</v>
      </c>
      <c r="D26" s="11" t="s">
        <v>157</v>
      </c>
      <c r="E26" s="11" t="s">
        <v>712</v>
      </c>
      <c r="F26" s="11" t="s">
        <v>621</v>
      </c>
      <c r="G26" s="24" t="s">
        <v>140</v>
      </c>
      <c r="H26" s="24" t="s">
        <v>150</v>
      </c>
      <c r="I26" s="25" t="s">
        <v>161</v>
      </c>
      <c r="J26" s="12"/>
      <c r="K26" s="31" t="str">
        <f>"215,0"</f>
        <v>215,0</v>
      </c>
      <c r="L26" s="12" t="str">
        <f>"144,5660"</f>
        <v>144,5660</v>
      </c>
      <c r="M26" s="11" t="s">
        <v>684</v>
      </c>
    </row>
    <row r="27" spans="1:13">
      <c r="B27" s="5" t="s">
        <v>50</v>
      </c>
    </row>
    <row r="28" spans="1:13" ht="16">
      <c r="A28" s="57" t="s">
        <v>164</v>
      </c>
      <c r="B28" s="57"/>
      <c r="C28" s="58"/>
      <c r="D28" s="58"/>
      <c r="E28" s="58"/>
      <c r="F28" s="58"/>
      <c r="G28" s="58"/>
      <c r="H28" s="58"/>
      <c r="I28" s="58"/>
      <c r="J28" s="58"/>
    </row>
    <row r="29" spans="1:13">
      <c r="A29" s="8" t="s">
        <v>48</v>
      </c>
      <c r="B29" s="7" t="s">
        <v>495</v>
      </c>
      <c r="C29" s="7" t="s">
        <v>496</v>
      </c>
      <c r="D29" s="7" t="s">
        <v>497</v>
      </c>
      <c r="E29" s="7" t="s">
        <v>712</v>
      </c>
      <c r="F29" s="7" t="s">
        <v>621</v>
      </c>
      <c r="G29" s="21" t="s">
        <v>79</v>
      </c>
      <c r="H29" s="20" t="s">
        <v>79</v>
      </c>
      <c r="I29" s="20" t="s">
        <v>172</v>
      </c>
      <c r="J29" s="8"/>
      <c r="K29" s="30" t="str">
        <f>"202,5"</f>
        <v>202,5</v>
      </c>
      <c r="L29" s="8" t="str">
        <f>"132,4350"</f>
        <v>132,4350</v>
      </c>
      <c r="M29" s="7" t="s">
        <v>685</v>
      </c>
    </row>
    <row r="30" spans="1:13">
      <c r="A30" s="10" t="s">
        <v>48</v>
      </c>
      <c r="B30" s="9" t="s">
        <v>498</v>
      </c>
      <c r="C30" s="9" t="s">
        <v>660</v>
      </c>
      <c r="D30" s="9" t="s">
        <v>499</v>
      </c>
      <c r="E30" s="9" t="s">
        <v>713</v>
      </c>
      <c r="F30" s="9" t="s">
        <v>621</v>
      </c>
      <c r="G30" s="22" t="s">
        <v>79</v>
      </c>
      <c r="H30" s="22" t="s">
        <v>172</v>
      </c>
      <c r="I30" s="23" t="s">
        <v>243</v>
      </c>
      <c r="J30" s="10"/>
      <c r="K30" s="32" t="str">
        <f>"202,5"</f>
        <v>202,5</v>
      </c>
      <c r="L30" s="10" t="str">
        <f>"130,6327"</f>
        <v>130,6327</v>
      </c>
      <c r="M30" s="9"/>
    </row>
    <row r="31" spans="1:13">
      <c r="A31" s="12" t="s">
        <v>48</v>
      </c>
      <c r="B31" s="11" t="s">
        <v>500</v>
      </c>
      <c r="C31" s="11" t="s">
        <v>661</v>
      </c>
      <c r="D31" s="11" t="s">
        <v>167</v>
      </c>
      <c r="E31" s="11" t="s">
        <v>717</v>
      </c>
      <c r="F31" s="11" t="s">
        <v>621</v>
      </c>
      <c r="G31" s="25" t="s">
        <v>26</v>
      </c>
      <c r="H31" s="24" t="s">
        <v>26</v>
      </c>
      <c r="I31" s="24" t="s">
        <v>27</v>
      </c>
      <c r="J31" s="12"/>
      <c r="K31" s="31" t="str">
        <f>"150,0"</f>
        <v>150,0</v>
      </c>
      <c r="L31" s="12" t="str">
        <f>"122,9718"</f>
        <v>122,9718</v>
      </c>
      <c r="M31" s="11" t="s">
        <v>685</v>
      </c>
    </row>
    <row r="32" spans="1:13">
      <c r="B32" s="5" t="s">
        <v>50</v>
      </c>
    </row>
    <row r="33" spans="1:13" ht="16">
      <c r="A33" s="57" t="s">
        <v>182</v>
      </c>
      <c r="B33" s="57"/>
      <c r="C33" s="58"/>
      <c r="D33" s="58"/>
      <c r="E33" s="58"/>
      <c r="F33" s="58"/>
      <c r="G33" s="58"/>
      <c r="H33" s="58"/>
      <c r="I33" s="58"/>
      <c r="J33" s="58"/>
    </row>
    <row r="34" spans="1:13">
      <c r="A34" s="8" t="s">
        <v>48</v>
      </c>
      <c r="B34" s="7" t="s">
        <v>501</v>
      </c>
      <c r="C34" s="7" t="s">
        <v>502</v>
      </c>
      <c r="D34" s="7" t="s">
        <v>503</v>
      </c>
      <c r="E34" s="7" t="s">
        <v>712</v>
      </c>
      <c r="F34" s="7" t="s">
        <v>621</v>
      </c>
      <c r="G34" s="20" t="s">
        <v>13</v>
      </c>
      <c r="H34" s="20" t="s">
        <v>15</v>
      </c>
      <c r="I34" s="21" t="s">
        <v>504</v>
      </c>
      <c r="J34" s="8"/>
      <c r="K34" s="30" t="str">
        <f>"240,0"</f>
        <v>240,0</v>
      </c>
      <c r="L34" s="8" t="str">
        <f>"149,4960"</f>
        <v>149,4960</v>
      </c>
      <c r="M34" s="7" t="s">
        <v>505</v>
      </c>
    </row>
    <row r="35" spans="1:13">
      <c r="A35" s="10" t="s">
        <v>49</v>
      </c>
      <c r="B35" s="9" t="s">
        <v>506</v>
      </c>
      <c r="C35" s="9" t="s">
        <v>507</v>
      </c>
      <c r="D35" s="9" t="s">
        <v>508</v>
      </c>
      <c r="E35" s="9" t="s">
        <v>712</v>
      </c>
      <c r="F35" s="9" t="s">
        <v>686</v>
      </c>
      <c r="G35" s="22" t="s">
        <v>238</v>
      </c>
      <c r="H35" s="22" t="s">
        <v>148</v>
      </c>
      <c r="I35" s="23" t="s">
        <v>79</v>
      </c>
      <c r="J35" s="10"/>
      <c r="K35" s="32" t="str">
        <f>"180,0"</f>
        <v>180,0</v>
      </c>
      <c r="L35" s="10" t="str">
        <f>"113,0220"</f>
        <v>113,0220</v>
      </c>
      <c r="M35" s="9" t="s">
        <v>684</v>
      </c>
    </row>
    <row r="36" spans="1:13">
      <c r="A36" s="12" t="s">
        <v>227</v>
      </c>
      <c r="B36" s="11" t="s">
        <v>430</v>
      </c>
      <c r="C36" s="11" t="s">
        <v>637</v>
      </c>
      <c r="D36" s="11" t="s">
        <v>431</v>
      </c>
      <c r="E36" s="11" t="s">
        <v>713</v>
      </c>
      <c r="F36" s="11" t="s">
        <v>168</v>
      </c>
      <c r="G36" s="25" t="s">
        <v>238</v>
      </c>
      <c r="H36" s="25" t="s">
        <v>148</v>
      </c>
      <c r="I36" s="12"/>
      <c r="J36" s="12"/>
      <c r="K36" s="31">
        <v>0</v>
      </c>
      <c r="L36" s="12" t="str">
        <f>"0,0000"</f>
        <v>0,0000</v>
      </c>
      <c r="M36" s="11"/>
    </row>
    <row r="37" spans="1:13">
      <c r="B37" s="5" t="s">
        <v>50</v>
      </c>
    </row>
    <row r="38" spans="1:13" ht="16">
      <c r="A38" s="57" t="s">
        <v>10</v>
      </c>
      <c r="B38" s="57"/>
      <c r="C38" s="58"/>
      <c r="D38" s="58"/>
      <c r="E38" s="58"/>
      <c r="F38" s="58"/>
      <c r="G38" s="58"/>
      <c r="H38" s="58"/>
      <c r="I38" s="58"/>
      <c r="J38" s="58"/>
    </row>
    <row r="39" spans="1:13">
      <c r="A39" s="14" t="s">
        <v>48</v>
      </c>
      <c r="B39" s="13" t="s">
        <v>199</v>
      </c>
      <c r="C39" s="13" t="s">
        <v>200</v>
      </c>
      <c r="D39" s="13" t="s">
        <v>201</v>
      </c>
      <c r="E39" s="13" t="s">
        <v>712</v>
      </c>
      <c r="F39" s="13" t="s">
        <v>621</v>
      </c>
      <c r="G39" s="26" t="s">
        <v>203</v>
      </c>
      <c r="H39" s="27" t="s">
        <v>204</v>
      </c>
      <c r="I39" s="14"/>
      <c r="J39" s="14"/>
      <c r="K39" s="29" t="str">
        <f>"280,0"</f>
        <v>280,0</v>
      </c>
      <c r="L39" s="14" t="str">
        <f>"165,7320"</f>
        <v>165,7320</v>
      </c>
      <c r="M39" s="13" t="s">
        <v>205</v>
      </c>
    </row>
    <row r="40" spans="1:13">
      <c r="B40" s="5" t="s">
        <v>50</v>
      </c>
    </row>
    <row r="41" spans="1:13" ht="16">
      <c r="A41" s="57" t="s">
        <v>33</v>
      </c>
      <c r="B41" s="57"/>
      <c r="C41" s="58"/>
      <c r="D41" s="58"/>
      <c r="E41" s="58"/>
      <c r="F41" s="58"/>
      <c r="G41" s="58"/>
      <c r="H41" s="58"/>
      <c r="I41" s="58"/>
      <c r="J41" s="58"/>
    </row>
    <row r="42" spans="1:13">
      <c r="A42" s="14" t="s">
        <v>48</v>
      </c>
      <c r="B42" s="13" t="s">
        <v>509</v>
      </c>
      <c r="C42" s="13" t="s">
        <v>662</v>
      </c>
      <c r="D42" s="13" t="s">
        <v>510</v>
      </c>
      <c r="E42" s="13" t="s">
        <v>714</v>
      </c>
      <c r="F42" s="13" t="s">
        <v>621</v>
      </c>
      <c r="G42" s="26" t="s">
        <v>191</v>
      </c>
      <c r="H42" s="26" t="s">
        <v>14</v>
      </c>
      <c r="I42" s="26" t="s">
        <v>15</v>
      </c>
      <c r="J42" s="14"/>
      <c r="K42" s="29" t="str">
        <f>"240,0"</f>
        <v>240,0</v>
      </c>
      <c r="L42" s="14" t="str">
        <f>"139,3440"</f>
        <v>139,3440</v>
      </c>
      <c r="M42" s="13"/>
    </row>
    <row r="43" spans="1:13">
      <c r="B43" s="5" t="s">
        <v>50</v>
      </c>
    </row>
    <row r="44" spans="1:13">
      <c r="B44" s="5" t="s">
        <v>50</v>
      </c>
    </row>
    <row r="45" spans="1:13">
      <c r="B45" s="5" t="s">
        <v>50</v>
      </c>
    </row>
    <row r="46" spans="1:13" ht="18">
      <c r="B46" s="15" t="s">
        <v>38</v>
      </c>
      <c r="C46" s="15"/>
      <c r="F46" s="3"/>
    </row>
    <row r="47" spans="1:13" ht="16">
      <c r="B47" s="16" t="s">
        <v>211</v>
      </c>
      <c r="C47" s="16"/>
      <c r="F47" s="3"/>
    </row>
    <row r="48" spans="1:13" ht="14">
      <c r="B48" s="17"/>
      <c r="C48" s="18" t="s">
        <v>46</v>
      </c>
      <c r="F48" s="3"/>
    </row>
    <row r="49" spans="2:6" ht="14">
      <c r="B49" s="19" t="s">
        <v>40</v>
      </c>
      <c r="C49" s="19" t="s">
        <v>41</v>
      </c>
      <c r="D49" s="19" t="s">
        <v>677</v>
      </c>
      <c r="E49" s="19" t="s">
        <v>309</v>
      </c>
      <c r="F49" s="19" t="s">
        <v>44</v>
      </c>
    </row>
    <row r="50" spans="2:6">
      <c r="B50" s="5" t="s">
        <v>87</v>
      </c>
      <c r="C50" s="5" t="s">
        <v>46</v>
      </c>
      <c r="D50" s="6" t="s">
        <v>213</v>
      </c>
      <c r="E50" s="6" t="s">
        <v>94</v>
      </c>
      <c r="F50" s="6" t="s">
        <v>511</v>
      </c>
    </row>
    <row r="51" spans="2:6">
      <c r="B51" s="5" t="s">
        <v>329</v>
      </c>
      <c r="C51" s="5" t="s">
        <v>46</v>
      </c>
      <c r="D51" s="6" t="s">
        <v>213</v>
      </c>
      <c r="E51" s="6" t="s">
        <v>77</v>
      </c>
      <c r="F51" s="6" t="s">
        <v>512</v>
      </c>
    </row>
    <row r="52" spans="2:6">
      <c r="B52" s="5" t="s">
        <v>481</v>
      </c>
      <c r="C52" s="5" t="s">
        <v>46</v>
      </c>
      <c r="D52" s="6" t="s">
        <v>449</v>
      </c>
      <c r="E52" s="6" t="s">
        <v>77</v>
      </c>
      <c r="F52" s="6" t="s">
        <v>513</v>
      </c>
    </row>
    <row r="54" spans="2:6" ht="16">
      <c r="B54" s="16" t="s">
        <v>39</v>
      </c>
      <c r="C54" s="16"/>
    </row>
    <row r="55" spans="2:6" ht="14">
      <c r="B55" s="17"/>
      <c r="C55" s="18" t="s">
        <v>46</v>
      </c>
    </row>
    <row r="56" spans="2:6" ht="14">
      <c r="B56" s="19" t="s">
        <v>40</v>
      </c>
      <c r="C56" s="19" t="s">
        <v>41</v>
      </c>
      <c r="D56" s="19" t="s">
        <v>677</v>
      </c>
      <c r="E56" s="19" t="s">
        <v>309</v>
      </c>
      <c r="F56" s="19" t="s">
        <v>44</v>
      </c>
    </row>
    <row r="57" spans="2:6">
      <c r="B57" s="5" t="s">
        <v>199</v>
      </c>
      <c r="C57" s="5" t="s">
        <v>46</v>
      </c>
      <c r="D57" s="6" t="s">
        <v>45</v>
      </c>
      <c r="E57" s="6" t="s">
        <v>203</v>
      </c>
      <c r="F57" s="6" t="s">
        <v>514</v>
      </c>
    </row>
    <row r="58" spans="2:6">
      <c r="B58" s="5" t="s">
        <v>492</v>
      </c>
      <c r="C58" s="5" t="s">
        <v>46</v>
      </c>
      <c r="D58" s="6" t="s">
        <v>212</v>
      </c>
      <c r="E58" s="6" t="s">
        <v>15</v>
      </c>
      <c r="F58" s="6" t="s">
        <v>515</v>
      </c>
    </row>
    <row r="59" spans="2:6">
      <c r="B59" s="5" t="s">
        <v>501</v>
      </c>
      <c r="C59" s="5" t="s">
        <v>46</v>
      </c>
      <c r="D59" s="6" t="s">
        <v>219</v>
      </c>
      <c r="E59" s="6" t="s">
        <v>15</v>
      </c>
      <c r="F59" s="6" t="s">
        <v>516</v>
      </c>
    </row>
  </sheetData>
  <mergeCells count="21">
    <mergeCell ref="A33:J33"/>
    <mergeCell ref="A38:J38"/>
    <mergeCell ref="A41:J41"/>
    <mergeCell ref="B3:B4"/>
    <mergeCell ref="A8:J8"/>
    <mergeCell ref="A13:J13"/>
    <mergeCell ref="A18:J18"/>
    <mergeCell ref="A21:J21"/>
    <mergeCell ref="A24:J24"/>
    <mergeCell ref="A28:J28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B1643-4D0C-43D2-B12D-9F8EC0B8CBE6}">
  <dimension ref="A1:M24"/>
  <sheetViews>
    <sheetView workbookViewId="0">
      <selection activeCell="E25" sqref="E25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6640625" style="6" bestFit="1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18.6640625" style="5" bestFit="1" customWidth="1"/>
    <col min="14" max="16384" width="9.1640625" style="3"/>
  </cols>
  <sheetData>
    <row r="1" spans="1:13" s="2" customFormat="1" ht="29" customHeight="1">
      <c r="A1" s="46" t="s">
        <v>663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707</v>
      </c>
      <c r="B3" s="59" t="s">
        <v>0</v>
      </c>
      <c r="C3" s="56" t="s">
        <v>709</v>
      </c>
      <c r="D3" s="56" t="s">
        <v>6</v>
      </c>
      <c r="E3" s="40" t="s">
        <v>710</v>
      </c>
      <c r="F3" s="40" t="s">
        <v>5</v>
      </c>
      <c r="G3" s="40" t="s">
        <v>9</v>
      </c>
      <c r="H3" s="40"/>
      <c r="I3" s="40"/>
      <c r="J3" s="40"/>
      <c r="K3" s="38" t="s">
        <v>314</v>
      </c>
      <c r="L3" s="40" t="s">
        <v>3</v>
      </c>
      <c r="M3" s="42" t="s">
        <v>2</v>
      </c>
    </row>
    <row r="4" spans="1:13" s="1" customFormat="1" ht="21" customHeight="1" thickBot="1">
      <c r="A4" s="55"/>
      <c r="B4" s="60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39"/>
      <c r="L4" s="41"/>
      <c r="M4" s="43"/>
    </row>
    <row r="5" spans="1:13" ht="16">
      <c r="A5" s="44" t="s">
        <v>135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4" t="s">
        <v>48</v>
      </c>
      <c r="B6" s="13" t="s">
        <v>462</v>
      </c>
      <c r="C6" s="13" t="s">
        <v>463</v>
      </c>
      <c r="D6" s="13" t="s">
        <v>464</v>
      </c>
      <c r="E6" s="13" t="s">
        <v>712</v>
      </c>
      <c r="F6" s="13" t="s">
        <v>621</v>
      </c>
      <c r="G6" s="26" t="s">
        <v>16</v>
      </c>
      <c r="H6" s="26" t="s">
        <v>17</v>
      </c>
      <c r="I6" s="26" t="s">
        <v>28</v>
      </c>
      <c r="J6" s="14"/>
      <c r="K6" s="29" t="str">
        <f>"155,0"</f>
        <v>155,0</v>
      </c>
      <c r="L6" s="14" t="str">
        <f>"152,5665"</f>
        <v>152,5665</v>
      </c>
      <c r="M6" s="13" t="s">
        <v>465</v>
      </c>
    </row>
    <row r="7" spans="1:13">
      <c r="B7" s="5" t="s">
        <v>50</v>
      </c>
    </row>
    <row r="8" spans="1:13" ht="16">
      <c r="A8" s="57" t="s">
        <v>127</v>
      </c>
      <c r="B8" s="57"/>
      <c r="C8" s="58"/>
      <c r="D8" s="58"/>
      <c r="E8" s="58"/>
      <c r="F8" s="58"/>
      <c r="G8" s="58"/>
      <c r="H8" s="58"/>
      <c r="I8" s="58"/>
      <c r="J8" s="58"/>
    </row>
    <row r="9" spans="1:13">
      <c r="A9" s="8" t="s">
        <v>48</v>
      </c>
      <c r="B9" s="7" t="s">
        <v>466</v>
      </c>
      <c r="C9" s="7" t="s">
        <v>467</v>
      </c>
      <c r="D9" s="7" t="s">
        <v>468</v>
      </c>
      <c r="E9" s="7" t="s">
        <v>711</v>
      </c>
      <c r="F9" s="7" t="s">
        <v>621</v>
      </c>
      <c r="G9" s="20" t="s">
        <v>61</v>
      </c>
      <c r="H9" s="20" t="s">
        <v>84</v>
      </c>
      <c r="I9" s="20" t="s">
        <v>101</v>
      </c>
      <c r="J9" s="8"/>
      <c r="K9" s="30">
        <v>110</v>
      </c>
      <c r="L9" s="8" t="str">
        <f>"103,2240"</f>
        <v>103,2240</v>
      </c>
      <c r="M9" s="7" t="s">
        <v>673</v>
      </c>
    </row>
    <row r="10" spans="1:13">
      <c r="A10" s="12" t="s">
        <v>48</v>
      </c>
      <c r="B10" s="11" t="s">
        <v>466</v>
      </c>
      <c r="C10" s="11" t="s">
        <v>469</v>
      </c>
      <c r="D10" s="11" t="s">
        <v>468</v>
      </c>
      <c r="E10" s="11" t="s">
        <v>712</v>
      </c>
      <c r="F10" s="11" t="s">
        <v>621</v>
      </c>
      <c r="G10" s="24" t="s">
        <v>61</v>
      </c>
      <c r="H10" s="24" t="s">
        <v>84</v>
      </c>
      <c r="I10" s="24" t="s">
        <v>101</v>
      </c>
      <c r="J10" s="12"/>
      <c r="K10" s="31">
        <v>119</v>
      </c>
      <c r="L10" s="12" t="str">
        <f>"103,2240"</f>
        <v>103,2240</v>
      </c>
      <c r="M10" s="11" t="s">
        <v>673</v>
      </c>
    </row>
    <row r="11" spans="1:13">
      <c r="B11" s="5" t="s">
        <v>50</v>
      </c>
    </row>
    <row r="12" spans="1:13" ht="16">
      <c r="A12" s="57" t="s">
        <v>164</v>
      </c>
      <c r="B12" s="57"/>
      <c r="C12" s="58"/>
      <c r="D12" s="58"/>
      <c r="E12" s="58"/>
      <c r="F12" s="58"/>
      <c r="G12" s="58"/>
      <c r="H12" s="58"/>
      <c r="I12" s="58"/>
      <c r="J12" s="58"/>
    </row>
    <row r="13" spans="1:13">
      <c r="A13" s="14" t="s">
        <v>48</v>
      </c>
      <c r="B13" s="13" t="s">
        <v>470</v>
      </c>
      <c r="C13" s="13" t="s">
        <v>664</v>
      </c>
      <c r="D13" s="13" t="s">
        <v>471</v>
      </c>
      <c r="E13" s="13" t="s">
        <v>715</v>
      </c>
      <c r="F13" s="13" t="s">
        <v>621</v>
      </c>
      <c r="G13" s="26" t="s">
        <v>392</v>
      </c>
      <c r="H13" s="27" t="s">
        <v>26</v>
      </c>
      <c r="I13" s="26" t="s">
        <v>26</v>
      </c>
      <c r="J13" s="14"/>
      <c r="K13" s="29" t="str">
        <f>"140,0"</f>
        <v>140,0</v>
      </c>
      <c r="L13" s="14" t="str">
        <f>"130,1328"</f>
        <v>130,1328</v>
      </c>
      <c r="M13" s="13" t="s">
        <v>472</v>
      </c>
    </row>
    <row r="14" spans="1:13">
      <c r="B14" s="5" t="s">
        <v>50</v>
      </c>
    </row>
    <row r="15" spans="1:13" ht="16">
      <c r="A15" s="57" t="s">
        <v>182</v>
      </c>
      <c r="B15" s="57"/>
      <c r="C15" s="58"/>
      <c r="D15" s="58"/>
      <c r="E15" s="58"/>
      <c r="F15" s="58"/>
      <c r="G15" s="58"/>
      <c r="H15" s="58"/>
      <c r="I15" s="58"/>
      <c r="J15" s="58"/>
    </row>
    <row r="16" spans="1:13">
      <c r="A16" s="14" t="s">
        <v>48</v>
      </c>
      <c r="B16" s="13" t="s">
        <v>430</v>
      </c>
      <c r="C16" s="13" t="s">
        <v>637</v>
      </c>
      <c r="D16" s="13" t="s">
        <v>431</v>
      </c>
      <c r="E16" s="13" t="s">
        <v>713</v>
      </c>
      <c r="F16" s="13" t="s">
        <v>168</v>
      </c>
      <c r="G16" s="26" t="s">
        <v>148</v>
      </c>
      <c r="H16" s="26" t="s">
        <v>79</v>
      </c>
      <c r="I16" s="26" t="s">
        <v>149</v>
      </c>
      <c r="J16" s="14"/>
      <c r="K16" s="29">
        <v>200</v>
      </c>
      <c r="L16" s="14" t="str">
        <f>"126,7500"</f>
        <v>126,7500</v>
      </c>
      <c r="M16" s="13"/>
    </row>
    <row r="17" spans="1:13">
      <c r="B17" s="5" t="s">
        <v>50</v>
      </c>
    </row>
    <row r="18" spans="1:13" ht="16">
      <c r="A18" s="57" t="s">
        <v>10</v>
      </c>
      <c r="B18" s="57"/>
      <c r="C18" s="58"/>
      <c r="D18" s="58"/>
      <c r="E18" s="58"/>
      <c r="F18" s="58"/>
      <c r="G18" s="58"/>
      <c r="H18" s="58"/>
      <c r="I18" s="58"/>
      <c r="J18" s="58"/>
    </row>
    <row r="19" spans="1:13">
      <c r="A19" s="8" t="s">
        <v>48</v>
      </c>
      <c r="B19" s="7" t="s">
        <v>11</v>
      </c>
      <c r="C19" s="7" t="s">
        <v>626</v>
      </c>
      <c r="D19" s="7" t="s">
        <v>12</v>
      </c>
      <c r="E19" s="7" t="s">
        <v>714</v>
      </c>
      <c r="F19" s="7" t="s">
        <v>621</v>
      </c>
      <c r="G19" s="20" t="s">
        <v>15</v>
      </c>
      <c r="H19" s="20" t="s">
        <v>18</v>
      </c>
      <c r="I19" s="20" t="s">
        <v>19</v>
      </c>
      <c r="J19" s="8"/>
      <c r="K19" s="30" t="str">
        <f>"265,0"</f>
        <v>265,0</v>
      </c>
      <c r="L19" s="8" t="str">
        <f>"156,1645"</f>
        <v>156,1645</v>
      </c>
      <c r="M19" s="7" t="s">
        <v>20</v>
      </c>
    </row>
    <row r="20" spans="1:13">
      <c r="A20" s="12" t="s">
        <v>48</v>
      </c>
      <c r="B20" s="11" t="s">
        <v>21</v>
      </c>
      <c r="C20" s="11" t="s">
        <v>22</v>
      </c>
      <c r="D20" s="11" t="s">
        <v>23</v>
      </c>
      <c r="E20" s="11" t="s">
        <v>712</v>
      </c>
      <c r="F20" s="11" t="s">
        <v>621</v>
      </c>
      <c r="G20" s="24" t="s">
        <v>29</v>
      </c>
      <c r="H20" s="24" t="s">
        <v>30</v>
      </c>
      <c r="I20" s="25" t="s">
        <v>31</v>
      </c>
      <c r="J20" s="12"/>
      <c r="K20" s="31" t="str">
        <f>"305,0"</f>
        <v>305,0</v>
      </c>
      <c r="L20" s="12" t="str">
        <f>"179,5840"</f>
        <v>179,5840</v>
      </c>
      <c r="M20" s="11" t="s">
        <v>20</v>
      </c>
    </row>
    <row r="21" spans="1:13">
      <c r="B21" s="5" t="s">
        <v>50</v>
      </c>
    </row>
    <row r="22" spans="1:13" ht="16">
      <c r="A22" s="57" t="s">
        <v>33</v>
      </c>
      <c r="B22" s="57"/>
      <c r="C22" s="58"/>
      <c r="D22" s="58"/>
      <c r="E22" s="58"/>
      <c r="F22" s="58"/>
      <c r="G22" s="58"/>
      <c r="H22" s="58"/>
      <c r="I22" s="58"/>
      <c r="J22" s="58"/>
    </row>
    <row r="23" spans="1:13">
      <c r="A23" s="14" t="s">
        <v>48</v>
      </c>
      <c r="B23" s="13" t="s">
        <v>473</v>
      </c>
      <c r="C23" s="13" t="s">
        <v>665</v>
      </c>
      <c r="D23" s="13" t="s">
        <v>474</v>
      </c>
      <c r="E23" s="13" t="s">
        <v>716</v>
      </c>
      <c r="F23" s="13" t="s">
        <v>682</v>
      </c>
      <c r="G23" s="26" t="s">
        <v>203</v>
      </c>
      <c r="H23" s="26" t="s">
        <v>204</v>
      </c>
      <c r="I23" s="14"/>
      <c r="J23" s="14"/>
      <c r="K23" s="29" t="str">
        <f>"300,0"</f>
        <v>300,0</v>
      </c>
      <c r="L23" s="14" t="str">
        <f>"190,3094"</f>
        <v>190,3094</v>
      </c>
      <c r="M23" s="13"/>
    </row>
    <row r="24" spans="1:13">
      <c r="B24" s="5" t="s">
        <v>50</v>
      </c>
    </row>
  </sheetData>
  <mergeCells count="17">
    <mergeCell ref="A22:J22"/>
    <mergeCell ref="A5:J5"/>
    <mergeCell ref="A8:J8"/>
    <mergeCell ref="A12:J12"/>
    <mergeCell ref="A15:J15"/>
    <mergeCell ref="A18:J18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75B6A-7F98-442F-B27B-0FF4225BAC83}">
  <dimension ref="A1:Q16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9.5" style="5" bestFit="1" customWidth="1"/>
    <col min="7" max="9" width="5.5" style="6" customWidth="1"/>
    <col min="10" max="10" width="4.83203125" style="6" customWidth="1"/>
    <col min="11" max="13" width="4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5.6640625" style="5" bestFit="1" customWidth="1"/>
    <col min="18" max="16384" width="9.1640625" style="3"/>
  </cols>
  <sheetData>
    <row r="1" spans="1:17" s="2" customFormat="1" ht="29" customHeight="1">
      <c r="A1" s="46" t="s">
        <v>666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</row>
    <row r="3" spans="1:17" s="1" customFormat="1" ht="12.75" customHeight="1">
      <c r="A3" s="54" t="s">
        <v>707</v>
      </c>
      <c r="B3" s="59" t="s">
        <v>0</v>
      </c>
      <c r="C3" s="56" t="s">
        <v>709</v>
      </c>
      <c r="D3" s="56" t="s">
        <v>6</v>
      </c>
      <c r="E3" s="40" t="s">
        <v>710</v>
      </c>
      <c r="F3" s="40" t="s">
        <v>5</v>
      </c>
      <c r="G3" s="40" t="s">
        <v>708</v>
      </c>
      <c r="H3" s="40"/>
      <c r="I3" s="40"/>
      <c r="J3" s="40"/>
      <c r="K3" s="40" t="s">
        <v>542</v>
      </c>
      <c r="L3" s="40"/>
      <c r="M3" s="40"/>
      <c r="N3" s="40"/>
      <c r="O3" s="40" t="s">
        <v>1</v>
      </c>
      <c r="P3" s="40" t="s">
        <v>3</v>
      </c>
      <c r="Q3" s="42" t="s">
        <v>2</v>
      </c>
    </row>
    <row r="4" spans="1:17" s="1" customFormat="1" ht="21" customHeight="1" thickBot="1">
      <c r="A4" s="55"/>
      <c r="B4" s="60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1"/>
      <c r="P4" s="41"/>
      <c r="Q4" s="43"/>
    </row>
    <row r="5" spans="1:17" ht="16">
      <c r="A5" s="44" t="s">
        <v>51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7">
      <c r="A6" s="14" t="s">
        <v>48</v>
      </c>
      <c r="B6" s="13" t="s">
        <v>558</v>
      </c>
      <c r="C6" s="13" t="s">
        <v>559</v>
      </c>
      <c r="D6" s="13" t="s">
        <v>560</v>
      </c>
      <c r="E6" s="13" t="s">
        <v>712</v>
      </c>
      <c r="F6" s="13" t="s">
        <v>621</v>
      </c>
      <c r="G6" s="26" t="s">
        <v>561</v>
      </c>
      <c r="H6" s="26" t="s">
        <v>67</v>
      </c>
      <c r="I6" s="26" t="s">
        <v>562</v>
      </c>
      <c r="J6" s="27" t="s">
        <v>563</v>
      </c>
      <c r="K6" s="26" t="s">
        <v>557</v>
      </c>
      <c r="L6" s="26" t="s">
        <v>564</v>
      </c>
      <c r="M6" s="27" t="s">
        <v>561</v>
      </c>
      <c r="N6" s="14"/>
      <c r="O6" s="14" t="str">
        <f>"67,5"</f>
        <v>67,5</v>
      </c>
      <c r="P6" s="14" t="str">
        <f>"75,1005"</f>
        <v>75,1005</v>
      </c>
      <c r="Q6" s="13"/>
    </row>
    <row r="7" spans="1:17">
      <c r="B7" s="5" t="s">
        <v>50</v>
      </c>
    </row>
    <row r="8" spans="1:17" ht="16">
      <c r="A8" s="57" t="s">
        <v>72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1:17">
      <c r="A9" s="14" t="s">
        <v>48</v>
      </c>
      <c r="B9" s="13" t="s">
        <v>612</v>
      </c>
      <c r="C9" s="13" t="s">
        <v>613</v>
      </c>
      <c r="D9" s="13" t="s">
        <v>614</v>
      </c>
      <c r="E9" s="13" t="s">
        <v>712</v>
      </c>
      <c r="F9" s="13" t="s">
        <v>621</v>
      </c>
      <c r="G9" s="26" t="s">
        <v>562</v>
      </c>
      <c r="H9" s="26" t="s">
        <v>56</v>
      </c>
      <c r="I9" s="26" t="s">
        <v>68</v>
      </c>
      <c r="J9" s="14"/>
      <c r="K9" s="26" t="s">
        <v>557</v>
      </c>
      <c r="L9" s="26" t="s">
        <v>564</v>
      </c>
      <c r="M9" s="26" t="s">
        <v>561</v>
      </c>
      <c r="N9" s="14"/>
      <c r="O9" s="14" t="str">
        <f>"75,0"</f>
        <v>75,0</v>
      </c>
      <c r="P9" s="14" t="str">
        <f>"76,1175"</f>
        <v>76,1175</v>
      </c>
      <c r="Q9" s="13"/>
    </row>
    <row r="10" spans="1:17">
      <c r="B10" s="5" t="s">
        <v>50</v>
      </c>
    </row>
    <row r="11" spans="1:17" ht="16">
      <c r="A11" s="57" t="s">
        <v>164</v>
      </c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7">
      <c r="A12" s="14" t="s">
        <v>48</v>
      </c>
      <c r="B12" s="13" t="s">
        <v>615</v>
      </c>
      <c r="C12" s="13" t="s">
        <v>616</v>
      </c>
      <c r="D12" s="13" t="s">
        <v>617</v>
      </c>
      <c r="E12" s="13" t="s">
        <v>712</v>
      </c>
      <c r="F12" s="13" t="s">
        <v>679</v>
      </c>
      <c r="G12" s="26" t="s">
        <v>70</v>
      </c>
      <c r="H12" s="26" t="s">
        <v>123</v>
      </c>
      <c r="I12" s="26" t="s">
        <v>59</v>
      </c>
      <c r="J12" s="14"/>
      <c r="K12" s="26" t="s">
        <v>78</v>
      </c>
      <c r="L12" s="26" t="s">
        <v>69</v>
      </c>
      <c r="M12" s="26" t="s">
        <v>358</v>
      </c>
      <c r="N12" s="14"/>
      <c r="O12" s="14" t="str">
        <f>"170,0"</f>
        <v>170,0</v>
      </c>
      <c r="P12" s="14" t="str">
        <f>"105,5530"</f>
        <v>105,5530</v>
      </c>
      <c r="Q12" s="13" t="s">
        <v>618</v>
      </c>
    </row>
    <row r="13" spans="1:17">
      <c r="B13" s="5" t="s">
        <v>50</v>
      </c>
    </row>
    <row r="14" spans="1:17" ht="16">
      <c r="A14" s="57" t="s">
        <v>10</v>
      </c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</row>
    <row r="15" spans="1:17">
      <c r="A15" s="14" t="s">
        <v>48</v>
      </c>
      <c r="B15" s="13" t="s">
        <v>605</v>
      </c>
      <c r="C15" s="13" t="s">
        <v>606</v>
      </c>
      <c r="D15" s="13" t="s">
        <v>607</v>
      </c>
      <c r="E15" s="13" t="s">
        <v>712</v>
      </c>
      <c r="F15" s="13" t="s">
        <v>168</v>
      </c>
      <c r="G15" s="27" t="s">
        <v>61</v>
      </c>
      <c r="H15" s="26" t="s">
        <v>84</v>
      </c>
      <c r="I15" s="26" t="s">
        <v>101</v>
      </c>
      <c r="J15" s="14"/>
      <c r="K15" s="26" t="s">
        <v>78</v>
      </c>
      <c r="L15" s="26" t="s">
        <v>55</v>
      </c>
      <c r="M15" s="27" t="s">
        <v>70</v>
      </c>
      <c r="N15" s="14"/>
      <c r="O15" s="14" t="str">
        <f>"190,0"</f>
        <v>190,0</v>
      </c>
      <c r="P15" s="14" t="str">
        <f>"107,1505"</f>
        <v>107,1505</v>
      </c>
      <c r="Q15" s="13"/>
    </row>
    <row r="16" spans="1:17">
      <c r="B16" s="5" t="s">
        <v>50</v>
      </c>
    </row>
  </sheetData>
  <mergeCells count="16">
    <mergeCell ref="A8:N8"/>
    <mergeCell ref="A11:N11"/>
    <mergeCell ref="A14:N14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3B881-D8D2-491B-B1B6-4FB18D5D25F0}">
  <dimension ref="A1:M57"/>
  <sheetViews>
    <sheetView topLeftCell="A28" workbookViewId="0">
      <selection activeCell="E48" sqref="E48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43.5" style="5" customWidth="1"/>
    <col min="7" max="9" width="5.664062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8.5" style="5" bestFit="1" customWidth="1"/>
    <col min="14" max="16384" width="9.1640625" style="3"/>
  </cols>
  <sheetData>
    <row r="1" spans="1:13" s="2" customFormat="1" ht="29" customHeight="1">
      <c r="A1" s="46" t="s">
        <v>667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707</v>
      </c>
      <c r="B3" s="59" t="s">
        <v>0</v>
      </c>
      <c r="C3" s="56" t="s">
        <v>709</v>
      </c>
      <c r="D3" s="56" t="s">
        <v>6</v>
      </c>
      <c r="E3" s="40" t="s">
        <v>710</v>
      </c>
      <c r="F3" s="40" t="s">
        <v>5</v>
      </c>
      <c r="G3" s="40" t="s">
        <v>708</v>
      </c>
      <c r="H3" s="40"/>
      <c r="I3" s="40"/>
      <c r="J3" s="40"/>
      <c r="K3" s="40" t="s">
        <v>314</v>
      </c>
      <c r="L3" s="40" t="s">
        <v>3</v>
      </c>
      <c r="M3" s="42" t="s">
        <v>2</v>
      </c>
    </row>
    <row r="4" spans="1:13" s="1" customFormat="1" ht="21" customHeight="1" thickBot="1">
      <c r="A4" s="55"/>
      <c r="B4" s="60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51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4" t="s">
        <v>48</v>
      </c>
      <c r="B6" s="13" t="s">
        <v>558</v>
      </c>
      <c r="C6" s="13" t="s">
        <v>559</v>
      </c>
      <c r="D6" s="13" t="s">
        <v>560</v>
      </c>
      <c r="E6" s="13" t="s">
        <v>712</v>
      </c>
      <c r="F6" s="13" t="s">
        <v>621</v>
      </c>
      <c r="G6" s="26" t="s">
        <v>557</v>
      </c>
      <c r="H6" s="26" t="s">
        <v>564</v>
      </c>
      <c r="I6" s="27" t="s">
        <v>561</v>
      </c>
      <c r="J6" s="14"/>
      <c r="K6" s="14" t="str">
        <f>"30,0"</f>
        <v>30,0</v>
      </c>
      <c r="L6" s="14" t="str">
        <f>"33,3780"</f>
        <v>33,3780</v>
      </c>
      <c r="M6" s="13"/>
    </row>
    <row r="7" spans="1:13">
      <c r="B7" s="5" t="s">
        <v>50</v>
      </c>
    </row>
    <row r="8" spans="1:13" ht="16">
      <c r="A8" s="57" t="s">
        <v>102</v>
      </c>
      <c r="B8" s="57"/>
      <c r="C8" s="58"/>
      <c r="D8" s="58"/>
      <c r="E8" s="58"/>
      <c r="F8" s="58"/>
      <c r="G8" s="58"/>
      <c r="H8" s="58"/>
      <c r="I8" s="58"/>
      <c r="J8" s="58"/>
    </row>
    <row r="9" spans="1:13">
      <c r="A9" s="14" t="s">
        <v>48</v>
      </c>
      <c r="B9" s="13" t="s">
        <v>565</v>
      </c>
      <c r="C9" s="13" t="s">
        <v>566</v>
      </c>
      <c r="D9" s="13" t="s">
        <v>567</v>
      </c>
      <c r="E9" s="13" t="s">
        <v>712</v>
      </c>
      <c r="F9" s="13" t="s">
        <v>568</v>
      </c>
      <c r="G9" s="26" t="s">
        <v>557</v>
      </c>
      <c r="H9" s="27" t="s">
        <v>561</v>
      </c>
      <c r="I9" s="26" t="s">
        <v>561</v>
      </c>
      <c r="J9" s="14"/>
      <c r="K9" s="14" t="str">
        <f>"32,5"</f>
        <v>32,5</v>
      </c>
      <c r="L9" s="14" t="str">
        <f>"29,9715"</f>
        <v>29,9715</v>
      </c>
      <c r="M9" s="13"/>
    </row>
    <row r="10" spans="1:13">
      <c r="B10" s="5" t="s">
        <v>50</v>
      </c>
    </row>
    <row r="11" spans="1:13" ht="16">
      <c r="A11" s="57" t="s">
        <v>72</v>
      </c>
      <c r="B11" s="57"/>
      <c r="C11" s="58"/>
      <c r="D11" s="58"/>
      <c r="E11" s="58"/>
      <c r="F11" s="58"/>
      <c r="G11" s="58"/>
      <c r="H11" s="58"/>
      <c r="I11" s="58"/>
      <c r="J11" s="58"/>
    </row>
    <row r="12" spans="1:13">
      <c r="A12" s="8" t="s">
        <v>48</v>
      </c>
      <c r="B12" s="7" t="s">
        <v>351</v>
      </c>
      <c r="C12" s="7" t="s">
        <v>352</v>
      </c>
      <c r="D12" s="7" t="s">
        <v>75</v>
      </c>
      <c r="E12" s="7" t="s">
        <v>712</v>
      </c>
      <c r="F12" s="7" t="s">
        <v>353</v>
      </c>
      <c r="G12" s="20" t="s">
        <v>58</v>
      </c>
      <c r="H12" s="20" t="s">
        <v>100</v>
      </c>
      <c r="I12" s="20" t="s">
        <v>569</v>
      </c>
      <c r="J12" s="8"/>
      <c r="K12" s="8" t="str">
        <f>"55,5"</f>
        <v>55,5</v>
      </c>
      <c r="L12" s="8" t="str">
        <f>"46,4479"</f>
        <v>46,4479</v>
      </c>
      <c r="M12" s="7" t="s">
        <v>134</v>
      </c>
    </row>
    <row r="13" spans="1:13">
      <c r="A13" s="12" t="s">
        <v>49</v>
      </c>
      <c r="B13" s="11" t="s">
        <v>570</v>
      </c>
      <c r="C13" s="11" t="s">
        <v>571</v>
      </c>
      <c r="D13" s="11" t="s">
        <v>331</v>
      </c>
      <c r="E13" s="11" t="s">
        <v>712</v>
      </c>
      <c r="F13" s="11" t="s">
        <v>679</v>
      </c>
      <c r="G13" s="24" t="s">
        <v>68</v>
      </c>
      <c r="H13" s="24" t="s">
        <v>57</v>
      </c>
      <c r="I13" s="25" t="s">
        <v>58</v>
      </c>
      <c r="J13" s="12"/>
      <c r="K13" s="12" t="str">
        <f>"45,0"</f>
        <v>45,0</v>
      </c>
      <c r="L13" s="12" t="str">
        <f>"37,5390"</f>
        <v>37,5390</v>
      </c>
      <c r="M13" s="11" t="s">
        <v>674</v>
      </c>
    </row>
    <row r="14" spans="1:13">
      <c r="B14" s="5" t="s">
        <v>50</v>
      </c>
    </row>
    <row r="15" spans="1:13" ht="16">
      <c r="A15" s="57" t="s">
        <v>102</v>
      </c>
      <c r="B15" s="57"/>
      <c r="C15" s="58"/>
      <c r="D15" s="58"/>
      <c r="E15" s="58"/>
      <c r="F15" s="58"/>
      <c r="G15" s="58"/>
      <c r="H15" s="58"/>
      <c r="I15" s="58"/>
      <c r="J15" s="58"/>
    </row>
    <row r="16" spans="1:13">
      <c r="A16" s="14" t="s">
        <v>48</v>
      </c>
      <c r="B16" s="13" t="s">
        <v>572</v>
      </c>
      <c r="C16" s="13" t="s">
        <v>573</v>
      </c>
      <c r="D16" s="13" t="s">
        <v>105</v>
      </c>
      <c r="E16" s="13" t="s">
        <v>712</v>
      </c>
      <c r="F16" s="13" t="s">
        <v>678</v>
      </c>
      <c r="G16" s="26" t="s">
        <v>99</v>
      </c>
      <c r="H16" s="26" t="s">
        <v>100</v>
      </c>
      <c r="I16" s="27" t="s">
        <v>66</v>
      </c>
      <c r="J16" s="14"/>
      <c r="K16" s="14" t="str">
        <f>"52,5"</f>
        <v>52,5</v>
      </c>
      <c r="L16" s="14" t="str">
        <f>"39,5404"</f>
        <v>39,5404</v>
      </c>
      <c r="M16" s="13"/>
    </row>
    <row r="17" spans="1:13">
      <c r="B17" s="5" t="s">
        <v>50</v>
      </c>
    </row>
    <row r="18" spans="1:13" ht="16">
      <c r="A18" s="57" t="s">
        <v>135</v>
      </c>
      <c r="B18" s="57"/>
      <c r="C18" s="58"/>
      <c r="D18" s="58"/>
      <c r="E18" s="58"/>
      <c r="F18" s="58"/>
      <c r="G18" s="58"/>
      <c r="H18" s="58"/>
      <c r="I18" s="58"/>
      <c r="J18" s="58"/>
    </row>
    <row r="19" spans="1:13">
      <c r="A19" s="8" t="s">
        <v>48</v>
      </c>
      <c r="B19" s="7" t="s">
        <v>374</v>
      </c>
      <c r="C19" s="7" t="s">
        <v>375</v>
      </c>
      <c r="D19" s="7" t="s">
        <v>376</v>
      </c>
      <c r="E19" s="7" t="s">
        <v>712</v>
      </c>
      <c r="F19" s="7" t="s">
        <v>621</v>
      </c>
      <c r="G19" s="20" t="s">
        <v>99</v>
      </c>
      <c r="H19" s="20" t="s">
        <v>66</v>
      </c>
      <c r="I19" s="20" t="s">
        <v>92</v>
      </c>
      <c r="J19" s="8"/>
      <c r="K19" s="8" t="str">
        <f>"60,0"</f>
        <v>60,0</v>
      </c>
      <c r="L19" s="8" t="str">
        <f>"42,1140"</f>
        <v>42,1140</v>
      </c>
      <c r="M19" s="7" t="s">
        <v>675</v>
      </c>
    </row>
    <row r="20" spans="1:13">
      <c r="A20" s="10" t="s">
        <v>49</v>
      </c>
      <c r="B20" s="9" t="s">
        <v>143</v>
      </c>
      <c r="C20" s="9" t="s">
        <v>144</v>
      </c>
      <c r="D20" s="9" t="s">
        <v>145</v>
      </c>
      <c r="E20" s="9" t="s">
        <v>712</v>
      </c>
      <c r="F20" s="9" t="s">
        <v>146</v>
      </c>
      <c r="G20" s="22" t="s">
        <v>57</v>
      </c>
      <c r="H20" s="22" t="s">
        <v>66</v>
      </c>
      <c r="I20" s="22" t="s">
        <v>92</v>
      </c>
      <c r="J20" s="10"/>
      <c r="K20" s="10" t="str">
        <f>"60,0"</f>
        <v>60,0</v>
      </c>
      <c r="L20" s="10" t="str">
        <f>"41,5590"</f>
        <v>41,5590</v>
      </c>
      <c r="M20" s="9"/>
    </row>
    <row r="21" spans="1:13">
      <c r="A21" s="10" t="s">
        <v>228</v>
      </c>
      <c r="B21" s="9" t="s">
        <v>574</v>
      </c>
      <c r="C21" s="9" t="s">
        <v>575</v>
      </c>
      <c r="D21" s="9" t="s">
        <v>576</v>
      </c>
      <c r="E21" s="9" t="s">
        <v>712</v>
      </c>
      <c r="F21" s="9" t="s">
        <v>186</v>
      </c>
      <c r="G21" s="22" t="s">
        <v>56</v>
      </c>
      <c r="H21" s="22" t="s">
        <v>58</v>
      </c>
      <c r="I21" s="23" t="s">
        <v>100</v>
      </c>
      <c r="J21" s="10"/>
      <c r="K21" s="10" t="str">
        <f>"47,5"</f>
        <v>47,5</v>
      </c>
      <c r="L21" s="10" t="str">
        <f>"33,6989"</f>
        <v>33,6989</v>
      </c>
      <c r="M21" s="9" t="s">
        <v>187</v>
      </c>
    </row>
    <row r="22" spans="1:13">
      <c r="A22" s="12" t="s">
        <v>48</v>
      </c>
      <c r="B22" s="11" t="s">
        <v>382</v>
      </c>
      <c r="C22" s="11" t="s">
        <v>658</v>
      </c>
      <c r="D22" s="11" t="s">
        <v>383</v>
      </c>
      <c r="E22" s="11" t="s">
        <v>713</v>
      </c>
      <c r="F22" s="11" t="s">
        <v>680</v>
      </c>
      <c r="G22" s="24" t="s">
        <v>99</v>
      </c>
      <c r="H22" s="25" t="s">
        <v>92</v>
      </c>
      <c r="I22" s="25" t="s">
        <v>92</v>
      </c>
      <c r="J22" s="12"/>
      <c r="K22" s="12" t="str">
        <f>"50,0"</f>
        <v>50,0</v>
      </c>
      <c r="L22" s="12" t="str">
        <f>"36,9487"</f>
        <v>36,9487</v>
      </c>
      <c r="M22" s="11" t="s">
        <v>384</v>
      </c>
    </row>
    <row r="23" spans="1:13">
      <c r="B23" s="5" t="s">
        <v>50</v>
      </c>
    </row>
    <row r="24" spans="1:13" ht="16">
      <c r="A24" s="57" t="s">
        <v>127</v>
      </c>
      <c r="B24" s="57"/>
      <c r="C24" s="58"/>
      <c r="D24" s="58"/>
      <c r="E24" s="58"/>
      <c r="F24" s="58"/>
      <c r="G24" s="58"/>
      <c r="H24" s="58"/>
      <c r="I24" s="58"/>
      <c r="J24" s="58"/>
    </row>
    <row r="25" spans="1:13">
      <c r="A25" s="8" t="s">
        <v>48</v>
      </c>
      <c r="B25" s="7" t="s">
        <v>577</v>
      </c>
      <c r="C25" s="7" t="s">
        <v>578</v>
      </c>
      <c r="D25" s="7" t="s">
        <v>579</v>
      </c>
      <c r="E25" s="7" t="s">
        <v>712</v>
      </c>
      <c r="F25" s="7" t="s">
        <v>568</v>
      </c>
      <c r="G25" s="20" t="s">
        <v>85</v>
      </c>
      <c r="H25" s="20" t="s">
        <v>124</v>
      </c>
      <c r="I25" s="21" t="s">
        <v>125</v>
      </c>
      <c r="J25" s="8"/>
      <c r="K25" s="8" t="str">
        <f>"65,0"</f>
        <v>65,0</v>
      </c>
      <c r="L25" s="8" t="str">
        <f>"43,2802"</f>
        <v>43,2802</v>
      </c>
      <c r="M25" s="7"/>
    </row>
    <row r="26" spans="1:13">
      <c r="A26" s="10" t="s">
        <v>49</v>
      </c>
      <c r="B26" s="9" t="s">
        <v>389</v>
      </c>
      <c r="C26" s="9" t="s">
        <v>390</v>
      </c>
      <c r="D26" s="9" t="s">
        <v>391</v>
      </c>
      <c r="E26" s="9" t="s">
        <v>712</v>
      </c>
      <c r="F26" s="9" t="s">
        <v>366</v>
      </c>
      <c r="G26" s="22" t="s">
        <v>91</v>
      </c>
      <c r="H26" s="22" t="s">
        <v>85</v>
      </c>
      <c r="I26" s="22" t="s">
        <v>124</v>
      </c>
      <c r="J26" s="10"/>
      <c r="K26" s="10" t="str">
        <f>"65,0"</f>
        <v>65,0</v>
      </c>
      <c r="L26" s="10" t="str">
        <f>"42,1330"</f>
        <v>42,1330</v>
      </c>
      <c r="M26" s="9"/>
    </row>
    <row r="27" spans="1:13">
      <c r="A27" s="10" t="s">
        <v>228</v>
      </c>
      <c r="B27" s="9" t="s">
        <v>580</v>
      </c>
      <c r="C27" s="9" t="s">
        <v>581</v>
      </c>
      <c r="D27" s="9" t="s">
        <v>579</v>
      </c>
      <c r="E27" s="9" t="s">
        <v>712</v>
      </c>
      <c r="F27" s="9" t="s">
        <v>621</v>
      </c>
      <c r="G27" s="22" t="s">
        <v>99</v>
      </c>
      <c r="H27" s="22" t="s">
        <v>91</v>
      </c>
      <c r="I27" s="22" t="s">
        <v>92</v>
      </c>
      <c r="J27" s="10"/>
      <c r="K27" s="10" t="str">
        <f>"60,0"</f>
        <v>60,0</v>
      </c>
      <c r="L27" s="10" t="str">
        <f>"39,9510"</f>
        <v>39,9510</v>
      </c>
      <c r="M27" s="9" t="s">
        <v>582</v>
      </c>
    </row>
    <row r="28" spans="1:13">
      <c r="A28" s="10" t="s">
        <v>229</v>
      </c>
      <c r="B28" s="9" t="s">
        <v>583</v>
      </c>
      <c r="C28" s="9" t="s">
        <v>584</v>
      </c>
      <c r="D28" s="9" t="s">
        <v>585</v>
      </c>
      <c r="E28" s="9" t="s">
        <v>712</v>
      </c>
      <c r="F28" s="9" t="s">
        <v>366</v>
      </c>
      <c r="G28" s="22" t="s">
        <v>91</v>
      </c>
      <c r="H28" s="22" t="s">
        <v>92</v>
      </c>
      <c r="I28" s="23" t="s">
        <v>124</v>
      </c>
      <c r="J28" s="10"/>
      <c r="K28" s="10" t="str">
        <f>"60,0"</f>
        <v>60,0</v>
      </c>
      <c r="L28" s="10" t="str">
        <f>"38,6760"</f>
        <v>38,6760</v>
      </c>
      <c r="M28" s="9"/>
    </row>
    <row r="29" spans="1:13">
      <c r="A29" s="10" t="s">
        <v>230</v>
      </c>
      <c r="B29" s="9" t="s">
        <v>586</v>
      </c>
      <c r="C29" s="9" t="s">
        <v>587</v>
      </c>
      <c r="D29" s="9" t="s">
        <v>588</v>
      </c>
      <c r="E29" s="9" t="s">
        <v>712</v>
      </c>
      <c r="F29" s="9" t="s">
        <v>186</v>
      </c>
      <c r="G29" s="22" t="s">
        <v>99</v>
      </c>
      <c r="H29" s="23" t="s">
        <v>66</v>
      </c>
      <c r="I29" s="22" t="s">
        <v>66</v>
      </c>
      <c r="J29" s="10"/>
      <c r="K29" s="10" t="str">
        <f>"55,0"</f>
        <v>55,0</v>
      </c>
      <c r="L29" s="10" t="str">
        <f>"36,3660"</f>
        <v>36,3660</v>
      </c>
      <c r="M29" s="9" t="s">
        <v>187</v>
      </c>
    </row>
    <row r="30" spans="1:13">
      <c r="A30" s="10" t="s">
        <v>231</v>
      </c>
      <c r="B30" s="9" t="s">
        <v>589</v>
      </c>
      <c r="C30" s="9" t="s">
        <v>590</v>
      </c>
      <c r="D30" s="9" t="s">
        <v>591</v>
      </c>
      <c r="E30" s="9" t="s">
        <v>712</v>
      </c>
      <c r="F30" s="9" t="s">
        <v>681</v>
      </c>
      <c r="G30" s="22" t="s">
        <v>100</v>
      </c>
      <c r="H30" s="23" t="s">
        <v>91</v>
      </c>
      <c r="I30" s="23" t="s">
        <v>91</v>
      </c>
      <c r="J30" s="10"/>
      <c r="K30" s="10" t="str">
        <f>"52,5"</f>
        <v>52,5</v>
      </c>
      <c r="L30" s="10" t="str">
        <f>"34,5345"</f>
        <v>34,5345</v>
      </c>
      <c r="M30" s="9"/>
    </row>
    <row r="31" spans="1:13">
      <c r="A31" s="12" t="s">
        <v>48</v>
      </c>
      <c r="B31" s="11" t="s">
        <v>592</v>
      </c>
      <c r="C31" s="11" t="s">
        <v>668</v>
      </c>
      <c r="D31" s="11" t="s">
        <v>593</v>
      </c>
      <c r="E31" s="11" t="s">
        <v>713</v>
      </c>
      <c r="F31" s="11" t="s">
        <v>366</v>
      </c>
      <c r="G31" s="24" t="s">
        <v>99</v>
      </c>
      <c r="H31" s="25" t="s">
        <v>100</v>
      </c>
      <c r="I31" s="25" t="s">
        <v>91</v>
      </c>
      <c r="J31" s="12"/>
      <c r="K31" s="12" t="str">
        <f>"50,0"</f>
        <v>50,0</v>
      </c>
      <c r="L31" s="12" t="str">
        <f>"32,9536"</f>
        <v>32,9536</v>
      </c>
      <c r="M31" s="11" t="s">
        <v>594</v>
      </c>
    </row>
    <row r="32" spans="1:13">
      <c r="B32" s="5" t="s">
        <v>50</v>
      </c>
    </row>
    <row r="33" spans="1:13" ht="16">
      <c r="A33" s="57" t="s">
        <v>164</v>
      </c>
      <c r="B33" s="57"/>
      <c r="C33" s="58"/>
      <c r="D33" s="58"/>
      <c r="E33" s="58"/>
      <c r="F33" s="58"/>
      <c r="G33" s="58"/>
      <c r="H33" s="58"/>
      <c r="I33" s="58"/>
      <c r="J33" s="58"/>
    </row>
    <row r="34" spans="1:13">
      <c r="A34" s="8" t="s">
        <v>48</v>
      </c>
      <c r="B34" s="7" t="s">
        <v>406</v>
      </c>
      <c r="C34" s="7" t="s">
        <v>407</v>
      </c>
      <c r="D34" s="7" t="s">
        <v>408</v>
      </c>
      <c r="E34" s="7" t="s">
        <v>712</v>
      </c>
      <c r="F34" s="7" t="s">
        <v>621</v>
      </c>
      <c r="G34" s="20" t="s">
        <v>124</v>
      </c>
      <c r="H34" s="20" t="s">
        <v>125</v>
      </c>
      <c r="I34" s="21" t="s">
        <v>133</v>
      </c>
      <c r="J34" s="8"/>
      <c r="K34" s="8" t="str">
        <f>"67,5"</f>
        <v>67,5</v>
      </c>
      <c r="L34" s="8" t="str">
        <f>"42,3697"</f>
        <v>42,3697</v>
      </c>
      <c r="M34" s="7" t="s">
        <v>20</v>
      </c>
    </row>
    <row r="35" spans="1:13">
      <c r="A35" s="10" t="s">
        <v>49</v>
      </c>
      <c r="B35" s="9" t="s">
        <v>409</v>
      </c>
      <c r="C35" s="9" t="s">
        <v>410</v>
      </c>
      <c r="D35" s="9" t="s">
        <v>411</v>
      </c>
      <c r="E35" s="9" t="s">
        <v>712</v>
      </c>
      <c r="F35" s="9" t="s">
        <v>621</v>
      </c>
      <c r="G35" s="22" t="s">
        <v>125</v>
      </c>
      <c r="H35" s="23" t="s">
        <v>133</v>
      </c>
      <c r="I35" s="23" t="s">
        <v>133</v>
      </c>
      <c r="J35" s="10"/>
      <c r="K35" s="10" t="str">
        <f>"67,5"</f>
        <v>67,5</v>
      </c>
      <c r="L35" s="10" t="str">
        <f>"41,6104"</f>
        <v>41,6104</v>
      </c>
      <c r="M35" s="9"/>
    </row>
    <row r="36" spans="1:13">
      <c r="A36" s="10" t="s">
        <v>228</v>
      </c>
      <c r="B36" s="9" t="s">
        <v>595</v>
      </c>
      <c r="C36" s="9" t="s">
        <v>596</v>
      </c>
      <c r="D36" s="9" t="s">
        <v>597</v>
      </c>
      <c r="E36" s="9" t="s">
        <v>712</v>
      </c>
      <c r="F36" s="9" t="s">
        <v>621</v>
      </c>
      <c r="G36" s="22" t="s">
        <v>66</v>
      </c>
      <c r="H36" s="22" t="s">
        <v>124</v>
      </c>
      <c r="I36" s="23" t="s">
        <v>78</v>
      </c>
      <c r="J36" s="10"/>
      <c r="K36" s="10" t="str">
        <f>"65,0"</f>
        <v>65,0</v>
      </c>
      <c r="L36" s="10" t="str">
        <f>"40,4137"</f>
        <v>40,4137</v>
      </c>
      <c r="M36" s="9" t="s">
        <v>187</v>
      </c>
    </row>
    <row r="37" spans="1:13">
      <c r="A37" s="12" t="s">
        <v>48</v>
      </c>
      <c r="B37" s="11" t="s">
        <v>598</v>
      </c>
      <c r="C37" s="11" t="s">
        <v>669</v>
      </c>
      <c r="D37" s="11" t="s">
        <v>408</v>
      </c>
      <c r="E37" s="11" t="s">
        <v>713</v>
      </c>
      <c r="F37" s="11" t="s">
        <v>186</v>
      </c>
      <c r="G37" s="24" t="s">
        <v>66</v>
      </c>
      <c r="H37" s="24" t="s">
        <v>124</v>
      </c>
      <c r="I37" s="24" t="s">
        <v>125</v>
      </c>
      <c r="J37" s="12"/>
      <c r="K37" s="12" t="str">
        <f>"67,5"</f>
        <v>67,5</v>
      </c>
      <c r="L37" s="12" t="str">
        <f>"43,2171"</f>
        <v>43,2171</v>
      </c>
      <c r="M37" s="11" t="s">
        <v>187</v>
      </c>
    </row>
    <row r="38" spans="1:13">
      <c r="B38" s="5" t="s">
        <v>50</v>
      </c>
    </row>
    <row r="39" spans="1:13" ht="16">
      <c r="A39" s="57" t="s">
        <v>182</v>
      </c>
      <c r="B39" s="57"/>
      <c r="C39" s="58"/>
      <c r="D39" s="58"/>
      <c r="E39" s="58"/>
      <c r="F39" s="58"/>
      <c r="G39" s="58"/>
      <c r="H39" s="58"/>
      <c r="I39" s="58"/>
      <c r="J39" s="58"/>
    </row>
    <row r="40" spans="1:13">
      <c r="A40" s="8" t="s">
        <v>48</v>
      </c>
      <c r="B40" s="7" t="s">
        <v>599</v>
      </c>
      <c r="C40" s="7" t="s">
        <v>670</v>
      </c>
      <c r="D40" s="7" t="s">
        <v>600</v>
      </c>
      <c r="E40" s="7" t="s">
        <v>714</v>
      </c>
      <c r="F40" s="7" t="s">
        <v>186</v>
      </c>
      <c r="G40" s="20" t="s">
        <v>78</v>
      </c>
      <c r="H40" s="20" t="s">
        <v>358</v>
      </c>
      <c r="I40" s="20" t="s">
        <v>55</v>
      </c>
      <c r="J40" s="8"/>
      <c r="K40" s="8" t="str">
        <f>"80,0"</f>
        <v>80,0</v>
      </c>
      <c r="L40" s="8" t="str">
        <f>"46,9560"</f>
        <v>46,9560</v>
      </c>
      <c r="M40" s="7"/>
    </row>
    <row r="41" spans="1:13">
      <c r="A41" s="10" t="s">
        <v>48</v>
      </c>
      <c r="B41" s="9" t="s">
        <v>599</v>
      </c>
      <c r="C41" s="9" t="s">
        <v>601</v>
      </c>
      <c r="D41" s="9" t="s">
        <v>600</v>
      </c>
      <c r="E41" s="9" t="s">
        <v>712</v>
      </c>
      <c r="F41" s="9" t="s">
        <v>186</v>
      </c>
      <c r="G41" s="22" t="s">
        <v>78</v>
      </c>
      <c r="H41" s="22" t="s">
        <v>358</v>
      </c>
      <c r="I41" s="22" t="s">
        <v>55</v>
      </c>
      <c r="J41" s="10"/>
      <c r="K41" s="10" t="str">
        <f>"80,0"</f>
        <v>80,0</v>
      </c>
      <c r="L41" s="10" t="str">
        <f>"46,9560"</f>
        <v>46,9560</v>
      </c>
      <c r="M41" s="9"/>
    </row>
    <row r="42" spans="1:13">
      <c r="A42" s="10" t="s">
        <v>49</v>
      </c>
      <c r="B42" s="9" t="s">
        <v>602</v>
      </c>
      <c r="C42" s="9" t="s">
        <v>603</v>
      </c>
      <c r="D42" s="9" t="s">
        <v>604</v>
      </c>
      <c r="E42" s="9" t="s">
        <v>712</v>
      </c>
      <c r="F42" s="9" t="s">
        <v>168</v>
      </c>
      <c r="G42" s="22" t="s">
        <v>85</v>
      </c>
      <c r="H42" s="22" t="s">
        <v>124</v>
      </c>
      <c r="I42" s="22" t="s">
        <v>78</v>
      </c>
      <c r="J42" s="10"/>
      <c r="K42" s="10" t="str">
        <f>"70,0"</f>
        <v>70,0</v>
      </c>
      <c r="L42" s="10" t="str">
        <f>"41,2195"</f>
        <v>41,2195</v>
      </c>
      <c r="M42" s="9"/>
    </row>
    <row r="43" spans="1:13">
      <c r="A43" s="12" t="s">
        <v>228</v>
      </c>
      <c r="B43" s="11" t="s">
        <v>195</v>
      </c>
      <c r="C43" s="11" t="s">
        <v>196</v>
      </c>
      <c r="D43" s="11" t="s">
        <v>197</v>
      </c>
      <c r="E43" s="11" t="s">
        <v>712</v>
      </c>
      <c r="F43" s="11" t="s">
        <v>621</v>
      </c>
      <c r="G43" s="24" t="s">
        <v>92</v>
      </c>
      <c r="H43" s="25" t="s">
        <v>124</v>
      </c>
      <c r="I43" s="25" t="s">
        <v>124</v>
      </c>
      <c r="J43" s="12"/>
      <c r="K43" s="12" t="str">
        <f>"60,0"</f>
        <v>60,0</v>
      </c>
      <c r="L43" s="12" t="str">
        <f>"35,6940"</f>
        <v>35,6940</v>
      </c>
      <c r="M43" s="11" t="s">
        <v>676</v>
      </c>
    </row>
    <row r="44" spans="1:13">
      <c r="B44" s="5" t="s">
        <v>50</v>
      </c>
    </row>
    <row r="45" spans="1:13" ht="16">
      <c r="A45" s="57" t="s">
        <v>10</v>
      </c>
      <c r="B45" s="57"/>
      <c r="C45" s="58"/>
      <c r="D45" s="58"/>
      <c r="E45" s="58"/>
      <c r="F45" s="58"/>
      <c r="G45" s="58"/>
      <c r="H45" s="58"/>
      <c r="I45" s="58"/>
      <c r="J45" s="58"/>
    </row>
    <row r="46" spans="1:13">
      <c r="A46" s="8" t="s">
        <v>48</v>
      </c>
      <c r="B46" s="7" t="s">
        <v>605</v>
      </c>
      <c r="C46" s="7" t="s">
        <v>606</v>
      </c>
      <c r="D46" s="7" t="s">
        <v>607</v>
      </c>
      <c r="E46" s="7" t="s">
        <v>712</v>
      </c>
      <c r="F46" s="7" t="s">
        <v>168</v>
      </c>
      <c r="G46" s="20" t="s">
        <v>55</v>
      </c>
      <c r="H46" s="8"/>
      <c r="I46" s="8"/>
      <c r="J46" s="8"/>
      <c r="K46" s="8" t="str">
        <f>"80,0"</f>
        <v>80,0</v>
      </c>
      <c r="L46" s="8" t="str">
        <f>"45,1160"</f>
        <v>45,1160</v>
      </c>
      <c r="M46" s="7"/>
    </row>
    <row r="47" spans="1:13">
      <c r="A47" s="12" t="s">
        <v>49</v>
      </c>
      <c r="B47" s="11" t="s">
        <v>426</v>
      </c>
      <c r="C47" s="11" t="s">
        <v>427</v>
      </c>
      <c r="D47" s="11" t="s">
        <v>608</v>
      </c>
      <c r="E47" s="11" t="s">
        <v>712</v>
      </c>
      <c r="F47" s="11" t="s">
        <v>621</v>
      </c>
      <c r="G47" s="24" t="s">
        <v>92</v>
      </c>
      <c r="H47" s="24" t="s">
        <v>124</v>
      </c>
      <c r="I47" s="24" t="s">
        <v>78</v>
      </c>
      <c r="J47" s="12"/>
      <c r="K47" s="12" t="str">
        <f>"70,0"</f>
        <v>70,0</v>
      </c>
      <c r="L47" s="12" t="str">
        <f>"40,1800"</f>
        <v>40,1800</v>
      </c>
      <c r="M47" s="11" t="s">
        <v>429</v>
      </c>
    </row>
    <row r="48" spans="1:13">
      <c r="B48" s="5" t="s">
        <v>50</v>
      </c>
    </row>
    <row r="49" spans="2:6">
      <c r="B49" s="5" t="s">
        <v>50</v>
      </c>
    </row>
    <row r="50" spans="2:6">
      <c r="B50" s="5" t="s">
        <v>50</v>
      </c>
    </row>
    <row r="51" spans="2:6" ht="18">
      <c r="B51" s="15" t="s">
        <v>38</v>
      </c>
      <c r="C51" s="15"/>
      <c r="F51" s="3"/>
    </row>
    <row r="52" spans="2:6" ht="16">
      <c r="B52" s="16" t="s">
        <v>39</v>
      </c>
      <c r="C52" s="16"/>
      <c r="F52" s="3"/>
    </row>
    <row r="53" spans="2:6" ht="14">
      <c r="B53" s="17"/>
      <c r="C53" s="18" t="s">
        <v>46</v>
      </c>
      <c r="F53" s="3"/>
    </row>
    <row r="54" spans="2:6" ht="14">
      <c r="B54" s="19" t="s">
        <v>40</v>
      </c>
      <c r="C54" s="19" t="s">
        <v>41</v>
      </c>
      <c r="D54" s="19" t="s">
        <v>677</v>
      </c>
      <c r="E54" s="19" t="s">
        <v>309</v>
      </c>
      <c r="F54" s="19" t="s">
        <v>543</v>
      </c>
    </row>
    <row r="55" spans="2:6">
      <c r="B55" s="5" t="s">
        <v>599</v>
      </c>
      <c r="C55" s="5" t="s">
        <v>46</v>
      </c>
      <c r="D55" s="6" t="s">
        <v>219</v>
      </c>
      <c r="E55" s="6" t="s">
        <v>55</v>
      </c>
      <c r="F55" s="6" t="s">
        <v>609</v>
      </c>
    </row>
    <row r="56" spans="2:6">
      <c r="B56" s="5" t="s">
        <v>351</v>
      </c>
      <c r="C56" s="5" t="s">
        <v>46</v>
      </c>
      <c r="D56" s="6" t="s">
        <v>213</v>
      </c>
      <c r="E56" s="6" t="s">
        <v>569</v>
      </c>
      <c r="F56" s="6" t="s">
        <v>610</v>
      </c>
    </row>
    <row r="57" spans="2:6">
      <c r="B57" s="5" t="s">
        <v>605</v>
      </c>
      <c r="C57" s="5" t="s">
        <v>46</v>
      </c>
      <c r="D57" s="6" t="s">
        <v>45</v>
      </c>
      <c r="E57" s="6" t="s">
        <v>55</v>
      </c>
      <c r="F57" s="6" t="s">
        <v>611</v>
      </c>
    </row>
  </sheetData>
  <mergeCells count="20">
    <mergeCell ref="A39:J39"/>
    <mergeCell ref="A45:J45"/>
    <mergeCell ref="B3:B4"/>
    <mergeCell ref="A8:J8"/>
    <mergeCell ref="A11:J11"/>
    <mergeCell ref="A15:J15"/>
    <mergeCell ref="A18:J18"/>
    <mergeCell ref="A24:J24"/>
    <mergeCell ref="A33:J33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6E43A-D7F8-4C34-88F8-AE77928344CF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8" width="4.6640625" style="6" bestFit="1" customWidth="1"/>
    <col min="9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18.6640625" style="5" bestFit="1" customWidth="1"/>
    <col min="14" max="16384" width="9.1640625" style="3"/>
  </cols>
  <sheetData>
    <row r="1" spans="1:13" s="2" customFormat="1" ht="29" customHeight="1">
      <c r="A1" s="46" t="s">
        <v>671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707</v>
      </c>
      <c r="B3" s="59" t="s">
        <v>0</v>
      </c>
      <c r="C3" s="56" t="s">
        <v>709</v>
      </c>
      <c r="D3" s="56" t="s">
        <v>6</v>
      </c>
      <c r="E3" s="40" t="s">
        <v>710</v>
      </c>
      <c r="F3" s="40" t="s">
        <v>5</v>
      </c>
      <c r="G3" s="40" t="s">
        <v>708</v>
      </c>
      <c r="H3" s="40"/>
      <c r="I3" s="40"/>
      <c r="J3" s="40"/>
      <c r="K3" s="40" t="s">
        <v>314</v>
      </c>
      <c r="L3" s="40" t="s">
        <v>3</v>
      </c>
      <c r="M3" s="42" t="s">
        <v>2</v>
      </c>
    </row>
    <row r="4" spans="1:13" s="1" customFormat="1" ht="21" customHeight="1" thickBot="1">
      <c r="A4" s="55"/>
      <c r="B4" s="60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556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8" t="s">
        <v>48</v>
      </c>
      <c r="B6" s="7" t="s">
        <v>466</v>
      </c>
      <c r="C6" s="7" t="s">
        <v>672</v>
      </c>
      <c r="D6" s="7" t="s">
        <v>468</v>
      </c>
      <c r="E6" s="7" t="s">
        <v>711</v>
      </c>
      <c r="F6" s="7" t="s">
        <v>621</v>
      </c>
      <c r="G6" s="20" t="s">
        <v>619</v>
      </c>
      <c r="H6" s="20" t="s">
        <v>544</v>
      </c>
      <c r="I6" s="21" t="s">
        <v>557</v>
      </c>
      <c r="J6" s="8"/>
      <c r="K6" s="8" t="str">
        <f>"25,0"</f>
        <v>25,0</v>
      </c>
      <c r="L6" s="8" t="str">
        <f>"20,6137"</f>
        <v>20,6137</v>
      </c>
      <c r="M6" s="7" t="s">
        <v>673</v>
      </c>
    </row>
    <row r="7" spans="1:13">
      <c r="A7" s="12" t="s">
        <v>48</v>
      </c>
      <c r="B7" s="11" t="s">
        <v>466</v>
      </c>
      <c r="C7" s="11" t="s">
        <v>469</v>
      </c>
      <c r="D7" s="11" t="s">
        <v>468</v>
      </c>
      <c r="E7" s="11" t="s">
        <v>712</v>
      </c>
      <c r="F7" s="11" t="s">
        <v>621</v>
      </c>
      <c r="G7" s="24" t="s">
        <v>619</v>
      </c>
      <c r="H7" s="24" t="s">
        <v>544</v>
      </c>
      <c r="I7" s="25" t="s">
        <v>557</v>
      </c>
      <c r="J7" s="12"/>
      <c r="K7" s="12" t="str">
        <f>"25,0"</f>
        <v>25,0</v>
      </c>
      <c r="L7" s="12" t="str">
        <f>"20,6137"</f>
        <v>20,6137</v>
      </c>
      <c r="M7" s="11" t="s">
        <v>673</v>
      </c>
    </row>
    <row r="8" spans="1:13">
      <c r="B8" s="5" t="s">
        <v>50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12"/>
  <sheetViews>
    <sheetView workbookViewId="0">
      <selection activeCell="E12" sqref="E12"/>
    </sheetView>
  </sheetViews>
  <sheetFormatPr baseColWidth="10" defaultColWidth="9.1640625" defaultRowHeight="13"/>
  <cols>
    <col min="1" max="1" width="7.5" style="5" bestFit="1" customWidth="1"/>
    <col min="2" max="2" width="16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6640625" style="6" bestFit="1" customWidth="1"/>
    <col min="10" max="10" width="4.33203125" style="6" bestFit="1" customWidth="1"/>
    <col min="11" max="13" width="5.6640625" style="6" bestFit="1" customWidth="1"/>
    <col min="14" max="14" width="4.33203125" style="6" bestFit="1" customWidth="1"/>
    <col min="15" max="17" width="5.6640625" style="6" bestFit="1" customWidth="1"/>
    <col min="18" max="18" width="4.33203125" style="6" bestFit="1" customWidth="1"/>
    <col min="19" max="19" width="7.83203125" style="28" bestFit="1" customWidth="1"/>
    <col min="20" max="20" width="8.5" style="6" bestFit="1" customWidth="1"/>
    <col min="21" max="21" width="15.5" style="5" bestFit="1" customWidth="1"/>
    <col min="22" max="16384" width="9.1640625" style="3"/>
  </cols>
  <sheetData>
    <row r="1" spans="1:21" s="2" customFormat="1" ht="29" customHeight="1">
      <c r="A1" s="46" t="s">
        <v>625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1" s="1" customFormat="1" ht="12.75" customHeight="1">
      <c r="A3" s="54" t="s">
        <v>707</v>
      </c>
      <c r="B3" s="59" t="s">
        <v>0</v>
      </c>
      <c r="C3" s="56" t="s">
        <v>709</v>
      </c>
      <c r="D3" s="56" t="s">
        <v>6</v>
      </c>
      <c r="E3" s="40" t="s">
        <v>710</v>
      </c>
      <c r="F3" s="40" t="s">
        <v>5</v>
      </c>
      <c r="G3" s="40" t="s">
        <v>7</v>
      </c>
      <c r="H3" s="40"/>
      <c r="I3" s="40"/>
      <c r="J3" s="40"/>
      <c r="K3" s="40" t="s">
        <v>8</v>
      </c>
      <c r="L3" s="40"/>
      <c r="M3" s="40"/>
      <c r="N3" s="40"/>
      <c r="O3" s="40" t="s">
        <v>9</v>
      </c>
      <c r="P3" s="40"/>
      <c r="Q3" s="40"/>
      <c r="R3" s="40"/>
      <c r="S3" s="38" t="s">
        <v>1</v>
      </c>
      <c r="T3" s="40" t="s">
        <v>3</v>
      </c>
      <c r="U3" s="42" t="s">
        <v>2</v>
      </c>
    </row>
    <row r="4" spans="1:21" s="1" customFormat="1" ht="21" customHeight="1" thickBot="1">
      <c r="A4" s="55"/>
      <c r="B4" s="60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41"/>
      <c r="U4" s="43"/>
    </row>
    <row r="5" spans="1:21" ht="16">
      <c r="A5" s="44" t="s">
        <v>10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1">
      <c r="A6" s="8" t="s">
        <v>48</v>
      </c>
      <c r="B6" s="7" t="s">
        <v>11</v>
      </c>
      <c r="C6" s="7" t="s">
        <v>626</v>
      </c>
      <c r="D6" s="7" t="s">
        <v>12</v>
      </c>
      <c r="E6" s="7" t="s">
        <v>714</v>
      </c>
      <c r="F6" s="7" t="s">
        <v>621</v>
      </c>
      <c r="G6" s="20" t="s">
        <v>13</v>
      </c>
      <c r="H6" s="20" t="s">
        <v>14</v>
      </c>
      <c r="I6" s="21" t="s">
        <v>15</v>
      </c>
      <c r="J6" s="8"/>
      <c r="K6" s="20" t="s">
        <v>16</v>
      </c>
      <c r="L6" s="21" t="s">
        <v>17</v>
      </c>
      <c r="M6" s="21" t="s">
        <v>17</v>
      </c>
      <c r="N6" s="8"/>
      <c r="O6" s="20" t="s">
        <v>15</v>
      </c>
      <c r="P6" s="20" t="s">
        <v>18</v>
      </c>
      <c r="Q6" s="20" t="s">
        <v>19</v>
      </c>
      <c r="R6" s="8"/>
      <c r="S6" s="30" t="str">
        <f>"630,0"</f>
        <v>630,0</v>
      </c>
      <c r="T6" s="8" t="str">
        <f>"371,2590"</f>
        <v>371,2590</v>
      </c>
      <c r="U6" s="7" t="s">
        <v>20</v>
      </c>
    </row>
    <row r="7" spans="1:21">
      <c r="A7" s="10" t="s">
        <v>48</v>
      </c>
      <c r="B7" s="9" t="s">
        <v>21</v>
      </c>
      <c r="C7" s="9" t="s">
        <v>22</v>
      </c>
      <c r="D7" s="9" t="s">
        <v>23</v>
      </c>
      <c r="E7" s="9" t="s">
        <v>712</v>
      </c>
      <c r="F7" s="9" t="s">
        <v>621</v>
      </c>
      <c r="G7" s="22" t="s">
        <v>24</v>
      </c>
      <c r="H7" s="22" t="s">
        <v>25</v>
      </c>
      <c r="I7" s="22" t="s">
        <v>18</v>
      </c>
      <c r="J7" s="10"/>
      <c r="K7" s="22" t="s">
        <v>26</v>
      </c>
      <c r="L7" s="22" t="s">
        <v>27</v>
      </c>
      <c r="M7" s="23" t="s">
        <v>28</v>
      </c>
      <c r="N7" s="10"/>
      <c r="O7" s="22" t="s">
        <v>29</v>
      </c>
      <c r="P7" s="22" t="s">
        <v>30</v>
      </c>
      <c r="Q7" s="23" t="s">
        <v>31</v>
      </c>
      <c r="R7" s="10"/>
      <c r="S7" s="32" t="str">
        <f>"710,0"</f>
        <v>710,0</v>
      </c>
      <c r="T7" s="10" t="str">
        <f>"418,0480"</f>
        <v>418,0480</v>
      </c>
      <c r="U7" s="9" t="s">
        <v>20</v>
      </c>
    </row>
    <row r="8" spans="1:21">
      <c r="A8" s="12" t="s">
        <v>49</v>
      </c>
      <c r="B8" s="11" t="s">
        <v>11</v>
      </c>
      <c r="C8" s="11" t="s">
        <v>32</v>
      </c>
      <c r="D8" s="11" t="s">
        <v>12</v>
      </c>
      <c r="E8" s="11" t="s">
        <v>712</v>
      </c>
      <c r="F8" s="11" t="s">
        <v>621</v>
      </c>
      <c r="G8" s="24" t="s">
        <v>13</v>
      </c>
      <c r="H8" s="24" t="s">
        <v>14</v>
      </c>
      <c r="I8" s="25" t="s">
        <v>15</v>
      </c>
      <c r="J8" s="12"/>
      <c r="K8" s="24" t="s">
        <v>16</v>
      </c>
      <c r="L8" s="25" t="s">
        <v>17</v>
      </c>
      <c r="M8" s="25" t="s">
        <v>17</v>
      </c>
      <c r="N8" s="12"/>
      <c r="O8" s="24" t="s">
        <v>15</v>
      </c>
      <c r="P8" s="24" t="s">
        <v>18</v>
      </c>
      <c r="Q8" s="24" t="s">
        <v>19</v>
      </c>
      <c r="R8" s="12"/>
      <c r="S8" s="31" t="str">
        <f>"630,0"</f>
        <v>630,0</v>
      </c>
      <c r="T8" s="12" t="str">
        <f>"371,2590"</f>
        <v>371,2590</v>
      </c>
      <c r="U8" s="11" t="s">
        <v>20</v>
      </c>
    </row>
    <row r="9" spans="1:21">
      <c r="B9" s="5" t="s">
        <v>50</v>
      </c>
    </row>
    <row r="10" spans="1:21" ht="16">
      <c r="A10" s="57" t="s">
        <v>33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1:21">
      <c r="A11" s="14" t="s">
        <v>48</v>
      </c>
      <c r="B11" s="13" t="s">
        <v>34</v>
      </c>
      <c r="C11" s="13" t="s">
        <v>35</v>
      </c>
      <c r="D11" s="13" t="s">
        <v>36</v>
      </c>
      <c r="E11" s="13" t="s">
        <v>712</v>
      </c>
      <c r="F11" s="13" t="s">
        <v>621</v>
      </c>
      <c r="G11" s="26" t="s">
        <v>15</v>
      </c>
      <c r="H11" s="26" t="s">
        <v>18</v>
      </c>
      <c r="I11" s="26" t="s">
        <v>19</v>
      </c>
      <c r="J11" s="14"/>
      <c r="K11" s="26" t="s">
        <v>177</v>
      </c>
      <c r="L11" s="26" t="s">
        <v>238</v>
      </c>
      <c r="M11" s="26" t="s">
        <v>704</v>
      </c>
      <c r="N11" s="14"/>
      <c r="O11" s="27" t="s">
        <v>37</v>
      </c>
      <c r="P11" s="26" t="s">
        <v>702</v>
      </c>
      <c r="Q11" s="26" t="s">
        <v>705</v>
      </c>
      <c r="R11" s="14"/>
      <c r="S11" s="29">
        <v>740</v>
      </c>
      <c r="T11" s="14" t="str">
        <f>"428,6080"</f>
        <v>428,6080</v>
      </c>
      <c r="U11" s="13"/>
    </row>
    <row r="12" spans="1:21" ht="12" customHeight="1">
      <c r="B12" s="5" t="s">
        <v>50</v>
      </c>
    </row>
  </sheetData>
  <mergeCells count="15">
    <mergeCell ref="A5:R5"/>
    <mergeCell ref="A10:R10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05B29-EA46-4D80-892C-8AE34BFADA89}"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9.6640625" style="5" bestFit="1" customWidth="1"/>
    <col min="7" max="9" width="5.6640625" style="6" bestFit="1" customWidth="1"/>
    <col min="10" max="10" width="4.33203125" style="6" bestFit="1" customWidth="1"/>
    <col min="11" max="13" width="5.6640625" style="6" bestFit="1" customWidth="1"/>
    <col min="14" max="14" width="4.33203125" style="6" bestFit="1" customWidth="1"/>
    <col min="15" max="17" width="5.6640625" style="6" bestFit="1" customWidth="1"/>
    <col min="18" max="18" width="4.33203125" style="6" bestFit="1" customWidth="1"/>
    <col min="19" max="19" width="7.83203125" style="28" bestFit="1" customWidth="1"/>
    <col min="20" max="20" width="8.5" style="6" bestFit="1" customWidth="1"/>
    <col min="21" max="21" width="15.6640625" style="5" bestFit="1" customWidth="1"/>
    <col min="22" max="16384" width="9.1640625" style="3"/>
  </cols>
  <sheetData>
    <row r="1" spans="1:21" s="2" customFormat="1" ht="29" customHeight="1">
      <c r="A1" s="46" t="s">
        <v>627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1" s="1" customFormat="1" ht="12.75" customHeight="1">
      <c r="A3" s="54" t="s">
        <v>707</v>
      </c>
      <c r="B3" s="59" t="s">
        <v>0</v>
      </c>
      <c r="C3" s="56" t="s">
        <v>709</v>
      </c>
      <c r="D3" s="56" t="s">
        <v>6</v>
      </c>
      <c r="E3" s="40" t="s">
        <v>710</v>
      </c>
      <c r="F3" s="40" t="s">
        <v>5</v>
      </c>
      <c r="G3" s="40" t="s">
        <v>7</v>
      </c>
      <c r="H3" s="40"/>
      <c r="I3" s="40"/>
      <c r="J3" s="40"/>
      <c r="K3" s="40" t="s">
        <v>8</v>
      </c>
      <c r="L3" s="40"/>
      <c r="M3" s="40"/>
      <c r="N3" s="40"/>
      <c r="O3" s="40" t="s">
        <v>9</v>
      </c>
      <c r="P3" s="40"/>
      <c r="Q3" s="40"/>
      <c r="R3" s="40"/>
      <c r="S3" s="38" t="s">
        <v>1</v>
      </c>
      <c r="T3" s="40" t="s">
        <v>3</v>
      </c>
      <c r="U3" s="42" t="s">
        <v>2</v>
      </c>
    </row>
    <row r="4" spans="1:21" s="1" customFormat="1" ht="21" customHeight="1" thickBot="1">
      <c r="A4" s="55"/>
      <c r="B4" s="60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41"/>
      <c r="U4" s="43"/>
    </row>
    <row r="5" spans="1:21" ht="16">
      <c r="A5" s="44" t="s">
        <v>33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1">
      <c r="A6" s="14" t="s">
        <v>48</v>
      </c>
      <c r="B6" s="13" t="s">
        <v>244</v>
      </c>
      <c r="C6" s="13" t="s">
        <v>245</v>
      </c>
      <c r="D6" s="13" t="s">
        <v>246</v>
      </c>
      <c r="E6" s="13" t="s">
        <v>712</v>
      </c>
      <c r="F6" s="13" t="s">
        <v>186</v>
      </c>
      <c r="G6" s="26" t="s">
        <v>79</v>
      </c>
      <c r="H6" s="26" t="s">
        <v>149</v>
      </c>
      <c r="I6" s="26" t="s">
        <v>243</v>
      </c>
      <c r="J6" s="14"/>
      <c r="K6" s="26" t="s">
        <v>27</v>
      </c>
      <c r="L6" s="27" t="s">
        <v>28</v>
      </c>
      <c r="M6" s="26" t="s">
        <v>28</v>
      </c>
      <c r="N6" s="14"/>
      <c r="O6" s="26" t="s">
        <v>14</v>
      </c>
      <c r="P6" s="27" t="s">
        <v>202</v>
      </c>
      <c r="Q6" s="27" t="s">
        <v>202</v>
      </c>
      <c r="R6" s="14"/>
      <c r="S6" s="29">
        <v>595</v>
      </c>
      <c r="T6" s="14" t="str">
        <f>"345,7545"</f>
        <v>345,7545</v>
      </c>
      <c r="U6" s="13"/>
    </row>
    <row r="7" spans="1:21">
      <c r="B7" s="5" t="s">
        <v>50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56B09-BCB0-4B98-A187-961032B91669}">
  <dimension ref="A1:U13"/>
  <sheetViews>
    <sheetView workbookViewId="0">
      <selection activeCell="E12" sqref="E12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6640625" style="6" bestFit="1" customWidth="1"/>
    <col min="10" max="10" width="4.33203125" style="6" bestFit="1" customWidth="1"/>
    <col min="11" max="13" width="5.6640625" style="6" bestFit="1" customWidth="1"/>
    <col min="14" max="14" width="4.33203125" style="6" bestFit="1" customWidth="1"/>
    <col min="15" max="17" width="5.6640625" style="6" bestFit="1" customWidth="1"/>
    <col min="18" max="18" width="4.33203125" style="6" bestFit="1" customWidth="1"/>
    <col min="19" max="19" width="7.83203125" style="28" bestFit="1" customWidth="1"/>
    <col min="20" max="20" width="8.5" style="6" bestFit="1" customWidth="1"/>
    <col min="21" max="21" width="19.6640625" style="5" bestFit="1" customWidth="1"/>
    <col min="22" max="16384" width="9.1640625" style="3"/>
  </cols>
  <sheetData>
    <row r="1" spans="1:21" s="2" customFormat="1" ht="29" customHeight="1">
      <c r="A1" s="46" t="s">
        <v>628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1" s="1" customFormat="1" ht="12.75" customHeight="1">
      <c r="A3" s="54" t="s">
        <v>707</v>
      </c>
      <c r="B3" s="59" t="s">
        <v>0</v>
      </c>
      <c r="C3" s="56" t="s">
        <v>709</v>
      </c>
      <c r="D3" s="56" t="s">
        <v>6</v>
      </c>
      <c r="E3" s="40" t="s">
        <v>710</v>
      </c>
      <c r="F3" s="40" t="s">
        <v>5</v>
      </c>
      <c r="G3" s="40" t="s">
        <v>7</v>
      </c>
      <c r="H3" s="40"/>
      <c r="I3" s="40"/>
      <c r="J3" s="40"/>
      <c r="K3" s="40" t="s">
        <v>8</v>
      </c>
      <c r="L3" s="40"/>
      <c r="M3" s="40"/>
      <c r="N3" s="40"/>
      <c r="O3" s="40" t="s">
        <v>9</v>
      </c>
      <c r="P3" s="40"/>
      <c r="Q3" s="40"/>
      <c r="R3" s="40"/>
      <c r="S3" s="38" t="s">
        <v>1</v>
      </c>
      <c r="T3" s="40" t="s">
        <v>3</v>
      </c>
      <c r="U3" s="42" t="s">
        <v>2</v>
      </c>
    </row>
    <row r="4" spans="1:21" s="1" customFormat="1" ht="21" customHeight="1" thickBot="1">
      <c r="A4" s="55"/>
      <c r="B4" s="60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41"/>
      <c r="U4" s="43"/>
    </row>
    <row r="5" spans="1:21" ht="16">
      <c r="A5" s="44" t="s">
        <v>127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1">
      <c r="A6" s="14" t="s">
        <v>48</v>
      </c>
      <c r="B6" s="13" t="s">
        <v>232</v>
      </c>
      <c r="C6" s="13" t="s">
        <v>233</v>
      </c>
      <c r="D6" s="13" t="s">
        <v>234</v>
      </c>
      <c r="E6" s="13" t="s">
        <v>712</v>
      </c>
      <c r="F6" s="13" t="s">
        <v>621</v>
      </c>
      <c r="G6" s="27" t="s">
        <v>14</v>
      </c>
      <c r="H6" s="27" t="s">
        <v>14</v>
      </c>
      <c r="I6" s="26" t="s">
        <v>14</v>
      </c>
      <c r="J6" s="14"/>
      <c r="K6" s="27" t="s">
        <v>27</v>
      </c>
      <c r="L6" s="26" t="s">
        <v>27</v>
      </c>
      <c r="M6" s="14"/>
      <c r="N6" s="14"/>
      <c r="O6" s="26" t="s">
        <v>14</v>
      </c>
      <c r="P6" s="26" t="s">
        <v>15</v>
      </c>
      <c r="Q6" s="27" t="s">
        <v>25</v>
      </c>
      <c r="R6" s="14"/>
      <c r="S6" s="29">
        <v>620</v>
      </c>
      <c r="T6" s="14" t="str">
        <f>"417,8180"</f>
        <v>417,8180</v>
      </c>
      <c r="U6" s="13" t="s">
        <v>703</v>
      </c>
    </row>
    <row r="7" spans="1:21">
      <c r="B7" s="5" t="s">
        <v>50</v>
      </c>
    </row>
    <row r="8" spans="1:21" ht="16">
      <c r="A8" s="57" t="s">
        <v>182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21">
      <c r="A9" s="14" t="s">
        <v>48</v>
      </c>
      <c r="B9" s="13" t="s">
        <v>235</v>
      </c>
      <c r="C9" s="13" t="s">
        <v>236</v>
      </c>
      <c r="D9" s="13" t="s">
        <v>237</v>
      </c>
      <c r="E9" s="13" t="s">
        <v>712</v>
      </c>
      <c r="F9" s="13" t="s">
        <v>168</v>
      </c>
      <c r="G9" s="26" t="s">
        <v>149</v>
      </c>
      <c r="H9" s="26" t="s">
        <v>13</v>
      </c>
      <c r="I9" s="27" t="s">
        <v>15</v>
      </c>
      <c r="J9" s="14"/>
      <c r="K9" s="26" t="s">
        <v>238</v>
      </c>
      <c r="L9" s="26" t="s">
        <v>148</v>
      </c>
      <c r="M9" s="27" t="s">
        <v>79</v>
      </c>
      <c r="N9" s="14"/>
      <c r="O9" s="26" t="s">
        <v>202</v>
      </c>
      <c r="P9" s="26" t="s">
        <v>239</v>
      </c>
      <c r="Q9" s="27" t="s">
        <v>37</v>
      </c>
      <c r="R9" s="14"/>
      <c r="S9" s="29" t="str">
        <f>"670,0"</f>
        <v>670,0</v>
      </c>
      <c r="T9" s="14" t="str">
        <f>"420,2240"</f>
        <v>420,2240</v>
      </c>
      <c r="U9" s="13"/>
    </row>
    <row r="10" spans="1:21">
      <c r="B10" s="5" t="s">
        <v>50</v>
      </c>
    </row>
    <row r="11" spans="1:21" ht="16">
      <c r="A11" s="57" t="s">
        <v>33</v>
      </c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spans="1:21">
      <c r="A12" s="14" t="s">
        <v>48</v>
      </c>
      <c r="B12" s="13" t="s">
        <v>240</v>
      </c>
      <c r="C12" s="13" t="s">
        <v>241</v>
      </c>
      <c r="D12" s="13" t="s">
        <v>242</v>
      </c>
      <c r="E12" s="13" t="s">
        <v>712</v>
      </c>
      <c r="F12" s="13" t="s">
        <v>621</v>
      </c>
      <c r="G12" s="26" t="s">
        <v>204</v>
      </c>
      <c r="H12" s="26" t="s">
        <v>541</v>
      </c>
      <c r="I12" s="26" t="s">
        <v>701</v>
      </c>
      <c r="J12" s="14"/>
      <c r="K12" s="26" t="s">
        <v>79</v>
      </c>
      <c r="L12" s="26" t="s">
        <v>141</v>
      </c>
      <c r="M12" s="27" t="s">
        <v>243</v>
      </c>
      <c r="N12" s="14"/>
      <c r="O12" s="26" t="s">
        <v>702</v>
      </c>
      <c r="P12" s="27" t="s">
        <v>30</v>
      </c>
      <c r="Q12" s="27" t="s">
        <v>30</v>
      </c>
      <c r="R12" s="14"/>
      <c r="S12" s="29">
        <v>835</v>
      </c>
      <c r="T12" s="14" t="str">
        <f>"479,2900"</f>
        <v>479,2900</v>
      </c>
      <c r="U12" s="13"/>
    </row>
    <row r="13" spans="1:21">
      <c r="B13" s="5" t="s">
        <v>50</v>
      </c>
    </row>
  </sheetData>
  <mergeCells count="16">
    <mergeCell ref="A8:R8"/>
    <mergeCell ref="A11:R11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102D-1B06-40AB-86CA-64586FDD74E3}">
  <dimension ref="A1:Q34"/>
  <sheetViews>
    <sheetView workbookViewId="0">
      <selection activeCell="E33" sqref="E33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1" style="5" bestFit="1" customWidth="1"/>
    <col min="7" max="9" width="5.6640625" style="6" bestFit="1" customWidth="1"/>
    <col min="10" max="10" width="4.33203125" style="6" bestFit="1" customWidth="1"/>
    <col min="11" max="13" width="5.6640625" style="6" bestFit="1" customWidth="1"/>
    <col min="14" max="14" width="4.33203125" style="6" bestFit="1" customWidth="1"/>
    <col min="15" max="15" width="7.83203125" style="28" bestFit="1" customWidth="1"/>
    <col min="16" max="16" width="8.5" style="33" bestFit="1" customWidth="1"/>
    <col min="17" max="17" width="28.1640625" style="5" bestFit="1" customWidth="1"/>
    <col min="18" max="16384" width="9.1640625" style="3"/>
  </cols>
  <sheetData>
    <row r="1" spans="1:17" s="2" customFormat="1" ht="29" customHeight="1">
      <c r="A1" s="46" t="s">
        <v>629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</row>
    <row r="3" spans="1:17" s="1" customFormat="1" ht="12.75" customHeight="1">
      <c r="A3" s="54" t="s">
        <v>707</v>
      </c>
      <c r="B3" s="59" t="s">
        <v>0</v>
      </c>
      <c r="C3" s="56" t="s">
        <v>709</v>
      </c>
      <c r="D3" s="56" t="s">
        <v>6</v>
      </c>
      <c r="E3" s="40" t="s">
        <v>710</v>
      </c>
      <c r="F3" s="40" t="s">
        <v>5</v>
      </c>
      <c r="G3" s="40" t="s">
        <v>8</v>
      </c>
      <c r="H3" s="40"/>
      <c r="I3" s="40"/>
      <c r="J3" s="40"/>
      <c r="K3" s="40" t="s">
        <v>9</v>
      </c>
      <c r="L3" s="40"/>
      <c r="M3" s="40"/>
      <c r="N3" s="40"/>
      <c r="O3" s="38" t="s">
        <v>1</v>
      </c>
      <c r="P3" s="61" t="s">
        <v>3</v>
      </c>
      <c r="Q3" s="42" t="s">
        <v>2</v>
      </c>
    </row>
    <row r="4" spans="1:17" s="1" customFormat="1" ht="21" customHeight="1" thickBot="1">
      <c r="A4" s="55"/>
      <c r="B4" s="60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9"/>
      <c r="P4" s="62"/>
      <c r="Q4" s="43"/>
    </row>
    <row r="5" spans="1:17" ht="16">
      <c r="A5" s="44" t="s">
        <v>51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7">
      <c r="A6" s="14" t="s">
        <v>48</v>
      </c>
      <c r="B6" s="13" t="s">
        <v>52</v>
      </c>
      <c r="C6" s="13" t="s">
        <v>53</v>
      </c>
      <c r="D6" s="13" t="s">
        <v>525</v>
      </c>
      <c r="E6" s="13" t="s">
        <v>712</v>
      </c>
      <c r="F6" s="13" t="s">
        <v>621</v>
      </c>
      <c r="G6" s="26" t="s">
        <v>56</v>
      </c>
      <c r="H6" s="26" t="s">
        <v>57</v>
      </c>
      <c r="I6" s="27" t="s">
        <v>58</v>
      </c>
      <c r="J6" s="14"/>
      <c r="K6" s="26" t="s">
        <v>59</v>
      </c>
      <c r="L6" s="26" t="s">
        <v>60</v>
      </c>
      <c r="M6" s="27" t="s">
        <v>61</v>
      </c>
      <c r="N6" s="14"/>
      <c r="O6" s="29" t="str">
        <f>"142,5"</f>
        <v>142,5</v>
      </c>
      <c r="P6" s="34" t="str">
        <f>"178,9800"</f>
        <v>178,9800</v>
      </c>
      <c r="Q6" s="13" t="s">
        <v>107</v>
      </c>
    </row>
    <row r="7" spans="1:17">
      <c r="B7" s="5" t="s">
        <v>50</v>
      </c>
    </row>
    <row r="8" spans="1:17" ht="16">
      <c r="A8" s="57" t="s">
        <v>62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1:17">
      <c r="A9" s="14" t="s">
        <v>48</v>
      </c>
      <c r="B9" s="13" t="s">
        <v>63</v>
      </c>
      <c r="C9" s="13" t="s">
        <v>64</v>
      </c>
      <c r="D9" s="13" t="s">
        <v>65</v>
      </c>
      <c r="E9" s="13" t="s">
        <v>712</v>
      </c>
      <c r="F9" s="13" t="s">
        <v>621</v>
      </c>
      <c r="G9" s="27" t="s">
        <v>67</v>
      </c>
      <c r="H9" s="26" t="s">
        <v>56</v>
      </c>
      <c r="I9" s="27" t="s">
        <v>68</v>
      </c>
      <c r="J9" s="14"/>
      <c r="K9" s="26" t="s">
        <v>69</v>
      </c>
      <c r="L9" s="26" t="s">
        <v>55</v>
      </c>
      <c r="M9" s="26" t="s">
        <v>70</v>
      </c>
      <c r="N9" s="14"/>
      <c r="O9" s="29">
        <v>125</v>
      </c>
      <c r="P9" s="34" t="e">
        <f>O9*E9</f>
        <v>#VALUE!</v>
      </c>
      <c r="Q9" s="13"/>
    </row>
    <row r="10" spans="1:17">
      <c r="B10" s="5" t="s">
        <v>50</v>
      </c>
    </row>
    <row r="11" spans="1:17" ht="16">
      <c r="A11" s="57" t="s">
        <v>72</v>
      </c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7">
      <c r="A12" s="8" t="s">
        <v>48</v>
      </c>
      <c r="B12" s="7" t="s">
        <v>329</v>
      </c>
      <c r="C12" s="7" t="s">
        <v>330</v>
      </c>
      <c r="D12" s="7" t="s">
        <v>331</v>
      </c>
      <c r="E12" s="7" t="s">
        <v>712</v>
      </c>
      <c r="F12" s="7" t="s">
        <v>621</v>
      </c>
      <c r="G12" s="20" t="s">
        <v>92</v>
      </c>
      <c r="H12" s="20" t="s">
        <v>85</v>
      </c>
      <c r="I12" s="21" t="s">
        <v>124</v>
      </c>
      <c r="J12" s="8"/>
      <c r="K12" s="20" t="s">
        <v>147</v>
      </c>
      <c r="L12" s="20" t="s">
        <v>77</v>
      </c>
      <c r="M12" s="21" t="s">
        <v>16</v>
      </c>
      <c r="N12" s="8"/>
      <c r="O12" s="30">
        <v>192.5</v>
      </c>
      <c r="P12" s="35" t="str">
        <f>"214,8877"</f>
        <v>214,8877</v>
      </c>
      <c r="Q12" s="7"/>
    </row>
    <row r="13" spans="1:17">
      <c r="A13" s="12" t="s">
        <v>49</v>
      </c>
      <c r="B13" s="11" t="s">
        <v>96</v>
      </c>
      <c r="C13" s="11" t="s">
        <v>97</v>
      </c>
      <c r="D13" s="11" t="s">
        <v>98</v>
      </c>
      <c r="E13" s="11" t="s">
        <v>712</v>
      </c>
      <c r="F13" s="11" t="s">
        <v>621</v>
      </c>
      <c r="G13" s="24" t="s">
        <v>58</v>
      </c>
      <c r="H13" s="24" t="s">
        <v>99</v>
      </c>
      <c r="I13" s="25" t="s">
        <v>100</v>
      </c>
      <c r="J13" s="12"/>
      <c r="K13" s="25" t="s">
        <v>61</v>
      </c>
      <c r="L13" s="24" t="s">
        <v>84</v>
      </c>
      <c r="M13" s="24" t="s">
        <v>101</v>
      </c>
      <c r="N13" s="12"/>
      <c r="O13" s="31" t="str">
        <f>"160,0"</f>
        <v>160,0</v>
      </c>
      <c r="P13" s="36" t="str">
        <f>"180,7200"</f>
        <v>180,7200</v>
      </c>
      <c r="Q13" s="11" t="s">
        <v>107</v>
      </c>
    </row>
    <row r="14" spans="1:17">
      <c r="B14" s="5" t="s">
        <v>50</v>
      </c>
    </row>
    <row r="15" spans="1:17" ht="16">
      <c r="A15" s="57" t="s">
        <v>102</v>
      </c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</row>
    <row r="16" spans="1:17">
      <c r="A16" s="8" t="s">
        <v>48</v>
      </c>
      <c r="B16" s="7" t="s">
        <v>118</v>
      </c>
      <c r="C16" s="7" t="s">
        <v>119</v>
      </c>
      <c r="D16" s="7" t="s">
        <v>113</v>
      </c>
      <c r="E16" s="7" t="s">
        <v>712</v>
      </c>
      <c r="F16" s="7" t="s">
        <v>621</v>
      </c>
      <c r="G16" s="20" t="s">
        <v>100</v>
      </c>
      <c r="H16" s="21" t="s">
        <v>66</v>
      </c>
      <c r="I16" s="8"/>
      <c r="J16" s="8"/>
      <c r="K16" s="20" t="s">
        <v>101</v>
      </c>
      <c r="L16" s="21" t="s">
        <v>76</v>
      </c>
      <c r="M16" s="8"/>
      <c r="N16" s="8"/>
      <c r="O16" s="30" t="str">
        <f>"162,5"</f>
        <v>162,5</v>
      </c>
      <c r="P16" s="35" t="str">
        <f>"172,4613"</f>
        <v>172,4613</v>
      </c>
      <c r="Q16" s="7" t="s">
        <v>107</v>
      </c>
    </row>
    <row r="17" spans="1:17">
      <c r="A17" s="10" t="s">
        <v>49</v>
      </c>
      <c r="B17" s="9" t="s">
        <v>111</v>
      </c>
      <c r="C17" s="9" t="s">
        <v>112</v>
      </c>
      <c r="D17" s="9" t="s">
        <v>113</v>
      </c>
      <c r="E17" s="9" t="s">
        <v>712</v>
      </c>
      <c r="F17" s="9" t="s">
        <v>621</v>
      </c>
      <c r="G17" s="22" t="s">
        <v>57</v>
      </c>
      <c r="H17" s="22" t="s">
        <v>99</v>
      </c>
      <c r="I17" s="23" t="s">
        <v>100</v>
      </c>
      <c r="J17" s="10"/>
      <c r="K17" s="22" t="s">
        <v>61</v>
      </c>
      <c r="L17" s="22" t="s">
        <v>84</v>
      </c>
      <c r="M17" s="22" t="s">
        <v>101</v>
      </c>
      <c r="N17" s="10"/>
      <c r="O17" s="32" t="str">
        <f>"160,0"</f>
        <v>160,0</v>
      </c>
      <c r="P17" s="37" t="str">
        <f>"169,8080"</f>
        <v>169,8080</v>
      </c>
      <c r="Q17" s="9" t="s">
        <v>684</v>
      </c>
    </row>
    <row r="18" spans="1:17">
      <c r="A18" s="12" t="s">
        <v>48</v>
      </c>
      <c r="B18" s="11" t="s">
        <v>526</v>
      </c>
      <c r="C18" s="11" t="s">
        <v>630</v>
      </c>
      <c r="D18" s="11" t="s">
        <v>346</v>
      </c>
      <c r="E18" s="11" t="s">
        <v>717</v>
      </c>
      <c r="F18" s="11" t="s">
        <v>621</v>
      </c>
      <c r="G18" s="24" t="s">
        <v>564</v>
      </c>
      <c r="H18" s="25" t="s">
        <v>67</v>
      </c>
      <c r="I18" s="25" t="s">
        <v>67</v>
      </c>
      <c r="J18" s="12"/>
      <c r="K18" s="24" t="s">
        <v>92</v>
      </c>
      <c r="L18" s="24" t="s">
        <v>85</v>
      </c>
      <c r="M18" s="24" t="s">
        <v>124</v>
      </c>
      <c r="N18" s="12"/>
      <c r="O18" s="31">
        <v>95</v>
      </c>
      <c r="P18" s="36" t="str">
        <f>"124,9017"</f>
        <v>124,9017</v>
      </c>
      <c r="Q18" s="11" t="s">
        <v>527</v>
      </c>
    </row>
    <row r="19" spans="1:17">
      <c r="B19" s="5" t="s">
        <v>50</v>
      </c>
    </row>
    <row r="20" spans="1:17" ht="16">
      <c r="A20" s="57" t="s">
        <v>135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</row>
    <row r="21" spans="1:17">
      <c r="A21" s="14" t="s">
        <v>48</v>
      </c>
      <c r="B21" s="13" t="s">
        <v>528</v>
      </c>
      <c r="C21" s="13" t="s">
        <v>631</v>
      </c>
      <c r="D21" s="13" t="s">
        <v>529</v>
      </c>
      <c r="E21" s="13" t="s">
        <v>714</v>
      </c>
      <c r="F21" s="13" t="s">
        <v>680</v>
      </c>
      <c r="G21" s="26" t="s">
        <v>380</v>
      </c>
      <c r="H21" s="26" t="s">
        <v>381</v>
      </c>
      <c r="I21" s="26" t="s">
        <v>76</v>
      </c>
      <c r="J21" s="14"/>
      <c r="K21" s="26" t="s">
        <v>177</v>
      </c>
      <c r="L21" s="26" t="s">
        <v>238</v>
      </c>
      <c r="M21" s="26" t="s">
        <v>148</v>
      </c>
      <c r="N21" s="14"/>
      <c r="O21" s="29" t="str">
        <f>"295,0"</f>
        <v>295,0</v>
      </c>
      <c r="P21" s="34" t="str">
        <f>"213,8455"</f>
        <v>213,8455</v>
      </c>
      <c r="Q21" s="13" t="s">
        <v>384</v>
      </c>
    </row>
    <row r="22" spans="1:17">
      <c r="B22" s="5" t="s">
        <v>50</v>
      </c>
    </row>
    <row r="23" spans="1:17" ht="16">
      <c r="A23" s="57" t="s">
        <v>127</v>
      </c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</row>
    <row r="24" spans="1:17">
      <c r="A24" s="14" t="s">
        <v>48</v>
      </c>
      <c r="B24" s="13" t="s">
        <v>386</v>
      </c>
      <c r="C24" s="13" t="s">
        <v>632</v>
      </c>
      <c r="D24" s="13" t="s">
        <v>388</v>
      </c>
      <c r="E24" s="13" t="s">
        <v>714</v>
      </c>
      <c r="F24" s="13" t="s">
        <v>168</v>
      </c>
      <c r="G24" s="26" t="s">
        <v>26</v>
      </c>
      <c r="H24" s="26" t="s">
        <v>17</v>
      </c>
      <c r="I24" s="27" t="s">
        <v>27</v>
      </c>
      <c r="J24" s="14"/>
      <c r="K24" s="26" t="s">
        <v>141</v>
      </c>
      <c r="L24" s="27" t="s">
        <v>243</v>
      </c>
      <c r="M24" s="26" t="s">
        <v>243</v>
      </c>
      <c r="N24" s="14"/>
      <c r="O24" s="29">
        <v>355</v>
      </c>
      <c r="P24" s="34" t="str">
        <f>"240,2995"</f>
        <v>240,2995</v>
      </c>
      <c r="Q24" s="13" t="s">
        <v>384</v>
      </c>
    </row>
    <row r="25" spans="1:17">
      <c r="B25" s="5" t="s">
        <v>50</v>
      </c>
    </row>
    <row r="26" spans="1:17" ht="16">
      <c r="A26" s="57" t="s">
        <v>164</v>
      </c>
      <c r="B26" s="57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</row>
    <row r="27" spans="1:17">
      <c r="A27" s="14" t="s">
        <v>48</v>
      </c>
      <c r="B27" s="13" t="s">
        <v>530</v>
      </c>
      <c r="C27" s="13" t="s">
        <v>531</v>
      </c>
      <c r="D27" s="13" t="s">
        <v>532</v>
      </c>
      <c r="E27" s="13" t="s">
        <v>712</v>
      </c>
      <c r="F27" s="13" t="s">
        <v>621</v>
      </c>
      <c r="G27" s="26" t="s">
        <v>27</v>
      </c>
      <c r="H27" s="26" t="s">
        <v>177</v>
      </c>
      <c r="I27" s="27" t="s">
        <v>178</v>
      </c>
      <c r="J27" s="14"/>
      <c r="K27" s="26" t="s">
        <v>14</v>
      </c>
      <c r="L27" s="27" t="s">
        <v>15</v>
      </c>
      <c r="M27" s="27" t="s">
        <v>15</v>
      </c>
      <c r="N27" s="14"/>
      <c r="O27" s="29" t="str">
        <f>"390,0"</f>
        <v>390,0</v>
      </c>
      <c r="P27" s="34" t="str">
        <f>"251,4330"</f>
        <v>251,4330</v>
      </c>
      <c r="Q27" s="13" t="s">
        <v>533</v>
      </c>
    </row>
    <row r="28" spans="1:17">
      <c r="B28" s="5" t="s">
        <v>50</v>
      </c>
    </row>
    <row r="29" spans="1:17" ht="16">
      <c r="A29" s="57" t="s">
        <v>182</v>
      </c>
      <c r="B29" s="57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</row>
    <row r="30" spans="1:17">
      <c r="A30" s="8" t="s">
        <v>48</v>
      </c>
      <c r="B30" s="7" t="s">
        <v>534</v>
      </c>
      <c r="C30" s="7" t="s">
        <v>535</v>
      </c>
      <c r="D30" s="7" t="s">
        <v>536</v>
      </c>
      <c r="E30" s="7" t="s">
        <v>712</v>
      </c>
      <c r="F30" s="7" t="s">
        <v>537</v>
      </c>
      <c r="G30" s="20" t="s">
        <v>69</v>
      </c>
      <c r="H30" s="20" t="s">
        <v>90</v>
      </c>
      <c r="I30" s="20" t="s">
        <v>76</v>
      </c>
      <c r="J30" s="8"/>
      <c r="K30" s="20" t="s">
        <v>700</v>
      </c>
      <c r="L30" s="20" t="s">
        <v>140</v>
      </c>
      <c r="M30" s="20" t="s">
        <v>150</v>
      </c>
      <c r="N30" s="8"/>
      <c r="O30" s="30">
        <v>330</v>
      </c>
      <c r="P30" s="35" t="str">
        <f>"208,4940"</f>
        <v>208,4940</v>
      </c>
      <c r="Q30" s="7"/>
    </row>
    <row r="31" spans="1:17">
      <c r="A31" s="10" t="s">
        <v>49</v>
      </c>
      <c r="B31" s="9" t="s">
        <v>195</v>
      </c>
      <c r="C31" s="9" t="s">
        <v>196</v>
      </c>
      <c r="D31" s="9" t="s">
        <v>197</v>
      </c>
      <c r="E31" s="9" t="s">
        <v>712</v>
      </c>
      <c r="F31" s="9" t="s">
        <v>621</v>
      </c>
      <c r="G31" s="22" t="s">
        <v>59</v>
      </c>
      <c r="H31" s="22" t="s">
        <v>60</v>
      </c>
      <c r="I31" s="23" t="s">
        <v>84</v>
      </c>
      <c r="J31" s="10"/>
      <c r="K31" s="22" t="s">
        <v>198</v>
      </c>
      <c r="L31" s="22" t="s">
        <v>405</v>
      </c>
      <c r="M31" s="22" t="s">
        <v>177</v>
      </c>
      <c r="N31" s="10"/>
      <c r="O31" s="32" t="str">
        <f>"257,5"</f>
        <v>257,5</v>
      </c>
      <c r="P31" s="37" t="str">
        <f>"160,1650"</f>
        <v>160,1650</v>
      </c>
      <c r="Q31" s="9" t="s">
        <v>107</v>
      </c>
    </row>
    <row r="32" spans="1:17">
      <c r="A32" s="12" t="s">
        <v>48</v>
      </c>
      <c r="B32" s="11" t="s">
        <v>538</v>
      </c>
      <c r="C32" s="11" t="s">
        <v>633</v>
      </c>
      <c r="D32" s="11" t="s">
        <v>539</v>
      </c>
      <c r="E32" s="11" t="s">
        <v>713</v>
      </c>
      <c r="F32" s="11" t="s">
        <v>621</v>
      </c>
      <c r="G32" s="24" t="s">
        <v>16</v>
      </c>
      <c r="H32" s="25" t="s">
        <v>26</v>
      </c>
      <c r="I32" s="25" t="s">
        <v>26</v>
      </c>
      <c r="J32" s="12"/>
      <c r="K32" s="24" t="s">
        <v>27</v>
      </c>
      <c r="L32" s="24" t="s">
        <v>238</v>
      </c>
      <c r="M32" s="24" t="s">
        <v>171</v>
      </c>
      <c r="N32" s="12"/>
      <c r="O32" s="31" t="str">
        <f>"320,0"</f>
        <v>320,0</v>
      </c>
      <c r="P32" s="36" t="str">
        <f>"204,4549"</f>
        <v>204,4549</v>
      </c>
      <c r="Q32" s="11" t="s">
        <v>173</v>
      </c>
    </row>
    <row r="33" spans="2:2">
      <c r="B33" s="5" t="s">
        <v>50</v>
      </c>
    </row>
    <row r="34" spans="2:2">
      <c r="B34" s="5" t="s">
        <v>50</v>
      </c>
    </row>
  </sheetData>
  <mergeCells count="20">
    <mergeCell ref="A29:N29"/>
    <mergeCell ref="O3:O4"/>
    <mergeCell ref="P3:P4"/>
    <mergeCell ref="Q3:Q4"/>
    <mergeCell ref="A5:N5"/>
    <mergeCell ref="B3:B4"/>
    <mergeCell ref="A8:N8"/>
    <mergeCell ref="A11:N11"/>
    <mergeCell ref="A15:N15"/>
    <mergeCell ref="A20:N20"/>
    <mergeCell ref="A23:N23"/>
    <mergeCell ref="A26:N26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9DE71-857C-40BD-BB8D-6BAD64D0AFB7}">
  <dimension ref="A1:Q14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16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6640625" style="6" bestFit="1" customWidth="1"/>
    <col min="10" max="10" width="4.33203125" style="6" bestFit="1" customWidth="1"/>
    <col min="11" max="13" width="5.6640625" style="6" bestFit="1" customWidth="1"/>
    <col min="14" max="14" width="4.33203125" style="6" bestFit="1" customWidth="1"/>
    <col min="15" max="15" width="7.83203125" style="28" bestFit="1" customWidth="1"/>
    <col min="16" max="16" width="8.5" style="6" bestFit="1" customWidth="1"/>
    <col min="17" max="17" width="16.83203125" style="5" customWidth="1"/>
    <col min="18" max="16384" width="9.1640625" style="3"/>
  </cols>
  <sheetData>
    <row r="1" spans="1:17" s="2" customFormat="1" ht="29" customHeight="1">
      <c r="A1" s="46" t="s">
        <v>634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</row>
    <row r="3" spans="1:17" s="1" customFormat="1" ht="12.75" customHeight="1">
      <c r="A3" s="54" t="s">
        <v>707</v>
      </c>
      <c r="B3" s="59" t="s">
        <v>0</v>
      </c>
      <c r="C3" s="56" t="s">
        <v>709</v>
      </c>
      <c r="D3" s="56" t="s">
        <v>6</v>
      </c>
      <c r="E3" s="40" t="s">
        <v>710</v>
      </c>
      <c r="F3" s="40" t="s">
        <v>5</v>
      </c>
      <c r="G3" s="40" t="s">
        <v>8</v>
      </c>
      <c r="H3" s="40"/>
      <c r="I3" s="40"/>
      <c r="J3" s="40"/>
      <c r="K3" s="40" t="s">
        <v>9</v>
      </c>
      <c r="L3" s="40"/>
      <c r="M3" s="40"/>
      <c r="N3" s="40"/>
      <c r="O3" s="38" t="s">
        <v>1</v>
      </c>
      <c r="P3" s="40" t="s">
        <v>3</v>
      </c>
      <c r="Q3" s="42" t="s">
        <v>2</v>
      </c>
    </row>
    <row r="4" spans="1:17" s="1" customFormat="1" ht="21" customHeight="1" thickBot="1">
      <c r="A4" s="55"/>
      <c r="B4" s="60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9"/>
      <c r="P4" s="41"/>
      <c r="Q4" s="43"/>
    </row>
    <row r="5" spans="1:17" ht="16">
      <c r="A5" s="44" t="s">
        <v>135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7">
      <c r="A6" s="14" t="s">
        <v>48</v>
      </c>
      <c r="B6" s="13" t="s">
        <v>521</v>
      </c>
      <c r="C6" s="13" t="s">
        <v>635</v>
      </c>
      <c r="D6" s="13" t="s">
        <v>522</v>
      </c>
      <c r="E6" s="13" t="s">
        <v>716</v>
      </c>
      <c r="F6" s="13" t="s">
        <v>621</v>
      </c>
      <c r="G6" s="26" t="s">
        <v>106</v>
      </c>
      <c r="H6" s="26" t="s">
        <v>147</v>
      </c>
      <c r="I6" s="26" t="s">
        <v>77</v>
      </c>
      <c r="J6" s="14"/>
      <c r="K6" s="26" t="s">
        <v>202</v>
      </c>
      <c r="L6" s="26" t="s">
        <v>549</v>
      </c>
      <c r="M6" s="27" t="s">
        <v>19</v>
      </c>
      <c r="N6" s="14"/>
      <c r="O6" s="29">
        <v>390</v>
      </c>
      <c r="P6" s="14" t="str">
        <f>"316,5041"</f>
        <v>316,5041</v>
      </c>
      <c r="Q6" s="13" t="s">
        <v>699</v>
      </c>
    </row>
    <row r="7" spans="1:17">
      <c r="B7" s="5" t="s">
        <v>50</v>
      </c>
    </row>
    <row r="8" spans="1:17" ht="16">
      <c r="A8" s="57" t="s">
        <v>164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1:17">
      <c r="A9" s="14" t="s">
        <v>48</v>
      </c>
      <c r="B9" s="13" t="s">
        <v>523</v>
      </c>
      <c r="C9" s="13" t="s">
        <v>524</v>
      </c>
      <c r="D9" s="13" t="s">
        <v>499</v>
      </c>
      <c r="E9" s="13" t="s">
        <v>712</v>
      </c>
      <c r="F9" s="13" t="s">
        <v>168</v>
      </c>
      <c r="G9" s="26" t="s">
        <v>405</v>
      </c>
      <c r="H9" s="26" t="s">
        <v>177</v>
      </c>
      <c r="I9" s="27" t="s">
        <v>178</v>
      </c>
      <c r="J9" s="14"/>
      <c r="K9" s="26" t="s">
        <v>149</v>
      </c>
      <c r="L9" s="27" t="s">
        <v>13</v>
      </c>
      <c r="M9" s="26" t="s">
        <v>24</v>
      </c>
      <c r="N9" s="14"/>
      <c r="O9" s="29" t="str">
        <f>"395,0"</f>
        <v>395,0</v>
      </c>
      <c r="P9" s="14" t="str">
        <f>"254,8145"</f>
        <v>254,8145</v>
      </c>
      <c r="Q9" s="13" t="s">
        <v>441</v>
      </c>
    </row>
    <row r="10" spans="1:17">
      <c r="B10" s="5" t="s">
        <v>50</v>
      </c>
    </row>
    <row r="11" spans="1:17" ht="16">
      <c r="A11" s="57" t="s">
        <v>10</v>
      </c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7">
      <c r="A12" s="8" t="s">
        <v>48</v>
      </c>
      <c r="B12" s="7" t="s">
        <v>11</v>
      </c>
      <c r="C12" s="7" t="s">
        <v>626</v>
      </c>
      <c r="D12" s="7" t="s">
        <v>12</v>
      </c>
      <c r="E12" s="7" t="s">
        <v>714</v>
      </c>
      <c r="F12" s="7" t="s">
        <v>621</v>
      </c>
      <c r="G12" s="20" t="s">
        <v>16</v>
      </c>
      <c r="H12" s="21" t="s">
        <v>17</v>
      </c>
      <c r="I12" s="21" t="s">
        <v>17</v>
      </c>
      <c r="J12" s="8"/>
      <c r="K12" s="20" t="s">
        <v>15</v>
      </c>
      <c r="L12" s="20" t="s">
        <v>18</v>
      </c>
      <c r="M12" s="20" t="s">
        <v>19</v>
      </c>
      <c r="N12" s="8"/>
      <c r="O12" s="30" t="str">
        <f>"400,0"</f>
        <v>400,0</v>
      </c>
      <c r="P12" s="8" t="str">
        <f>"235,7200"</f>
        <v>235,7200</v>
      </c>
      <c r="Q12" s="7" t="s">
        <v>20</v>
      </c>
    </row>
    <row r="13" spans="1:17">
      <c r="A13" s="12" t="s">
        <v>48</v>
      </c>
      <c r="B13" s="11" t="s">
        <v>21</v>
      </c>
      <c r="C13" s="11" t="s">
        <v>22</v>
      </c>
      <c r="D13" s="11" t="s">
        <v>23</v>
      </c>
      <c r="E13" s="11" t="s">
        <v>712</v>
      </c>
      <c r="F13" s="11" t="s">
        <v>621</v>
      </c>
      <c r="G13" s="24" t="s">
        <v>26</v>
      </c>
      <c r="H13" s="24" t="s">
        <v>27</v>
      </c>
      <c r="I13" s="25" t="s">
        <v>28</v>
      </c>
      <c r="J13" s="12"/>
      <c r="K13" s="24" t="s">
        <v>29</v>
      </c>
      <c r="L13" s="24" t="s">
        <v>30</v>
      </c>
      <c r="M13" s="25" t="s">
        <v>31</v>
      </c>
      <c r="N13" s="12"/>
      <c r="O13" s="31" t="str">
        <f>"455,0"</f>
        <v>455,0</v>
      </c>
      <c r="P13" s="12" t="str">
        <f>"267,9040"</f>
        <v>267,9040</v>
      </c>
      <c r="Q13" s="11" t="s">
        <v>20</v>
      </c>
    </row>
    <row r="14" spans="1:17">
      <c r="B14" s="5" t="s">
        <v>50</v>
      </c>
    </row>
  </sheetData>
  <mergeCells count="15">
    <mergeCell ref="A8:N8"/>
    <mergeCell ref="A11:N11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87F98-735A-4CD1-8341-0A15DC2407C2}">
  <dimension ref="A1:M11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17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6640625" style="6" bestFit="1" customWidth="1"/>
    <col min="10" max="10" width="4.33203125" style="6" bestFit="1" customWidth="1"/>
    <col min="11" max="11" width="10.5" style="6" bestFit="1" customWidth="1"/>
    <col min="12" max="12" width="8.5" style="6" bestFit="1" customWidth="1"/>
    <col min="13" max="13" width="23.1640625" style="5" customWidth="1"/>
    <col min="14" max="16384" width="9.1640625" style="3"/>
  </cols>
  <sheetData>
    <row r="1" spans="1:13" s="2" customFormat="1" ht="29" customHeight="1">
      <c r="A1" s="46" t="s">
        <v>636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707</v>
      </c>
      <c r="B3" s="59" t="s">
        <v>0</v>
      </c>
      <c r="C3" s="56" t="s">
        <v>709</v>
      </c>
      <c r="D3" s="56" t="s">
        <v>6</v>
      </c>
      <c r="E3" s="40" t="s">
        <v>710</v>
      </c>
      <c r="F3" s="40" t="s">
        <v>5</v>
      </c>
      <c r="G3" s="40" t="s">
        <v>7</v>
      </c>
      <c r="H3" s="40"/>
      <c r="I3" s="40"/>
      <c r="J3" s="40"/>
      <c r="K3" s="40" t="s">
        <v>314</v>
      </c>
      <c r="L3" s="40" t="s">
        <v>3</v>
      </c>
      <c r="M3" s="42" t="s">
        <v>2</v>
      </c>
    </row>
    <row r="4" spans="1:13" s="1" customFormat="1" ht="21" customHeight="1" thickBot="1">
      <c r="A4" s="55"/>
      <c r="B4" s="60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182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8" t="s">
        <v>48</v>
      </c>
      <c r="B6" s="7" t="s">
        <v>188</v>
      </c>
      <c r="C6" s="7" t="s">
        <v>189</v>
      </c>
      <c r="D6" s="7" t="s">
        <v>190</v>
      </c>
      <c r="E6" s="7" t="s">
        <v>712</v>
      </c>
      <c r="F6" s="7" t="s">
        <v>621</v>
      </c>
      <c r="G6" s="20" t="s">
        <v>150</v>
      </c>
      <c r="H6" s="21" t="s">
        <v>191</v>
      </c>
      <c r="I6" s="20" t="s">
        <v>191</v>
      </c>
      <c r="J6" s="8"/>
      <c r="K6" s="8" t="str">
        <f>"225,0"</f>
        <v>225,0</v>
      </c>
      <c r="L6" s="8" t="str">
        <f>"137,1600"</f>
        <v>137,1600</v>
      </c>
      <c r="M6" s="7"/>
    </row>
    <row r="7" spans="1:13">
      <c r="A7" s="12" t="s">
        <v>48</v>
      </c>
      <c r="B7" s="11" t="s">
        <v>430</v>
      </c>
      <c r="C7" s="11" t="s">
        <v>637</v>
      </c>
      <c r="D7" s="11" t="s">
        <v>431</v>
      </c>
      <c r="E7" s="11" t="s">
        <v>713</v>
      </c>
      <c r="F7" s="11" t="s">
        <v>168</v>
      </c>
      <c r="G7" s="25" t="s">
        <v>77</v>
      </c>
      <c r="H7" s="25" t="s">
        <v>77</v>
      </c>
      <c r="I7" s="24" t="s">
        <v>27</v>
      </c>
      <c r="J7" s="12"/>
      <c r="K7" s="12" t="str">
        <f>"150,0"</f>
        <v>150,0</v>
      </c>
      <c r="L7" s="12" t="str">
        <f>"95,0625"</f>
        <v>95,0625</v>
      </c>
      <c r="M7" s="11"/>
    </row>
    <row r="8" spans="1:13">
      <c r="B8" s="5" t="s">
        <v>50</v>
      </c>
    </row>
    <row r="9" spans="1:13" ht="16">
      <c r="A9" s="57" t="s">
        <v>33</v>
      </c>
      <c r="B9" s="57"/>
      <c r="C9" s="58"/>
      <c r="D9" s="58"/>
      <c r="E9" s="58"/>
      <c r="F9" s="58"/>
      <c r="G9" s="58"/>
      <c r="H9" s="58"/>
      <c r="I9" s="58"/>
      <c r="J9" s="58"/>
    </row>
    <row r="10" spans="1:13">
      <c r="A10" s="14" t="s">
        <v>48</v>
      </c>
      <c r="B10" s="13" t="s">
        <v>517</v>
      </c>
      <c r="C10" s="13" t="s">
        <v>518</v>
      </c>
      <c r="D10" s="13" t="s">
        <v>519</v>
      </c>
      <c r="E10" s="13" t="s">
        <v>712</v>
      </c>
      <c r="F10" s="13" t="s">
        <v>621</v>
      </c>
      <c r="G10" s="26" t="s">
        <v>13</v>
      </c>
      <c r="H10" s="26" t="s">
        <v>555</v>
      </c>
      <c r="I10" s="26" t="s">
        <v>520</v>
      </c>
      <c r="J10" s="14"/>
      <c r="K10" s="14" t="str">
        <f>"242,5"</f>
        <v>242,5</v>
      </c>
      <c r="L10" s="14" t="str">
        <f>"138,2493"</f>
        <v>138,2493</v>
      </c>
      <c r="M10" s="13"/>
    </row>
    <row r="11" spans="1:13">
      <c r="B11" s="5" t="s">
        <v>50</v>
      </c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FFCE8-9B18-40D5-8DC5-171779718C86}">
  <dimension ref="A1:M91"/>
  <sheetViews>
    <sheetView topLeftCell="A39" workbookViewId="0">
      <selection activeCell="E75" sqref="E75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1.83203125" style="5" bestFit="1" customWidth="1"/>
    <col min="7" max="9" width="5.6640625" style="6" bestFit="1" customWidth="1"/>
    <col min="10" max="10" width="4.33203125" style="6" bestFit="1" customWidth="1"/>
    <col min="11" max="11" width="10.5" style="28" bestFit="1" customWidth="1"/>
    <col min="12" max="12" width="8.5" style="6" bestFit="1" customWidth="1"/>
    <col min="13" max="13" width="31.5" style="5" bestFit="1" customWidth="1"/>
    <col min="14" max="16384" width="9.1640625" style="3"/>
  </cols>
  <sheetData>
    <row r="1" spans="1:13" s="2" customFormat="1" ht="29" customHeight="1">
      <c r="A1" s="46" t="s">
        <v>638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707</v>
      </c>
      <c r="B3" s="59" t="s">
        <v>0</v>
      </c>
      <c r="C3" s="56" t="s">
        <v>709</v>
      </c>
      <c r="D3" s="56" t="s">
        <v>6</v>
      </c>
      <c r="E3" s="40" t="s">
        <v>710</v>
      </c>
      <c r="F3" s="40" t="s">
        <v>5</v>
      </c>
      <c r="G3" s="40" t="s">
        <v>8</v>
      </c>
      <c r="H3" s="40"/>
      <c r="I3" s="40"/>
      <c r="J3" s="40"/>
      <c r="K3" s="38" t="s">
        <v>314</v>
      </c>
      <c r="L3" s="40" t="s">
        <v>3</v>
      </c>
      <c r="M3" s="42" t="s">
        <v>2</v>
      </c>
    </row>
    <row r="4" spans="1:13" s="1" customFormat="1" ht="21" customHeight="1" thickBot="1">
      <c r="A4" s="55"/>
      <c r="B4" s="60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39"/>
      <c r="L4" s="41"/>
      <c r="M4" s="43"/>
    </row>
    <row r="5" spans="1:13" ht="16">
      <c r="A5" s="44" t="s">
        <v>51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8" t="s">
        <v>48</v>
      </c>
      <c r="B6" s="7" t="s">
        <v>315</v>
      </c>
      <c r="C6" s="7" t="s">
        <v>639</v>
      </c>
      <c r="D6" s="7" t="s">
        <v>54</v>
      </c>
      <c r="E6" s="7" t="s">
        <v>714</v>
      </c>
      <c r="F6" s="7" t="s">
        <v>698</v>
      </c>
      <c r="G6" s="21" t="s">
        <v>92</v>
      </c>
      <c r="H6" s="20" t="s">
        <v>85</v>
      </c>
      <c r="I6" s="21" t="s">
        <v>124</v>
      </c>
      <c r="J6" s="8"/>
      <c r="K6" s="30" t="str">
        <f>"62,5"</f>
        <v>62,5</v>
      </c>
      <c r="L6" s="8" t="str">
        <f>"77,9125"</f>
        <v>77,9125</v>
      </c>
      <c r="M6" s="7" t="s">
        <v>696</v>
      </c>
    </row>
    <row r="7" spans="1:13">
      <c r="A7" s="10" t="s">
        <v>48</v>
      </c>
      <c r="B7" s="9" t="s">
        <v>316</v>
      </c>
      <c r="C7" s="9" t="s">
        <v>317</v>
      </c>
      <c r="D7" s="9" t="s">
        <v>318</v>
      </c>
      <c r="E7" s="9" t="s">
        <v>712</v>
      </c>
      <c r="F7" s="9" t="s">
        <v>621</v>
      </c>
      <c r="G7" s="23" t="s">
        <v>58</v>
      </c>
      <c r="H7" s="23" t="s">
        <v>58</v>
      </c>
      <c r="I7" s="22" t="s">
        <v>58</v>
      </c>
      <c r="J7" s="10"/>
      <c r="K7" s="32" t="str">
        <f>"47,5"</f>
        <v>47,5</v>
      </c>
      <c r="L7" s="10" t="str">
        <f>"70,9460"</f>
        <v>70,9460</v>
      </c>
      <c r="M7" s="9" t="s">
        <v>319</v>
      </c>
    </row>
    <row r="8" spans="1:13">
      <c r="A8" s="10" t="s">
        <v>49</v>
      </c>
      <c r="B8" s="9" t="s">
        <v>320</v>
      </c>
      <c r="C8" s="9" t="s">
        <v>321</v>
      </c>
      <c r="D8" s="9" t="s">
        <v>322</v>
      </c>
      <c r="E8" s="9" t="s">
        <v>712</v>
      </c>
      <c r="F8" s="9" t="s">
        <v>621</v>
      </c>
      <c r="G8" s="23" t="s">
        <v>57</v>
      </c>
      <c r="H8" s="23" t="s">
        <v>57</v>
      </c>
      <c r="I8" s="22" t="s">
        <v>57</v>
      </c>
      <c r="J8" s="10"/>
      <c r="K8" s="32" t="str">
        <f>"45,0"</f>
        <v>45,0</v>
      </c>
      <c r="L8" s="10" t="str">
        <f>"57,1140"</f>
        <v>57,1140</v>
      </c>
      <c r="M8" s="9" t="s">
        <v>308</v>
      </c>
    </row>
    <row r="9" spans="1:13">
      <c r="A9" s="12" t="s">
        <v>228</v>
      </c>
      <c r="B9" s="11" t="s">
        <v>323</v>
      </c>
      <c r="C9" s="11" t="s">
        <v>324</v>
      </c>
      <c r="D9" s="11" t="s">
        <v>325</v>
      </c>
      <c r="E9" s="11" t="s">
        <v>712</v>
      </c>
      <c r="F9" s="11" t="s">
        <v>168</v>
      </c>
      <c r="G9" s="24" t="s">
        <v>326</v>
      </c>
      <c r="H9" s="24" t="s">
        <v>57</v>
      </c>
      <c r="I9" s="25" t="s">
        <v>99</v>
      </c>
      <c r="J9" s="12"/>
      <c r="K9" s="31" t="str">
        <f>"45,0"</f>
        <v>45,0</v>
      </c>
      <c r="L9" s="12" t="str">
        <f>"56,6010"</f>
        <v>56,6010</v>
      </c>
      <c r="M9" s="11" t="s">
        <v>308</v>
      </c>
    </row>
    <row r="10" spans="1:13">
      <c r="B10" s="5" t="s">
        <v>50</v>
      </c>
    </row>
    <row r="11" spans="1:13" ht="16">
      <c r="A11" s="57" t="s">
        <v>62</v>
      </c>
      <c r="B11" s="57"/>
      <c r="C11" s="58"/>
      <c r="D11" s="58"/>
      <c r="E11" s="58"/>
      <c r="F11" s="58"/>
      <c r="G11" s="58"/>
      <c r="H11" s="58"/>
      <c r="I11" s="58"/>
      <c r="J11" s="58"/>
    </row>
    <row r="12" spans="1:13">
      <c r="A12" s="14" t="s">
        <v>48</v>
      </c>
      <c r="B12" s="13" t="s">
        <v>327</v>
      </c>
      <c r="C12" s="13" t="s">
        <v>640</v>
      </c>
      <c r="D12" s="13" t="s">
        <v>328</v>
      </c>
      <c r="E12" s="13" t="s">
        <v>714</v>
      </c>
      <c r="F12" s="13" t="s">
        <v>621</v>
      </c>
      <c r="G12" s="26" t="s">
        <v>57</v>
      </c>
      <c r="H12" s="27" t="s">
        <v>66</v>
      </c>
      <c r="I12" s="27" t="s">
        <v>66</v>
      </c>
      <c r="J12" s="14"/>
      <c r="K12" s="29" t="str">
        <f>"45,0"</f>
        <v>45,0</v>
      </c>
      <c r="L12" s="14" t="str">
        <f>"53,0955"</f>
        <v>53,0955</v>
      </c>
      <c r="M12" s="13" t="s">
        <v>80</v>
      </c>
    </row>
    <row r="13" spans="1:13">
      <c r="B13" s="5" t="s">
        <v>50</v>
      </c>
    </row>
    <row r="14" spans="1:13" ht="16">
      <c r="A14" s="57" t="s">
        <v>72</v>
      </c>
      <c r="B14" s="57"/>
      <c r="C14" s="58"/>
      <c r="D14" s="58"/>
      <c r="E14" s="58"/>
      <c r="F14" s="58"/>
      <c r="G14" s="58"/>
      <c r="H14" s="58"/>
      <c r="I14" s="58"/>
      <c r="J14" s="58"/>
    </row>
    <row r="15" spans="1:13">
      <c r="A15" s="8" t="s">
        <v>48</v>
      </c>
      <c r="B15" s="7" t="s">
        <v>329</v>
      </c>
      <c r="C15" s="7" t="s">
        <v>330</v>
      </c>
      <c r="D15" s="7" t="s">
        <v>331</v>
      </c>
      <c r="E15" s="7" t="s">
        <v>712</v>
      </c>
      <c r="F15" s="7" t="s">
        <v>621</v>
      </c>
      <c r="G15" s="20" t="s">
        <v>92</v>
      </c>
      <c r="H15" s="20" t="s">
        <v>85</v>
      </c>
      <c r="I15" s="21" t="s">
        <v>124</v>
      </c>
      <c r="J15" s="8"/>
      <c r="K15" s="30" t="str">
        <f>"62,5"</f>
        <v>62,5</v>
      </c>
      <c r="L15" s="8" t="str">
        <f>"69,7687"</f>
        <v>69,7687</v>
      </c>
      <c r="M15" s="7"/>
    </row>
    <row r="16" spans="1:13">
      <c r="A16" s="10" t="s">
        <v>49</v>
      </c>
      <c r="B16" s="9" t="s">
        <v>87</v>
      </c>
      <c r="C16" s="9" t="s">
        <v>88</v>
      </c>
      <c r="D16" s="9" t="s">
        <v>89</v>
      </c>
      <c r="E16" s="9" t="s">
        <v>712</v>
      </c>
      <c r="F16" s="9" t="s">
        <v>621</v>
      </c>
      <c r="G16" s="22" t="s">
        <v>91</v>
      </c>
      <c r="H16" s="22" t="s">
        <v>92</v>
      </c>
      <c r="I16" s="23" t="s">
        <v>85</v>
      </c>
      <c r="J16" s="10"/>
      <c r="K16" s="32" t="str">
        <f>"60,0"</f>
        <v>60,0</v>
      </c>
      <c r="L16" s="10" t="str">
        <f>"67,8600"</f>
        <v>67,8600</v>
      </c>
      <c r="M16" s="9" t="s">
        <v>95</v>
      </c>
    </row>
    <row r="17" spans="1:13">
      <c r="A17" s="10" t="s">
        <v>227</v>
      </c>
      <c r="B17" s="9" t="s">
        <v>332</v>
      </c>
      <c r="C17" s="9" t="s">
        <v>333</v>
      </c>
      <c r="D17" s="9" t="s">
        <v>83</v>
      </c>
      <c r="E17" s="9" t="s">
        <v>712</v>
      </c>
      <c r="F17" s="9" t="s">
        <v>621</v>
      </c>
      <c r="G17" s="23" t="s">
        <v>56</v>
      </c>
      <c r="H17" s="23" t="s">
        <v>58</v>
      </c>
      <c r="I17" s="23" t="s">
        <v>58</v>
      </c>
      <c r="J17" s="10"/>
      <c r="K17" s="32">
        <v>0</v>
      </c>
      <c r="L17" s="10" t="str">
        <f>"0,0000"</f>
        <v>0,0000</v>
      </c>
      <c r="M17" s="9" t="s">
        <v>334</v>
      </c>
    </row>
    <row r="18" spans="1:13">
      <c r="A18" s="12" t="s">
        <v>48</v>
      </c>
      <c r="B18" s="11" t="s">
        <v>335</v>
      </c>
      <c r="C18" s="11" t="s">
        <v>641</v>
      </c>
      <c r="D18" s="11" t="s">
        <v>336</v>
      </c>
      <c r="E18" s="11" t="s">
        <v>716</v>
      </c>
      <c r="F18" s="11" t="s">
        <v>621</v>
      </c>
      <c r="G18" s="24" t="s">
        <v>58</v>
      </c>
      <c r="H18" s="24" t="s">
        <v>99</v>
      </c>
      <c r="I18" s="25" t="s">
        <v>100</v>
      </c>
      <c r="J18" s="12"/>
      <c r="K18" s="31" t="str">
        <f>"50,0"</f>
        <v>50,0</v>
      </c>
      <c r="L18" s="12" t="str">
        <f>"63,7656"</f>
        <v>63,7656</v>
      </c>
      <c r="M18" s="11" t="s">
        <v>337</v>
      </c>
    </row>
    <row r="19" spans="1:13">
      <c r="B19" s="5" t="s">
        <v>50</v>
      </c>
    </row>
    <row r="20" spans="1:13" ht="16">
      <c r="A20" s="57" t="s">
        <v>102</v>
      </c>
      <c r="B20" s="57"/>
      <c r="C20" s="58"/>
      <c r="D20" s="58"/>
      <c r="E20" s="58"/>
      <c r="F20" s="58"/>
      <c r="G20" s="58"/>
      <c r="H20" s="58"/>
      <c r="I20" s="58"/>
      <c r="J20" s="58"/>
    </row>
    <row r="21" spans="1:13">
      <c r="A21" s="8" t="s">
        <v>48</v>
      </c>
      <c r="B21" s="7" t="s">
        <v>338</v>
      </c>
      <c r="C21" s="7" t="s">
        <v>339</v>
      </c>
      <c r="D21" s="7" t="s">
        <v>340</v>
      </c>
      <c r="E21" s="7" t="s">
        <v>711</v>
      </c>
      <c r="F21" s="7" t="s">
        <v>680</v>
      </c>
      <c r="G21" s="20" t="s">
        <v>58</v>
      </c>
      <c r="H21" s="21" t="s">
        <v>100</v>
      </c>
      <c r="I21" s="20" t="s">
        <v>100</v>
      </c>
      <c r="J21" s="8"/>
      <c r="K21" s="30" t="str">
        <f>"52,5"</f>
        <v>52,5</v>
      </c>
      <c r="L21" s="8" t="str">
        <f>"56,0490"</f>
        <v>56,0490</v>
      </c>
      <c r="M21" s="7" t="s">
        <v>384</v>
      </c>
    </row>
    <row r="22" spans="1:13">
      <c r="A22" s="10" t="s">
        <v>48</v>
      </c>
      <c r="B22" s="9" t="s">
        <v>120</v>
      </c>
      <c r="C22" s="9" t="s">
        <v>121</v>
      </c>
      <c r="D22" s="9" t="s">
        <v>122</v>
      </c>
      <c r="E22" s="9" t="s">
        <v>712</v>
      </c>
      <c r="F22" s="9" t="s">
        <v>621</v>
      </c>
      <c r="G22" s="22" t="s">
        <v>124</v>
      </c>
      <c r="H22" s="22" t="s">
        <v>125</v>
      </c>
      <c r="I22" s="23" t="s">
        <v>78</v>
      </c>
      <c r="J22" s="10"/>
      <c r="K22" s="32" t="str">
        <f>"67,5"</f>
        <v>67,5</v>
      </c>
      <c r="L22" s="10" t="str">
        <f>"69,6398"</f>
        <v>69,6398</v>
      </c>
      <c r="M22" s="9" t="s">
        <v>95</v>
      </c>
    </row>
    <row r="23" spans="1:13">
      <c r="A23" s="10" t="s">
        <v>49</v>
      </c>
      <c r="B23" s="9" t="s">
        <v>341</v>
      </c>
      <c r="C23" s="9" t="s">
        <v>342</v>
      </c>
      <c r="D23" s="9" t="s">
        <v>343</v>
      </c>
      <c r="E23" s="9" t="s">
        <v>712</v>
      </c>
      <c r="F23" s="9" t="s">
        <v>621</v>
      </c>
      <c r="G23" s="22" t="s">
        <v>91</v>
      </c>
      <c r="H23" s="22" t="s">
        <v>92</v>
      </c>
      <c r="I23" s="22" t="s">
        <v>85</v>
      </c>
      <c r="J23" s="10"/>
      <c r="K23" s="32" t="str">
        <f>"62,5"</f>
        <v>62,5</v>
      </c>
      <c r="L23" s="10" t="str">
        <f>"63,8563"</f>
        <v>63,8563</v>
      </c>
      <c r="M23" s="9" t="s">
        <v>337</v>
      </c>
    </row>
    <row r="24" spans="1:13">
      <c r="A24" s="12" t="s">
        <v>228</v>
      </c>
      <c r="B24" s="11" t="s">
        <v>344</v>
      </c>
      <c r="C24" s="11" t="s">
        <v>345</v>
      </c>
      <c r="D24" s="11" t="s">
        <v>346</v>
      </c>
      <c r="E24" s="11" t="s">
        <v>712</v>
      </c>
      <c r="F24" s="11" t="s">
        <v>621</v>
      </c>
      <c r="G24" s="24" t="s">
        <v>91</v>
      </c>
      <c r="H24" s="25" t="s">
        <v>92</v>
      </c>
      <c r="I24" s="25" t="s">
        <v>92</v>
      </c>
      <c r="J24" s="12"/>
      <c r="K24" s="31" t="str">
        <f>"57,5"</f>
        <v>57,5</v>
      </c>
      <c r="L24" s="12" t="str">
        <f>"59,3860"</f>
        <v>59,3860</v>
      </c>
      <c r="M24" s="11" t="s">
        <v>337</v>
      </c>
    </row>
    <row r="25" spans="1:13">
      <c r="B25" s="5" t="s">
        <v>50</v>
      </c>
    </row>
    <row r="26" spans="1:13" ht="16">
      <c r="A26" s="57" t="s">
        <v>135</v>
      </c>
      <c r="B26" s="57"/>
      <c r="C26" s="58"/>
      <c r="D26" s="58"/>
      <c r="E26" s="58"/>
      <c r="F26" s="58"/>
      <c r="G26" s="58"/>
      <c r="H26" s="58"/>
      <c r="I26" s="58"/>
      <c r="J26" s="58"/>
    </row>
    <row r="27" spans="1:13">
      <c r="A27" s="8" t="s">
        <v>48</v>
      </c>
      <c r="B27" s="7" t="s">
        <v>347</v>
      </c>
      <c r="C27" s="7" t="s">
        <v>642</v>
      </c>
      <c r="D27" s="7" t="s">
        <v>348</v>
      </c>
      <c r="E27" s="7" t="s">
        <v>713</v>
      </c>
      <c r="F27" s="7" t="s">
        <v>621</v>
      </c>
      <c r="G27" s="20" t="s">
        <v>99</v>
      </c>
      <c r="H27" s="21" t="s">
        <v>100</v>
      </c>
      <c r="I27" s="21" t="s">
        <v>100</v>
      </c>
      <c r="J27" s="8"/>
      <c r="K27" s="30" t="str">
        <f>"50,0"</f>
        <v>50,0</v>
      </c>
      <c r="L27" s="8" t="str">
        <f>"51,3335"</f>
        <v>51,3335</v>
      </c>
      <c r="M27" s="7" t="s">
        <v>337</v>
      </c>
    </row>
    <row r="28" spans="1:13">
      <c r="A28" s="12" t="s">
        <v>48</v>
      </c>
      <c r="B28" s="11" t="s">
        <v>349</v>
      </c>
      <c r="C28" s="11" t="s">
        <v>643</v>
      </c>
      <c r="D28" s="11" t="s">
        <v>350</v>
      </c>
      <c r="E28" s="11" t="s">
        <v>716</v>
      </c>
      <c r="F28" s="11" t="s">
        <v>621</v>
      </c>
      <c r="G28" s="24" t="s">
        <v>92</v>
      </c>
      <c r="H28" s="24" t="s">
        <v>85</v>
      </c>
      <c r="I28" s="25" t="s">
        <v>124</v>
      </c>
      <c r="J28" s="12"/>
      <c r="K28" s="31" t="str">
        <f>"62,5"</f>
        <v>62,5</v>
      </c>
      <c r="L28" s="12" t="str">
        <f>"68,4058"</f>
        <v>68,4058</v>
      </c>
      <c r="M28" s="11"/>
    </row>
    <row r="29" spans="1:13">
      <c r="B29" s="5" t="s">
        <v>50</v>
      </c>
    </row>
    <row r="30" spans="1:13" ht="16">
      <c r="A30" s="57" t="s">
        <v>72</v>
      </c>
      <c r="B30" s="57"/>
      <c r="C30" s="58"/>
      <c r="D30" s="58"/>
      <c r="E30" s="58"/>
      <c r="F30" s="58"/>
      <c r="G30" s="58"/>
      <c r="H30" s="58"/>
      <c r="I30" s="58"/>
      <c r="J30" s="58"/>
    </row>
    <row r="31" spans="1:13">
      <c r="A31" s="14" t="s">
        <v>48</v>
      </c>
      <c r="B31" s="13" t="s">
        <v>351</v>
      </c>
      <c r="C31" s="13" t="s">
        <v>352</v>
      </c>
      <c r="D31" s="13" t="s">
        <v>75</v>
      </c>
      <c r="E31" s="13" t="s">
        <v>712</v>
      </c>
      <c r="F31" s="13" t="s">
        <v>353</v>
      </c>
      <c r="G31" s="26" t="s">
        <v>126</v>
      </c>
      <c r="H31" s="26" t="s">
        <v>381</v>
      </c>
      <c r="I31" s="27" t="s">
        <v>76</v>
      </c>
      <c r="J31" s="14"/>
      <c r="K31" s="29" t="str">
        <f>"112,5"</f>
        <v>112,5</v>
      </c>
      <c r="L31" s="14" t="str">
        <f>"96,3900"</f>
        <v>96,3900</v>
      </c>
      <c r="M31" s="13" t="s">
        <v>134</v>
      </c>
    </row>
    <row r="32" spans="1:13">
      <c r="B32" s="5" t="s">
        <v>50</v>
      </c>
    </row>
    <row r="33" spans="1:13" ht="16">
      <c r="A33" s="57" t="s">
        <v>135</v>
      </c>
      <c r="B33" s="57"/>
      <c r="C33" s="58"/>
      <c r="D33" s="58"/>
      <c r="E33" s="58"/>
      <c r="F33" s="58"/>
      <c r="G33" s="58"/>
      <c r="H33" s="58"/>
      <c r="I33" s="58"/>
      <c r="J33" s="58"/>
    </row>
    <row r="34" spans="1:13">
      <c r="A34" s="8" t="s">
        <v>48</v>
      </c>
      <c r="B34" s="7" t="s">
        <v>354</v>
      </c>
      <c r="C34" s="7" t="s">
        <v>355</v>
      </c>
      <c r="D34" s="7" t="s">
        <v>356</v>
      </c>
      <c r="E34" s="7" t="s">
        <v>711</v>
      </c>
      <c r="F34" s="7" t="s">
        <v>357</v>
      </c>
      <c r="G34" s="21" t="s">
        <v>78</v>
      </c>
      <c r="H34" s="20" t="s">
        <v>78</v>
      </c>
      <c r="I34" s="21" t="s">
        <v>358</v>
      </c>
      <c r="J34" s="8"/>
      <c r="K34" s="30" t="str">
        <f>"70,0"</f>
        <v>70,0</v>
      </c>
      <c r="L34" s="8" t="str">
        <f>"50,5960"</f>
        <v>50,5960</v>
      </c>
      <c r="M34" s="7"/>
    </row>
    <row r="35" spans="1:13">
      <c r="A35" s="10" t="s">
        <v>48</v>
      </c>
      <c r="B35" s="9" t="s">
        <v>359</v>
      </c>
      <c r="C35" s="9" t="s">
        <v>644</v>
      </c>
      <c r="D35" s="9" t="s">
        <v>360</v>
      </c>
      <c r="E35" s="9" t="s">
        <v>714</v>
      </c>
      <c r="F35" s="9" t="s">
        <v>361</v>
      </c>
      <c r="G35" s="22" t="s">
        <v>76</v>
      </c>
      <c r="H35" s="22" t="s">
        <v>106</v>
      </c>
      <c r="I35" s="23" t="s">
        <v>362</v>
      </c>
      <c r="J35" s="10"/>
      <c r="K35" s="32" t="str">
        <f>"120,0"</f>
        <v>120,0</v>
      </c>
      <c r="L35" s="10" t="str">
        <f>"86,4840"</f>
        <v>86,4840</v>
      </c>
      <c r="M35" s="9"/>
    </row>
    <row r="36" spans="1:13">
      <c r="A36" s="10" t="s">
        <v>48</v>
      </c>
      <c r="B36" s="9" t="s">
        <v>363</v>
      </c>
      <c r="C36" s="9" t="s">
        <v>364</v>
      </c>
      <c r="D36" s="9" t="s">
        <v>365</v>
      </c>
      <c r="E36" s="9" t="s">
        <v>712</v>
      </c>
      <c r="F36" s="9" t="s">
        <v>366</v>
      </c>
      <c r="G36" s="23" t="s">
        <v>26</v>
      </c>
      <c r="H36" s="22" t="s">
        <v>94</v>
      </c>
      <c r="I36" s="23" t="s">
        <v>17</v>
      </c>
      <c r="J36" s="10"/>
      <c r="K36" s="32" t="str">
        <f>"142,5"</f>
        <v>142,5</v>
      </c>
      <c r="L36" s="10" t="str">
        <f>"101,6310"</f>
        <v>101,6310</v>
      </c>
      <c r="M36" s="9"/>
    </row>
    <row r="37" spans="1:13">
      <c r="A37" s="10" t="s">
        <v>49</v>
      </c>
      <c r="B37" s="9" t="s">
        <v>367</v>
      </c>
      <c r="C37" s="9" t="s">
        <v>368</v>
      </c>
      <c r="D37" s="9" t="s">
        <v>369</v>
      </c>
      <c r="E37" s="9" t="s">
        <v>712</v>
      </c>
      <c r="F37" s="9" t="s">
        <v>621</v>
      </c>
      <c r="G37" s="22" t="s">
        <v>77</v>
      </c>
      <c r="H37" s="22" t="s">
        <v>16</v>
      </c>
      <c r="I37" s="23" t="s">
        <v>26</v>
      </c>
      <c r="J37" s="10"/>
      <c r="K37" s="32" t="str">
        <f>"135,0"</f>
        <v>135,0</v>
      </c>
      <c r="L37" s="10" t="str">
        <f>"96,6465"</f>
        <v>96,6465</v>
      </c>
      <c r="M37" s="9"/>
    </row>
    <row r="38" spans="1:13">
      <c r="A38" s="10" t="s">
        <v>228</v>
      </c>
      <c r="B38" s="9" t="s">
        <v>370</v>
      </c>
      <c r="C38" s="9" t="s">
        <v>371</v>
      </c>
      <c r="D38" s="9" t="s">
        <v>372</v>
      </c>
      <c r="E38" s="9" t="s">
        <v>712</v>
      </c>
      <c r="F38" s="9" t="s">
        <v>621</v>
      </c>
      <c r="G38" s="22" t="s">
        <v>101</v>
      </c>
      <c r="H38" s="22" t="s">
        <v>209</v>
      </c>
      <c r="I38" s="23" t="s">
        <v>106</v>
      </c>
      <c r="J38" s="10"/>
      <c r="K38" s="32" t="str">
        <f>"117,5"</f>
        <v>117,5</v>
      </c>
      <c r="L38" s="10" t="str">
        <f>"85,4343"</f>
        <v>85,4343</v>
      </c>
      <c r="M38" s="9" t="s">
        <v>373</v>
      </c>
    </row>
    <row r="39" spans="1:13">
      <c r="A39" s="10" t="s">
        <v>229</v>
      </c>
      <c r="B39" s="9" t="s">
        <v>374</v>
      </c>
      <c r="C39" s="9" t="s">
        <v>375</v>
      </c>
      <c r="D39" s="9" t="s">
        <v>376</v>
      </c>
      <c r="E39" s="9" t="s">
        <v>712</v>
      </c>
      <c r="F39" s="9" t="s">
        <v>621</v>
      </c>
      <c r="G39" s="22" t="s">
        <v>61</v>
      </c>
      <c r="H39" s="22" t="s">
        <v>101</v>
      </c>
      <c r="I39" s="22" t="s">
        <v>209</v>
      </c>
      <c r="J39" s="10"/>
      <c r="K39" s="32" t="str">
        <f>"117,5"</f>
        <v>117,5</v>
      </c>
      <c r="L39" s="10" t="str">
        <f>"85,2580"</f>
        <v>85,2580</v>
      </c>
      <c r="M39" s="9" t="s">
        <v>675</v>
      </c>
    </row>
    <row r="40" spans="1:13">
      <c r="A40" s="10" t="s">
        <v>230</v>
      </c>
      <c r="B40" s="9" t="s">
        <v>377</v>
      </c>
      <c r="C40" s="9" t="s">
        <v>378</v>
      </c>
      <c r="D40" s="9" t="s">
        <v>379</v>
      </c>
      <c r="E40" s="9" t="s">
        <v>712</v>
      </c>
      <c r="F40" s="9" t="s">
        <v>621</v>
      </c>
      <c r="G40" s="22" t="s">
        <v>380</v>
      </c>
      <c r="H40" s="22" t="s">
        <v>101</v>
      </c>
      <c r="I40" s="23" t="s">
        <v>381</v>
      </c>
      <c r="J40" s="10"/>
      <c r="K40" s="32" t="str">
        <f>"110,0"</f>
        <v>110,0</v>
      </c>
      <c r="L40" s="10" t="str">
        <f>"81,6420"</f>
        <v>81,6420</v>
      </c>
      <c r="M40" s="9" t="s">
        <v>697</v>
      </c>
    </row>
    <row r="41" spans="1:13">
      <c r="A41" s="10" t="s">
        <v>48</v>
      </c>
      <c r="B41" s="9" t="s">
        <v>382</v>
      </c>
      <c r="C41" s="9" t="s">
        <v>645</v>
      </c>
      <c r="D41" s="9" t="s">
        <v>383</v>
      </c>
      <c r="E41" s="9" t="s">
        <v>716</v>
      </c>
      <c r="F41" s="9" t="s">
        <v>680</v>
      </c>
      <c r="G41" s="22" t="s">
        <v>101</v>
      </c>
      <c r="H41" s="22" t="s">
        <v>209</v>
      </c>
      <c r="I41" s="22" t="s">
        <v>106</v>
      </c>
      <c r="J41" s="10"/>
      <c r="K41" s="32" t="str">
        <f>"120,0"</f>
        <v>120,0</v>
      </c>
      <c r="L41" s="10" t="str">
        <f>"92,1182"</f>
        <v>92,1182</v>
      </c>
      <c r="M41" s="9" t="s">
        <v>384</v>
      </c>
    </row>
    <row r="42" spans="1:13">
      <c r="A42" s="12" t="s">
        <v>48</v>
      </c>
      <c r="B42" s="11" t="s">
        <v>385</v>
      </c>
      <c r="C42" s="11" t="s">
        <v>646</v>
      </c>
      <c r="D42" s="11" t="s">
        <v>138</v>
      </c>
      <c r="E42" s="11" t="s">
        <v>718</v>
      </c>
      <c r="F42" s="11" t="s">
        <v>168</v>
      </c>
      <c r="G42" s="24" t="s">
        <v>147</v>
      </c>
      <c r="H42" s="24" t="s">
        <v>77</v>
      </c>
      <c r="I42" s="24" t="s">
        <v>16</v>
      </c>
      <c r="J42" s="12"/>
      <c r="K42" s="31" t="str">
        <f>"135,0"</f>
        <v>135,0</v>
      </c>
      <c r="L42" s="12" t="str">
        <f>"117,8121"</f>
        <v>117,8121</v>
      </c>
      <c r="M42" s="11"/>
    </row>
    <row r="43" spans="1:13">
      <c r="B43" s="5" t="s">
        <v>50</v>
      </c>
    </row>
    <row r="44" spans="1:13" ht="16">
      <c r="A44" s="57" t="s">
        <v>127</v>
      </c>
      <c r="B44" s="57"/>
      <c r="C44" s="58"/>
      <c r="D44" s="58"/>
      <c r="E44" s="58"/>
      <c r="F44" s="58"/>
      <c r="G44" s="58"/>
      <c r="H44" s="58"/>
      <c r="I44" s="58"/>
      <c r="J44" s="58"/>
    </row>
    <row r="45" spans="1:13">
      <c r="A45" s="8" t="s">
        <v>48</v>
      </c>
      <c r="B45" s="7" t="s">
        <v>386</v>
      </c>
      <c r="C45" s="7" t="s">
        <v>387</v>
      </c>
      <c r="D45" s="7" t="s">
        <v>388</v>
      </c>
      <c r="E45" s="7" t="s">
        <v>712</v>
      </c>
      <c r="F45" s="7" t="s">
        <v>168</v>
      </c>
      <c r="G45" s="20" t="s">
        <v>26</v>
      </c>
      <c r="H45" s="20" t="s">
        <v>17</v>
      </c>
      <c r="I45" s="21" t="s">
        <v>27</v>
      </c>
      <c r="J45" s="8"/>
      <c r="K45" s="30" t="str">
        <f>"145,0"</f>
        <v>145,0</v>
      </c>
      <c r="L45" s="8" t="str">
        <f>"98,1505"</f>
        <v>98,1505</v>
      </c>
      <c r="M45" s="7" t="s">
        <v>384</v>
      </c>
    </row>
    <row r="46" spans="1:13">
      <c r="A46" s="10" t="s">
        <v>49</v>
      </c>
      <c r="B46" s="9" t="s">
        <v>389</v>
      </c>
      <c r="C46" s="9" t="s">
        <v>390</v>
      </c>
      <c r="D46" s="9" t="s">
        <v>391</v>
      </c>
      <c r="E46" s="9" t="s">
        <v>712</v>
      </c>
      <c r="F46" s="9" t="s">
        <v>366</v>
      </c>
      <c r="G46" s="23" t="s">
        <v>392</v>
      </c>
      <c r="H46" s="22" t="s">
        <v>392</v>
      </c>
      <c r="I46" s="23" t="s">
        <v>16</v>
      </c>
      <c r="J46" s="10"/>
      <c r="K46" s="32" t="str">
        <f>"132,5"</f>
        <v>132,5</v>
      </c>
      <c r="L46" s="10" t="str">
        <f>"89,2255"</f>
        <v>89,2255</v>
      </c>
      <c r="M46" s="9"/>
    </row>
    <row r="47" spans="1:13">
      <c r="A47" s="12" t="s">
        <v>228</v>
      </c>
      <c r="B47" s="11" t="s">
        <v>393</v>
      </c>
      <c r="C47" s="11" t="s">
        <v>394</v>
      </c>
      <c r="D47" s="11" t="s">
        <v>395</v>
      </c>
      <c r="E47" s="11" t="s">
        <v>712</v>
      </c>
      <c r="F47" s="11" t="s">
        <v>687</v>
      </c>
      <c r="G47" s="24" t="s">
        <v>77</v>
      </c>
      <c r="H47" s="25" t="s">
        <v>26</v>
      </c>
      <c r="I47" s="25" t="s">
        <v>26</v>
      </c>
      <c r="J47" s="12"/>
      <c r="K47" s="31" t="str">
        <f>"130,0"</f>
        <v>130,0</v>
      </c>
      <c r="L47" s="12" t="str">
        <f>"89,8300"</f>
        <v>89,8300</v>
      </c>
      <c r="M47" s="11"/>
    </row>
    <row r="48" spans="1:13">
      <c r="B48" s="5" t="s">
        <v>50</v>
      </c>
    </row>
    <row r="49" spans="1:13" ht="16">
      <c r="A49" s="57" t="s">
        <v>164</v>
      </c>
      <c r="B49" s="57"/>
      <c r="C49" s="58"/>
      <c r="D49" s="58"/>
      <c r="E49" s="58"/>
      <c r="F49" s="58"/>
      <c r="G49" s="58"/>
      <c r="H49" s="58"/>
      <c r="I49" s="58"/>
      <c r="J49" s="58"/>
    </row>
    <row r="50" spans="1:13">
      <c r="A50" s="8" t="s">
        <v>48</v>
      </c>
      <c r="B50" s="7" t="s">
        <v>396</v>
      </c>
      <c r="C50" s="7" t="s">
        <v>397</v>
      </c>
      <c r="D50" s="7" t="s">
        <v>398</v>
      </c>
      <c r="E50" s="7" t="s">
        <v>712</v>
      </c>
      <c r="F50" s="7" t="s">
        <v>621</v>
      </c>
      <c r="G50" s="20" t="s">
        <v>27</v>
      </c>
      <c r="H50" s="20" t="s">
        <v>177</v>
      </c>
      <c r="I50" s="20" t="s">
        <v>158</v>
      </c>
      <c r="J50" s="8"/>
      <c r="K50" s="30" t="str">
        <f>"172,5"</f>
        <v>172,5</v>
      </c>
      <c r="L50" s="8" t="str">
        <f>"111,5558"</f>
        <v>111,5558</v>
      </c>
      <c r="M50" s="7"/>
    </row>
    <row r="51" spans="1:13">
      <c r="A51" s="10" t="s">
        <v>49</v>
      </c>
      <c r="B51" s="9" t="s">
        <v>399</v>
      </c>
      <c r="C51" s="9" t="s">
        <v>400</v>
      </c>
      <c r="D51" s="9" t="s">
        <v>401</v>
      </c>
      <c r="E51" s="9" t="s">
        <v>712</v>
      </c>
      <c r="F51" s="9" t="s">
        <v>402</v>
      </c>
      <c r="G51" s="22" t="s">
        <v>178</v>
      </c>
      <c r="H51" s="22" t="s">
        <v>238</v>
      </c>
      <c r="I51" s="22" t="s">
        <v>158</v>
      </c>
      <c r="J51" s="10"/>
      <c r="K51" s="32" t="str">
        <f>"172,5"</f>
        <v>172,5</v>
      </c>
      <c r="L51" s="10" t="str">
        <f>"110,1930"</f>
        <v>110,1930</v>
      </c>
      <c r="M51" s="9"/>
    </row>
    <row r="52" spans="1:13">
      <c r="A52" s="10" t="s">
        <v>228</v>
      </c>
      <c r="B52" s="9" t="s">
        <v>403</v>
      </c>
      <c r="C52" s="9" t="s">
        <v>404</v>
      </c>
      <c r="D52" s="9" t="s">
        <v>259</v>
      </c>
      <c r="E52" s="9" t="s">
        <v>712</v>
      </c>
      <c r="F52" s="9" t="s">
        <v>168</v>
      </c>
      <c r="G52" s="22" t="s">
        <v>27</v>
      </c>
      <c r="H52" s="22" t="s">
        <v>405</v>
      </c>
      <c r="I52" s="22" t="s">
        <v>28</v>
      </c>
      <c r="J52" s="10"/>
      <c r="K52" s="32" t="str">
        <f>"155,0"</f>
        <v>155,0</v>
      </c>
      <c r="L52" s="10" t="str">
        <f>"99,0605"</f>
        <v>99,0605</v>
      </c>
      <c r="M52" s="9"/>
    </row>
    <row r="53" spans="1:13">
      <c r="A53" s="10" t="s">
        <v>229</v>
      </c>
      <c r="B53" s="9" t="s">
        <v>406</v>
      </c>
      <c r="C53" s="9" t="s">
        <v>407</v>
      </c>
      <c r="D53" s="9" t="s">
        <v>408</v>
      </c>
      <c r="E53" s="9" t="s">
        <v>712</v>
      </c>
      <c r="F53" s="9" t="s">
        <v>621</v>
      </c>
      <c r="G53" s="22" t="s">
        <v>198</v>
      </c>
      <c r="H53" s="23" t="s">
        <v>405</v>
      </c>
      <c r="I53" s="23" t="s">
        <v>405</v>
      </c>
      <c r="J53" s="10"/>
      <c r="K53" s="32" t="str">
        <f>"147,5"</f>
        <v>147,5</v>
      </c>
      <c r="L53" s="10" t="str">
        <f>"96,4060"</f>
        <v>96,4060</v>
      </c>
      <c r="M53" s="9" t="s">
        <v>20</v>
      </c>
    </row>
    <row r="54" spans="1:13">
      <c r="A54" s="10" t="s">
        <v>227</v>
      </c>
      <c r="B54" s="9" t="s">
        <v>409</v>
      </c>
      <c r="C54" s="9" t="s">
        <v>410</v>
      </c>
      <c r="D54" s="9" t="s">
        <v>411</v>
      </c>
      <c r="E54" s="9" t="s">
        <v>712</v>
      </c>
      <c r="F54" s="9" t="s">
        <v>621</v>
      </c>
      <c r="G54" s="23" t="s">
        <v>147</v>
      </c>
      <c r="H54" s="23" t="s">
        <v>392</v>
      </c>
      <c r="I54" s="23" t="s">
        <v>392</v>
      </c>
      <c r="J54" s="10"/>
      <c r="K54" s="32">
        <v>0</v>
      </c>
      <c r="L54" s="10" t="str">
        <f>"0,0000"</f>
        <v>0,0000</v>
      </c>
      <c r="M54" s="9"/>
    </row>
    <row r="55" spans="1:13">
      <c r="A55" s="10" t="s">
        <v>48</v>
      </c>
      <c r="B55" s="9" t="s">
        <v>412</v>
      </c>
      <c r="C55" s="9" t="s">
        <v>647</v>
      </c>
      <c r="D55" s="9" t="s">
        <v>413</v>
      </c>
      <c r="E55" s="9" t="s">
        <v>716</v>
      </c>
      <c r="F55" s="9" t="s">
        <v>621</v>
      </c>
      <c r="G55" s="22" t="s">
        <v>61</v>
      </c>
      <c r="H55" s="22" t="s">
        <v>381</v>
      </c>
      <c r="I55" s="23" t="s">
        <v>106</v>
      </c>
      <c r="J55" s="10"/>
      <c r="K55" s="32" t="str">
        <f>"112,5"</f>
        <v>112,5</v>
      </c>
      <c r="L55" s="10" t="str">
        <f>"77,9071"</f>
        <v>77,9071</v>
      </c>
      <c r="M55" s="9" t="s">
        <v>414</v>
      </c>
    </row>
    <row r="56" spans="1:13">
      <c r="A56" s="12" t="s">
        <v>48</v>
      </c>
      <c r="B56" s="11" t="s">
        <v>415</v>
      </c>
      <c r="C56" s="11" t="s">
        <v>648</v>
      </c>
      <c r="D56" s="11" t="s">
        <v>416</v>
      </c>
      <c r="E56" s="11" t="s">
        <v>715</v>
      </c>
      <c r="F56" s="11" t="s">
        <v>168</v>
      </c>
      <c r="G56" s="24" t="s">
        <v>27</v>
      </c>
      <c r="H56" s="24" t="s">
        <v>28</v>
      </c>
      <c r="I56" s="25" t="s">
        <v>177</v>
      </c>
      <c r="J56" s="12"/>
      <c r="K56" s="31" t="str">
        <f>"155,0"</f>
        <v>155,0</v>
      </c>
      <c r="L56" s="12" t="str">
        <f>"141,7734"</f>
        <v>141,7734</v>
      </c>
      <c r="M56" s="11"/>
    </row>
    <row r="57" spans="1:13">
      <c r="B57" s="5" t="s">
        <v>50</v>
      </c>
    </row>
    <row r="58" spans="1:13" ht="16">
      <c r="A58" s="57" t="s">
        <v>182</v>
      </c>
      <c r="B58" s="57"/>
      <c r="C58" s="58"/>
      <c r="D58" s="58"/>
      <c r="E58" s="58"/>
      <c r="F58" s="58"/>
      <c r="G58" s="58"/>
      <c r="H58" s="58"/>
      <c r="I58" s="58"/>
      <c r="J58" s="58"/>
    </row>
    <row r="59" spans="1:13">
      <c r="A59" s="8" t="s">
        <v>48</v>
      </c>
      <c r="B59" s="7" t="s">
        <v>417</v>
      </c>
      <c r="C59" s="7" t="s">
        <v>418</v>
      </c>
      <c r="D59" s="7" t="s">
        <v>419</v>
      </c>
      <c r="E59" s="7" t="s">
        <v>711</v>
      </c>
      <c r="F59" s="7" t="s">
        <v>621</v>
      </c>
      <c r="G59" s="20" t="s">
        <v>106</v>
      </c>
      <c r="H59" s="20" t="s">
        <v>26</v>
      </c>
      <c r="I59" s="21" t="s">
        <v>27</v>
      </c>
      <c r="J59" s="8"/>
      <c r="K59" s="30" t="str">
        <f>"140,0"</f>
        <v>140,0</v>
      </c>
      <c r="L59" s="8" t="str">
        <f>"85,3720"</f>
        <v>85,3720</v>
      </c>
      <c r="M59" s="7" t="s">
        <v>173</v>
      </c>
    </row>
    <row r="60" spans="1:13">
      <c r="A60" s="10" t="s">
        <v>48</v>
      </c>
      <c r="B60" s="9" t="s">
        <v>420</v>
      </c>
      <c r="C60" s="9" t="s">
        <v>421</v>
      </c>
      <c r="D60" s="9" t="s">
        <v>422</v>
      </c>
      <c r="E60" s="9" t="s">
        <v>712</v>
      </c>
      <c r="F60" s="9" t="s">
        <v>269</v>
      </c>
      <c r="G60" s="23" t="s">
        <v>27</v>
      </c>
      <c r="H60" s="22" t="s">
        <v>27</v>
      </c>
      <c r="I60" s="22" t="s">
        <v>169</v>
      </c>
      <c r="J60" s="10"/>
      <c r="K60" s="32" t="str">
        <f>"162,5"</f>
        <v>162,5</v>
      </c>
      <c r="L60" s="10" t="str">
        <f>"99,9700"</f>
        <v>99,9700</v>
      </c>
      <c r="M60" s="9"/>
    </row>
    <row r="61" spans="1:13">
      <c r="A61" s="10" t="s">
        <v>49</v>
      </c>
      <c r="B61" s="9" t="s">
        <v>423</v>
      </c>
      <c r="C61" s="9" t="s">
        <v>424</v>
      </c>
      <c r="D61" s="9" t="s">
        <v>425</v>
      </c>
      <c r="E61" s="9" t="s">
        <v>712</v>
      </c>
      <c r="F61" s="9" t="s">
        <v>168</v>
      </c>
      <c r="G61" s="22" t="s">
        <v>17</v>
      </c>
      <c r="H61" s="22" t="s">
        <v>28</v>
      </c>
      <c r="I61" s="23" t="s">
        <v>177</v>
      </c>
      <c r="J61" s="10"/>
      <c r="K61" s="32" t="str">
        <f>"155,0"</f>
        <v>155,0</v>
      </c>
      <c r="L61" s="10" t="str">
        <f>"95,6970"</f>
        <v>95,6970</v>
      </c>
      <c r="M61" s="9"/>
    </row>
    <row r="62" spans="1:13">
      <c r="A62" s="10" t="s">
        <v>228</v>
      </c>
      <c r="B62" s="9" t="s">
        <v>426</v>
      </c>
      <c r="C62" s="9" t="s">
        <v>427</v>
      </c>
      <c r="D62" s="9" t="s">
        <v>428</v>
      </c>
      <c r="E62" s="9" t="s">
        <v>712</v>
      </c>
      <c r="F62" s="9" t="s">
        <v>621</v>
      </c>
      <c r="G62" s="22" t="s">
        <v>26</v>
      </c>
      <c r="H62" s="22" t="s">
        <v>17</v>
      </c>
      <c r="I62" s="22" t="s">
        <v>27</v>
      </c>
      <c r="J62" s="10"/>
      <c r="K62" s="32" t="str">
        <f>"150,0"</f>
        <v>150,0</v>
      </c>
      <c r="L62" s="10" t="str">
        <f>"91,3950"</f>
        <v>91,3950</v>
      </c>
      <c r="M62" s="9" t="s">
        <v>429</v>
      </c>
    </row>
    <row r="63" spans="1:13">
      <c r="A63" s="12" t="s">
        <v>48</v>
      </c>
      <c r="B63" s="11" t="s">
        <v>430</v>
      </c>
      <c r="C63" s="11" t="s">
        <v>637</v>
      </c>
      <c r="D63" s="11" t="s">
        <v>431</v>
      </c>
      <c r="E63" s="11" t="s">
        <v>713</v>
      </c>
      <c r="F63" s="11" t="s">
        <v>168</v>
      </c>
      <c r="G63" s="24" t="s">
        <v>106</v>
      </c>
      <c r="H63" s="24" t="s">
        <v>77</v>
      </c>
      <c r="I63" s="24" t="s">
        <v>26</v>
      </c>
      <c r="J63" s="12"/>
      <c r="K63" s="31" t="str">
        <f>"140,0"</f>
        <v>140,0</v>
      </c>
      <c r="L63" s="12" t="str">
        <f>"88,7250"</f>
        <v>88,7250</v>
      </c>
      <c r="M63" s="11"/>
    </row>
    <row r="64" spans="1:13">
      <c r="B64" s="5" t="s">
        <v>50</v>
      </c>
    </row>
    <row r="65" spans="1:13" ht="16">
      <c r="A65" s="57" t="s">
        <v>10</v>
      </c>
      <c r="B65" s="57"/>
      <c r="C65" s="58"/>
      <c r="D65" s="58"/>
      <c r="E65" s="58"/>
      <c r="F65" s="58"/>
      <c r="G65" s="58"/>
      <c r="H65" s="58"/>
      <c r="I65" s="58"/>
      <c r="J65" s="58"/>
    </row>
    <row r="66" spans="1:13">
      <c r="A66" s="14" t="s">
        <v>48</v>
      </c>
      <c r="B66" s="13" t="s">
        <v>432</v>
      </c>
      <c r="C66" s="13" t="s">
        <v>433</v>
      </c>
      <c r="D66" s="13" t="s">
        <v>12</v>
      </c>
      <c r="E66" s="13" t="s">
        <v>712</v>
      </c>
      <c r="F66" s="13" t="s">
        <v>168</v>
      </c>
      <c r="G66" s="26" t="s">
        <v>177</v>
      </c>
      <c r="H66" s="26" t="s">
        <v>170</v>
      </c>
      <c r="I66" s="26" t="s">
        <v>238</v>
      </c>
      <c r="J66" s="14"/>
      <c r="K66" s="29" t="str">
        <f>"170,0"</f>
        <v>170,0</v>
      </c>
      <c r="L66" s="14" t="str">
        <f>"100,1810"</f>
        <v>100,1810</v>
      </c>
      <c r="M66" s="13"/>
    </row>
    <row r="67" spans="1:13">
      <c r="B67" s="5" t="s">
        <v>50</v>
      </c>
    </row>
    <row r="68" spans="1:13" ht="16">
      <c r="A68" s="57" t="s">
        <v>33</v>
      </c>
      <c r="B68" s="57"/>
      <c r="C68" s="58"/>
      <c r="D68" s="58"/>
      <c r="E68" s="58"/>
      <c r="F68" s="58"/>
      <c r="G68" s="58"/>
      <c r="H68" s="58"/>
      <c r="I68" s="58"/>
      <c r="J68" s="58"/>
    </row>
    <row r="69" spans="1:13">
      <c r="A69" s="8" t="s">
        <v>48</v>
      </c>
      <c r="B69" s="7" t="s">
        <v>434</v>
      </c>
      <c r="C69" s="7" t="s">
        <v>435</v>
      </c>
      <c r="D69" s="7" t="s">
        <v>436</v>
      </c>
      <c r="E69" s="7" t="s">
        <v>712</v>
      </c>
      <c r="F69" s="7" t="s">
        <v>621</v>
      </c>
      <c r="G69" s="20" t="s">
        <v>79</v>
      </c>
      <c r="H69" s="20" t="s">
        <v>140</v>
      </c>
      <c r="I69" s="20" t="s">
        <v>172</v>
      </c>
      <c r="J69" s="8"/>
      <c r="K69" s="30" t="str">
        <f>"202,5"</f>
        <v>202,5</v>
      </c>
      <c r="L69" s="8" t="str">
        <f>"116,4172"</f>
        <v>116,4172</v>
      </c>
      <c r="M69" s="7" t="s">
        <v>437</v>
      </c>
    </row>
    <row r="70" spans="1:13">
      <c r="A70" s="10" t="s">
        <v>49</v>
      </c>
      <c r="B70" s="9" t="s">
        <v>438</v>
      </c>
      <c r="C70" s="9" t="s">
        <v>439</v>
      </c>
      <c r="D70" s="9" t="s">
        <v>440</v>
      </c>
      <c r="E70" s="9" t="s">
        <v>712</v>
      </c>
      <c r="F70" s="9" t="s">
        <v>621</v>
      </c>
      <c r="G70" s="22" t="s">
        <v>171</v>
      </c>
      <c r="H70" s="23" t="s">
        <v>79</v>
      </c>
      <c r="I70" s="23" t="s">
        <v>79</v>
      </c>
      <c r="J70" s="10"/>
      <c r="K70" s="32" t="str">
        <f>"185,0"</f>
        <v>185,0</v>
      </c>
      <c r="L70" s="10" t="str">
        <f>"105,7645"</f>
        <v>105,7645</v>
      </c>
      <c r="M70" s="9" t="s">
        <v>441</v>
      </c>
    </row>
    <row r="71" spans="1:13">
      <c r="A71" s="12" t="s">
        <v>228</v>
      </c>
      <c r="B71" s="11" t="s">
        <v>442</v>
      </c>
      <c r="C71" s="11" t="s">
        <v>443</v>
      </c>
      <c r="D71" s="11" t="s">
        <v>444</v>
      </c>
      <c r="E71" s="11" t="s">
        <v>712</v>
      </c>
      <c r="F71" s="11" t="s">
        <v>621</v>
      </c>
      <c r="G71" s="24" t="s">
        <v>445</v>
      </c>
      <c r="H71" s="24" t="s">
        <v>169</v>
      </c>
      <c r="I71" s="24" t="s">
        <v>178</v>
      </c>
      <c r="J71" s="12"/>
      <c r="K71" s="31" t="str">
        <f>"165,0"</f>
        <v>165,0</v>
      </c>
      <c r="L71" s="12" t="str">
        <f>"95,0895"</f>
        <v>95,0895</v>
      </c>
      <c r="M71" s="11" t="s">
        <v>319</v>
      </c>
    </row>
    <row r="72" spans="1:13">
      <c r="B72" s="5" t="s">
        <v>50</v>
      </c>
    </row>
    <row r="73" spans="1:13" ht="16">
      <c r="A73" s="57" t="s">
        <v>304</v>
      </c>
      <c r="B73" s="57"/>
      <c r="C73" s="58"/>
      <c r="D73" s="58"/>
      <c r="E73" s="58"/>
      <c r="F73" s="58"/>
      <c r="G73" s="58"/>
      <c r="H73" s="58"/>
      <c r="I73" s="58"/>
      <c r="J73" s="58"/>
    </row>
    <row r="74" spans="1:13">
      <c r="A74" s="14" t="s">
        <v>227</v>
      </c>
      <c r="B74" s="13" t="s">
        <v>446</v>
      </c>
      <c r="C74" s="13" t="s">
        <v>649</v>
      </c>
      <c r="D74" s="13" t="s">
        <v>447</v>
      </c>
      <c r="E74" s="13" t="s">
        <v>716</v>
      </c>
      <c r="F74" s="13" t="s">
        <v>621</v>
      </c>
      <c r="G74" s="27" t="s">
        <v>148</v>
      </c>
      <c r="H74" s="27" t="s">
        <v>148</v>
      </c>
      <c r="I74" s="14"/>
      <c r="J74" s="14"/>
      <c r="K74" s="29">
        <v>0</v>
      </c>
      <c r="L74" s="14" t="str">
        <f>"0,0000"</f>
        <v>0,0000</v>
      </c>
      <c r="M74" s="13" t="s">
        <v>448</v>
      </c>
    </row>
    <row r="75" spans="1:13">
      <c r="B75" s="5" t="s">
        <v>50</v>
      </c>
    </row>
    <row r="76" spans="1:13">
      <c r="B76" s="5" t="s">
        <v>50</v>
      </c>
    </row>
    <row r="77" spans="1:13">
      <c r="B77" s="5" t="s">
        <v>50</v>
      </c>
    </row>
    <row r="78" spans="1:13" ht="18">
      <c r="B78" s="15" t="s">
        <v>38</v>
      </c>
      <c r="C78" s="15"/>
      <c r="F78" s="3"/>
    </row>
    <row r="79" spans="1:13" ht="16">
      <c r="B79" s="16" t="s">
        <v>211</v>
      </c>
      <c r="C79" s="16"/>
      <c r="F79" s="3"/>
    </row>
    <row r="80" spans="1:13" ht="14">
      <c r="B80" s="17"/>
      <c r="C80" s="18" t="s">
        <v>46</v>
      </c>
      <c r="F80" s="3"/>
    </row>
    <row r="81" spans="2:6" ht="14">
      <c r="B81" s="19" t="s">
        <v>40</v>
      </c>
      <c r="C81" s="19" t="s">
        <v>41</v>
      </c>
      <c r="D81" s="19" t="s">
        <v>42</v>
      </c>
      <c r="E81" s="19" t="s">
        <v>309</v>
      </c>
      <c r="F81" s="19" t="s">
        <v>44</v>
      </c>
    </row>
    <row r="82" spans="2:6">
      <c r="B82" s="5" t="s">
        <v>316</v>
      </c>
      <c r="C82" s="5" t="s">
        <v>46</v>
      </c>
      <c r="D82" s="6" t="s">
        <v>450</v>
      </c>
      <c r="E82" s="6" t="s">
        <v>58</v>
      </c>
      <c r="F82" s="6" t="s">
        <v>451</v>
      </c>
    </row>
    <row r="83" spans="2:6">
      <c r="B83" s="5" t="s">
        <v>329</v>
      </c>
      <c r="C83" s="5" t="s">
        <v>46</v>
      </c>
      <c r="D83" s="6" t="s">
        <v>213</v>
      </c>
      <c r="E83" s="6" t="s">
        <v>85</v>
      </c>
      <c r="F83" s="6" t="s">
        <v>452</v>
      </c>
    </row>
    <row r="84" spans="2:6">
      <c r="B84" s="5" t="s">
        <v>120</v>
      </c>
      <c r="C84" s="5" t="s">
        <v>46</v>
      </c>
      <c r="D84" s="6" t="s">
        <v>449</v>
      </c>
      <c r="E84" s="6" t="s">
        <v>125</v>
      </c>
      <c r="F84" s="6" t="s">
        <v>453</v>
      </c>
    </row>
    <row r="86" spans="2:6" ht="16">
      <c r="B86" s="16" t="s">
        <v>39</v>
      </c>
      <c r="C86" s="16"/>
    </row>
    <row r="87" spans="2:6" ht="14">
      <c r="B87" s="17"/>
      <c r="C87" s="18" t="s">
        <v>46</v>
      </c>
    </row>
    <row r="88" spans="2:6" ht="14">
      <c r="B88" s="19" t="s">
        <v>40</v>
      </c>
      <c r="C88" s="19" t="s">
        <v>41</v>
      </c>
      <c r="D88" s="19" t="s">
        <v>42</v>
      </c>
      <c r="E88" s="19" t="s">
        <v>309</v>
      </c>
      <c r="F88" s="19" t="s">
        <v>44</v>
      </c>
    </row>
    <row r="89" spans="2:6">
      <c r="B89" s="5" t="s">
        <v>434</v>
      </c>
      <c r="C89" s="5" t="s">
        <v>46</v>
      </c>
      <c r="D89" s="6" t="s">
        <v>47</v>
      </c>
      <c r="E89" s="6" t="s">
        <v>172</v>
      </c>
      <c r="F89" s="6" t="s">
        <v>454</v>
      </c>
    </row>
    <row r="90" spans="2:6">
      <c r="B90" s="5" t="s">
        <v>396</v>
      </c>
      <c r="C90" s="5" t="s">
        <v>46</v>
      </c>
      <c r="D90" s="6" t="s">
        <v>455</v>
      </c>
      <c r="E90" s="6" t="s">
        <v>158</v>
      </c>
      <c r="F90" s="6" t="s">
        <v>456</v>
      </c>
    </row>
    <row r="91" spans="2:6">
      <c r="B91" s="5" t="s">
        <v>399</v>
      </c>
      <c r="C91" s="5" t="s">
        <v>46</v>
      </c>
      <c r="D91" s="6" t="s">
        <v>455</v>
      </c>
      <c r="E91" s="6" t="s">
        <v>158</v>
      </c>
      <c r="F91" s="6" t="s">
        <v>457</v>
      </c>
    </row>
  </sheetData>
  <mergeCells count="24">
    <mergeCell ref="A5:J5"/>
    <mergeCell ref="B3:B4"/>
    <mergeCell ref="A73:J73"/>
    <mergeCell ref="A11:J11"/>
    <mergeCell ref="A14:J14"/>
    <mergeCell ref="A20:J20"/>
    <mergeCell ref="A26:J26"/>
    <mergeCell ref="A30:J30"/>
    <mergeCell ref="A33:J33"/>
    <mergeCell ref="A44:J44"/>
    <mergeCell ref="A49:J49"/>
    <mergeCell ref="A58:J58"/>
    <mergeCell ref="A65:J65"/>
    <mergeCell ref="A68:J68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FE279-BF5C-46C6-A0C2-9CE6E95F01BD}">
  <dimension ref="A1:M50"/>
  <sheetViews>
    <sheetView topLeftCell="A12" workbookViewId="0">
      <selection activeCell="E39" sqref="E39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3.5" style="5" bestFit="1" customWidth="1"/>
    <col min="7" max="9" width="5.6640625" style="6" bestFit="1" customWidth="1"/>
    <col min="10" max="10" width="4.33203125" style="6" bestFit="1" customWidth="1"/>
    <col min="11" max="11" width="10.5" style="28" bestFit="1" customWidth="1"/>
    <col min="12" max="12" width="8.5" style="6" bestFit="1" customWidth="1"/>
    <col min="13" max="13" width="31.33203125" style="5" bestFit="1" customWidth="1"/>
    <col min="14" max="16384" width="9.1640625" style="3"/>
  </cols>
  <sheetData>
    <row r="1" spans="1:13" s="2" customFormat="1" ht="29" customHeight="1">
      <c r="A1" s="46" t="s">
        <v>650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707</v>
      </c>
      <c r="B3" s="59" t="s">
        <v>0</v>
      </c>
      <c r="C3" s="56" t="s">
        <v>709</v>
      </c>
      <c r="D3" s="56" t="s">
        <v>6</v>
      </c>
      <c r="E3" s="40" t="s">
        <v>710</v>
      </c>
      <c r="F3" s="40" t="s">
        <v>5</v>
      </c>
      <c r="G3" s="40" t="s">
        <v>8</v>
      </c>
      <c r="H3" s="40"/>
      <c r="I3" s="40"/>
      <c r="J3" s="40"/>
      <c r="K3" s="38" t="s">
        <v>314</v>
      </c>
      <c r="L3" s="40" t="s">
        <v>3</v>
      </c>
      <c r="M3" s="42" t="s">
        <v>2</v>
      </c>
    </row>
    <row r="4" spans="1:13" s="1" customFormat="1" ht="21" customHeight="1" thickBot="1">
      <c r="A4" s="55"/>
      <c r="B4" s="60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39"/>
      <c r="L4" s="41"/>
      <c r="M4" s="43"/>
    </row>
    <row r="5" spans="1:13" ht="16">
      <c r="A5" s="44" t="s">
        <v>135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4" t="s">
        <v>48</v>
      </c>
      <c r="B6" s="13" t="s">
        <v>247</v>
      </c>
      <c r="C6" s="13" t="s">
        <v>248</v>
      </c>
      <c r="D6" s="13" t="s">
        <v>249</v>
      </c>
      <c r="E6" s="13" t="s">
        <v>712</v>
      </c>
      <c r="F6" s="13" t="s">
        <v>621</v>
      </c>
      <c r="G6" s="26" t="s">
        <v>84</v>
      </c>
      <c r="H6" s="26" t="s">
        <v>381</v>
      </c>
      <c r="I6" s="26" t="s">
        <v>209</v>
      </c>
      <c r="J6" s="14"/>
      <c r="K6" s="29" t="str">
        <f>"117,5"</f>
        <v>117,5</v>
      </c>
      <c r="L6" s="14" t="str">
        <f>"117,4765"</f>
        <v>117,4765</v>
      </c>
      <c r="M6" s="13" t="s">
        <v>250</v>
      </c>
    </row>
    <row r="7" spans="1:13">
      <c r="B7" s="5" t="s">
        <v>50</v>
      </c>
    </row>
    <row r="8" spans="1:13" ht="16">
      <c r="A8" s="57" t="s">
        <v>127</v>
      </c>
      <c r="B8" s="57"/>
      <c r="C8" s="58"/>
      <c r="D8" s="58"/>
      <c r="E8" s="58"/>
      <c r="F8" s="58"/>
      <c r="G8" s="58"/>
      <c r="H8" s="58"/>
      <c r="I8" s="58"/>
      <c r="J8" s="58"/>
    </row>
    <row r="9" spans="1:13">
      <c r="A9" s="14" t="s">
        <v>48</v>
      </c>
      <c r="B9" s="13" t="s">
        <v>251</v>
      </c>
      <c r="C9" s="13" t="s">
        <v>252</v>
      </c>
      <c r="D9" s="13" t="s">
        <v>253</v>
      </c>
      <c r="E9" s="13" t="s">
        <v>712</v>
      </c>
      <c r="F9" s="13" t="s">
        <v>693</v>
      </c>
      <c r="G9" s="26" t="s">
        <v>147</v>
      </c>
      <c r="H9" s="27" t="s">
        <v>16</v>
      </c>
      <c r="I9" s="27" t="s">
        <v>16</v>
      </c>
      <c r="J9" s="14"/>
      <c r="K9" s="29" t="str">
        <f>"125,0"</f>
        <v>125,0</v>
      </c>
      <c r="L9" s="14" t="str">
        <f>"84,4250"</f>
        <v>84,4250</v>
      </c>
      <c r="M9" s="13"/>
    </row>
    <row r="10" spans="1:13">
      <c r="B10" s="5" t="s">
        <v>50</v>
      </c>
    </row>
    <row r="11" spans="1:13" ht="16">
      <c r="A11" s="57" t="s">
        <v>164</v>
      </c>
      <c r="B11" s="57"/>
      <c r="C11" s="58"/>
      <c r="D11" s="58"/>
      <c r="E11" s="58"/>
      <c r="F11" s="58"/>
      <c r="G11" s="58"/>
      <c r="H11" s="58"/>
      <c r="I11" s="58"/>
      <c r="J11" s="58"/>
    </row>
    <row r="12" spans="1:13">
      <c r="A12" s="8" t="s">
        <v>48</v>
      </c>
      <c r="B12" s="7" t="s">
        <v>254</v>
      </c>
      <c r="C12" s="7" t="s">
        <v>255</v>
      </c>
      <c r="D12" s="7" t="s">
        <v>256</v>
      </c>
      <c r="E12" s="7" t="s">
        <v>712</v>
      </c>
      <c r="F12" s="7" t="s">
        <v>621</v>
      </c>
      <c r="G12" s="20" t="s">
        <v>238</v>
      </c>
      <c r="H12" s="20" t="s">
        <v>148</v>
      </c>
      <c r="I12" s="20" t="s">
        <v>171</v>
      </c>
      <c r="J12" s="8"/>
      <c r="K12" s="30" t="str">
        <f>"185,0"</f>
        <v>185,0</v>
      </c>
      <c r="L12" s="8" t="str">
        <f>"118,1040"</f>
        <v>118,1040</v>
      </c>
      <c r="M12" s="7"/>
    </row>
    <row r="13" spans="1:13">
      <c r="A13" s="10" t="s">
        <v>49</v>
      </c>
      <c r="B13" s="9" t="s">
        <v>257</v>
      </c>
      <c r="C13" s="9" t="s">
        <v>258</v>
      </c>
      <c r="D13" s="9" t="s">
        <v>259</v>
      </c>
      <c r="E13" s="9" t="s">
        <v>712</v>
      </c>
      <c r="F13" s="9" t="s">
        <v>621</v>
      </c>
      <c r="G13" s="22" t="s">
        <v>405</v>
      </c>
      <c r="H13" s="22" t="s">
        <v>28</v>
      </c>
      <c r="I13" s="22" t="s">
        <v>177</v>
      </c>
      <c r="J13" s="10"/>
      <c r="K13" s="32" t="str">
        <f>"160,0"</f>
        <v>160,0</v>
      </c>
      <c r="L13" s="10" t="str">
        <f>"102,2560"</f>
        <v>102,2560</v>
      </c>
      <c r="M13" s="9" t="s">
        <v>689</v>
      </c>
    </row>
    <row r="14" spans="1:13">
      <c r="A14" s="12" t="s">
        <v>227</v>
      </c>
      <c r="B14" s="11" t="s">
        <v>260</v>
      </c>
      <c r="C14" s="11" t="s">
        <v>261</v>
      </c>
      <c r="D14" s="11" t="s">
        <v>262</v>
      </c>
      <c r="E14" s="11" t="s">
        <v>712</v>
      </c>
      <c r="F14" s="11" t="s">
        <v>621</v>
      </c>
      <c r="G14" s="25" t="s">
        <v>26</v>
      </c>
      <c r="H14" s="25" t="s">
        <v>26</v>
      </c>
      <c r="I14" s="25" t="s">
        <v>26</v>
      </c>
      <c r="J14" s="12"/>
      <c r="K14" s="31">
        <v>0</v>
      </c>
      <c r="L14" s="12" t="str">
        <f>"0,0000"</f>
        <v>0,0000</v>
      </c>
      <c r="M14" s="11"/>
    </row>
    <row r="15" spans="1:13">
      <c r="B15" s="5" t="s">
        <v>50</v>
      </c>
    </row>
    <row r="16" spans="1:13" ht="16">
      <c r="A16" s="57" t="s">
        <v>182</v>
      </c>
      <c r="B16" s="57"/>
      <c r="C16" s="58"/>
      <c r="D16" s="58"/>
      <c r="E16" s="58"/>
      <c r="F16" s="58"/>
      <c r="G16" s="58"/>
      <c r="H16" s="58"/>
      <c r="I16" s="58"/>
      <c r="J16" s="58"/>
    </row>
    <row r="17" spans="1:13">
      <c r="A17" s="8" t="s">
        <v>48</v>
      </c>
      <c r="B17" s="7" t="s">
        <v>263</v>
      </c>
      <c r="C17" s="7" t="s">
        <v>264</v>
      </c>
      <c r="D17" s="7" t="s">
        <v>265</v>
      </c>
      <c r="E17" s="7" t="s">
        <v>712</v>
      </c>
      <c r="F17" s="7" t="s">
        <v>621</v>
      </c>
      <c r="G17" s="20" t="s">
        <v>171</v>
      </c>
      <c r="H17" s="20" t="s">
        <v>140</v>
      </c>
      <c r="I17" s="21" t="s">
        <v>141</v>
      </c>
      <c r="J17" s="8"/>
      <c r="K17" s="30" t="str">
        <f>"195,0"</f>
        <v>195,0</v>
      </c>
      <c r="L17" s="8" t="str">
        <f>"120,7245"</f>
        <v>120,7245</v>
      </c>
      <c r="M17" s="7"/>
    </row>
    <row r="18" spans="1:13">
      <c r="A18" s="10" t="s">
        <v>49</v>
      </c>
      <c r="B18" s="9" t="s">
        <v>266</v>
      </c>
      <c r="C18" s="9" t="s">
        <v>267</v>
      </c>
      <c r="D18" s="9" t="s">
        <v>268</v>
      </c>
      <c r="E18" s="9" t="s">
        <v>712</v>
      </c>
      <c r="F18" s="9" t="s">
        <v>269</v>
      </c>
      <c r="G18" s="22" t="s">
        <v>171</v>
      </c>
      <c r="H18" s="23" t="s">
        <v>79</v>
      </c>
      <c r="I18" s="23" t="s">
        <v>79</v>
      </c>
      <c r="J18" s="10"/>
      <c r="K18" s="32" t="str">
        <f>"185,0"</f>
        <v>185,0</v>
      </c>
      <c r="L18" s="10" t="str">
        <f>"114,0710"</f>
        <v>114,0710</v>
      </c>
      <c r="M18" s="9" t="s">
        <v>270</v>
      </c>
    </row>
    <row r="19" spans="1:13">
      <c r="A19" s="10" t="s">
        <v>228</v>
      </c>
      <c r="B19" s="9" t="s">
        <v>271</v>
      </c>
      <c r="C19" s="9" t="s">
        <v>272</v>
      </c>
      <c r="D19" s="9" t="s">
        <v>273</v>
      </c>
      <c r="E19" s="9" t="s">
        <v>712</v>
      </c>
      <c r="F19" s="9" t="s">
        <v>694</v>
      </c>
      <c r="G19" s="22" t="s">
        <v>238</v>
      </c>
      <c r="H19" s="22" t="s">
        <v>148</v>
      </c>
      <c r="I19" s="23" t="s">
        <v>171</v>
      </c>
      <c r="J19" s="10"/>
      <c r="K19" s="32" t="str">
        <f>"180,0"</f>
        <v>180,0</v>
      </c>
      <c r="L19" s="10" t="str">
        <f>"110,1240"</f>
        <v>110,1240</v>
      </c>
      <c r="M19" s="9" t="s">
        <v>690</v>
      </c>
    </row>
    <row r="20" spans="1:13">
      <c r="A20" s="12" t="s">
        <v>229</v>
      </c>
      <c r="B20" s="11" t="s">
        <v>274</v>
      </c>
      <c r="C20" s="11" t="s">
        <v>275</v>
      </c>
      <c r="D20" s="11" t="s">
        <v>276</v>
      </c>
      <c r="E20" s="11" t="s">
        <v>712</v>
      </c>
      <c r="F20" s="11" t="s">
        <v>694</v>
      </c>
      <c r="G20" s="24" t="s">
        <v>238</v>
      </c>
      <c r="H20" s="24" t="s">
        <v>148</v>
      </c>
      <c r="I20" s="25" t="s">
        <v>171</v>
      </c>
      <c r="J20" s="12"/>
      <c r="K20" s="31" t="str">
        <f>"180,0"</f>
        <v>180,0</v>
      </c>
      <c r="L20" s="12" t="str">
        <f>"109,5480"</f>
        <v>109,5480</v>
      </c>
      <c r="M20" s="11" t="s">
        <v>690</v>
      </c>
    </row>
    <row r="21" spans="1:13">
      <c r="B21" s="5" t="s">
        <v>50</v>
      </c>
    </row>
    <row r="22" spans="1:13" ht="16">
      <c r="A22" s="57" t="s">
        <v>10</v>
      </c>
      <c r="B22" s="57"/>
      <c r="C22" s="58"/>
      <c r="D22" s="58"/>
      <c r="E22" s="58"/>
      <c r="F22" s="58"/>
      <c r="G22" s="58"/>
      <c r="H22" s="58"/>
      <c r="I22" s="58"/>
      <c r="J22" s="58"/>
    </row>
    <row r="23" spans="1:13">
      <c r="A23" s="8" t="s">
        <v>48</v>
      </c>
      <c r="B23" s="7" t="s">
        <v>277</v>
      </c>
      <c r="C23" s="7" t="s">
        <v>278</v>
      </c>
      <c r="D23" s="7" t="s">
        <v>279</v>
      </c>
      <c r="E23" s="7" t="s">
        <v>712</v>
      </c>
      <c r="F23" s="7" t="s">
        <v>621</v>
      </c>
      <c r="G23" s="21" t="s">
        <v>171</v>
      </c>
      <c r="H23" s="20" t="s">
        <v>171</v>
      </c>
      <c r="I23" s="20" t="s">
        <v>692</v>
      </c>
      <c r="J23" s="8"/>
      <c r="K23" s="30" t="str">
        <f>"197,5"</f>
        <v>197,5</v>
      </c>
      <c r="L23" s="8" t="str">
        <f>"116,7028"</f>
        <v>116,7028</v>
      </c>
      <c r="M23" s="7" t="s">
        <v>691</v>
      </c>
    </row>
    <row r="24" spans="1:13">
      <c r="A24" s="12" t="s">
        <v>49</v>
      </c>
      <c r="B24" s="11" t="s">
        <v>280</v>
      </c>
      <c r="C24" s="11" t="s">
        <v>281</v>
      </c>
      <c r="D24" s="11" t="s">
        <v>282</v>
      </c>
      <c r="E24" s="11" t="s">
        <v>712</v>
      </c>
      <c r="F24" s="11" t="s">
        <v>621</v>
      </c>
      <c r="G24" s="24" t="s">
        <v>178</v>
      </c>
      <c r="H24" s="24" t="s">
        <v>238</v>
      </c>
      <c r="I24" s="25" t="s">
        <v>148</v>
      </c>
      <c r="J24" s="12"/>
      <c r="K24" s="31" t="str">
        <f>"170,0"</f>
        <v>170,0</v>
      </c>
      <c r="L24" s="12" t="str">
        <f>"100,8950"</f>
        <v>100,8950</v>
      </c>
      <c r="M24" s="11" t="s">
        <v>283</v>
      </c>
    </row>
    <row r="25" spans="1:13">
      <c r="B25" s="5" t="s">
        <v>50</v>
      </c>
    </row>
    <row r="26" spans="1:13" ht="16">
      <c r="A26" s="57" t="s">
        <v>33</v>
      </c>
      <c r="B26" s="57"/>
      <c r="C26" s="58"/>
      <c r="D26" s="58"/>
      <c r="E26" s="58"/>
      <c r="F26" s="58"/>
      <c r="G26" s="58"/>
      <c r="H26" s="58"/>
      <c r="I26" s="58"/>
      <c r="J26" s="58"/>
    </row>
    <row r="27" spans="1:13">
      <c r="A27" s="8" t="s">
        <v>48</v>
      </c>
      <c r="B27" s="7" t="s">
        <v>284</v>
      </c>
      <c r="C27" s="7" t="s">
        <v>285</v>
      </c>
      <c r="D27" s="7" t="s">
        <v>286</v>
      </c>
      <c r="E27" s="7" t="s">
        <v>712</v>
      </c>
      <c r="F27" s="7" t="s">
        <v>621</v>
      </c>
      <c r="G27" s="20" t="s">
        <v>149</v>
      </c>
      <c r="H27" s="20" t="s">
        <v>150</v>
      </c>
      <c r="I27" s="20" t="s">
        <v>13</v>
      </c>
      <c r="J27" s="8"/>
      <c r="K27" s="30" t="str">
        <f>"220,0"</f>
        <v>220,0</v>
      </c>
      <c r="L27" s="8" t="str">
        <f>"129,1400"</f>
        <v>129,1400</v>
      </c>
      <c r="M27" s="7" t="s">
        <v>287</v>
      </c>
    </row>
    <row r="28" spans="1:13">
      <c r="A28" s="10" t="s">
        <v>49</v>
      </c>
      <c r="B28" s="9" t="s">
        <v>288</v>
      </c>
      <c r="C28" s="9" t="s">
        <v>289</v>
      </c>
      <c r="D28" s="9" t="s">
        <v>290</v>
      </c>
      <c r="E28" s="9" t="s">
        <v>712</v>
      </c>
      <c r="F28" s="9" t="s">
        <v>621</v>
      </c>
      <c r="G28" s="23" t="s">
        <v>149</v>
      </c>
      <c r="H28" s="22" t="s">
        <v>149</v>
      </c>
      <c r="I28" s="22" t="s">
        <v>141</v>
      </c>
      <c r="J28" s="10"/>
      <c r="K28" s="32" t="str">
        <f>"205,0"</f>
        <v>205,0</v>
      </c>
      <c r="L28" s="10" t="str">
        <f>"118,6950"</f>
        <v>118,6950</v>
      </c>
      <c r="M28" s="9"/>
    </row>
    <row r="29" spans="1:13">
      <c r="A29" s="10" t="s">
        <v>48</v>
      </c>
      <c r="B29" s="9" t="s">
        <v>291</v>
      </c>
      <c r="C29" s="9" t="s">
        <v>651</v>
      </c>
      <c r="D29" s="9" t="s">
        <v>292</v>
      </c>
      <c r="E29" s="9" t="s">
        <v>717</v>
      </c>
      <c r="F29" s="9" t="s">
        <v>621</v>
      </c>
      <c r="G29" s="22" t="s">
        <v>149</v>
      </c>
      <c r="H29" s="22" t="s">
        <v>293</v>
      </c>
      <c r="I29" s="22" t="s">
        <v>150</v>
      </c>
      <c r="J29" s="10"/>
      <c r="K29" s="32" t="str">
        <f>"215,0"</f>
        <v>215,0</v>
      </c>
      <c r="L29" s="10" t="str">
        <f>"159,0868"</f>
        <v>159,0868</v>
      </c>
      <c r="M29" s="9" t="s">
        <v>294</v>
      </c>
    </row>
    <row r="30" spans="1:13">
      <c r="A30" s="12" t="s">
        <v>48</v>
      </c>
      <c r="B30" s="11" t="s">
        <v>295</v>
      </c>
      <c r="C30" s="11" t="s">
        <v>652</v>
      </c>
      <c r="D30" s="11" t="s">
        <v>296</v>
      </c>
      <c r="E30" s="11" t="s">
        <v>715</v>
      </c>
      <c r="F30" s="11" t="s">
        <v>621</v>
      </c>
      <c r="G30" s="24" t="s">
        <v>148</v>
      </c>
      <c r="H30" s="24" t="s">
        <v>79</v>
      </c>
      <c r="I30" s="24" t="s">
        <v>149</v>
      </c>
      <c r="J30" s="12"/>
      <c r="K30" s="31" t="str">
        <f>"200,0"</f>
        <v>200,0</v>
      </c>
      <c r="L30" s="12" t="str">
        <f>"166,0608"</f>
        <v>166,0608</v>
      </c>
      <c r="M30" s="11"/>
    </row>
    <row r="31" spans="1:13">
      <c r="B31" s="5" t="s">
        <v>50</v>
      </c>
    </row>
    <row r="32" spans="1:13" ht="16">
      <c r="A32" s="57" t="s">
        <v>297</v>
      </c>
      <c r="B32" s="57"/>
      <c r="C32" s="58"/>
      <c r="D32" s="58"/>
      <c r="E32" s="58"/>
      <c r="F32" s="58"/>
      <c r="G32" s="58"/>
      <c r="H32" s="58"/>
      <c r="I32" s="58"/>
      <c r="J32" s="58"/>
    </row>
    <row r="33" spans="1:13">
      <c r="A33" s="8" t="s">
        <v>48</v>
      </c>
      <c r="B33" s="7" t="s">
        <v>298</v>
      </c>
      <c r="C33" s="7" t="s">
        <v>299</v>
      </c>
      <c r="D33" s="7" t="s">
        <v>300</v>
      </c>
      <c r="E33" s="7" t="s">
        <v>712</v>
      </c>
      <c r="F33" s="7" t="s">
        <v>621</v>
      </c>
      <c r="G33" s="20" t="s">
        <v>141</v>
      </c>
      <c r="H33" s="21" t="s">
        <v>243</v>
      </c>
      <c r="I33" s="21" t="s">
        <v>243</v>
      </c>
      <c r="J33" s="8"/>
      <c r="K33" s="30" t="str">
        <f>"205,0"</f>
        <v>205,0</v>
      </c>
      <c r="L33" s="8" t="str">
        <f>"115,9480"</f>
        <v>115,9480</v>
      </c>
      <c r="M33" s="7"/>
    </row>
    <row r="34" spans="1:13">
      <c r="A34" s="10" t="s">
        <v>49</v>
      </c>
      <c r="B34" s="9" t="s">
        <v>301</v>
      </c>
      <c r="C34" s="9" t="s">
        <v>302</v>
      </c>
      <c r="D34" s="9" t="s">
        <v>303</v>
      </c>
      <c r="E34" s="9" t="s">
        <v>712</v>
      </c>
      <c r="F34" s="9" t="s">
        <v>695</v>
      </c>
      <c r="G34" s="22" t="s">
        <v>140</v>
      </c>
      <c r="H34" s="22" t="s">
        <v>149</v>
      </c>
      <c r="I34" s="23" t="s">
        <v>141</v>
      </c>
      <c r="J34" s="10"/>
      <c r="K34" s="32" t="str">
        <f>"200,0"</f>
        <v>200,0</v>
      </c>
      <c r="L34" s="10" t="str">
        <f>"112,6200"</f>
        <v>112,6200</v>
      </c>
      <c r="M34" s="9"/>
    </row>
    <row r="35" spans="1:13">
      <c r="A35" s="10" t="s">
        <v>48</v>
      </c>
      <c r="B35" s="9" t="s">
        <v>301</v>
      </c>
      <c r="C35" s="9" t="s">
        <v>653</v>
      </c>
      <c r="D35" s="9" t="s">
        <v>303</v>
      </c>
      <c r="E35" s="9" t="s">
        <v>713</v>
      </c>
      <c r="F35" s="9" t="s">
        <v>695</v>
      </c>
      <c r="G35" s="22" t="s">
        <v>140</v>
      </c>
      <c r="H35" s="22" t="s">
        <v>149</v>
      </c>
      <c r="I35" s="23" t="s">
        <v>141</v>
      </c>
      <c r="J35" s="10"/>
      <c r="K35" s="32" t="str">
        <f>"200,0"</f>
        <v>200,0</v>
      </c>
      <c r="L35" s="10" t="str">
        <f>"112,6200"</f>
        <v>112,6200</v>
      </c>
      <c r="M35" s="9"/>
    </row>
    <row r="36" spans="1:13">
      <c r="A36" s="12" t="s">
        <v>48</v>
      </c>
      <c r="B36" s="11" t="s">
        <v>298</v>
      </c>
      <c r="C36" s="11" t="s">
        <v>654</v>
      </c>
      <c r="D36" s="11" t="s">
        <v>300</v>
      </c>
      <c r="E36" s="11" t="s">
        <v>716</v>
      </c>
      <c r="F36" s="11" t="s">
        <v>621</v>
      </c>
      <c r="G36" s="24" t="s">
        <v>141</v>
      </c>
      <c r="H36" s="25" t="s">
        <v>243</v>
      </c>
      <c r="I36" s="25" t="s">
        <v>243</v>
      </c>
      <c r="J36" s="12"/>
      <c r="K36" s="31" t="str">
        <f>"205,0"</f>
        <v>205,0</v>
      </c>
      <c r="L36" s="12" t="str">
        <f>"127,0790"</f>
        <v>127,0790</v>
      </c>
      <c r="M36" s="11"/>
    </row>
    <row r="37" spans="1:13">
      <c r="B37" s="5" t="s">
        <v>50</v>
      </c>
    </row>
    <row r="38" spans="1:13" ht="16">
      <c r="A38" s="57" t="s">
        <v>304</v>
      </c>
      <c r="B38" s="57"/>
      <c r="C38" s="58"/>
      <c r="D38" s="58"/>
      <c r="E38" s="58"/>
      <c r="F38" s="58"/>
      <c r="G38" s="58"/>
      <c r="H38" s="58"/>
      <c r="I38" s="58"/>
      <c r="J38" s="58"/>
    </row>
    <row r="39" spans="1:13">
      <c r="A39" s="14" t="s">
        <v>48</v>
      </c>
      <c r="B39" s="13" t="s">
        <v>305</v>
      </c>
      <c r="C39" s="13" t="s">
        <v>306</v>
      </c>
      <c r="D39" s="13" t="s">
        <v>307</v>
      </c>
      <c r="E39" s="13" t="s">
        <v>712</v>
      </c>
      <c r="F39" s="13" t="s">
        <v>621</v>
      </c>
      <c r="G39" s="27" t="s">
        <v>13</v>
      </c>
      <c r="H39" s="26" t="s">
        <v>13</v>
      </c>
      <c r="I39" s="27" t="s">
        <v>191</v>
      </c>
      <c r="J39" s="14"/>
      <c r="K39" s="29" t="str">
        <f>"220,0"</f>
        <v>220,0</v>
      </c>
      <c r="L39" s="14" t="str">
        <f>"120,5380"</f>
        <v>120,5380</v>
      </c>
      <c r="M39" s="13" t="s">
        <v>308</v>
      </c>
    </row>
    <row r="40" spans="1:13">
      <c r="B40" s="5" t="s">
        <v>50</v>
      </c>
    </row>
    <row r="41" spans="1:13">
      <c r="B41" s="5" t="s">
        <v>50</v>
      </c>
    </row>
    <row r="42" spans="1:13">
      <c r="B42" s="5" t="s">
        <v>50</v>
      </c>
    </row>
    <row r="43" spans="1:13" ht="18">
      <c r="B43" s="15" t="s">
        <v>38</v>
      </c>
      <c r="C43" s="15"/>
      <c r="F43" s="3"/>
    </row>
    <row r="44" spans="1:13">
      <c r="F44" s="3"/>
    </row>
    <row r="45" spans="1:13" ht="16">
      <c r="B45" s="16" t="s">
        <v>39</v>
      </c>
      <c r="C45" s="16"/>
      <c r="F45" s="3"/>
    </row>
    <row r="46" spans="1:13" ht="14">
      <c r="B46" s="17"/>
      <c r="C46" s="18" t="s">
        <v>46</v>
      </c>
      <c r="F46" s="3"/>
    </row>
    <row r="47" spans="1:13" ht="14">
      <c r="B47" s="19" t="s">
        <v>40</v>
      </c>
      <c r="C47" s="19" t="s">
        <v>41</v>
      </c>
      <c r="D47" s="19" t="s">
        <v>42</v>
      </c>
      <c r="E47" s="19" t="s">
        <v>309</v>
      </c>
      <c r="F47" s="19" t="s">
        <v>44</v>
      </c>
    </row>
    <row r="48" spans="1:13">
      <c r="B48" s="5" t="s">
        <v>284</v>
      </c>
      <c r="C48" s="5" t="s">
        <v>46</v>
      </c>
      <c r="D48" s="6" t="s">
        <v>47</v>
      </c>
      <c r="E48" s="6" t="s">
        <v>13</v>
      </c>
      <c r="F48" s="6" t="s">
        <v>310</v>
      </c>
    </row>
    <row r="49" spans="2:6">
      <c r="B49" s="5" t="s">
        <v>263</v>
      </c>
      <c r="C49" s="5" t="s">
        <v>46</v>
      </c>
      <c r="D49" s="6" t="s">
        <v>219</v>
      </c>
      <c r="E49" s="6" t="s">
        <v>140</v>
      </c>
      <c r="F49" s="6" t="s">
        <v>311</v>
      </c>
    </row>
    <row r="50" spans="2:6">
      <c r="B50" s="5" t="s">
        <v>305</v>
      </c>
      <c r="C50" s="5" t="s">
        <v>46</v>
      </c>
      <c r="D50" s="6" t="s">
        <v>312</v>
      </c>
      <c r="E50" s="6" t="s">
        <v>13</v>
      </c>
      <c r="F50" s="6" t="s">
        <v>313</v>
      </c>
    </row>
  </sheetData>
  <mergeCells count="19">
    <mergeCell ref="A38:J38"/>
    <mergeCell ref="B3:B4"/>
    <mergeCell ref="A8:J8"/>
    <mergeCell ref="A11:J11"/>
    <mergeCell ref="A16:J16"/>
    <mergeCell ref="A22:J22"/>
    <mergeCell ref="A26:J26"/>
    <mergeCell ref="A32:J32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IPL ПЛ без экипировки ДК</vt:lpstr>
      <vt:lpstr>IPL ПЛ без экипировки</vt:lpstr>
      <vt:lpstr>IPL ПЛ в бинтах ДК</vt:lpstr>
      <vt:lpstr>IPL ПЛ в бинтах</vt:lpstr>
      <vt:lpstr>IPL Двоеборье без экип ДК</vt:lpstr>
      <vt:lpstr>IPL Двоеборье без экип</vt:lpstr>
      <vt:lpstr>IPL Присед без экипировки ДК</vt:lpstr>
      <vt:lpstr>IPL Жим без экипировки ДК</vt:lpstr>
      <vt:lpstr>IPL Жим без экипировки</vt:lpstr>
      <vt:lpstr>IPL Жим однослой</vt:lpstr>
      <vt:lpstr>СПР Жим софт однопетельная</vt:lpstr>
      <vt:lpstr>IPL Тяга без экипировки ДК</vt:lpstr>
      <vt:lpstr>IPL Тяга без экипировки</vt:lpstr>
      <vt:lpstr>СПР Пауэрспорт ДК</vt:lpstr>
      <vt:lpstr>СПР Подъем на бицепс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2021-04-13T19:42:53Z</dcterms:modified>
</cp:coreProperties>
</file>