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1/Апрель/"/>
    </mc:Choice>
  </mc:AlternateContent>
  <xr:revisionPtr revIDLastSave="0" documentId="13_ncr:1_{C66EF0EE-B675-0F4F-B68C-5A1F28D62173}" xr6:coauthVersionLast="45" xr6:coauthVersionMax="45" xr10:uidLastSave="{00000000-0000-0000-0000-000000000000}"/>
  <bookViews>
    <workbookView xWindow="480" yWindow="460" windowWidth="27060" windowHeight="15800" firstSheet="20" activeTab="26" xr2:uid="{00000000-000D-0000-FFFF-FFFF00000000}"/>
  </bookViews>
  <sheets>
    <sheet name="IPL ПЛ без экипировки ДК" sheetId="10" r:id="rId1"/>
    <sheet name="IPL ПЛ без экипировки" sheetId="9" r:id="rId2"/>
    <sheet name="IPL ПЛ в бинтах ДК" sheetId="12" r:id="rId3"/>
    <sheet name="IPL ПЛ в бинтах" sheetId="11" r:id="rId4"/>
    <sheet name="IPL ПЛ однослой ДК" sheetId="8" r:id="rId5"/>
    <sheet name="IPL ПЛ однослой" sheetId="7" r:id="rId6"/>
    <sheet name="IPL Двоеборье без экип ДК" sheetId="34" r:id="rId7"/>
    <sheet name="IPL Присед без экипировки ДК" sheetId="30" r:id="rId8"/>
    <sheet name="IPL Присед без экипировки" sheetId="29" r:id="rId9"/>
    <sheet name="IPL Присед однослой ДК" sheetId="28" r:id="rId10"/>
    <sheet name="IPL Присед однослой" sheetId="27" r:id="rId11"/>
    <sheet name="IPL Жим без экипировки ДК" sheetId="14" r:id="rId12"/>
    <sheet name="IPL Жим без экипировки" sheetId="13" r:id="rId13"/>
    <sheet name="IPL Жим однослой ДК" sheetId="16" r:id="rId14"/>
    <sheet name="IPL Жим однослой" sheetId="15" r:id="rId15"/>
    <sheet name="СПР Жим софт многопетельная" sheetId="49" r:id="rId16"/>
    <sheet name="СПР Жим софт однопетельная ДК" sheetId="48" r:id="rId17"/>
    <sheet name="СПР Жим софт однопетельная" sheetId="47" r:id="rId18"/>
    <sheet name="IPL Тяга без экипировки ДК" sheetId="20" r:id="rId19"/>
    <sheet name="IPL Тяга без экипировки" sheetId="19" r:id="rId20"/>
    <sheet name="IPL Тяга однослой ДК" sheetId="24" r:id="rId21"/>
    <sheet name="IPL Тяга однослой" sheetId="23" r:id="rId22"/>
    <sheet name="СПР Пауэрспорт ДК" sheetId="42" r:id="rId23"/>
    <sheet name="СПР Пауэрспорт" sheetId="41" r:id="rId24"/>
    <sheet name="СПР Жим стоя ДК" sheetId="38" r:id="rId25"/>
    <sheet name="СПР Подъем на бицепс ДК" sheetId="40" r:id="rId26"/>
    <sheet name="СПР Подъем на бицепс" sheetId="39" r:id="rId27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7" i="49" l="1"/>
  <c r="K7" i="49"/>
  <c r="L6" i="49"/>
  <c r="K6" i="49"/>
  <c r="L23" i="48"/>
  <c r="K23" i="48"/>
  <c r="L22" i="48"/>
  <c r="K22" i="48"/>
  <c r="L19" i="48"/>
  <c r="K19" i="48"/>
  <c r="L18" i="48"/>
  <c r="L17" i="48"/>
  <c r="K17" i="48"/>
  <c r="L14" i="48"/>
  <c r="K14" i="48"/>
  <c r="L11" i="48"/>
  <c r="K11" i="48"/>
  <c r="L10" i="48"/>
  <c r="K10" i="48"/>
  <c r="L7" i="48"/>
  <c r="K7" i="48"/>
  <c r="L6" i="48"/>
  <c r="K6" i="48"/>
  <c r="L18" i="47"/>
  <c r="K18" i="47"/>
  <c r="L15" i="47"/>
  <c r="K15" i="47"/>
  <c r="L12" i="47"/>
  <c r="K12" i="47"/>
  <c r="L9" i="47"/>
  <c r="K9" i="47"/>
  <c r="L6" i="47"/>
  <c r="K6" i="47"/>
  <c r="P32" i="42"/>
  <c r="O32" i="42"/>
  <c r="P33" i="42"/>
  <c r="O33" i="42"/>
  <c r="P29" i="42"/>
  <c r="O29" i="42"/>
  <c r="P28" i="42"/>
  <c r="O28" i="42"/>
  <c r="P27" i="42"/>
  <c r="O27" i="42"/>
  <c r="P24" i="42"/>
  <c r="O24" i="42"/>
  <c r="P23" i="42"/>
  <c r="O23" i="42"/>
  <c r="P22" i="42"/>
  <c r="O22" i="42"/>
  <c r="P19" i="42"/>
  <c r="O19" i="42"/>
  <c r="P16" i="42"/>
  <c r="O16" i="42"/>
  <c r="P13" i="42"/>
  <c r="O13" i="42"/>
  <c r="P10" i="42"/>
  <c r="O10" i="42"/>
  <c r="P7" i="42"/>
  <c r="O7" i="42"/>
  <c r="P6" i="42"/>
  <c r="O6" i="42"/>
  <c r="P9" i="41"/>
  <c r="P8" i="41"/>
  <c r="O8" i="41"/>
  <c r="P7" i="41"/>
  <c r="O7" i="41"/>
  <c r="P6" i="41"/>
  <c r="O6" i="41"/>
  <c r="L22" i="40"/>
  <c r="K22" i="40"/>
  <c r="L19" i="40"/>
  <c r="K19" i="40"/>
  <c r="L18" i="40"/>
  <c r="K18" i="40"/>
  <c r="L17" i="40"/>
  <c r="K17" i="40"/>
  <c r="L14" i="40"/>
  <c r="K14" i="40"/>
  <c r="L13" i="40"/>
  <c r="K13" i="40"/>
  <c r="L12" i="40"/>
  <c r="K12" i="40"/>
  <c r="L9" i="40"/>
  <c r="K9" i="40"/>
  <c r="L6" i="40"/>
  <c r="K6" i="40"/>
  <c r="L9" i="39"/>
  <c r="K9" i="39"/>
  <c r="L6" i="39"/>
  <c r="K6" i="39"/>
  <c r="L9" i="38"/>
  <c r="K9" i="38"/>
  <c r="L6" i="38"/>
  <c r="K6" i="38"/>
  <c r="P12" i="34"/>
  <c r="O12" i="34"/>
  <c r="P9" i="34"/>
  <c r="O9" i="34"/>
  <c r="P6" i="34"/>
  <c r="O6" i="34"/>
  <c r="L12" i="30"/>
  <c r="K12" i="30"/>
  <c r="L9" i="30"/>
  <c r="L6" i="30"/>
  <c r="K6" i="30"/>
  <c r="L6" i="29"/>
  <c r="K6" i="29"/>
  <c r="L6" i="28"/>
  <c r="K6" i="28"/>
  <c r="L7" i="27"/>
  <c r="K7" i="27"/>
  <c r="L6" i="27"/>
  <c r="K6" i="27"/>
  <c r="L9" i="24"/>
  <c r="K9" i="24"/>
  <c r="L6" i="24"/>
  <c r="K6" i="24"/>
  <c r="L11" i="23"/>
  <c r="K11" i="23"/>
  <c r="L10" i="23"/>
  <c r="K10" i="23"/>
  <c r="L9" i="23"/>
  <c r="K9" i="23"/>
  <c r="L6" i="23"/>
  <c r="K6" i="23"/>
  <c r="L37" i="20"/>
  <c r="K37" i="20"/>
  <c r="L36" i="20"/>
  <c r="K36" i="20"/>
  <c r="L33" i="20"/>
  <c r="K33" i="20"/>
  <c r="L32" i="20"/>
  <c r="K32" i="20"/>
  <c r="L29" i="20"/>
  <c r="K29" i="20"/>
  <c r="L28" i="20"/>
  <c r="K28" i="20"/>
  <c r="L25" i="20"/>
  <c r="K25" i="20"/>
  <c r="L24" i="20"/>
  <c r="K24" i="20"/>
  <c r="L23" i="20"/>
  <c r="K23" i="20"/>
  <c r="L20" i="20"/>
  <c r="K20" i="20"/>
  <c r="L19" i="20"/>
  <c r="K19" i="20"/>
  <c r="L18" i="20"/>
  <c r="K18" i="20"/>
  <c r="L17" i="20"/>
  <c r="K17" i="20"/>
  <c r="L14" i="20"/>
  <c r="K14" i="20"/>
  <c r="L11" i="20"/>
  <c r="K11" i="20"/>
  <c r="L10" i="20"/>
  <c r="K10" i="20"/>
  <c r="L9" i="20"/>
  <c r="K9" i="20"/>
  <c r="L6" i="20"/>
  <c r="K6" i="20"/>
  <c r="L32" i="19"/>
  <c r="K32" i="19"/>
  <c r="L31" i="19"/>
  <c r="K31" i="19"/>
  <c r="L28" i="19"/>
  <c r="K28" i="19"/>
  <c r="L27" i="19"/>
  <c r="K27" i="19"/>
  <c r="L26" i="19"/>
  <c r="K26" i="19"/>
  <c r="L23" i="19"/>
  <c r="K23" i="19"/>
  <c r="L22" i="19"/>
  <c r="K22" i="19"/>
  <c r="L21" i="19"/>
  <c r="K21" i="19"/>
  <c r="L18" i="19"/>
  <c r="K18" i="19"/>
  <c r="L17" i="19"/>
  <c r="K17" i="19"/>
  <c r="L14" i="19"/>
  <c r="K14" i="19"/>
  <c r="L13" i="19"/>
  <c r="K13" i="19"/>
  <c r="L10" i="19"/>
  <c r="K10" i="19"/>
  <c r="L9" i="19"/>
  <c r="K9" i="19"/>
  <c r="L6" i="19"/>
  <c r="K6" i="19"/>
  <c r="L6" i="16"/>
  <c r="L11" i="15"/>
  <c r="K11" i="15"/>
  <c r="L10" i="15"/>
  <c r="K10" i="15"/>
  <c r="L9" i="15"/>
  <c r="K9" i="15"/>
  <c r="L6" i="15"/>
  <c r="K6" i="15"/>
  <c r="L76" i="14"/>
  <c r="K76" i="14"/>
  <c r="L75" i="14"/>
  <c r="K75" i="14"/>
  <c r="L74" i="14"/>
  <c r="K74" i="14"/>
  <c r="L71" i="14"/>
  <c r="K71" i="14"/>
  <c r="L68" i="14"/>
  <c r="K68" i="14"/>
  <c r="L67" i="14"/>
  <c r="K67" i="14"/>
  <c r="L66" i="14"/>
  <c r="K66" i="14"/>
  <c r="L65" i="14"/>
  <c r="K65" i="14"/>
  <c r="L64" i="14"/>
  <c r="K64" i="14"/>
  <c r="L63" i="14"/>
  <c r="K63" i="14"/>
  <c r="L60" i="14"/>
  <c r="L59" i="14"/>
  <c r="K59" i="14"/>
  <c r="L58" i="14"/>
  <c r="K58" i="14"/>
  <c r="L57" i="14"/>
  <c r="K57" i="14"/>
  <c r="L56" i="14"/>
  <c r="K56" i="14"/>
  <c r="L53" i="14"/>
  <c r="K53" i="14"/>
  <c r="L52" i="14"/>
  <c r="K52" i="14"/>
  <c r="L51" i="14"/>
  <c r="K51" i="14"/>
  <c r="L50" i="14"/>
  <c r="K50" i="14"/>
  <c r="L49" i="14"/>
  <c r="K49" i="14"/>
  <c r="L48" i="14"/>
  <c r="K48" i="14"/>
  <c r="L47" i="14"/>
  <c r="K47" i="14"/>
  <c r="L44" i="14"/>
  <c r="K44" i="14"/>
  <c r="L43" i="14"/>
  <c r="K43" i="14"/>
  <c r="L42" i="14"/>
  <c r="K42" i="14"/>
  <c r="L41" i="14"/>
  <c r="K41" i="14"/>
  <c r="L40" i="14"/>
  <c r="K40" i="14"/>
  <c r="L39" i="14"/>
  <c r="K39" i="14"/>
  <c r="L36" i="14"/>
  <c r="K36" i="14"/>
  <c r="L35" i="14"/>
  <c r="K35" i="14"/>
  <c r="L34" i="14"/>
  <c r="K34" i="14"/>
  <c r="L33" i="14"/>
  <c r="K33" i="14"/>
  <c r="L32" i="14"/>
  <c r="K32" i="14"/>
  <c r="L31" i="14"/>
  <c r="K31" i="14"/>
  <c r="L28" i="14"/>
  <c r="K28" i="14"/>
  <c r="L25" i="14"/>
  <c r="K25" i="14"/>
  <c r="L24" i="14"/>
  <c r="K24" i="14"/>
  <c r="L23" i="14"/>
  <c r="K23" i="14"/>
  <c r="L20" i="14"/>
  <c r="K20" i="14"/>
  <c r="L17" i="14"/>
  <c r="K17" i="14"/>
  <c r="L14" i="14"/>
  <c r="K14" i="14"/>
  <c r="L13" i="14"/>
  <c r="L12" i="14"/>
  <c r="K12" i="14"/>
  <c r="L11" i="14"/>
  <c r="K11" i="14"/>
  <c r="L10" i="14"/>
  <c r="K10" i="14"/>
  <c r="L9" i="14"/>
  <c r="K9" i="14"/>
  <c r="L6" i="14"/>
  <c r="K6" i="14"/>
  <c r="L49" i="13"/>
  <c r="K49" i="13"/>
  <c r="L46" i="13"/>
  <c r="K46" i="13"/>
  <c r="L43" i="13"/>
  <c r="K43" i="13"/>
  <c r="L42" i="13"/>
  <c r="K42" i="13"/>
  <c r="L41" i="13"/>
  <c r="K41" i="13"/>
  <c r="L40" i="13"/>
  <c r="K40" i="13"/>
  <c r="L39" i="13"/>
  <c r="K39" i="13"/>
  <c r="L36" i="13"/>
  <c r="K36" i="13"/>
  <c r="L35" i="13"/>
  <c r="K35" i="13"/>
  <c r="L34" i="13"/>
  <c r="K34" i="13"/>
  <c r="L31" i="13"/>
  <c r="K31" i="13"/>
  <c r="L30" i="13"/>
  <c r="K30" i="13"/>
  <c r="L29" i="13"/>
  <c r="K29" i="13"/>
  <c r="L28" i="13"/>
  <c r="K28" i="13"/>
  <c r="L27" i="13"/>
  <c r="K27" i="13"/>
  <c r="L26" i="13"/>
  <c r="K26" i="13"/>
  <c r="L25" i="13"/>
  <c r="K25" i="13"/>
  <c r="L22" i="13"/>
  <c r="K22" i="13"/>
  <c r="L21" i="13"/>
  <c r="K21" i="13"/>
  <c r="L20" i="13"/>
  <c r="K20" i="13"/>
  <c r="L19" i="13"/>
  <c r="K19" i="13"/>
  <c r="L16" i="13"/>
  <c r="K16" i="13"/>
  <c r="L15" i="13"/>
  <c r="K15" i="13"/>
  <c r="L14" i="13"/>
  <c r="K14" i="13"/>
  <c r="L11" i="13"/>
  <c r="K11" i="13"/>
  <c r="L8" i="13"/>
  <c r="K8" i="13"/>
  <c r="L7" i="13"/>
  <c r="K7" i="13"/>
  <c r="L6" i="13"/>
  <c r="K6" i="13"/>
  <c r="T9" i="12"/>
  <c r="S9" i="12"/>
  <c r="T6" i="12"/>
  <c r="S6" i="12"/>
  <c r="T7" i="11"/>
  <c r="S7" i="11"/>
  <c r="T6" i="11"/>
  <c r="S6" i="11"/>
  <c r="T53" i="10"/>
  <c r="S53" i="10"/>
  <c r="T52" i="10"/>
  <c r="S52" i="10"/>
  <c r="T49" i="10"/>
  <c r="S49" i="10"/>
  <c r="T48" i="10"/>
  <c r="S48" i="10"/>
  <c r="T47" i="10"/>
  <c r="S47" i="10"/>
  <c r="T44" i="10"/>
  <c r="S44" i="10"/>
  <c r="T43" i="10"/>
  <c r="S43" i="10"/>
  <c r="T42" i="10"/>
  <c r="S42" i="10"/>
  <c r="T41" i="10"/>
  <c r="S41" i="10"/>
  <c r="T40" i="10"/>
  <c r="S40" i="10"/>
  <c r="T37" i="10"/>
  <c r="S37" i="10"/>
  <c r="T36" i="10"/>
  <c r="S36" i="10"/>
  <c r="T35" i="10"/>
  <c r="S35" i="10"/>
  <c r="T34" i="10"/>
  <c r="S34" i="10"/>
  <c r="T33" i="10"/>
  <c r="S33" i="10"/>
  <c r="T30" i="10"/>
  <c r="T27" i="10"/>
  <c r="S27" i="10"/>
  <c r="T24" i="10"/>
  <c r="S24" i="10"/>
  <c r="T21" i="10"/>
  <c r="T18" i="10"/>
  <c r="S18" i="10"/>
  <c r="T15" i="10"/>
  <c r="S15" i="10"/>
  <c r="T12" i="10"/>
  <c r="S12" i="10"/>
  <c r="T9" i="10"/>
  <c r="S9" i="10"/>
  <c r="T8" i="10"/>
  <c r="S8" i="10"/>
  <c r="T7" i="10"/>
  <c r="S7" i="10"/>
  <c r="T6" i="10"/>
  <c r="S6" i="10"/>
  <c r="T38" i="9"/>
  <c r="S38" i="9"/>
  <c r="T37" i="9"/>
  <c r="S37" i="9"/>
  <c r="T34" i="9"/>
  <c r="S34" i="9"/>
  <c r="T31" i="9"/>
  <c r="S31" i="9"/>
  <c r="T30" i="9"/>
  <c r="S30" i="9"/>
  <c r="T29" i="9"/>
  <c r="S29" i="9"/>
  <c r="T28" i="9"/>
  <c r="S28" i="9"/>
  <c r="T27" i="9"/>
  <c r="S27" i="9"/>
  <c r="T24" i="9"/>
  <c r="S24" i="9"/>
  <c r="T23" i="9"/>
  <c r="S23" i="9"/>
  <c r="T22" i="9"/>
  <c r="S22" i="9"/>
  <c r="T19" i="9"/>
  <c r="S19" i="9"/>
  <c r="T18" i="9"/>
  <c r="S18" i="9"/>
  <c r="T15" i="9"/>
  <c r="S15" i="9"/>
  <c r="T12" i="9"/>
  <c r="S12" i="9"/>
  <c r="T9" i="9"/>
  <c r="S9" i="9"/>
  <c r="T6" i="9"/>
  <c r="S6" i="9"/>
  <c r="T9" i="8"/>
  <c r="T6" i="8"/>
  <c r="T10" i="7"/>
  <c r="S10" i="7"/>
  <c r="T9" i="7"/>
  <c r="S9" i="7"/>
  <c r="T6" i="7"/>
  <c r="S6" i="7"/>
</calcChain>
</file>

<file path=xl/sharedStrings.xml><?xml version="1.0" encoding="utf-8"?>
<sst xmlns="http://schemas.openxmlformats.org/spreadsheetml/2006/main" count="3390" uniqueCount="724">
  <si>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</si>
  <si>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</si>
  <si>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</si>
  <si>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</si>
  <si>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</si>
  <si>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</si>
  <si>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</si>
  <si>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 xml:space="preserve">Абсолютный зачёт </t>
  </si>
  <si>
    <t/>
  </si>
  <si>
    <t>Приседание</t>
  </si>
  <si>
    <t>Жим лёжа</t>
  </si>
  <si>
    <t>Становая тяга</t>
  </si>
  <si>
    <t>ВЕСОВАЯ КАТЕГОРИЯ   90</t>
  </si>
  <si>
    <t>Иванов Артемий</t>
  </si>
  <si>
    <t>Открытая (18.09.1986)/34</t>
  </si>
  <si>
    <t>88,00</t>
  </si>
  <si>
    <t>205,0</t>
  </si>
  <si>
    <t>220,0</t>
  </si>
  <si>
    <t>230,0</t>
  </si>
  <si>
    <t>135,0</t>
  </si>
  <si>
    <t>142,5</t>
  </si>
  <si>
    <t>190,0</t>
  </si>
  <si>
    <t>215,0</t>
  </si>
  <si>
    <t>222,5</t>
  </si>
  <si>
    <t>225,0</t>
  </si>
  <si>
    <t>140,0</t>
  </si>
  <si>
    <t>200,0</t>
  </si>
  <si>
    <t>210,0</t>
  </si>
  <si>
    <t>ВЕСОВАЯ КАТЕГОРИЯ   100</t>
  </si>
  <si>
    <t>Свобода Евгений</t>
  </si>
  <si>
    <t>Открытая (23.03.1973)/48</t>
  </si>
  <si>
    <t>96,70</t>
  </si>
  <si>
    <t>245,0</t>
  </si>
  <si>
    <t>170,0</t>
  </si>
  <si>
    <t>180,0</t>
  </si>
  <si>
    <t>187,5</t>
  </si>
  <si>
    <t>235,0</t>
  </si>
  <si>
    <t>255,0</t>
  </si>
  <si>
    <t xml:space="preserve">Мужчины </t>
  </si>
  <si>
    <t xml:space="preserve">Открытая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</si>
  <si>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</si>
  <si>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</si>
  <si>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</si>
  <si>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</si>
  <si>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Wilks </t>
  </si>
  <si>
    <t>100</t>
  </si>
  <si>
    <t>90</t>
  </si>
  <si>
    <t>1</t>
  </si>
  <si>
    <t>-</t>
  </si>
  <si>
    <t>ВЕСОВАЯ КАТЕГОРИЯ   67.5</t>
  </si>
  <si>
    <t>Зотова Анастасия</t>
  </si>
  <si>
    <t>Открытая (29.07.1990)/30</t>
  </si>
  <si>
    <t>66,50</t>
  </si>
  <si>
    <t xml:space="preserve">Братск/Иркутская область </t>
  </si>
  <si>
    <t>125,0</t>
  </si>
  <si>
    <t>75,0</t>
  </si>
  <si>
    <t>80,0</t>
  </si>
  <si>
    <t>ВЕСОВАЯ КАТЕГОРИЯ   52</t>
  </si>
  <si>
    <t>Рустамова Махина</t>
  </si>
  <si>
    <t>Открытая (15.02.1994)/27</t>
  </si>
  <si>
    <t>51,10</t>
  </si>
  <si>
    <t>105,0</t>
  </si>
  <si>
    <t>112,5</t>
  </si>
  <si>
    <t>117,5</t>
  </si>
  <si>
    <t>40,0</t>
  </si>
  <si>
    <t>42,5</t>
  </si>
  <si>
    <t>45,0</t>
  </si>
  <si>
    <t>115,0</t>
  </si>
  <si>
    <t>120,0</t>
  </si>
  <si>
    <t>ВЕСОВАЯ КАТЕГОРИЯ   60</t>
  </si>
  <si>
    <t>Рытикова Ирина</t>
  </si>
  <si>
    <t>Открытая (15.07.1994)/26</t>
  </si>
  <si>
    <t>58,10</t>
  </si>
  <si>
    <t>85,0</t>
  </si>
  <si>
    <t>87,5</t>
  </si>
  <si>
    <t>37,5</t>
  </si>
  <si>
    <t>90,0</t>
  </si>
  <si>
    <t>95,0</t>
  </si>
  <si>
    <t>97,5</t>
  </si>
  <si>
    <t xml:space="preserve">Зайцев А. </t>
  </si>
  <si>
    <t>Зайцева Ольга</t>
  </si>
  <si>
    <t>Открытая (23.07.1973)/47</t>
  </si>
  <si>
    <t>130,0</t>
  </si>
  <si>
    <t>92,5</t>
  </si>
  <si>
    <t>145,0</t>
  </si>
  <si>
    <t>150,0</t>
  </si>
  <si>
    <t xml:space="preserve">Суслов Н. </t>
  </si>
  <si>
    <t>ВЕСОВАЯ КАТЕГОРИЯ   75</t>
  </si>
  <si>
    <t>Кондратьева Людмила</t>
  </si>
  <si>
    <t>Открытая (02.10.1981)/39</t>
  </si>
  <si>
    <t>74,30</t>
  </si>
  <si>
    <t>132,5</t>
  </si>
  <si>
    <t>55,0</t>
  </si>
  <si>
    <t>62,5</t>
  </si>
  <si>
    <t>65,0</t>
  </si>
  <si>
    <t>152,5</t>
  </si>
  <si>
    <t>60,0</t>
  </si>
  <si>
    <t>ВЕСОВАЯ КАТЕГОРИЯ   82.5</t>
  </si>
  <si>
    <t>Беляев Алексей</t>
  </si>
  <si>
    <t>Открытая (01.09.1993)/27</t>
  </si>
  <si>
    <t>78,00</t>
  </si>
  <si>
    <t xml:space="preserve">Ангарск/Иркутская область </t>
  </si>
  <si>
    <t>185,0</t>
  </si>
  <si>
    <t>147,5</t>
  </si>
  <si>
    <t xml:space="preserve">Тарасов К. </t>
  </si>
  <si>
    <t>Ахмедов Асман</t>
  </si>
  <si>
    <t>Открытая (14.12.1996)/24</t>
  </si>
  <si>
    <t>81,10</t>
  </si>
  <si>
    <t xml:space="preserve">Иркутск/Иркутская область </t>
  </si>
  <si>
    <t>160,0</t>
  </si>
  <si>
    <t>100,0</t>
  </si>
  <si>
    <t>110,0</t>
  </si>
  <si>
    <t>192,5</t>
  </si>
  <si>
    <t>Гинтов Валентин</t>
  </si>
  <si>
    <t>Юноши 15-19 (15.05.2002)/18</t>
  </si>
  <si>
    <t>84,60</t>
  </si>
  <si>
    <t>Гинтов Дмитрий</t>
  </si>
  <si>
    <t>Открытая (08.10.1993)/27</t>
  </si>
  <si>
    <t>87,70</t>
  </si>
  <si>
    <t>240,0</t>
  </si>
  <si>
    <t>165,0</t>
  </si>
  <si>
    <t>175,0</t>
  </si>
  <si>
    <t>Доманских Максим</t>
  </si>
  <si>
    <t>Открытая (22.01.1983)/38</t>
  </si>
  <si>
    <t>89,00</t>
  </si>
  <si>
    <t>177,5</t>
  </si>
  <si>
    <t>Яхонтов Руслан</t>
  </si>
  <si>
    <t>Открытая (21.01.1980)/41</t>
  </si>
  <si>
    <t>96,60</t>
  </si>
  <si>
    <t>247,5</t>
  </si>
  <si>
    <t>172,5</t>
  </si>
  <si>
    <t>250,0</t>
  </si>
  <si>
    <t>Гертель Яков</t>
  </si>
  <si>
    <t>Открытая (20.02.1976)/45</t>
  </si>
  <si>
    <t>90,70</t>
  </si>
  <si>
    <t>260,0</t>
  </si>
  <si>
    <t>Энгельгард Артем</t>
  </si>
  <si>
    <t>Открытая (04.11.1982)/38</t>
  </si>
  <si>
    <t>98,10</t>
  </si>
  <si>
    <t>202,5</t>
  </si>
  <si>
    <t>212,5</t>
  </si>
  <si>
    <t>155,0</t>
  </si>
  <si>
    <t>275,0</t>
  </si>
  <si>
    <t xml:space="preserve">Вяхирев И. </t>
  </si>
  <si>
    <t>ВЕСОВАЯ КАТЕГОРИЯ   110</t>
  </si>
  <si>
    <t>Мицких Максим</t>
  </si>
  <si>
    <t>Открытая (09.02.1991)/30</t>
  </si>
  <si>
    <t>107,30</t>
  </si>
  <si>
    <t>162,5</t>
  </si>
  <si>
    <t>252,5</t>
  </si>
  <si>
    <t>ВЕСОВАЯ КАТЕГОРИЯ   125</t>
  </si>
  <si>
    <t>Виноградский Никита</t>
  </si>
  <si>
    <t>113,60</t>
  </si>
  <si>
    <t>137,5</t>
  </si>
  <si>
    <t>Казимиренок Алексей</t>
  </si>
  <si>
    <t>Открытая (07.01.1993)/28</t>
  </si>
  <si>
    <t>122,10</t>
  </si>
  <si>
    <t>280,0</t>
  </si>
  <si>
    <t>290,0</t>
  </si>
  <si>
    <t>300,0</t>
  </si>
  <si>
    <t xml:space="preserve">Женщины </t>
  </si>
  <si>
    <t>67.5</t>
  </si>
  <si>
    <t>52</t>
  </si>
  <si>
    <t>347,4625</t>
  </si>
  <si>
    <t>75</t>
  </si>
  <si>
    <t>125</t>
  </si>
  <si>
    <t>740,0</t>
  </si>
  <si>
    <t>423,7980</t>
  </si>
  <si>
    <t>645,0</t>
  </si>
  <si>
    <t>417,3795</t>
  </si>
  <si>
    <t>672,5</t>
  </si>
  <si>
    <t>415,2015</t>
  </si>
  <si>
    <t>2</t>
  </si>
  <si>
    <t>3</t>
  </si>
  <si>
    <t>4</t>
  </si>
  <si>
    <t>Гусева Алена</t>
  </si>
  <si>
    <t>Открытая (31.03.1978)/43</t>
  </si>
  <si>
    <t>52,5</t>
  </si>
  <si>
    <t>Макеева Юлия</t>
  </si>
  <si>
    <t>Открытая (02.02.1990)/31</t>
  </si>
  <si>
    <t>51,90</t>
  </si>
  <si>
    <t>50,0</t>
  </si>
  <si>
    <t>Кудашова Дарья</t>
  </si>
  <si>
    <t>Открытая (01.02.1988)/33</t>
  </si>
  <si>
    <t>50,60</t>
  </si>
  <si>
    <t>70,0</t>
  </si>
  <si>
    <t>35,0</t>
  </si>
  <si>
    <t>ВЕСОВАЯ КАТЕГОРИЯ   56</t>
  </si>
  <si>
    <t>Мудрова Евгения</t>
  </si>
  <si>
    <t>Открытая (15.03.1983)/38</t>
  </si>
  <si>
    <t>56,00</t>
  </si>
  <si>
    <t>57,5</t>
  </si>
  <si>
    <t>67,5</t>
  </si>
  <si>
    <t>Энгельгард Ольга</t>
  </si>
  <si>
    <t>Открытая (11.03.1985)/36</t>
  </si>
  <si>
    <t>56,70</t>
  </si>
  <si>
    <t>122,5</t>
  </si>
  <si>
    <t>127,5</t>
  </si>
  <si>
    <t>Ищенко Анна</t>
  </si>
  <si>
    <t>65,00</t>
  </si>
  <si>
    <t>47,5</t>
  </si>
  <si>
    <t>Скрипник Кирилл</t>
  </si>
  <si>
    <t>Юноши 15-19 (21.05.2006)/14</t>
  </si>
  <si>
    <t>54,80</t>
  </si>
  <si>
    <t>Васильев Георгий</t>
  </si>
  <si>
    <t>Юноши 15-19 (12.05.2001)/19</t>
  </si>
  <si>
    <t>67,50</t>
  </si>
  <si>
    <t>Никитин Виктор</t>
  </si>
  <si>
    <t>74,20</t>
  </si>
  <si>
    <t>Голендеев Сергей</t>
  </si>
  <si>
    <t>Открытая (09.03.1994)/27</t>
  </si>
  <si>
    <t>80,80</t>
  </si>
  <si>
    <t>Томко Анатолий</t>
  </si>
  <si>
    <t>Открытая (22.06.1981)/39</t>
  </si>
  <si>
    <t>82,50</t>
  </si>
  <si>
    <t>Вилков Денис</t>
  </si>
  <si>
    <t>Открытая (26.07.1989)/31</t>
  </si>
  <si>
    <t>81,40</t>
  </si>
  <si>
    <t>167,5</t>
  </si>
  <si>
    <t>Мисюркеев Алексей</t>
  </si>
  <si>
    <t>Открытая (02.11.1988)/32</t>
  </si>
  <si>
    <t>82,00</t>
  </si>
  <si>
    <t xml:space="preserve">Тайшет/Иркутская область </t>
  </si>
  <si>
    <t>Черников Дмитрий</t>
  </si>
  <si>
    <t>Открытая (26.10.1992)/28</t>
  </si>
  <si>
    <t>81,80</t>
  </si>
  <si>
    <t>107,5</t>
  </si>
  <si>
    <t>Ярмалоян Рафаэль</t>
  </si>
  <si>
    <t>88,80</t>
  </si>
  <si>
    <t>182,5</t>
  </si>
  <si>
    <t>Тамбовцев Дмитрий</t>
  </si>
  <si>
    <t>Открытая (15.09.1990)/30</t>
  </si>
  <si>
    <t>89,60</t>
  </si>
  <si>
    <t>Зариф Константин</t>
  </si>
  <si>
    <t>Открытая (31.05.1990)/30</t>
  </si>
  <si>
    <t>87,60</t>
  </si>
  <si>
    <t>157,5</t>
  </si>
  <si>
    <t>Горяшин Сергей</t>
  </si>
  <si>
    <t>Открытая (24.03.1994)/27</t>
  </si>
  <si>
    <t>Свирбутович-Артюхов Максим</t>
  </si>
  <si>
    <t>Открытая (12.03.1996)/25</t>
  </si>
  <si>
    <t>86,40</t>
  </si>
  <si>
    <t>102,5</t>
  </si>
  <si>
    <t>Сосновский Никита</t>
  </si>
  <si>
    <t>Открытая (15.12.1987)/33</t>
  </si>
  <si>
    <t>94,80</t>
  </si>
  <si>
    <t>257,5</t>
  </si>
  <si>
    <t>265,0</t>
  </si>
  <si>
    <t>Шульгин Алексей</t>
  </si>
  <si>
    <t>Открытая (18.06.1981)/39</t>
  </si>
  <si>
    <t>98,20</t>
  </si>
  <si>
    <t>Степанов Алексей</t>
  </si>
  <si>
    <t>Гулюк Максим</t>
  </si>
  <si>
    <t>Открытая (16.08.1979)/41</t>
  </si>
  <si>
    <t>105,50</t>
  </si>
  <si>
    <t>195,0</t>
  </si>
  <si>
    <t>Касьянов Борис</t>
  </si>
  <si>
    <t>100,60</t>
  </si>
  <si>
    <t>262,5</t>
  </si>
  <si>
    <t>331,6687</t>
  </si>
  <si>
    <t>56</t>
  </si>
  <si>
    <t>277,5</t>
  </si>
  <si>
    <t>326,5065</t>
  </si>
  <si>
    <t>630,0</t>
  </si>
  <si>
    <t>392,2380</t>
  </si>
  <si>
    <t>82.5</t>
  </si>
  <si>
    <t>560,0</t>
  </si>
  <si>
    <t>379,9600</t>
  </si>
  <si>
    <t>532,5</t>
  </si>
  <si>
    <t>356,7218</t>
  </si>
  <si>
    <t>110</t>
  </si>
  <si>
    <t>5</t>
  </si>
  <si>
    <t>Непша Александр</t>
  </si>
  <si>
    <t>Открытая (16.07.1992)/28</t>
  </si>
  <si>
    <t>97,10</t>
  </si>
  <si>
    <t>Андуров Дмитрий</t>
  </si>
  <si>
    <t>Открытая (27.07.1984)/36</t>
  </si>
  <si>
    <t>99,50</t>
  </si>
  <si>
    <t>ВЕСОВАЯ КАТЕГОРИЯ   48</t>
  </si>
  <si>
    <t>Нурутдинова Ольга</t>
  </si>
  <si>
    <t>Открытая (07.11.1980)/40</t>
  </si>
  <si>
    <t>48,00</t>
  </si>
  <si>
    <t>Прохоров Николай</t>
  </si>
  <si>
    <t>Открытая (19.12.1994)/26</t>
  </si>
  <si>
    <t>80,00</t>
  </si>
  <si>
    <t>Перкова Мария</t>
  </si>
  <si>
    <t>Девушки 15-19 (08.02.2005)/16</t>
  </si>
  <si>
    <t>Открытая (08.02.2005)/16</t>
  </si>
  <si>
    <t>Мункуев Баян</t>
  </si>
  <si>
    <t>Открытая (05.10.1996)/24</t>
  </si>
  <si>
    <t>73,00</t>
  </si>
  <si>
    <t>Ульянченко Сергей</t>
  </si>
  <si>
    <t>Открытая (09.03.1988)/33</t>
  </si>
  <si>
    <t>80,40</t>
  </si>
  <si>
    <t>Арутюнян Роберт</t>
  </si>
  <si>
    <t>Открытая (02.04.1994)/27</t>
  </si>
  <si>
    <t>79,40</t>
  </si>
  <si>
    <t>Хайрисламов Марат</t>
  </si>
  <si>
    <t>81,90</t>
  </si>
  <si>
    <t>Амиров Ферраддин</t>
  </si>
  <si>
    <t>Юноши 15-19 (14.10.2004)/16</t>
  </si>
  <si>
    <t>89,20</t>
  </si>
  <si>
    <t>Жуков Владислав</t>
  </si>
  <si>
    <t>Открытая (23.09.1993)/27</t>
  </si>
  <si>
    <t>84,40</t>
  </si>
  <si>
    <t>Жменя Алексей</t>
  </si>
  <si>
    <t>90,00</t>
  </si>
  <si>
    <t xml:space="preserve">Прилуцкий С. </t>
  </si>
  <si>
    <t>Архипенко Иван</t>
  </si>
  <si>
    <t>89,50</t>
  </si>
  <si>
    <t xml:space="preserve">Красноярск/Красноярский край </t>
  </si>
  <si>
    <t>Вислогузов Алексей</t>
  </si>
  <si>
    <t>Открытая (22.03.1990)/31</t>
  </si>
  <si>
    <t>97,20</t>
  </si>
  <si>
    <t>Доманских Никита</t>
  </si>
  <si>
    <t>Открытая (04.01.1995)/26</t>
  </si>
  <si>
    <t>Усов Евгений</t>
  </si>
  <si>
    <t>Открытая (09.10.1991)/29</t>
  </si>
  <si>
    <t>90,20</t>
  </si>
  <si>
    <t>Блинов Алексей</t>
  </si>
  <si>
    <t>Открытая (05.10.1981)/39</t>
  </si>
  <si>
    <t>92,20</t>
  </si>
  <si>
    <t>Посельский Антон</t>
  </si>
  <si>
    <t>Открытая (24.07.1983)/37</t>
  </si>
  <si>
    <t>97,00</t>
  </si>
  <si>
    <t>Греков Андрей</t>
  </si>
  <si>
    <t>97,50</t>
  </si>
  <si>
    <t xml:space="preserve">Шелехов/Иркутская область </t>
  </si>
  <si>
    <t>Комаров Андрей</t>
  </si>
  <si>
    <t>Открытая (18.08.1973)/47</t>
  </si>
  <si>
    <t>103,60</t>
  </si>
  <si>
    <t>Матвеев Андрей</t>
  </si>
  <si>
    <t>Открытая (15.06.1982)/38</t>
  </si>
  <si>
    <t>109,00</t>
  </si>
  <si>
    <t>Пятибратов Никита</t>
  </si>
  <si>
    <t>Открытая (03.01.1995)/26</t>
  </si>
  <si>
    <t>116,20</t>
  </si>
  <si>
    <t>232,5</t>
  </si>
  <si>
    <t>Французов Александр</t>
  </si>
  <si>
    <t>Открытая (18.10.1977)/43</t>
  </si>
  <si>
    <t>114,80</t>
  </si>
  <si>
    <t xml:space="preserve">Киренск/Иркутская область </t>
  </si>
  <si>
    <t>Зимирев Максим</t>
  </si>
  <si>
    <t>Открытая (04.11.1983)/37</t>
  </si>
  <si>
    <t>118,20</t>
  </si>
  <si>
    <t>Фадеев Олег</t>
  </si>
  <si>
    <t>Открытая (22.10.1991)/29</t>
  </si>
  <si>
    <t>123,30</t>
  </si>
  <si>
    <t>ВЕСОВАЯ КАТЕГОРИЯ   140</t>
  </si>
  <si>
    <t>Чуркин Антон</t>
  </si>
  <si>
    <t>Открытая (22.04.1986)/35</t>
  </si>
  <si>
    <t>136,00</t>
  </si>
  <si>
    <t xml:space="preserve">Байкальск/Иркутская область </t>
  </si>
  <si>
    <t>217,5</t>
  </si>
  <si>
    <t>ВЕСОВАЯ КАТЕГОРИЯ   140+</t>
  </si>
  <si>
    <t>Букреев Станислав</t>
  </si>
  <si>
    <t>Открытая (13.10.1985)/35</t>
  </si>
  <si>
    <t>146,40</t>
  </si>
  <si>
    <t xml:space="preserve">Результат </t>
  </si>
  <si>
    <t>132,0880</t>
  </si>
  <si>
    <t>130,3875</t>
  </si>
  <si>
    <t>140</t>
  </si>
  <si>
    <t>126,2925</t>
  </si>
  <si>
    <t>Результат</t>
  </si>
  <si>
    <t>Ляхова Алла</t>
  </si>
  <si>
    <t>Открытая (21.08.1986)/34</t>
  </si>
  <si>
    <t>47,00</t>
  </si>
  <si>
    <t xml:space="preserve">Дуганова К. </t>
  </si>
  <si>
    <t>Чиркова Дарья</t>
  </si>
  <si>
    <t>Девушки 15-19 (06.08.2004)/16</t>
  </si>
  <si>
    <t>49,40</t>
  </si>
  <si>
    <t>Сафонова Анастасия</t>
  </si>
  <si>
    <t>Открытая (04.12.1991)/29</t>
  </si>
  <si>
    <t>51,00</t>
  </si>
  <si>
    <t>Некрасова Оксана</t>
  </si>
  <si>
    <t>Открытая (21.04.1973)/48</t>
  </si>
  <si>
    <t>51,40</t>
  </si>
  <si>
    <t>Открытая (21.04.1973)/47</t>
  </si>
  <si>
    <t>52,00</t>
  </si>
  <si>
    <t>Дуганова Кристина</t>
  </si>
  <si>
    <t>Открытая (10.03.1997)/24</t>
  </si>
  <si>
    <t>59,90</t>
  </si>
  <si>
    <t>Бойчук Анита</t>
  </si>
  <si>
    <t>Открытая (07.11.1994)/26</t>
  </si>
  <si>
    <t>62,30</t>
  </si>
  <si>
    <t>Печищев Вадим</t>
  </si>
  <si>
    <t>Открытая (09.03.1993)/28</t>
  </si>
  <si>
    <t>66,90</t>
  </si>
  <si>
    <t>Томерян Есаи</t>
  </si>
  <si>
    <t>Открытая (08.08.1994)/26</t>
  </si>
  <si>
    <t>65,80</t>
  </si>
  <si>
    <t xml:space="preserve">Журавлев В. </t>
  </si>
  <si>
    <t>Шапошников Дмитрий</t>
  </si>
  <si>
    <t>Открытая (31.07.1985)/35</t>
  </si>
  <si>
    <t>67,00</t>
  </si>
  <si>
    <t>Усатенко Максим</t>
  </si>
  <si>
    <t>Открытая (30.08.1987)/33</t>
  </si>
  <si>
    <t>67,20</t>
  </si>
  <si>
    <t>Габдулхаков Фанис</t>
  </si>
  <si>
    <t>Открытая (03.08.1982)/38</t>
  </si>
  <si>
    <t xml:space="preserve">Усть-Илимск/Иркутская область </t>
  </si>
  <si>
    <t>Татаркин Артем</t>
  </si>
  <si>
    <t>Открытая (04.11.1986)/34</t>
  </si>
  <si>
    <t>65,10</t>
  </si>
  <si>
    <t>77,5</t>
  </si>
  <si>
    <t>Татарников Александр</t>
  </si>
  <si>
    <t>Юноши 15-19 (01.06.2003)/17</t>
  </si>
  <si>
    <t>73,40</t>
  </si>
  <si>
    <t>Подолец Константин</t>
  </si>
  <si>
    <t>74,60</t>
  </si>
  <si>
    <t>Асхаев Александр</t>
  </si>
  <si>
    <t>Открытая (07.12.1991)/29</t>
  </si>
  <si>
    <t>72,60</t>
  </si>
  <si>
    <t>Рахманский Николай</t>
  </si>
  <si>
    <t>Открытая (06.01.1993)/28</t>
  </si>
  <si>
    <t>Кузьмин Иван</t>
  </si>
  <si>
    <t>Открытая (26.10.1983)/37</t>
  </si>
  <si>
    <t>74,10</t>
  </si>
  <si>
    <t>Соловьев Владимир</t>
  </si>
  <si>
    <t>Открытая (22.09.1989)/31</t>
  </si>
  <si>
    <t>Тараканов Алексей</t>
  </si>
  <si>
    <t>Открытая (04.11.1989)/31</t>
  </si>
  <si>
    <t>79,10</t>
  </si>
  <si>
    <t>Заикин Петр</t>
  </si>
  <si>
    <t>Открытая (12.01.1983)/38</t>
  </si>
  <si>
    <t>79,70</t>
  </si>
  <si>
    <t>Цариев Алексей</t>
  </si>
  <si>
    <t>Открытая (08.05.1986)/34</t>
  </si>
  <si>
    <t>82,30</t>
  </si>
  <si>
    <t>Маркин Сергей</t>
  </si>
  <si>
    <t>79,80</t>
  </si>
  <si>
    <t>Трофимов Александр</t>
  </si>
  <si>
    <t>Открытая (22.10.1992)/28</t>
  </si>
  <si>
    <t>88,90</t>
  </si>
  <si>
    <t xml:space="preserve">Трофимов М. </t>
  </si>
  <si>
    <t>Соловьев Иван</t>
  </si>
  <si>
    <t>Открытая (07.04.1984)/37</t>
  </si>
  <si>
    <t>85,50</t>
  </si>
  <si>
    <t>Семенов Александр</t>
  </si>
  <si>
    <t>88,40</t>
  </si>
  <si>
    <t>Тесельский Вячеслав</t>
  </si>
  <si>
    <t>87,30</t>
  </si>
  <si>
    <t>Тарасенко Василий</t>
  </si>
  <si>
    <t>Ботов Александр</t>
  </si>
  <si>
    <t>Открытая (12.03.1995)/26</t>
  </si>
  <si>
    <t>91,30</t>
  </si>
  <si>
    <t>Вольский Василий</t>
  </si>
  <si>
    <t>Открытая (30.11.1986)/34</t>
  </si>
  <si>
    <t>96,80</t>
  </si>
  <si>
    <t>Карасев Михаил</t>
  </si>
  <si>
    <t>Открытая (04.06.1982)/38</t>
  </si>
  <si>
    <t>94,30</t>
  </si>
  <si>
    <t>Олзоев Борис</t>
  </si>
  <si>
    <t>Открытая (07.02.1990)/31</t>
  </si>
  <si>
    <t>98,50</t>
  </si>
  <si>
    <t>Соколов Александр</t>
  </si>
  <si>
    <t>Открытая (13.02.1985)/36</t>
  </si>
  <si>
    <t>99,40</t>
  </si>
  <si>
    <t>Ларионов Дмитрий</t>
  </si>
  <si>
    <t>94,70</t>
  </si>
  <si>
    <t xml:space="preserve">Чита/Забайкальский край </t>
  </si>
  <si>
    <t>Куркутов Руслан</t>
  </si>
  <si>
    <t>Открытая (04.08.1982)/38</t>
  </si>
  <si>
    <t>Файзулин Ренат</t>
  </si>
  <si>
    <t>117,20</t>
  </si>
  <si>
    <t>Швецов Антон</t>
  </si>
  <si>
    <t>Открытая (15.08.1990)/30</t>
  </si>
  <si>
    <t>123,50</t>
  </si>
  <si>
    <t>Воронцов Владислав</t>
  </si>
  <si>
    <t>121,60</t>
  </si>
  <si>
    <t>81,2325</t>
  </si>
  <si>
    <t>73,5375</t>
  </si>
  <si>
    <t>69,5970</t>
  </si>
  <si>
    <t>128,4800</t>
  </si>
  <si>
    <t>104,5770</t>
  </si>
  <si>
    <t>100,9580</t>
  </si>
  <si>
    <t>6</t>
  </si>
  <si>
    <t>Галеев Максим</t>
  </si>
  <si>
    <t>Открытая (18.11.1989)/31</t>
  </si>
  <si>
    <t>82,10</t>
  </si>
  <si>
    <t>Коликов Дмитрий</t>
  </si>
  <si>
    <t>Открытая (27.09.1988)/32</t>
  </si>
  <si>
    <t>92,60</t>
  </si>
  <si>
    <t>ВЕСОВАЯ КАТЕГОРИЯ   44</t>
  </si>
  <si>
    <t>Умнова Златослава</t>
  </si>
  <si>
    <t>Девушки 15-19 (04.08.2010)/10</t>
  </si>
  <si>
    <t>34,10</t>
  </si>
  <si>
    <t>Алексеева Анастасия</t>
  </si>
  <si>
    <t>Открытая (22.09.1996)/24</t>
  </si>
  <si>
    <t>Гороховская Екатерина</t>
  </si>
  <si>
    <t>61,70</t>
  </si>
  <si>
    <t>Пак Константин</t>
  </si>
  <si>
    <t>Открытая (23.07.1992)/28</t>
  </si>
  <si>
    <t>Антагаров Ширип</t>
  </si>
  <si>
    <t>Открытая (15.03.1990)/31</t>
  </si>
  <si>
    <t>72,70</t>
  </si>
  <si>
    <t>207,5</t>
  </si>
  <si>
    <t>Астафуров Денис</t>
  </si>
  <si>
    <t>Открытая (15.04.1982)/39</t>
  </si>
  <si>
    <t>Кравченко Антон</t>
  </si>
  <si>
    <t>Открытая (24.06.1983)/37</t>
  </si>
  <si>
    <t>122,70</t>
  </si>
  <si>
    <t>270,0</t>
  </si>
  <si>
    <t>Умнов Дмитрий</t>
  </si>
  <si>
    <t>Открытая (21.04.1983)/38</t>
  </si>
  <si>
    <t>120,40</t>
  </si>
  <si>
    <t>292,5</t>
  </si>
  <si>
    <t>Открытая (19.12.1980)/40</t>
  </si>
  <si>
    <t>Шабаров Сергей</t>
  </si>
  <si>
    <t>73,30</t>
  </si>
  <si>
    <t>197,5</t>
  </si>
  <si>
    <t>Загайнов Владимир</t>
  </si>
  <si>
    <t>Открытая (10.09.1979)/41</t>
  </si>
  <si>
    <t>108,00</t>
  </si>
  <si>
    <t>282,5</t>
  </si>
  <si>
    <t>160,3195</t>
  </si>
  <si>
    <t>155,3737</t>
  </si>
  <si>
    <t>151,3298</t>
  </si>
  <si>
    <t>Носова Екатерина</t>
  </si>
  <si>
    <t>Открытая (12.08.1985)/35</t>
  </si>
  <si>
    <t>51,70</t>
  </si>
  <si>
    <t>285,0</t>
  </si>
  <si>
    <t>Арсентьева Кристина</t>
  </si>
  <si>
    <t>71,80</t>
  </si>
  <si>
    <t>Лазаренко Виталий</t>
  </si>
  <si>
    <t>80,70</t>
  </si>
  <si>
    <t>Семичев Герман</t>
  </si>
  <si>
    <t>Открытая (11.05.1996)/24</t>
  </si>
  <si>
    <t>85,30</t>
  </si>
  <si>
    <t>Абрамов Константин</t>
  </si>
  <si>
    <t>69,20</t>
  </si>
  <si>
    <t xml:space="preserve">Михайловка/Иркутская </t>
  </si>
  <si>
    <t>Колодкин Сергей</t>
  </si>
  <si>
    <t>Открытая (08.10.1987)/33</t>
  </si>
  <si>
    <t>108,30</t>
  </si>
  <si>
    <t>22,5</t>
  </si>
  <si>
    <t>25,0</t>
  </si>
  <si>
    <t>Пальцев Евгений</t>
  </si>
  <si>
    <t>66,20</t>
  </si>
  <si>
    <t xml:space="preserve">Черемхово/Иркутская область </t>
  </si>
  <si>
    <t>Терехин Денис</t>
  </si>
  <si>
    <t>72,5</t>
  </si>
  <si>
    <t>Чемякин Андрей</t>
  </si>
  <si>
    <t>Открытая (14.02.1997)/24</t>
  </si>
  <si>
    <t>81,20</t>
  </si>
  <si>
    <t>Щеблицкий Дмитрий</t>
  </si>
  <si>
    <t>87,10</t>
  </si>
  <si>
    <t>Открытая (16.06.1999)/21</t>
  </si>
  <si>
    <t>Маркаданов Илья</t>
  </si>
  <si>
    <t>Открытая (30.07.1989)/31</t>
  </si>
  <si>
    <t>Анохов Олег</t>
  </si>
  <si>
    <t>Открытая (19.03.1982)/39</t>
  </si>
  <si>
    <t>93,30</t>
  </si>
  <si>
    <t>Очиров Баир</t>
  </si>
  <si>
    <t>Зарбаткин Данил</t>
  </si>
  <si>
    <t>72,50</t>
  </si>
  <si>
    <t xml:space="preserve">Еланцы/Иркутская </t>
  </si>
  <si>
    <t>Сумец Сергей</t>
  </si>
  <si>
    <t>Бимбаева Наталья</t>
  </si>
  <si>
    <t>20,0</t>
  </si>
  <si>
    <t>27,5</t>
  </si>
  <si>
    <t>30,0</t>
  </si>
  <si>
    <t>32,5</t>
  </si>
  <si>
    <t>Санников Артем</t>
  </si>
  <si>
    <t>51,30</t>
  </si>
  <si>
    <t>Туктаманов Артем</t>
  </si>
  <si>
    <t>Костенков Данила</t>
  </si>
  <si>
    <t>Маркелов Даниил</t>
  </si>
  <si>
    <t>Николаев Иван</t>
  </si>
  <si>
    <t>Открытая (29.12.1991)/29</t>
  </si>
  <si>
    <t>67,10</t>
  </si>
  <si>
    <t>Максимов Михаил</t>
  </si>
  <si>
    <t>74,00</t>
  </si>
  <si>
    <t>Стрелков Сергей</t>
  </si>
  <si>
    <t>70,60</t>
  </si>
  <si>
    <t>Харахинов Денис</t>
  </si>
  <si>
    <t>Открытая (15.02.1992)/29</t>
  </si>
  <si>
    <t>81,60</t>
  </si>
  <si>
    <t>Скрипка Максим</t>
  </si>
  <si>
    <t>Открытая (20.05.1988)/32</t>
  </si>
  <si>
    <t>Пшеничников Семен</t>
  </si>
  <si>
    <t>Открытая (09.07.1991)/29</t>
  </si>
  <si>
    <t>87,90</t>
  </si>
  <si>
    <t xml:space="preserve">Абдуллин М. </t>
  </si>
  <si>
    <t>Лезин Александр</t>
  </si>
  <si>
    <t>272,5</t>
  </si>
  <si>
    <t>Серебренников Вадим</t>
  </si>
  <si>
    <t>Открытая (01.06.1964)/56</t>
  </si>
  <si>
    <t>Анцупов Максим</t>
  </si>
  <si>
    <t>Открытая (01.12.1980)/40</t>
  </si>
  <si>
    <t>99,90</t>
  </si>
  <si>
    <t>Тяга</t>
  </si>
  <si>
    <t xml:space="preserve">Харохинов Д. </t>
  </si>
  <si>
    <t xml:space="preserve">Харахинов Д. </t>
  </si>
  <si>
    <t xml:space="preserve">Трифонов А. </t>
  </si>
  <si>
    <t>Свобода Е.</t>
  </si>
  <si>
    <t xml:space="preserve">Свобода Е. </t>
  </si>
  <si>
    <t xml:space="preserve">Вислогузов А. </t>
  </si>
  <si>
    <t>Чемякин А.</t>
  </si>
  <si>
    <t xml:space="preserve">Французов А. </t>
  </si>
  <si>
    <t xml:space="preserve">Констатов В. </t>
  </si>
  <si>
    <t>Кастанов В.</t>
  </si>
  <si>
    <t xml:space="preserve">Пшеничников С. </t>
  </si>
  <si>
    <t>Трифонов А.</t>
  </si>
  <si>
    <t xml:space="preserve">Блинов А. </t>
  </si>
  <si>
    <t>Орлов А.</t>
  </si>
  <si>
    <t>Старцев Ю.</t>
  </si>
  <si>
    <t xml:space="preserve">Нурутдинов М. </t>
  </si>
  <si>
    <t>Умнов Д.</t>
  </si>
  <si>
    <t>Соболев И.</t>
  </si>
  <si>
    <t>Французов А.</t>
  </si>
  <si>
    <t xml:space="preserve">Орлов А. </t>
  </si>
  <si>
    <t>Журавлев В.</t>
  </si>
  <si>
    <t>Вилков Д.</t>
  </si>
  <si>
    <t xml:space="preserve">Рябухин А. </t>
  </si>
  <si>
    <t xml:space="preserve">Загайнов В. </t>
  </si>
  <si>
    <t>Котов А.</t>
  </si>
  <si>
    <t>Тамбовцев Д.</t>
  </si>
  <si>
    <t>Гинтов Д.</t>
  </si>
  <si>
    <t>Комаров А.</t>
  </si>
  <si>
    <t>Доманских М.</t>
  </si>
  <si>
    <t>Бондарчук Р.</t>
  </si>
  <si>
    <t>Соболев Г.</t>
  </si>
  <si>
    <t>Дубинин М.</t>
  </si>
  <si>
    <t>Вернов Е.</t>
  </si>
  <si>
    <t xml:space="preserve">Вернов Е. </t>
  </si>
  <si>
    <t>Костанов В.</t>
  </si>
  <si>
    <t xml:space="preserve">Лаврентьев Н. </t>
  </si>
  <si>
    <t xml:space="preserve">Тамбовцев Д. </t>
  </si>
  <si>
    <t xml:space="preserve">Вилков Д. </t>
  </si>
  <si>
    <t xml:space="preserve">Старцев Ю. </t>
  </si>
  <si>
    <t xml:space="preserve">Шураев П. </t>
  </si>
  <si>
    <t xml:space="preserve">Доманских М. </t>
  </si>
  <si>
    <t>Всероссийский мастерский турнир "The Power of Siberia"
IPL Пауэрлифтинг без экипировки ДК
Иркутск/Иркутская область, 23-25 апреля 2021 года</t>
  </si>
  <si>
    <t>Всероссийский мастерский турнир "The Power of Siberia"
IPL Пауэрлифтинг без экипировки
Иркутск/Иркутская область, 23-25 апреля 2021 года</t>
  </si>
  <si>
    <t>Всероссийский мастерский турнир "The Power of Siberia"
IPL Пауэрлифтинг в бинтах ДК
Иркутск/Иркутская область, 23-25 апреля 2021 года</t>
  </si>
  <si>
    <t>Всероссийский мастерский турнир "The Power of Siberia"
IPL Пауэрлифтинг в бинтах
Иркутск/Иркутская область, 23-25 апреля 2021 года</t>
  </si>
  <si>
    <t>Всероссийский мастерский турнир "The Power of Siberia"
IPL Пауэрлифтинг в однослойной экипировке ДК
Иркутск/Иркутская область, 23-25 апреля 2021 года</t>
  </si>
  <si>
    <t>Всероссийский мастерский турнир "The Power of Siberia"
IPL Пауэрлифтинг в однослойной экипировке
Иркутск/Иркутская область, 23-25 апреля 2021 года</t>
  </si>
  <si>
    <t>Всероссийский мастерский турнир "The Power of Siberia"
IPL Силовое двоеборье без экипировки ДК
Иркутск/Иркутская область, 23-25 апреля 2021 года</t>
  </si>
  <si>
    <t>Всероссийский мастерский турнир "The Power of Siberia"
IPL Присед без экипировки ДК
Иркутск/Иркутская область, 23-25 апреля 2021 года</t>
  </si>
  <si>
    <t>Всероссийский мастерский турнир "The Power of Siberia"
IPL Присед без экипировки
Иркутск/Иркутская область, 23-25 апреля 2021 года</t>
  </si>
  <si>
    <t>Всероссийский мастерский турнир "The Power of Siberia"
IPL Присед в однослойной экипировке ДК
Иркутск/Иркутская область, 23-25 апреля 2021 года</t>
  </si>
  <si>
    <t>Всероссийский мастерский турнир "The Power of Siberia"
IPL Присед в однослойной экипировке
Иркутск/Иркутская область, 23-25 апреля 2021 года</t>
  </si>
  <si>
    <t>Всероссийский мастерский турнир "The Power of Siberia"
IPL Жим лежа без экипировки ДК
Иркутск/Иркутская область, 23-25 апреля 2021 года</t>
  </si>
  <si>
    <t>Всероссийский мастерский турнир "The Power of Siberia"
IPL Жим лежа без экипировки
Иркутск/Иркутская область, 23-25 апреля 2021 года</t>
  </si>
  <si>
    <t>Всероссийский мастерский турнир "The Power of Siberia"
IPL Жим лежа в однослойной экипировке ДК
Иркутск/Иркутская область, 23-25 апреля 2021 года</t>
  </si>
  <si>
    <t>Всероссийский мастерский турнир "The Power of Siberia"
IPL Жим лежа в однослойной экипировке
Иркутск/Иркутская область, 23-25 апреля 2021 года</t>
  </si>
  <si>
    <t>Всероссийский мастерский турнир "The Power of Siberia"
СПР Жим лежа в многопетельной софт экипировке
Иркутск/Иркутская область, 23-25 апреля 2021 года</t>
  </si>
  <si>
    <t>Всероссийский мастерский турнир "The Power of Siberia"
СПР Жим лежа в однопетельной софт экипировке ДК
Иркутск/Иркутская область, 23-25 апреля 2021 года</t>
  </si>
  <si>
    <t>Всероссийский мастерский турнир "The Power of Siberia"
СПР Жим лежа в однопетельной софт экипировке
Иркутск/Иркутская область, 23-25 апреля 2021 года</t>
  </si>
  <si>
    <t>Всероссийский мастерский турнир "The Power of Siberia"
IPL Становая тяга без экипировки ДК
Иркутск/Иркутская область, 23-25 апреля 2021 года</t>
  </si>
  <si>
    <t>Всероссийский мастерский турнир "The Power of Siberia"
IPL Становая тяга без экипировки
Иркутск/Иркутская область, 23-25 апреля 2021 года</t>
  </si>
  <si>
    <t>Всероссийский мастерский турнир "The Power of Siberia"
IPL Становая тяга в однослойной экипировке ДК
Иркутск/Иркутская область, 23-25 апреля 2021 года</t>
  </si>
  <si>
    <t>Всероссийский мастерский турнир "The Power of Siberia"
IPL Становая тяга в однослойной экипировке
Иркутск/Иркутская область, 23-25 апреля 2021 года</t>
  </si>
  <si>
    <t>Всероссийский мастерский турнир "The Power of Siberia"
СПР Пауэрспорт ДК
Иркутск/Иркутская область, 23-25 апреля 2021 года</t>
  </si>
  <si>
    <t>Всероссийский мастерский турнир "The Power of Siberia"
СПР Пауэрспорт
Иркутск/Иркутская область, 23-25 апреля 2021 года</t>
  </si>
  <si>
    <t>Всероссийский мастерский турнир "The Power of Siberia"
СПР Жим штанги стоя ДК
Иркутск/Иркутская область, 23-25 апреля 2021 года</t>
  </si>
  <si>
    <t>Всероссийский мастерский турнир "The Power of Siberia"
СПР Строгий подъем штанги на бицепс ДК
Иркутск/Иркутская область, 23-25 апреля 2021 года</t>
  </si>
  <si>
    <t>Всероссийский мастерский турнир "The Power of Siberia"
СПР Строгий подъем штанги на бицепс
Иркутск/Иркутская область, 23-25 апреля 2021 года</t>
  </si>
  <si>
    <t>Юниорки 20-23 (06.11.1998)/22</t>
  </si>
  <si>
    <t>Мастера 40-44 (05.07.1979)/41</t>
  </si>
  <si>
    <t>Юниоры 20-23 (03.03.1998)/23</t>
  </si>
  <si>
    <t>Мастера 40-44 (17.08.1976)/44</t>
  </si>
  <si>
    <t>Мастера 45-49 (24.04.1975)/46</t>
  </si>
  <si>
    <t>Мастера 45-49 (23.03.1973)/48</t>
  </si>
  <si>
    <t>Юниоры 20-23 (24.05.1999)/21</t>
  </si>
  <si>
    <t>Юниорки 20-23 (09.01.1999)/22</t>
  </si>
  <si>
    <t>Мастера 45-49 (21.04.1973)/48</t>
  </si>
  <si>
    <t>Юниоры 20-23 (10.06.1997)/23</t>
  </si>
  <si>
    <t>Мастера 45-49 (20.01.1973)/48</t>
  </si>
  <si>
    <t>Мастера 40-44 (15.03.1980)/41</t>
  </si>
  <si>
    <t>Мастера 40-44 (26.10.1977)/43</t>
  </si>
  <si>
    <t>Мастера 40-44 (10.10.1976)/44</t>
  </si>
  <si>
    <t>Мастера 40-44 (07.02.1981)/40</t>
  </si>
  <si>
    <t>Юниоры 20-23 (09.09.1997)/23</t>
  </si>
  <si>
    <t>Мастера 50-54 (03.05.1970)/50</t>
  </si>
  <si>
    <t>Мастера 40-44 (02.09.1976)/44</t>
  </si>
  <si>
    <t>Мастера 40-44 (11.08.1980)/40</t>
  </si>
  <si>
    <t>Мастера 40-44 (10.07.1979)/41</t>
  </si>
  <si>
    <t>Мастера 40-44 (01.02.1978)/43</t>
  </si>
  <si>
    <t>Мастера 45-49 (18.08.1973)/47</t>
  </si>
  <si>
    <t>Мастера 40-44 (18.10.1977)/43</t>
  </si>
  <si>
    <t>Мастера 40-49 (23.03.1973)/48</t>
  </si>
  <si>
    <t>Мастера 40-49 (21.04.1973)/48</t>
  </si>
  <si>
    <t>Мастера 40-49 (19.12.1980)/40</t>
  </si>
  <si>
    <t>Мастера 50-59 (01.06.1964)/56</t>
  </si>
  <si>
    <t>Мастера 40-49 (01.12.1980)/40</t>
  </si>
  <si>
    <t>Мастера 50-59 (03.06.1970)/50</t>
  </si>
  <si>
    <t>Мастера 40-44 (19.12.1980)/40</t>
  </si>
  <si>
    <t>Юниоры 20-23 (09.04.2001)/20</t>
  </si>
  <si>
    <t>Девушки 13-19 (14.01.2005)/16</t>
  </si>
  <si>
    <t>Юноши 13-19 (29.10.2006)/14</t>
  </si>
  <si>
    <t>Юноши 13-19 (18.04.2004)/17</t>
  </si>
  <si>
    <t>Юноши 13-19 (12.03.2003)/18</t>
  </si>
  <si>
    <t>Юноши 13-19 (20.06.2004)/16</t>
  </si>
  <si>
    <t>Юноши 13-19 (16.11.2002)/18</t>
  </si>
  <si>
    <t>Юноши 13-19 (09.07.2002)/18</t>
  </si>
  <si>
    <t>Юноши 13-19 (03.07.2003)/17</t>
  </si>
  <si>
    <t>Юниоры 20-23 (30.03.1988)/33</t>
  </si>
  <si>
    <t>Юноши 13-19 (04.06.2002)/18</t>
  </si>
  <si>
    <t>Юноши 13-19 (16.07.2002)/18</t>
  </si>
  <si>
    <t>Юноши 13-19 (21.12.2003)/17</t>
  </si>
  <si>
    <t>Юниоры 20-23 (18.07.2000)/20</t>
  </si>
  <si>
    <t>Юниоры 20-23 (13.05.1998)/22</t>
  </si>
  <si>
    <t>Юниоры 20-23 (16.06.1999)/21</t>
  </si>
  <si>
    <t>Женщины</t>
  </si>
  <si>
    <t>Весовая категория</t>
  </si>
  <si>
    <t xml:space="preserve">Улан-Удэ/Республика Бурятия </t>
  </si>
  <si>
    <t xml:space="preserve">Весовая категория </t>
  </si>
  <si>
    <t>Улан-Удэ/Республика Бурятия</t>
  </si>
  <si>
    <t>Еланцы/Иркутская область</t>
  </si>
  <si>
    <t>Открытая (30.03.1988)/33</t>
  </si>
  <si>
    <t>Михайловка/Иркутская область</t>
  </si>
  <si>
    <t>Жим</t>
  </si>
  <si>
    <t>№</t>
  </si>
  <si>
    <t xml:space="preserve">
Дата рождения/Возраст</t>
  </si>
  <si>
    <t>Возрастная группа</t>
  </si>
  <si>
    <t>O</t>
  </si>
  <si>
    <t>J</t>
  </si>
  <si>
    <t>T</t>
  </si>
  <si>
    <t>M1</t>
  </si>
  <si>
    <t>M2</t>
  </si>
  <si>
    <t>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</si>
</sst>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4"/>
      <name val="Arial Cyr"/>
      <charset val="204"/>
    </font>
    <font>
      <i/>
      <sz val="12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1" fillId="0" borderId="15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7" fillId="0" borderId="15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5" xfId="0" applyNumberFormat="1" applyFont="1" applyFill="1" applyBorder="1" applyAlignment="1">
      <alignment horizontal="center" vertical="center"/>
    </xf>
    <xf numFmtId="49" fontId="1" fillId="0" borderId="18" xfId="0" applyNumberFormat="1" applyFont="1" applyFill="1" applyBorder="1" applyAlignment="1">
      <alignment horizontal="center" vertical="center"/>
    </xf>
    <xf numFmtId="49" fontId="1" fillId="0" borderId="19" xfId="0" applyNumberFormat="1" applyFont="1" applyFill="1" applyBorder="1" applyAlignment="1">
      <alignment horizontal="center" vertical="center"/>
    </xf>
    <xf numFmtId="49" fontId="1" fillId="0" borderId="20" xfId="0" applyNumberFormat="1" applyFont="1" applyFill="1" applyBorder="1" applyAlignment="1">
      <alignment horizontal="center" vertical="center"/>
    </xf>
    <xf numFmtId="49" fontId="1" fillId="2" borderId="21" xfId="0" applyNumberFormat="1" applyFont="1" applyFill="1" applyBorder="1" applyAlignment="1">
      <alignment horizontal="center" vertical="center"/>
    </xf>
    <xf numFmtId="49" fontId="1" fillId="0" borderId="21" xfId="0" applyNumberFormat="1" applyFont="1" applyFill="1" applyBorder="1" applyAlignment="1">
      <alignment horizontal="center" vertical="center"/>
    </xf>
    <xf numFmtId="49" fontId="0" fillId="0" borderId="22" xfId="0" applyNumberFormat="1" applyFont="1" applyFill="1" applyBorder="1" applyAlignment="1">
      <alignment horizontal="center" vertical="center"/>
    </xf>
    <xf numFmtId="49" fontId="1" fillId="2" borderId="23" xfId="0" applyNumberFormat="1" applyFont="1" applyFill="1" applyBorder="1" applyAlignment="1">
      <alignment horizontal="center" vertical="center"/>
    </xf>
    <xf numFmtId="49" fontId="1" fillId="0" borderId="23" xfId="0" applyNumberFormat="1" applyFont="1" applyFill="1" applyBorder="1" applyAlignment="1">
      <alignment horizontal="center" vertical="center"/>
    </xf>
    <xf numFmtId="49" fontId="0" fillId="0" borderId="24" xfId="0" applyNumberFormat="1" applyFont="1" applyFill="1" applyBorder="1" applyAlignment="1">
      <alignment horizontal="center" vertical="center"/>
    </xf>
    <xf numFmtId="49" fontId="0" fillId="0" borderId="18" xfId="0" applyNumberFormat="1" applyFont="1" applyFill="1" applyBorder="1" applyAlignment="1">
      <alignment horizontal="center" vertical="center"/>
    </xf>
    <xf numFmtId="49" fontId="1" fillId="2" borderId="22" xfId="0" applyNumberFormat="1" applyFont="1" applyFill="1" applyBorder="1" applyAlignment="1">
      <alignment horizontal="center" vertical="center"/>
    </xf>
    <xf numFmtId="49" fontId="0" fillId="0" borderId="20" xfId="0" applyNumberFormat="1" applyFont="1" applyFill="1" applyBorder="1" applyAlignment="1">
      <alignment horizontal="center" vertical="center"/>
    </xf>
    <xf numFmtId="49" fontId="7" fillId="0" borderId="24" xfId="0" applyNumberFormat="1" applyFont="1" applyFill="1" applyBorder="1" applyAlignment="1">
      <alignment horizontal="center" vertical="center"/>
    </xf>
    <xf numFmtId="49" fontId="1" fillId="0" borderId="22" xfId="0" applyNumberFormat="1" applyFont="1" applyFill="1" applyBorder="1" applyAlignment="1">
      <alignment horizontal="center" vertical="center"/>
    </xf>
    <xf numFmtId="49" fontId="1" fillId="0" borderId="24" xfId="0" applyNumberFormat="1" applyFont="1" applyFill="1" applyBorder="1" applyAlignment="1">
      <alignment horizontal="center" vertical="center"/>
    </xf>
    <xf numFmtId="49" fontId="1" fillId="2" borderId="18" xfId="0" applyNumberFormat="1" applyFont="1" applyFill="1" applyBorder="1" applyAlignment="1">
      <alignment horizontal="center" vertical="center"/>
    </xf>
    <xf numFmtId="49" fontId="1" fillId="2" borderId="20" xfId="0" applyNumberFormat="1" applyFont="1" applyFill="1" applyBorder="1" applyAlignment="1">
      <alignment horizontal="center" vertical="center"/>
    </xf>
    <xf numFmtId="49" fontId="7" fillId="0" borderId="22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U71"/>
  <sheetViews>
    <sheetView topLeftCell="A14" workbookViewId="0">
      <selection activeCell="E54" sqref="E54"/>
    </sheetView>
  </sheetViews>
  <sheetFormatPr baseColWidth="10" defaultColWidth="9.1640625" defaultRowHeight="13"/>
  <cols>
    <col min="1" max="1" width="7.1640625" style="5" bestFit="1" customWidth="1"/>
    <col min="2" max="2" width="27.6640625" style="5" bestFit="1" customWidth="1"/>
    <col min="3" max="3" width="28.83203125" style="5" bestFit="1" customWidth="1"/>
    <col min="4" max="4" width="20.83203125" style="5" bestFit="1" customWidth="1"/>
    <col min="5" max="5" width="10.1640625" style="5" bestFit="1" customWidth="1"/>
    <col min="6" max="6" width="25.6640625" style="5" bestFit="1" customWidth="1"/>
    <col min="7" max="9" width="5.5" style="6" customWidth="1"/>
    <col min="10" max="10" width="4.5" style="6" customWidth="1"/>
    <col min="11" max="13" width="5.5" style="6" customWidth="1"/>
    <col min="14" max="14" width="4.5" style="6" customWidth="1"/>
    <col min="15" max="17" width="5.5" style="6" customWidth="1"/>
    <col min="18" max="18" width="4.5" style="6" customWidth="1"/>
    <col min="19" max="19" width="7.6640625" style="29" bestFit="1" customWidth="1"/>
    <col min="20" max="20" width="8.5" style="6" bestFit="1" customWidth="1"/>
    <col min="21" max="21" width="19.5" style="5" bestFit="1" customWidth="1"/>
    <col min="22" max="16384" width="9.1640625" style="3"/>
  </cols>
  <sheetData>
    <row r="1" spans="1:21" s="2" customFormat="1" ht="29" customHeight="1">
      <c r="A1" s="64" t="s">
        <v>633</v>
      </c>
      <c r="B1" s="65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7"/>
    </row>
    <row r="2" spans="1:21" s="2" customFormat="1" ht="62" customHeight="1" thickBot="1">
      <c r="A2" s="68"/>
      <c r="B2" s="69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1"/>
    </row>
    <row r="3" spans="1:21" s="1" customFormat="1" ht="12.75" customHeight="1">
      <c r="A3" s="72" t="s">
        <v>715</v>
      </c>
      <c r="B3" s="62" t="s">
        <v>0</v>
      </c>
      <c r="C3" s="74" t="s">
        <v>716</v>
      </c>
      <c r="D3" s="74" t="s">
        <v>6</v>
      </c>
      <c r="E3" s="56" t="s">
        <v>717</v>
      </c>
      <c r="F3" s="56" t="s">
        <v>5</v>
      </c>
      <c r="G3" s="56" t="s">
        <v>9</v>
      </c>
      <c r="H3" s="56"/>
      <c r="I3" s="56"/>
      <c r="J3" s="56"/>
      <c r="K3" s="56" t="s">
        <v>10</v>
      </c>
      <c r="L3" s="56"/>
      <c r="M3" s="56"/>
      <c r="N3" s="56"/>
      <c r="O3" s="56" t="s">
        <v>11</v>
      </c>
      <c r="P3" s="56"/>
      <c r="Q3" s="56"/>
      <c r="R3" s="56"/>
      <c r="S3" s="54" t="s">
        <v>1</v>
      </c>
      <c r="T3" s="56" t="s">
        <v>3</v>
      </c>
      <c r="U3" s="58" t="s">
        <v>2</v>
      </c>
    </row>
    <row r="4" spans="1:21" s="1" customFormat="1" ht="21" customHeight="1" thickBot="1">
      <c r="A4" s="73"/>
      <c r="B4" s="63"/>
      <c r="C4" s="57"/>
      <c r="D4" s="57"/>
      <c r="E4" s="57"/>
      <c r="F4" s="57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5"/>
      <c r="T4" s="57"/>
      <c r="U4" s="59"/>
    </row>
    <row r="5" spans="1:21" ht="16">
      <c r="A5" s="60" t="s">
        <v>57</v>
      </c>
      <c r="B5" s="60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</row>
    <row r="6" spans="1:21">
      <c r="A6" s="9" t="s">
        <v>47</v>
      </c>
      <c r="B6" s="8" t="s">
        <v>58</v>
      </c>
      <c r="C6" s="8" t="s">
        <v>59</v>
      </c>
      <c r="D6" s="8" t="s">
        <v>60</v>
      </c>
      <c r="E6" s="8" t="s">
        <v>718</v>
      </c>
      <c r="F6" s="8" t="s">
        <v>708</v>
      </c>
      <c r="G6" s="17" t="s">
        <v>61</v>
      </c>
      <c r="H6" s="17" t="s">
        <v>62</v>
      </c>
      <c r="I6" s="18" t="s">
        <v>63</v>
      </c>
      <c r="J6" s="9"/>
      <c r="K6" s="17" t="s">
        <v>64</v>
      </c>
      <c r="L6" s="17" t="s">
        <v>65</v>
      </c>
      <c r="M6" s="18" t="s">
        <v>66</v>
      </c>
      <c r="N6" s="9"/>
      <c r="O6" s="17" t="s">
        <v>61</v>
      </c>
      <c r="P6" s="17" t="s">
        <v>67</v>
      </c>
      <c r="Q6" s="17" t="s">
        <v>68</v>
      </c>
      <c r="R6" s="9"/>
      <c r="S6" s="30" t="str">
        <f>"275,0"</f>
        <v>275,0</v>
      </c>
      <c r="T6" s="9" t="str">
        <f>"347,4625"</f>
        <v>347,4625</v>
      </c>
      <c r="U6" s="8" t="s">
        <v>595</v>
      </c>
    </row>
    <row r="7" spans="1:21">
      <c r="A7" s="25" t="s">
        <v>172</v>
      </c>
      <c r="B7" s="24" t="s">
        <v>175</v>
      </c>
      <c r="C7" s="24" t="s">
        <v>176</v>
      </c>
      <c r="D7" s="24" t="s">
        <v>60</v>
      </c>
      <c r="E7" s="24" t="s">
        <v>718</v>
      </c>
      <c r="F7" s="24" t="s">
        <v>108</v>
      </c>
      <c r="G7" s="26" t="s">
        <v>76</v>
      </c>
      <c r="H7" s="27" t="s">
        <v>77</v>
      </c>
      <c r="I7" s="27" t="s">
        <v>77</v>
      </c>
      <c r="J7" s="25"/>
      <c r="K7" s="26" t="s">
        <v>177</v>
      </c>
      <c r="L7" s="27" t="s">
        <v>92</v>
      </c>
      <c r="M7" s="27" t="s">
        <v>92</v>
      </c>
      <c r="N7" s="25"/>
      <c r="O7" s="26" t="s">
        <v>62</v>
      </c>
      <c r="P7" s="26" t="s">
        <v>63</v>
      </c>
      <c r="Q7" s="26" t="s">
        <v>68</v>
      </c>
      <c r="R7" s="25"/>
      <c r="S7" s="31" t="str">
        <f>"262,5"</f>
        <v>262,5</v>
      </c>
      <c r="T7" s="25" t="str">
        <f>"331,6687"</f>
        <v>331,6687</v>
      </c>
      <c r="U7" s="24" t="s">
        <v>627</v>
      </c>
    </row>
    <row r="8" spans="1:21">
      <c r="A8" s="25" t="s">
        <v>173</v>
      </c>
      <c r="B8" s="24" t="s">
        <v>178</v>
      </c>
      <c r="C8" s="24" t="s">
        <v>179</v>
      </c>
      <c r="D8" s="24" t="s">
        <v>180</v>
      </c>
      <c r="E8" s="24" t="s">
        <v>718</v>
      </c>
      <c r="F8" s="24" t="s">
        <v>108</v>
      </c>
      <c r="G8" s="27" t="s">
        <v>56</v>
      </c>
      <c r="H8" s="27" t="s">
        <v>56</v>
      </c>
      <c r="I8" s="26" t="s">
        <v>56</v>
      </c>
      <c r="J8" s="25"/>
      <c r="K8" s="26" t="s">
        <v>66</v>
      </c>
      <c r="L8" s="27" t="s">
        <v>181</v>
      </c>
      <c r="M8" s="27" t="s">
        <v>181</v>
      </c>
      <c r="N8" s="25"/>
      <c r="O8" s="26" t="s">
        <v>56</v>
      </c>
      <c r="P8" s="26" t="s">
        <v>76</v>
      </c>
      <c r="Q8" s="27" t="s">
        <v>110</v>
      </c>
      <c r="R8" s="25"/>
      <c r="S8" s="31" t="str">
        <f>"215,0"</f>
        <v>215,0</v>
      </c>
      <c r="T8" s="25" t="str">
        <f>"268,4275"</f>
        <v>268,4275</v>
      </c>
      <c r="U8" s="24"/>
    </row>
    <row r="9" spans="1:21">
      <c r="A9" s="11" t="s">
        <v>174</v>
      </c>
      <c r="B9" s="10" t="s">
        <v>182</v>
      </c>
      <c r="C9" s="10" t="s">
        <v>183</v>
      </c>
      <c r="D9" s="10" t="s">
        <v>184</v>
      </c>
      <c r="E9" s="10" t="s">
        <v>718</v>
      </c>
      <c r="F9" s="10" t="s">
        <v>108</v>
      </c>
      <c r="G9" s="20" t="s">
        <v>94</v>
      </c>
      <c r="H9" s="19" t="s">
        <v>94</v>
      </c>
      <c r="I9" s="20" t="s">
        <v>185</v>
      </c>
      <c r="J9" s="11"/>
      <c r="K9" s="19" t="s">
        <v>186</v>
      </c>
      <c r="L9" s="20" t="s">
        <v>64</v>
      </c>
      <c r="M9" s="20" t="s">
        <v>64</v>
      </c>
      <c r="N9" s="11"/>
      <c r="O9" s="19" t="s">
        <v>73</v>
      </c>
      <c r="P9" s="19" t="s">
        <v>76</v>
      </c>
      <c r="Q9" s="19" t="s">
        <v>77</v>
      </c>
      <c r="R9" s="11"/>
      <c r="S9" s="32" t="str">
        <f>"195,0"</f>
        <v>195,0</v>
      </c>
      <c r="T9" s="11" t="str">
        <f>"248,2350"</f>
        <v>248,2350</v>
      </c>
      <c r="U9" s="10" t="s">
        <v>628</v>
      </c>
    </row>
    <row r="10" spans="1:21">
      <c r="B10" s="5" t="s">
        <v>8</v>
      </c>
    </row>
    <row r="11" spans="1:21" ht="16">
      <c r="A11" s="52" t="s">
        <v>187</v>
      </c>
      <c r="B11" s="52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</row>
    <row r="12" spans="1:21">
      <c r="A12" s="21" t="s">
        <v>47</v>
      </c>
      <c r="B12" s="15" t="s">
        <v>188</v>
      </c>
      <c r="C12" s="15" t="s">
        <v>189</v>
      </c>
      <c r="D12" s="15" t="s">
        <v>190</v>
      </c>
      <c r="E12" s="15" t="s">
        <v>718</v>
      </c>
      <c r="F12" s="15" t="s">
        <v>108</v>
      </c>
      <c r="G12" s="23" t="s">
        <v>73</v>
      </c>
      <c r="H12" s="22" t="s">
        <v>73</v>
      </c>
      <c r="I12" s="22" t="s">
        <v>77</v>
      </c>
      <c r="J12" s="21"/>
      <c r="K12" s="22" t="s">
        <v>191</v>
      </c>
      <c r="L12" s="22" t="s">
        <v>93</v>
      </c>
      <c r="M12" s="23" t="s">
        <v>192</v>
      </c>
      <c r="N12" s="21"/>
      <c r="O12" s="22" t="s">
        <v>61</v>
      </c>
      <c r="P12" s="22" t="s">
        <v>62</v>
      </c>
      <c r="Q12" s="22" t="s">
        <v>68</v>
      </c>
      <c r="R12" s="21"/>
      <c r="S12" s="33" t="str">
        <f>"277,5"</f>
        <v>277,5</v>
      </c>
      <c r="T12" s="21" t="str">
        <f>"326,5065"</f>
        <v>326,5065</v>
      </c>
      <c r="U12" s="15" t="s">
        <v>611</v>
      </c>
    </row>
    <row r="13" spans="1:21">
      <c r="B13" s="5" t="s">
        <v>8</v>
      </c>
    </row>
    <row r="14" spans="1:21" ht="16">
      <c r="A14" s="52" t="s">
        <v>69</v>
      </c>
      <c r="B14" s="52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</row>
    <row r="15" spans="1:21">
      <c r="A15" s="21" t="s">
        <v>47</v>
      </c>
      <c r="B15" s="15" t="s">
        <v>193</v>
      </c>
      <c r="C15" s="15" t="s">
        <v>194</v>
      </c>
      <c r="D15" s="15" t="s">
        <v>195</v>
      </c>
      <c r="E15" s="15" t="s">
        <v>718</v>
      </c>
      <c r="F15" s="15" t="s">
        <v>101</v>
      </c>
      <c r="G15" s="22" t="s">
        <v>56</v>
      </c>
      <c r="H15" s="22" t="s">
        <v>74</v>
      </c>
      <c r="I15" s="22" t="s">
        <v>77</v>
      </c>
      <c r="J15" s="21"/>
      <c r="K15" s="22" t="s">
        <v>66</v>
      </c>
      <c r="L15" s="22" t="s">
        <v>181</v>
      </c>
      <c r="M15" s="23" t="s">
        <v>92</v>
      </c>
      <c r="N15" s="21"/>
      <c r="O15" s="22" t="s">
        <v>67</v>
      </c>
      <c r="P15" s="22" t="s">
        <v>196</v>
      </c>
      <c r="Q15" s="22" t="s">
        <v>197</v>
      </c>
      <c r="R15" s="21"/>
      <c r="S15" s="33" t="str">
        <f>"272,5"</f>
        <v>272,5</v>
      </c>
      <c r="T15" s="21" t="str">
        <f>"317,5170"</f>
        <v>317,5170</v>
      </c>
      <c r="U15" s="15" t="s">
        <v>143</v>
      </c>
    </row>
    <row r="16" spans="1:21">
      <c r="B16" s="5" t="s">
        <v>8</v>
      </c>
    </row>
    <row r="17" spans="1:21" ht="16">
      <c r="A17" s="52" t="s">
        <v>49</v>
      </c>
      <c r="B17" s="52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</row>
    <row r="18" spans="1:21">
      <c r="A18" s="21" t="s">
        <v>47</v>
      </c>
      <c r="B18" s="15" t="s">
        <v>198</v>
      </c>
      <c r="C18" s="15" t="s">
        <v>660</v>
      </c>
      <c r="D18" s="15" t="s">
        <v>199</v>
      </c>
      <c r="E18" s="15" t="s">
        <v>719</v>
      </c>
      <c r="F18" s="15" t="s">
        <v>108</v>
      </c>
      <c r="G18" s="22" t="s">
        <v>96</v>
      </c>
      <c r="H18" s="22" t="s">
        <v>94</v>
      </c>
      <c r="I18" s="22" t="s">
        <v>185</v>
      </c>
      <c r="J18" s="21"/>
      <c r="K18" s="22" t="s">
        <v>64</v>
      </c>
      <c r="L18" s="22" t="s">
        <v>66</v>
      </c>
      <c r="M18" s="23" t="s">
        <v>200</v>
      </c>
      <c r="N18" s="21"/>
      <c r="O18" s="22" t="s">
        <v>55</v>
      </c>
      <c r="P18" s="22" t="s">
        <v>56</v>
      </c>
      <c r="Q18" s="22" t="s">
        <v>76</v>
      </c>
      <c r="R18" s="21"/>
      <c r="S18" s="33" t="str">
        <f>"205,0"</f>
        <v>205,0</v>
      </c>
      <c r="T18" s="21" t="str">
        <f>"215,0655"</f>
        <v>215,0655</v>
      </c>
      <c r="U18" s="15"/>
    </row>
    <row r="19" spans="1:21">
      <c r="B19" s="5" t="s">
        <v>8</v>
      </c>
    </row>
    <row r="20" spans="1:21" ht="16">
      <c r="A20" s="52" t="s">
        <v>87</v>
      </c>
      <c r="B20" s="52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</row>
    <row r="21" spans="1:21">
      <c r="A21" s="21" t="s">
        <v>48</v>
      </c>
      <c r="B21" s="15" t="s">
        <v>88</v>
      </c>
      <c r="C21" s="15" t="s">
        <v>89</v>
      </c>
      <c r="D21" s="15" t="s">
        <v>90</v>
      </c>
      <c r="E21" s="15" t="s">
        <v>718</v>
      </c>
      <c r="F21" s="15" t="s">
        <v>708</v>
      </c>
      <c r="G21" s="23" t="s">
        <v>68</v>
      </c>
      <c r="H21" s="23" t="s">
        <v>54</v>
      </c>
      <c r="I21" s="23" t="s">
        <v>54</v>
      </c>
      <c r="J21" s="21"/>
      <c r="K21" s="21"/>
      <c r="L21" s="23"/>
      <c r="M21" s="23"/>
      <c r="N21" s="21"/>
      <c r="O21" s="21"/>
      <c r="P21" s="21"/>
      <c r="Q21" s="21"/>
      <c r="R21" s="21"/>
      <c r="S21" s="33">
        <v>0</v>
      </c>
      <c r="T21" s="21" t="str">
        <f>"0,0000"</f>
        <v>0,0000</v>
      </c>
      <c r="U21" s="15" t="s">
        <v>596</v>
      </c>
    </row>
    <row r="22" spans="1:21">
      <c r="B22" s="5" t="s">
        <v>8</v>
      </c>
    </row>
    <row r="23" spans="1:21" ht="16">
      <c r="A23" s="52" t="s">
        <v>187</v>
      </c>
      <c r="B23" s="52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</row>
    <row r="24" spans="1:21">
      <c r="A24" s="21" t="s">
        <v>47</v>
      </c>
      <c r="B24" s="15" t="s">
        <v>201</v>
      </c>
      <c r="C24" s="15" t="s">
        <v>202</v>
      </c>
      <c r="D24" s="15" t="s">
        <v>203</v>
      </c>
      <c r="E24" s="15" t="s">
        <v>720</v>
      </c>
      <c r="F24" s="15" t="s">
        <v>108</v>
      </c>
      <c r="G24" s="22" t="s">
        <v>55</v>
      </c>
      <c r="H24" s="22" t="s">
        <v>56</v>
      </c>
      <c r="I24" s="22" t="s">
        <v>73</v>
      </c>
      <c r="J24" s="21"/>
      <c r="K24" s="22" t="s">
        <v>177</v>
      </c>
      <c r="L24" s="22" t="s">
        <v>191</v>
      </c>
      <c r="M24" s="22" t="s">
        <v>96</v>
      </c>
      <c r="N24" s="21"/>
      <c r="O24" s="22" t="s">
        <v>76</v>
      </c>
      <c r="P24" s="23" t="s">
        <v>61</v>
      </c>
      <c r="Q24" s="22" t="s">
        <v>61</v>
      </c>
      <c r="R24" s="21"/>
      <c r="S24" s="33" t="str">
        <f>"250,0"</f>
        <v>250,0</v>
      </c>
      <c r="T24" s="21" t="str">
        <f>"232,5000"</f>
        <v>232,5000</v>
      </c>
      <c r="U24" s="15" t="s">
        <v>613</v>
      </c>
    </row>
    <row r="25" spans="1:21">
      <c r="B25" s="5" t="s">
        <v>8</v>
      </c>
    </row>
    <row r="26" spans="1:21" ht="16">
      <c r="A26" s="52" t="s">
        <v>49</v>
      </c>
      <c r="B26" s="52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</row>
    <row r="27" spans="1:21">
      <c r="A27" s="21" t="s">
        <v>47</v>
      </c>
      <c r="B27" s="15" t="s">
        <v>204</v>
      </c>
      <c r="C27" s="15" t="s">
        <v>205</v>
      </c>
      <c r="D27" s="15" t="s">
        <v>206</v>
      </c>
      <c r="E27" s="15" t="s">
        <v>720</v>
      </c>
      <c r="F27" s="15" t="s">
        <v>108</v>
      </c>
      <c r="G27" s="22" t="s">
        <v>141</v>
      </c>
      <c r="H27" s="22" t="s">
        <v>120</v>
      </c>
      <c r="I27" s="22" t="s">
        <v>33</v>
      </c>
      <c r="J27" s="21"/>
      <c r="K27" s="22" t="s">
        <v>68</v>
      </c>
      <c r="L27" s="22" t="s">
        <v>82</v>
      </c>
      <c r="M27" s="22" t="s">
        <v>19</v>
      </c>
      <c r="N27" s="21"/>
      <c r="O27" s="22" t="s">
        <v>21</v>
      </c>
      <c r="P27" s="22" t="s">
        <v>26</v>
      </c>
      <c r="Q27" s="22" t="s">
        <v>16</v>
      </c>
      <c r="R27" s="21"/>
      <c r="S27" s="33" t="str">
        <f>"510,0"</f>
        <v>510,0</v>
      </c>
      <c r="T27" s="21" t="str">
        <f>"393,2100"</f>
        <v>393,2100</v>
      </c>
      <c r="U27" s="15"/>
    </row>
    <row r="28" spans="1:21">
      <c r="B28" s="5" t="s">
        <v>8</v>
      </c>
    </row>
    <row r="29" spans="1:21" ht="16">
      <c r="A29" s="52" t="s">
        <v>87</v>
      </c>
      <c r="B29" s="52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</row>
    <row r="30" spans="1:21">
      <c r="A30" s="21" t="s">
        <v>48</v>
      </c>
      <c r="B30" s="15" t="s">
        <v>207</v>
      </c>
      <c r="C30" s="15" t="s">
        <v>661</v>
      </c>
      <c r="D30" s="15" t="s">
        <v>208</v>
      </c>
      <c r="E30" s="15" t="s">
        <v>721</v>
      </c>
      <c r="F30" s="15" t="s">
        <v>108</v>
      </c>
      <c r="G30" s="22" t="s">
        <v>109</v>
      </c>
      <c r="H30" s="23" t="s">
        <v>120</v>
      </c>
      <c r="I30" s="23" t="s">
        <v>120</v>
      </c>
      <c r="J30" s="21"/>
      <c r="K30" s="22" t="s">
        <v>196</v>
      </c>
      <c r="L30" s="23" t="s">
        <v>197</v>
      </c>
      <c r="M30" s="22" t="s">
        <v>197</v>
      </c>
      <c r="N30" s="21"/>
      <c r="O30" s="23" t="s">
        <v>33</v>
      </c>
      <c r="P30" s="23" t="s">
        <v>34</v>
      </c>
      <c r="Q30" s="23" t="s">
        <v>34</v>
      </c>
      <c r="R30" s="21"/>
      <c r="S30" s="33">
        <v>0</v>
      </c>
      <c r="T30" s="21" t="str">
        <f>"0,0000"</f>
        <v>0,0000</v>
      </c>
      <c r="U30" s="15"/>
    </row>
    <row r="31" spans="1:21">
      <c r="B31" s="5" t="s">
        <v>8</v>
      </c>
    </row>
    <row r="32" spans="1:21" ht="16">
      <c r="A32" s="52" t="s">
        <v>97</v>
      </c>
      <c r="B32" s="52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</row>
    <row r="33" spans="1:21">
      <c r="A33" s="9" t="s">
        <v>47</v>
      </c>
      <c r="B33" s="8" t="s">
        <v>209</v>
      </c>
      <c r="C33" s="8" t="s">
        <v>210</v>
      </c>
      <c r="D33" s="8" t="s">
        <v>211</v>
      </c>
      <c r="E33" s="8" t="s">
        <v>718</v>
      </c>
      <c r="F33" s="8" t="s">
        <v>108</v>
      </c>
      <c r="G33" s="17" t="s">
        <v>33</v>
      </c>
      <c r="H33" s="17" t="s">
        <v>34</v>
      </c>
      <c r="I33" s="17" t="s">
        <v>35</v>
      </c>
      <c r="J33" s="9"/>
      <c r="K33" s="17" t="s">
        <v>82</v>
      </c>
      <c r="L33" s="17" t="s">
        <v>19</v>
      </c>
      <c r="M33" s="17" t="s">
        <v>20</v>
      </c>
      <c r="N33" s="9"/>
      <c r="O33" s="17" t="s">
        <v>27</v>
      </c>
      <c r="P33" s="18" t="s">
        <v>18</v>
      </c>
      <c r="Q33" s="17" t="s">
        <v>18</v>
      </c>
      <c r="R33" s="9"/>
      <c r="S33" s="30" t="str">
        <f>"560,0"</f>
        <v>560,0</v>
      </c>
      <c r="T33" s="9" t="str">
        <f>"379,9600"</f>
        <v>379,9600</v>
      </c>
      <c r="U33" s="8"/>
    </row>
    <row r="34" spans="1:21">
      <c r="A34" s="25" t="s">
        <v>172</v>
      </c>
      <c r="B34" s="24" t="s">
        <v>212</v>
      </c>
      <c r="C34" s="24" t="s">
        <v>213</v>
      </c>
      <c r="D34" s="24" t="s">
        <v>214</v>
      </c>
      <c r="E34" s="24" t="s">
        <v>718</v>
      </c>
      <c r="F34" s="24" t="s">
        <v>53</v>
      </c>
      <c r="G34" s="26" t="s">
        <v>109</v>
      </c>
      <c r="H34" s="26" t="s">
        <v>121</v>
      </c>
      <c r="I34" s="27" t="s">
        <v>102</v>
      </c>
      <c r="J34" s="25"/>
      <c r="K34" s="26" t="s">
        <v>54</v>
      </c>
      <c r="L34" s="26" t="s">
        <v>19</v>
      </c>
      <c r="M34" s="26" t="s">
        <v>20</v>
      </c>
      <c r="N34" s="25"/>
      <c r="O34" s="27" t="s">
        <v>21</v>
      </c>
      <c r="P34" s="26" t="s">
        <v>16</v>
      </c>
      <c r="Q34" s="26" t="s">
        <v>22</v>
      </c>
      <c r="R34" s="25"/>
      <c r="S34" s="31" t="str">
        <f>"532,5"</f>
        <v>532,5</v>
      </c>
      <c r="T34" s="25" t="str">
        <f>"356,7218"</f>
        <v>356,7218</v>
      </c>
      <c r="U34" s="24"/>
    </row>
    <row r="35" spans="1:21">
      <c r="A35" s="25" t="s">
        <v>173</v>
      </c>
      <c r="B35" s="24" t="s">
        <v>215</v>
      </c>
      <c r="C35" s="24" t="s">
        <v>216</v>
      </c>
      <c r="D35" s="24" t="s">
        <v>217</v>
      </c>
      <c r="E35" s="24" t="s">
        <v>718</v>
      </c>
      <c r="F35" s="24" t="s">
        <v>108</v>
      </c>
      <c r="G35" s="26" t="s">
        <v>109</v>
      </c>
      <c r="H35" s="26" t="s">
        <v>218</v>
      </c>
      <c r="I35" s="26" t="s">
        <v>125</v>
      </c>
      <c r="J35" s="25"/>
      <c r="K35" s="26" t="s">
        <v>110</v>
      </c>
      <c r="L35" s="26" t="s">
        <v>62</v>
      </c>
      <c r="M35" s="26" t="s">
        <v>68</v>
      </c>
      <c r="N35" s="25"/>
      <c r="O35" s="27" t="s">
        <v>121</v>
      </c>
      <c r="P35" s="26" t="s">
        <v>102</v>
      </c>
      <c r="Q35" s="26" t="s">
        <v>26</v>
      </c>
      <c r="R35" s="25"/>
      <c r="S35" s="31" t="str">
        <f>"497,5"</f>
        <v>497,5</v>
      </c>
      <c r="T35" s="25" t="str">
        <f>"336,0115"</f>
        <v>336,0115</v>
      </c>
      <c r="U35" s="24"/>
    </row>
    <row r="36" spans="1:21">
      <c r="A36" s="25" t="s">
        <v>174</v>
      </c>
      <c r="B36" s="24" t="s">
        <v>219</v>
      </c>
      <c r="C36" s="24" t="s">
        <v>220</v>
      </c>
      <c r="D36" s="24" t="s">
        <v>221</v>
      </c>
      <c r="E36" s="24" t="s">
        <v>718</v>
      </c>
      <c r="F36" s="24" t="s">
        <v>222</v>
      </c>
      <c r="G36" s="26" t="s">
        <v>109</v>
      </c>
      <c r="H36" s="27" t="s">
        <v>121</v>
      </c>
      <c r="I36" s="27" t="s">
        <v>121</v>
      </c>
      <c r="J36" s="25"/>
      <c r="K36" s="26" t="s">
        <v>82</v>
      </c>
      <c r="L36" s="27" t="s">
        <v>153</v>
      </c>
      <c r="M36" s="27" t="s">
        <v>153</v>
      </c>
      <c r="N36" s="25"/>
      <c r="O36" s="26" t="s">
        <v>26</v>
      </c>
      <c r="P36" s="27" t="s">
        <v>22</v>
      </c>
      <c r="Q36" s="27" t="s">
        <v>17</v>
      </c>
      <c r="R36" s="25"/>
      <c r="S36" s="31" t="str">
        <f>"490,0"</f>
        <v>490,0</v>
      </c>
      <c r="T36" s="25" t="str">
        <f>"329,4760"</f>
        <v>329,4760</v>
      </c>
      <c r="U36" s="24" t="s">
        <v>602</v>
      </c>
    </row>
    <row r="37" spans="1:21">
      <c r="A37" s="11" t="s">
        <v>271</v>
      </c>
      <c r="B37" s="10" t="s">
        <v>223</v>
      </c>
      <c r="C37" s="10" t="s">
        <v>224</v>
      </c>
      <c r="D37" s="10" t="s">
        <v>225</v>
      </c>
      <c r="E37" s="10" t="s">
        <v>718</v>
      </c>
      <c r="F37" s="10" t="s">
        <v>108</v>
      </c>
      <c r="G37" s="19" t="s">
        <v>85</v>
      </c>
      <c r="H37" s="19" t="s">
        <v>109</v>
      </c>
      <c r="I37" s="20" t="s">
        <v>33</v>
      </c>
      <c r="J37" s="11"/>
      <c r="K37" s="19" t="s">
        <v>76</v>
      </c>
      <c r="L37" s="19" t="s">
        <v>110</v>
      </c>
      <c r="M37" s="19" t="s">
        <v>226</v>
      </c>
      <c r="N37" s="11"/>
      <c r="O37" s="19" t="s">
        <v>120</v>
      </c>
      <c r="P37" s="19" t="s">
        <v>125</v>
      </c>
      <c r="Q37" s="19" t="s">
        <v>35</v>
      </c>
      <c r="R37" s="11"/>
      <c r="S37" s="32" t="str">
        <f>"455,0"</f>
        <v>455,0</v>
      </c>
      <c r="T37" s="11" t="str">
        <f>"306,3970"</f>
        <v>306,3970</v>
      </c>
      <c r="U37" s="10" t="s">
        <v>629</v>
      </c>
    </row>
    <row r="38" spans="1:21">
      <c r="B38" s="5" t="s">
        <v>8</v>
      </c>
    </row>
    <row r="39" spans="1:21" ht="16">
      <c r="A39" s="52" t="s">
        <v>12</v>
      </c>
      <c r="B39" s="52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</row>
    <row r="40" spans="1:21">
      <c r="A40" s="9" t="s">
        <v>47</v>
      </c>
      <c r="B40" s="8" t="s">
        <v>227</v>
      </c>
      <c r="C40" s="8" t="s">
        <v>662</v>
      </c>
      <c r="D40" s="8" t="s">
        <v>228</v>
      </c>
      <c r="E40" s="8" t="s">
        <v>719</v>
      </c>
      <c r="F40" s="8" t="s">
        <v>108</v>
      </c>
      <c r="G40" s="17" t="s">
        <v>67</v>
      </c>
      <c r="H40" s="18" t="s">
        <v>54</v>
      </c>
      <c r="I40" s="17" t="s">
        <v>54</v>
      </c>
      <c r="J40" s="9"/>
      <c r="K40" s="17" t="s">
        <v>110</v>
      </c>
      <c r="L40" s="18" t="s">
        <v>61</v>
      </c>
      <c r="M40" s="17" t="s">
        <v>111</v>
      </c>
      <c r="N40" s="9"/>
      <c r="O40" s="17" t="s">
        <v>109</v>
      </c>
      <c r="P40" s="17" t="s">
        <v>130</v>
      </c>
      <c r="Q40" s="18" t="s">
        <v>229</v>
      </c>
      <c r="R40" s="9"/>
      <c r="S40" s="30" t="str">
        <f>"407,5"</f>
        <v>407,5</v>
      </c>
      <c r="T40" s="9" t="str">
        <f>"261,9410"</f>
        <v>261,9410</v>
      </c>
      <c r="U40" s="8" t="s">
        <v>618</v>
      </c>
    </row>
    <row r="41" spans="1:21">
      <c r="A41" s="25" t="s">
        <v>47</v>
      </c>
      <c r="B41" s="24" t="s">
        <v>230</v>
      </c>
      <c r="C41" s="24" t="s">
        <v>231</v>
      </c>
      <c r="D41" s="24" t="s">
        <v>232</v>
      </c>
      <c r="E41" s="24" t="s">
        <v>718</v>
      </c>
      <c r="F41" s="24" t="s">
        <v>108</v>
      </c>
      <c r="G41" s="26" t="s">
        <v>102</v>
      </c>
      <c r="H41" s="27" t="s">
        <v>112</v>
      </c>
      <c r="I41" s="26" t="s">
        <v>112</v>
      </c>
      <c r="J41" s="25"/>
      <c r="K41" s="26" t="s">
        <v>82</v>
      </c>
      <c r="L41" s="26" t="s">
        <v>153</v>
      </c>
      <c r="M41" s="27" t="s">
        <v>25</v>
      </c>
      <c r="N41" s="25"/>
      <c r="O41" s="26" t="s">
        <v>17</v>
      </c>
      <c r="P41" s="27" t="s">
        <v>18</v>
      </c>
      <c r="Q41" s="27" t="s">
        <v>18</v>
      </c>
      <c r="R41" s="25"/>
      <c r="S41" s="31" t="str">
        <f>"550,0"</f>
        <v>550,0</v>
      </c>
      <c r="T41" s="25" t="str">
        <f>"351,8900"</f>
        <v>351,8900</v>
      </c>
      <c r="U41" s="24" t="s">
        <v>630</v>
      </c>
    </row>
    <row r="42" spans="1:21">
      <c r="A42" s="25" t="s">
        <v>172</v>
      </c>
      <c r="B42" s="24" t="s">
        <v>233</v>
      </c>
      <c r="C42" s="24" t="s">
        <v>234</v>
      </c>
      <c r="D42" s="24" t="s">
        <v>235</v>
      </c>
      <c r="E42" s="24" t="s">
        <v>718</v>
      </c>
      <c r="F42" s="24" t="s">
        <v>108</v>
      </c>
      <c r="G42" s="26" t="s">
        <v>120</v>
      </c>
      <c r="H42" s="26" t="s">
        <v>121</v>
      </c>
      <c r="I42" s="26" t="s">
        <v>34</v>
      </c>
      <c r="J42" s="25"/>
      <c r="K42" s="26" t="s">
        <v>84</v>
      </c>
      <c r="L42" s="26" t="s">
        <v>95</v>
      </c>
      <c r="M42" s="27" t="s">
        <v>236</v>
      </c>
      <c r="N42" s="25"/>
      <c r="O42" s="26" t="s">
        <v>34</v>
      </c>
      <c r="P42" s="26" t="s">
        <v>112</v>
      </c>
      <c r="Q42" s="27" t="s">
        <v>16</v>
      </c>
      <c r="R42" s="25"/>
      <c r="S42" s="31" t="str">
        <f>"525,0"</f>
        <v>525,0</v>
      </c>
      <c r="T42" s="25" t="str">
        <f>"339,9375"</f>
        <v>339,9375</v>
      </c>
      <c r="U42" s="24" t="s">
        <v>631</v>
      </c>
    </row>
    <row r="43" spans="1:21">
      <c r="A43" s="25" t="s">
        <v>173</v>
      </c>
      <c r="B43" s="24" t="s">
        <v>237</v>
      </c>
      <c r="C43" s="24" t="s">
        <v>238</v>
      </c>
      <c r="D43" s="24" t="s">
        <v>15</v>
      </c>
      <c r="E43" s="24" t="s">
        <v>718</v>
      </c>
      <c r="F43" s="24" t="s">
        <v>108</v>
      </c>
      <c r="G43" s="26" t="s">
        <v>111</v>
      </c>
      <c r="H43" s="26" t="s">
        <v>54</v>
      </c>
      <c r="I43" s="27" t="s">
        <v>91</v>
      </c>
      <c r="J43" s="25"/>
      <c r="K43" s="26" t="s">
        <v>111</v>
      </c>
      <c r="L43" s="26" t="s">
        <v>67</v>
      </c>
      <c r="M43" s="26" t="s">
        <v>68</v>
      </c>
      <c r="N43" s="25"/>
      <c r="O43" s="27" t="s">
        <v>67</v>
      </c>
      <c r="P43" s="26" t="s">
        <v>63</v>
      </c>
      <c r="Q43" s="26" t="s">
        <v>82</v>
      </c>
      <c r="R43" s="25"/>
      <c r="S43" s="31" t="str">
        <f>"375,0"</f>
        <v>375,0</v>
      </c>
      <c r="T43" s="25" t="str">
        <f>"242,2125"</f>
        <v>242,2125</v>
      </c>
      <c r="U43" s="24"/>
    </row>
    <row r="44" spans="1:21">
      <c r="A44" s="11" t="s">
        <v>174</v>
      </c>
      <c r="B44" s="10" t="s">
        <v>239</v>
      </c>
      <c r="C44" s="10" t="s">
        <v>240</v>
      </c>
      <c r="D44" s="10" t="s">
        <v>241</v>
      </c>
      <c r="E44" s="10" t="s">
        <v>718</v>
      </c>
      <c r="F44" s="10" t="s">
        <v>108</v>
      </c>
      <c r="G44" s="19" t="s">
        <v>76</v>
      </c>
      <c r="H44" s="19" t="s">
        <v>242</v>
      </c>
      <c r="I44" s="20" t="s">
        <v>62</v>
      </c>
      <c r="J44" s="11"/>
      <c r="K44" s="19" t="s">
        <v>185</v>
      </c>
      <c r="L44" s="19" t="s">
        <v>56</v>
      </c>
      <c r="M44" s="20" t="s">
        <v>76</v>
      </c>
      <c r="N44" s="11"/>
      <c r="O44" s="19" t="s">
        <v>19</v>
      </c>
      <c r="P44" s="20" t="s">
        <v>85</v>
      </c>
      <c r="Q44" s="20" t="s">
        <v>85</v>
      </c>
      <c r="R44" s="11"/>
      <c r="S44" s="32" t="str">
        <f>"317,5"</f>
        <v>317,5</v>
      </c>
      <c r="T44" s="11" t="str">
        <f>"207,1053"</f>
        <v>207,1053</v>
      </c>
      <c r="U44" s="10" t="s">
        <v>613</v>
      </c>
    </row>
    <row r="45" spans="1:21">
      <c r="B45" s="5" t="s">
        <v>8</v>
      </c>
    </row>
    <row r="46" spans="1:21" ht="16">
      <c r="A46" s="52" t="s">
        <v>28</v>
      </c>
      <c r="B46" s="52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</row>
    <row r="47" spans="1:21">
      <c r="A47" s="9" t="s">
        <v>47</v>
      </c>
      <c r="B47" s="8" t="s">
        <v>243</v>
      </c>
      <c r="C47" s="8" t="s">
        <v>244</v>
      </c>
      <c r="D47" s="8" t="s">
        <v>245</v>
      </c>
      <c r="E47" s="8" t="s">
        <v>718</v>
      </c>
      <c r="F47" s="8" t="s">
        <v>108</v>
      </c>
      <c r="G47" s="17" t="s">
        <v>27</v>
      </c>
      <c r="H47" s="18" t="s">
        <v>17</v>
      </c>
      <c r="I47" s="17" t="s">
        <v>24</v>
      </c>
      <c r="J47" s="9"/>
      <c r="K47" s="18" t="s">
        <v>25</v>
      </c>
      <c r="L47" s="17" t="s">
        <v>20</v>
      </c>
      <c r="M47" s="17" t="s">
        <v>103</v>
      </c>
      <c r="N47" s="9"/>
      <c r="O47" s="17" t="s">
        <v>131</v>
      </c>
      <c r="P47" s="17" t="s">
        <v>246</v>
      </c>
      <c r="Q47" s="18" t="s">
        <v>247</v>
      </c>
      <c r="R47" s="9"/>
      <c r="S47" s="30" t="str">
        <f>"630,0"</f>
        <v>630,0</v>
      </c>
      <c r="T47" s="9" t="str">
        <f>"392,2380"</f>
        <v>392,2380</v>
      </c>
      <c r="U47" s="8" t="s">
        <v>607</v>
      </c>
    </row>
    <row r="48" spans="1:21">
      <c r="A48" s="25" t="s">
        <v>172</v>
      </c>
      <c r="B48" s="24" t="s">
        <v>248</v>
      </c>
      <c r="C48" s="24" t="s">
        <v>249</v>
      </c>
      <c r="D48" s="24" t="s">
        <v>250</v>
      </c>
      <c r="E48" s="24" t="s">
        <v>718</v>
      </c>
      <c r="F48" s="24" t="s">
        <v>108</v>
      </c>
      <c r="G48" s="26" t="s">
        <v>109</v>
      </c>
      <c r="H48" s="27" t="s">
        <v>33</v>
      </c>
      <c r="I48" s="26" t="s">
        <v>33</v>
      </c>
      <c r="J48" s="25"/>
      <c r="K48" s="27" t="s">
        <v>54</v>
      </c>
      <c r="L48" s="26" t="s">
        <v>54</v>
      </c>
      <c r="M48" s="27" t="s">
        <v>82</v>
      </c>
      <c r="N48" s="25"/>
      <c r="O48" s="26" t="s">
        <v>26</v>
      </c>
      <c r="P48" s="26" t="s">
        <v>22</v>
      </c>
      <c r="Q48" s="27" t="s">
        <v>17</v>
      </c>
      <c r="R48" s="25"/>
      <c r="S48" s="31" t="str">
        <f>"510,0"</f>
        <v>510,0</v>
      </c>
      <c r="T48" s="25" t="str">
        <f>"312,6810"</f>
        <v>312,6810</v>
      </c>
      <c r="U48" s="24"/>
    </row>
    <row r="49" spans="1:21">
      <c r="A49" s="11" t="s">
        <v>47</v>
      </c>
      <c r="B49" s="10" t="s">
        <v>251</v>
      </c>
      <c r="C49" s="10" t="s">
        <v>663</v>
      </c>
      <c r="D49" s="10" t="s">
        <v>250</v>
      </c>
      <c r="E49" s="10" t="s">
        <v>721</v>
      </c>
      <c r="F49" s="10" t="s">
        <v>108</v>
      </c>
      <c r="G49" s="19" t="s">
        <v>19</v>
      </c>
      <c r="H49" s="19" t="s">
        <v>84</v>
      </c>
      <c r="I49" s="19" t="s">
        <v>141</v>
      </c>
      <c r="J49" s="11"/>
      <c r="K49" s="19" t="s">
        <v>74</v>
      </c>
      <c r="L49" s="19" t="s">
        <v>78</v>
      </c>
      <c r="M49" s="20" t="s">
        <v>242</v>
      </c>
      <c r="N49" s="11"/>
      <c r="O49" s="19" t="s">
        <v>33</v>
      </c>
      <c r="P49" s="20" t="s">
        <v>34</v>
      </c>
      <c r="Q49" s="20" t="s">
        <v>35</v>
      </c>
      <c r="R49" s="11"/>
      <c r="S49" s="32" t="str">
        <f>"422,5"</f>
        <v>422,5</v>
      </c>
      <c r="T49" s="11" t="str">
        <f>"270,4323"</f>
        <v>270,4323</v>
      </c>
      <c r="U49" s="10" t="s">
        <v>629</v>
      </c>
    </row>
    <row r="50" spans="1:21">
      <c r="B50" s="5" t="s">
        <v>8</v>
      </c>
    </row>
    <row r="51" spans="1:21" ht="16">
      <c r="A51" s="52" t="s">
        <v>144</v>
      </c>
      <c r="B51" s="52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</row>
    <row r="52" spans="1:21">
      <c r="A52" s="9" t="s">
        <v>47</v>
      </c>
      <c r="B52" s="8" t="s">
        <v>252</v>
      </c>
      <c r="C52" s="8" t="s">
        <v>253</v>
      </c>
      <c r="D52" s="8" t="s">
        <v>254</v>
      </c>
      <c r="E52" s="8" t="s">
        <v>718</v>
      </c>
      <c r="F52" s="8" t="s">
        <v>108</v>
      </c>
      <c r="G52" s="17" t="s">
        <v>21</v>
      </c>
      <c r="H52" s="18" t="s">
        <v>255</v>
      </c>
      <c r="I52" s="18" t="s">
        <v>26</v>
      </c>
      <c r="J52" s="9"/>
      <c r="K52" s="17" t="s">
        <v>67</v>
      </c>
      <c r="L52" s="17" t="s">
        <v>68</v>
      </c>
      <c r="M52" s="18" t="s">
        <v>196</v>
      </c>
      <c r="N52" s="9"/>
      <c r="O52" s="17" t="s">
        <v>119</v>
      </c>
      <c r="P52" s="17" t="s">
        <v>129</v>
      </c>
      <c r="Q52" s="9"/>
      <c r="R52" s="9"/>
      <c r="S52" s="30" t="str">
        <f>"557,5"</f>
        <v>557,5</v>
      </c>
      <c r="T52" s="9" t="str">
        <f>"332,6045"</f>
        <v>332,6045</v>
      </c>
      <c r="U52" s="8"/>
    </row>
    <row r="53" spans="1:21">
      <c r="A53" s="11" t="s">
        <v>47</v>
      </c>
      <c r="B53" s="10" t="s">
        <v>256</v>
      </c>
      <c r="C53" s="10" t="s">
        <v>664</v>
      </c>
      <c r="D53" s="10" t="s">
        <v>257</v>
      </c>
      <c r="E53" s="10" t="s">
        <v>722</v>
      </c>
      <c r="F53" s="10" t="s">
        <v>108</v>
      </c>
      <c r="G53" s="19" t="s">
        <v>85</v>
      </c>
      <c r="H53" s="20" t="s">
        <v>141</v>
      </c>
      <c r="I53" s="19" t="s">
        <v>141</v>
      </c>
      <c r="J53" s="11"/>
      <c r="K53" s="19" t="s">
        <v>76</v>
      </c>
      <c r="L53" s="19" t="s">
        <v>77</v>
      </c>
      <c r="M53" s="19" t="s">
        <v>110</v>
      </c>
      <c r="N53" s="11"/>
      <c r="O53" s="19" t="s">
        <v>109</v>
      </c>
      <c r="P53" s="19" t="s">
        <v>33</v>
      </c>
      <c r="Q53" s="20" t="s">
        <v>34</v>
      </c>
      <c r="R53" s="11"/>
      <c r="S53" s="32" t="str">
        <f>"425,0"</f>
        <v>425,0</v>
      </c>
      <c r="T53" s="11" t="str">
        <f>"278,1429"</f>
        <v>278,1429</v>
      </c>
      <c r="U53" s="10" t="s">
        <v>632</v>
      </c>
    </row>
    <row r="54" spans="1:21">
      <c r="B54" s="5" t="s">
        <v>8</v>
      </c>
    </row>
    <row r="55" spans="1:21">
      <c r="B55" s="5" t="s">
        <v>8</v>
      </c>
    </row>
    <row r="56" spans="1:21">
      <c r="B56" s="5" t="s">
        <v>8</v>
      </c>
      <c r="C56" s="3"/>
      <c r="D56" s="3"/>
      <c r="E56" s="3"/>
      <c r="F56" s="3"/>
    </row>
    <row r="57" spans="1:21" ht="18">
      <c r="B57" s="7" t="s">
        <v>7</v>
      </c>
      <c r="C57" s="7"/>
      <c r="F57" s="3"/>
    </row>
    <row r="58" spans="1:21" ht="16">
      <c r="B58" s="28" t="s">
        <v>706</v>
      </c>
      <c r="D58" s="6"/>
      <c r="E58" s="6"/>
      <c r="F58" s="3"/>
    </row>
    <row r="59" spans="1:21" ht="14">
      <c r="B59" s="13"/>
      <c r="C59" s="14" t="s">
        <v>39</v>
      </c>
      <c r="F59" s="3"/>
    </row>
    <row r="60" spans="1:21" ht="14">
      <c r="B60" s="16" t="s">
        <v>40</v>
      </c>
      <c r="C60" s="16" t="s">
        <v>41</v>
      </c>
      <c r="D60" s="16" t="s">
        <v>707</v>
      </c>
      <c r="E60" s="16" t="s">
        <v>43</v>
      </c>
      <c r="F60" s="16" t="s">
        <v>44</v>
      </c>
    </row>
    <row r="61" spans="1:21">
      <c r="B61" s="5" t="s">
        <v>58</v>
      </c>
      <c r="C61" s="5" t="s">
        <v>39</v>
      </c>
      <c r="D61" s="6" t="s">
        <v>162</v>
      </c>
      <c r="E61" s="6" t="s">
        <v>142</v>
      </c>
      <c r="F61" s="6" t="s">
        <v>163</v>
      </c>
    </row>
    <row r="62" spans="1:21">
      <c r="B62" s="5" t="s">
        <v>175</v>
      </c>
      <c r="C62" s="5" t="s">
        <v>39</v>
      </c>
      <c r="D62" s="6" t="s">
        <v>162</v>
      </c>
      <c r="E62" s="6" t="s">
        <v>258</v>
      </c>
      <c r="F62" s="6" t="s">
        <v>259</v>
      </c>
    </row>
    <row r="63" spans="1:21">
      <c r="B63" s="5" t="s">
        <v>188</v>
      </c>
      <c r="C63" s="5" t="s">
        <v>39</v>
      </c>
      <c r="D63" s="6" t="s">
        <v>260</v>
      </c>
      <c r="E63" s="6" t="s">
        <v>261</v>
      </c>
      <c r="F63" s="6" t="s">
        <v>262</v>
      </c>
    </row>
    <row r="65" spans="2:6" ht="16">
      <c r="B65" s="12" t="s">
        <v>38</v>
      </c>
      <c r="C65" s="12"/>
    </row>
    <row r="66" spans="2:6" ht="14">
      <c r="B66" s="13"/>
      <c r="C66" s="14" t="s">
        <v>39</v>
      </c>
    </row>
    <row r="67" spans="2:6" ht="14">
      <c r="B67" s="16" t="s">
        <v>40</v>
      </c>
      <c r="C67" s="16" t="s">
        <v>41</v>
      </c>
      <c r="D67" s="16" t="s">
        <v>707</v>
      </c>
      <c r="E67" s="16" t="s">
        <v>43</v>
      </c>
      <c r="F67" s="16" t="s">
        <v>44</v>
      </c>
    </row>
    <row r="68" spans="2:6">
      <c r="B68" s="5" t="s">
        <v>243</v>
      </c>
      <c r="C68" s="5" t="s">
        <v>39</v>
      </c>
      <c r="D68" s="6" t="s">
        <v>45</v>
      </c>
      <c r="E68" s="6" t="s">
        <v>263</v>
      </c>
      <c r="F68" s="6" t="s">
        <v>264</v>
      </c>
    </row>
    <row r="69" spans="2:6">
      <c r="B69" s="5" t="s">
        <v>209</v>
      </c>
      <c r="C69" s="5" t="s">
        <v>39</v>
      </c>
      <c r="D69" s="6" t="s">
        <v>265</v>
      </c>
      <c r="E69" s="6" t="s">
        <v>266</v>
      </c>
      <c r="F69" s="6" t="s">
        <v>267</v>
      </c>
    </row>
    <row r="70" spans="2:6">
      <c r="B70" s="5" t="s">
        <v>212</v>
      </c>
      <c r="C70" s="5" t="s">
        <v>39</v>
      </c>
      <c r="D70" s="6" t="s">
        <v>265</v>
      </c>
      <c r="E70" s="6" t="s">
        <v>268</v>
      </c>
      <c r="F70" s="6" t="s">
        <v>269</v>
      </c>
    </row>
    <row r="71" spans="2:6">
      <c r="B71" s="5" t="s">
        <v>8</v>
      </c>
    </row>
  </sheetData>
  <mergeCells count="25"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23:R23"/>
    <mergeCell ref="A26:R26"/>
    <mergeCell ref="S3:S4"/>
    <mergeCell ref="T3:T4"/>
    <mergeCell ref="U3:U4"/>
    <mergeCell ref="A5:R5"/>
    <mergeCell ref="B3:B4"/>
    <mergeCell ref="A11:R11"/>
    <mergeCell ref="A14:R14"/>
    <mergeCell ref="A17:R17"/>
    <mergeCell ref="A20:R20"/>
    <mergeCell ref="A29:R29"/>
    <mergeCell ref="A32:R32"/>
    <mergeCell ref="A39:R39"/>
    <mergeCell ref="A46:R46"/>
    <mergeCell ref="A51:R5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M9"/>
  <sheetViews>
    <sheetView workbookViewId="0">
      <selection activeCell="E7" sqref="E7"/>
    </sheetView>
  </sheetViews>
  <sheetFormatPr baseColWidth="10" defaultColWidth="9.1640625" defaultRowHeight="13"/>
  <cols>
    <col min="1" max="1" width="7.1640625" style="5" bestFit="1" customWidth="1"/>
    <col min="2" max="2" width="15.33203125" style="5" bestFit="1" customWidth="1"/>
    <col min="3" max="3" width="25.1640625" style="5" bestFit="1" customWidth="1"/>
    <col min="4" max="4" width="20.83203125" style="5" bestFit="1" customWidth="1"/>
    <col min="5" max="5" width="10.1640625" style="5" bestFit="1" customWidth="1"/>
    <col min="6" max="6" width="25.6640625" style="5" bestFit="1" customWidth="1"/>
    <col min="7" max="9" width="5.5" style="6" customWidth="1"/>
    <col min="10" max="10" width="4.5" style="6" customWidth="1"/>
    <col min="11" max="11" width="10.5" style="6" bestFit="1" customWidth="1"/>
    <col min="12" max="12" width="8.5" style="6" bestFit="1" customWidth="1"/>
    <col min="13" max="13" width="16.5" style="5" bestFit="1" customWidth="1"/>
    <col min="14" max="16384" width="9.1640625" style="3"/>
  </cols>
  <sheetData>
    <row r="1" spans="1:13" s="2" customFormat="1" ht="29" customHeight="1">
      <c r="A1" s="64" t="s">
        <v>642</v>
      </c>
      <c r="B1" s="65"/>
      <c r="C1" s="66"/>
      <c r="D1" s="66"/>
      <c r="E1" s="66"/>
      <c r="F1" s="66"/>
      <c r="G1" s="66"/>
      <c r="H1" s="66"/>
      <c r="I1" s="66"/>
      <c r="J1" s="66"/>
      <c r="K1" s="66"/>
      <c r="L1" s="66"/>
      <c r="M1" s="67"/>
    </row>
    <row r="2" spans="1:13" s="2" customFormat="1" ht="62" customHeight="1" thickBot="1">
      <c r="A2" s="68"/>
      <c r="B2" s="69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s="1" customFormat="1" ht="12.75" customHeight="1">
      <c r="A3" s="72" t="s">
        <v>715</v>
      </c>
      <c r="B3" s="62" t="s">
        <v>0</v>
      </c>
      <c r="C3" s="74" t="s">
        <v>716</v>
      </c>
      <c r="D3" s="74" t="s">
        <v>6</v>
      </c>
      <c r="E3" s="56" t="s">
        <v>717</v>
      </c>
      <c r="F3" s="56" t="s">
        <v>5</v>
      </c>
      <c r="G3" s="56" t="s">
        <v>9</v>
      </c>
      <c r="H3" s="56"/>
      <c r="I3" s="56"/>
      <c r="J3" s="56"/>
      <c r="K3" s="56" t="s">
        <v>363</v>
      </c>
      <c r="L3" s="56" t="s">
        <v>3</v>
      </c>
      <c r="M3" s="58" t="s">
        <v>2</v>
      </c>
    </row>
    <row r="4" spans="1:13" s="1" customFormat="1" ht="21" customHeight="1" thickBot="1">
      <c r="A4" s="73"/>
      <c r="B4" s="63"/>
      <c r="C4" s="57"/>
      <c r="D4" s="57"/>
      <c r="E4" s="57"/>
      <c r="F4" s="57"/>
      <c r="G4" s="4">
        <v>1</v>
      </c>
      <c r="H4" s="4">
        <v>2</v>
      </c>
      <c r="I4" s="4">
        <v>3</v>
      </c>
      <c r="J4" s="4" t="s">
        <v>4</v>
      </c>
      <c r="K4" s="57"/>
      <c r="L4" s="57"/>
      <c r="M4" s="59"/>
    </row>
    <row r="5" spans="1:13" ht="16">
      <c r="A5" s="60" t="s">
        <v>12</v>
      </c>
      <c r="B5" s="60"/>
      <c r="C5" s="61"/>
      <c r="D5" s="61"/>
      <c r="E5" s="61"/>
      <c r="F5" s="61"/>
      <c r="G5" s="61"/>
      <c r="H5" s="61"/>
      <c r="I5" s="61"/>
      <c r="J5" s="61"/>
    </row>
    <row r="6" spans="1:13">
      <c r="A6" s="21" t="s">
        <v>47</v>
      </c>
      <c r="B6" s="15" t="s">
        <v>13</v>
      </c>
      <c r="C6" s="15" t="s">
        <v>14</v>
      </c>
      <c r="D6" s="15" t="s">
        <v>15</v>
      </c>
      <c r="E6" s="15" t="s">
        <v>718</v>
      </c>
      <c r="F6" s="15" t="s">
        <v>708</v>
      </c>
      <c r="G6" s="22" t="s">
        <v>22</v>
      </c>
      <c r="H6" s="23" t="s">
        <v>24</v>
      </c>
      <c r="I6" s="22" t="s">
        <v>24</v>
      </c>
      <c r="J6" s="21"/>
      <c r="K6" s="21" t="str">
        <f>"225,0"</f>
        <v>225,0</v>
      </c>
      <c r="L6" s="21" t="str">
        <f>"145,3275"</f>
        <v>145,3275</v>
      </c>
      <c r="M6" s="15" t="s">
        <v>596</v>
      </c>
    </row>
    <row r="7" spans="1:13">
      <c r="B7" s="5" t="s">
        <v>8</v>
      </c>
    </row>
    <row r="8" spans="1:13">
      <c r="B8" s="5" t="s">
        <v>8</v>
      </c>
    </row>
    <row r="9" spans="1:13">
      <c r="B9" s="5" t="s">
        <v>8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13"/>
  <sheetViews>
    <sheetView workbookViewId="0">
      <selection sqref="A1:M2"/>
    </sheetView>
  </sheetViews>
  <sheetFormatPr baseColWidth="10" defaultColWidth="9.1640625" defaultRowHeight="13"/>
  <cols>
    <col min="1" max="1" width="7.1640625" style="5" bestFit="1" customWidth="1"/>
    <col min="2" max="2" width="16" style="5" bestFit="1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25.6640625" style="5" bestFit="1" customWidth="1"/>
    <col min="7" max="9" width="5.5" style="6" customWidth="1"/>
    <col min="10" max="10" width="4.5" style="6" customWidth="1"/>
    <col min="11" max="11" width="10.5" style="6" bestFit="1" customWidth="1"/>
    <col min="12" max="12" width="8.5" style="6" bestFit="1" customWidth="1"/>
    <col min="13" max="13" width="16.1640625" style="5" bestFit="1" customWidth="1"/>
    <col min="14" max="16384" width="9.1640625" style="3"/>
  </cols>
  <sheetData>
    <row r="1" spans="1:13" s="2" customFormat="1" ht="29" customHeight="1">
      <c r="A1" s="64" t="s">
        <v>643</v>
      </c>
      <c r="B1" s="65"/>
      <c r="C1" s="66"/>
      <c r="D1" s="66"/>
      <c r="E1" s="66"/>
      <c r="F1" s="66"/>
      <c r="G1" s="66"/>
      <c r="H1" s="66"/>
      <c r="I1" s="66"/>
      <c r="J1" s="66"/>
      <c r="K1" s="66"/>
      <c r="L1" s="66"/>
      <c r="M1" s="67"/>
    </row>
    <row r="2" spans="1:13" s="2" customFormat="1" ht="62" customHeight="1" thickBot="1">
      <c r="A2" s="68"/>
      <c r="B2" s="69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s="1" customFormat="1" ht="12.75" customHeight="1">
      <c r="A3" s="72" t="s">
        <v>715</v>
      </c>
      <c r="B3" s="62" t="s">
        <v>0</v>
      </c>
      <c r="C3" s="74" t="s">
        <v>716</v>
      </c>
      <c r="D3" s="74" t="s">
        <v>6</v>
      </c>
      <c r="E3" s="56" t="s">
        <v>717</v>
      </c>
      <c r="F3" s="56" t="s">
        <v>5</v>
      </c>
      <c r="G3" s="56" t="s">
        <v>9</v>
      </c>
      <c r="H3" s="56"/>
      <c r="I3" s="56"/>
      <c r="J3" s="56"/>
      <c r="K3" s="56" t="s">
        <v>363</v>
      </c>
      <c r="L3" s="56" t="s">
        <v>3</v>
      </c>
      <c r="M3" s="58" t="s">
        <v>2</v>
      </c>
    </row>
    <row r="4" spans="1:13" s="1" customFormat="1" ht="21" customHeight="1" thickBot="1">
      <c r="A4" s="73"/>
      <c r="B4" s="63"/>
      <c r="C4" s="57"/>
      <c r="D4" s="57"/>
      <c r="E4" s="57"/>
      <c r="F4" s="57"/>
      <c r="G4" s="4">
        <v>1</v>
      </c>
      <c r="H4" s="4">
        <v>2</v>
      </c>
      <c r="I4" s="4">
        <v>3</v>
      </c>
      <c r="J4" s="4" t="s">
        <v>4</v>
      </c>
      <c r="K4" s="57"/>
      <c r="L4" s="57"/>
      <c r="M4" s="59"/>
    </row>
    <row r="5" spans="1:13" ht="16">
      <c r="A5" s="60" t="s">
        <v>28</v>
      </c>
      <c r="B5" s="60"/>
      <c r="C5" s="61"/>
      <c r="D5" s="61"/>
      <c r="E5" s="61"/>
      <c r="F5" s="61"/>
      <c r="G5" s="61"/>
      <c r="H5" s="61"/>
      <c r="I5" s="61"/>
      <c r="J5" s="61"/>
    </row>
    <row r="6" spans="1:13">
      <c r="A6" s="9" t="s">
        <v>47</v>
      </c>
      <c r="B6" s="8" t="s">
        <v>29</v>
      </c>
      <c r="C6" s="8" t="s">
        <v>30</v>
      </c>
      <c r="D6" s="8" t="s">
        <v>31</v>
      </c>
      <c r="E6" s="8" t="s">
        <v>718</v>
      </c>
      <c r="F6" s="8" t="s">
        <v>708</v>
      </c>
      <c r="G6" s="17" t="s">
        <v>24</v>
      </c>
      <c r="H6" s="18" t="s">
        <v>32</v>
      </c>
      <c r="I6" s="17" t="s">
        <v>32</v>
      </c>
      <c r="J6" s="9"/>
      <c r="K6" s="9" t="str">
        <f>"245,0"</f>
        <v>245,0</v>
      </c>
      <c r="L6" s="9" t="str">
        <f>"151,2140"</f>
        <v>151,2140</v>
      </c>
      <c r="M6" s="8"/>
    </row>
    <row r="7" spans="1:13">
      <c r="A7" s="11" t="s">
        <v>47</v>
      </c>
      <c r="B7" s="10" t="s">
        <v>29</v>
      </c>
      <c r="C7" s="10" t="s">
        <v>665</v>
      </c>
      <c r="D7" s="10" t="s">
        <v>31</v>
      </c>
      <c r="E7" s="10" t="s">
        <v>722</v>
      </c>
      <c r="F7" s="10" t="s">
        <v>708</v>
      </c>
      <c r="G7" s="19" t="s">
        <v>24</v>
      </c>
      <c r="H7" s="20" t="s">
        <v>32</v>
      </c>
      <c r="I7" s="19" t="s">
        <v>32</v>
      </c>
      <c r="J7" s="11"/>
      <c r="K7" s="11" t="str">
        <f>"245,0"</f>
        <v>245,0</v>
      </c>
      <c r="L7" s="11" t="str">
        <f>"168,4524"</f>
        <v>168,4524</v>
      </c>
      <c r="M7" s="10"/>
    </row>
    <row r="8" spans="1:13">
      <c r="B8" s="5" t="s">
        <v>8</v>
      </c>
    </row>
    <row r="9" spans="1:13">
      <c r="B9" s="5" t="s">
        <v>8</v>
      </c>
    </row>
    <row r="10" spans="1:13">
      <c r="B10" s="5" t="s">
        <v>8</v>
      </c>
    </row>
    <row r="11" spans="1:13">
      <c r="B11" s="5" t="s">
        <v>8</v>
      </c>
    </row>
    <row r="12" spans="1:13">
      <c r="B12" s="5" t="s">
        <v>8</v>
      </c>
    </row>
    <row r="13" spans="1:13">
      <c r="B13" s="5" t="s">
        <v>8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M93"/>
  <sheetViews>
    <sheetView topLeftCell="A49" workbookViewId="0">
      <selection activeCell="E77" sqref="E77"/>
    </sheetView>
  </sheetViews>
  <sheetFormatPr baseColWidth="10" defaultColWidth="9.1640625" defaultRowHeight="13"/>
  <cols>
    <col min="1" max="1" width="7.1640625" style="5" bestFit="1" customWidth="1"/>
    <col min="2" max="2" width="20.83203125" style="5" bestFit="1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30.1640625" style="5" bestFit="1" customWidth="1"/>
    <col min="7" max="9" width="5.5" style="6" customWidth="1"/>
    <col min="10" max="10" width="4.5" style="6" customWidth="1"/>
    <col min="11" max="11" width="10.5" style="29" bestFit="1" customWidth="1"/>
    <col min="12" max="12" width="8.5" style="6" bestFit="1" customWidth="1"/>
    <col min="13" max="13" width="19.5" style="5" bestFit="1" customWidth="1"/>
    <col min="14" max="16384" width="9.1640625" style="3"/>
  </cols>
  <sheetData>
    <row r="1" spans="1:13" s="2" customFormat="1" ht="29" customHeight="1">
      <c r="A1" s="64" t="s">
        <v>644</v>
      </c>
      <c r="B1" s="65"/>
      <c r="C1" s="66"/>
      <c r="D1" s="66"/>
      <c r="E1" s="66"/>
      <c r="F1" s="66"/>
      <c r="G1" s="66"/>
      <c r="H1" s="66"/>
      <c r="I1" s="66"/>
      <c r="J1" s="66"/>
      <c r="K1" s="66"/>
      <c r="L1" s="66"/>
      <c r="M1" s="67"/>
    </row>
    <row r="2" spans="1:13" s="2" customFormat="1" ht="62" customHeight="1" thickBot="1">
      <c r="A2" s="68"/>
      <c r="B2" s="69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s="1" customFormat="1" ht="12.75" customHeight="1">
      <c r="A3" s="72" t="s">
        <v>715</v>
      </c>
      <c r="B3" s="62" t="s">
        <v>0</v>
      </c>
      <c r="C3" s="74" t="s">
        <v>716</v>
      </c>
      <c r="D3" s="74" t="s">
        <v>6</v>
      </c>
      <c r="E3" s="56" t="s">
        <v>717</v>
      </c>
      <c r="F3" s="56" t="s">
        <v>5</v>
      </c>
      <c r="G3" s="56" t="s">
        <v>10</v>
      </c>
      <c r="H3" s="56"/>
      <c r="I3" s="56"/>
      <c r="J3" s="56"/>
      <c r="K3" s="54" t="s">
        <v>363</v>
      </c>
      <c r="L3" s="56" t="s">
        <v>3</v>
      </c>
      <c r="M3" s="58" t="s">
        <v>2</v>
      </c>
    </row>
    <row r="4" spans="1:13" s="1" customFormat="1" ht="21" customHeight="1" thickBot="1">
      <c r="A4" s="73"/>
      <c r="B4" s="63"/>
      <c r="C4" s="57"/>
      <c r="D4" s="57"/>
      <c r="E4" s="57"/>
      <c r="F4" s="57"/>
      <c r="G4" s="4">
        <v>1</v>
      </c>
      <c r="H4" s="4">
        <v>2</v>
      </c>
      <c r="I4" s="4">
        <v>3</v>
      </c>
      <c r="J4" s="4" t="s">
        <v>4</v>
      </c>
      <c r="K4" s="55"/>
      <c r="L4" s="57"/>
      <c r="M4" s="59"/>
    </row>
    <row r="5" spans="1:13" ht="16">
      <c r="A5" s="60" t="s">
        <v>278</v>
      </c>
      <c r="B5" s="60"/>
      <c r="C5" s="61"/>
      <c r="D5" s="61"/>
      <c r="E5" s="61"/>
      <c r="F5" s="61"/>
      <c r="G5" s="61"/>
      <c r="H5" s="61"/>
      <c r="I5" s="61"/>
      <c r="J5" s="61"/>
    </row>
    <row r="6" spans="1:13">
      <c r="A6" s="21" t="s">
        <v>47</v>
      </c>
      <c r="B6" s="15" t="s">
        <v>364</v>
      </c>
      <c r="C6" s="15" t="s">
        <v>365</v>
      </c>
      <c r="D6" s="15" t="s">
        <v>366</v>
      </c>
      <c r="E6" s="15" t="s">
        <v>718</v>
      </c>
      <c r="F6" s="15" t="s">
        <v>327</v>
      </c>
      <c r="G6" s="22" t="s">
        <v>64</v>
      </c>
      <c r="H6" s="23" t="s">
        <v>66</v>
      </c>
      <c r="I6" s="21"/>
      <c r="J6" s="21"/>
      <c r="K6" s="33" t="str">
        <f>"40,0"</f>
        <v>40,0</v>
      </c>
      <c r="L6" s="21" t="str">
        <f>"53,7960"</f>
        <v>53,7960</v>
      </c>
      <c r="M6" s="15" t="s">
        <v>367</v>
      </c>
    </row>
    <row r="7" spans="1:13">
      <c r="B7" s="5" t="s">
        <v>8</v>
      </c>
    </row>
    <row r="8" spans="1:13" ht="16">
      <c r="A8" s="52" t="s">
        <v>57</v>
      </c>
      <c r="B8" s="52"/>
      <c r="C8" s="53"/>
      <c r="D8" s="53"/>
      <c r="E8" s="53"/>
      <c r="F8" s="53"/>
      <c r="G8" s="53"/>
      <c r="H8" s="53"/>
      <c r="I8" s="53"/>
      <c r="J8" s="53"/>
    </row>
    <row r="9" spans="1:13">
      <c r="A9" s="9" t="s">
        <v>47</v>
      </c>
      <c r="B9" s="8" t="s">
        <v>368</v>
      </c>
      <c r="C9" s="8" t="s">
        <v>369</v>
      </c>
      <c r="D9" s="8" t="s">
        <v>370</v>
      </c>
      <c r="E9" s="8" t="s">
        <v>720</v>
      </c>
      <c r="F9" s="8" t="s">
        <v>327</v>
      </c>
      <c r="G9" s="17" t="s">
        <v>64</v>
      </c>
      <c r="H9" s="18" t="s">
        <v>65</v>
      </c>
      <c r="I9" s="18" t="s">
        <v>65</v>
      </c>
      <c r="J9" s="9"/>
      <c r="K9" s="30" t="str">
        <f>"40,0"</f>
        <v>40,0</v>
      </c>
      <c r="L9" s="9" t="str">
        <f>"51,8560"</f>
        <v>51,8560</v>
      </c>
      <c r="M9" s="8" t="s">
        <v>367</v>
      </c>
    </row>
    <row r="10" spans="1:13">
      <c r="A10" s="25" t="s">
        <v>47</v>
      </c>
      <c r="B10" s="24" t="s">
        <v>371</v>
      </c>
      <c r="C10" s="24" t="s">
        <v>372</v>
      </c>
      <c r="D10" s="24" t="s">
        <v>373</v>
      </c>
      <c r="E10" s="24" t="s">
        <v>718</v>
      </c>
      <c r="F10" s="24" t="s">
        <v>341</v>
      </c>
      <c r="G10" s="26" t="s">
        <v>200</v>
      </c>
      <c r="H10" s="26" t="s">
        <v>181</v>
      </c>
      <c r="I10" s="26" t="s">
        <v>92</v>
      </c>
      <c r="J10" s="25"/>
      <c r="K10" s="31" t="str">
        <f>"55,0"</f>
        <v>55,0</v>
      </c>
      <c r="L10" s="25" t="str">
        <f>"69,5970"</f>
        <v>69,5970</v>
      </c>
      <c r="M10" s="24" t="s">
        <v>610</v>
      </c>
    </row>
    <row r="11" spans="1:13">
      <c r="A11" s="25" t="s">
        <v>172</v>
      </c>
      <c r="B11" s="24" t="s">
        <v>374</v>
      </c>
      <c r="C11" s="24" t="s">
        <v>375</v>
      </c>
      <c r="D11" s="24" t="s">
        <v>376</v>
      </c>
      <c r="E11" s="24" t="s">
        <v>718</v>
      </c>
      <c r="F11" s="24" t="s">
        <v>108</v>
      </c>
      <c r="G11" s="26" t="s">
        <v>200</v>
      </c>
      <c r="H11" s="27" t="s">
        <v>181</v>
      </c>
      <c r="I11" s="27" t="s">
        <v>181</v>
      </c>
      <c r="J11" s="25"/>
      <c r="K11" s="31" t="str">
        <f>"47,5"</f>
        <v>47,5</v>
      </c>
      <c r="L11" s="25" t="str">
        <f>"59,7455"</f>
        <v>59,7455</v>
      </c>
      <c r="M11" s="24" t="s">
        <v>603</v>
      </c>
    </row>
    <row r="12" spans="1:13">
      <c r="A12" s="25" t="s">
        <v>173</v>
      </c>
      <c r="B12" s="24" t="s">
        <v>58</v>
      </c>
      <c r="C12" s="24" t="s">
        <v>59</v>
      </c>
      <c r="D12" s="24" t="s">
        <v>60</v>
      </c>
      <c r="E12" s="24" t="s">
        <v>718</v>
      </c>
      <c r="F12" s="24" t="s">
        <v>708</v>
      </c>
      <c r="G12" s="26" t="s">
        <v>64</v>
      </c>
      <c r="H12" s="26" t="s">
        <v>65</v>
      </c>
      <c r="I12" s="27" t="s">
        <v>66</v>
      </c>
      <c r="J12" s="25"/>
      <c r="K12" s="31" t="str">
        <f>"42,5"</f>
        <v>42,5</v>
      </c>
      <c r="L12" s="25" t="str">
        <f>"53,6987"</f>
        <v>53,6987</v>
      </c>
      <c r="M12" s="24" t="s">
        <v>595</v>
      </c>
    </row>
    <row r="13" spans="1:13">
      <c r="A13" s="25" t="s">
        <v>48</v>
      </c>
      <c r="B13" s="24" t="s">
        <v>374</v>
      </c>
      <c r="C13" s="24" t="s">
        <v>377</v>
      </c>
      <c r="D13" s="24" t="s">
        <v>378</v>
      </c>
      <c r="E13" s="24" t="s">
        <v>718</v>
      </c>
      <c r="F13" s="24" t="s">
        <v>108</v>
      </c>
      <c r="G13" s="25"/>
      <c r="H13" s="25"/>
      <c r="I13" s="25"/>
      <c r="J13" s="25"/>
      <c r="K13" s="31">
        <v>0</v>
      </c>
      <c r="L13" s="25" t="str">
        <f>"0,0000"</f>
        <v>0,0000</v>
      </c>
      <c r="M13" s="24" t="s">
        <v>594</v>
      </c>
    </row>
    <row r="14" spans="1:13">
      <c r="A14" s="11" t="s">
        <v>47</v>
      </c>
      <c r="B14" s="10" t="s">
        <v>374</v>
      </c>
      <c r="C14" s="10" t="s">
        <v>668</v>
      </c>
      <c r="D14" s="10" t="s">
        <v>376</v>
      </c>
      <c r="E14" s="10" t="s">
        <v>722</v>
      </c>
      <c r="F14" s="10" t="s">
        <v>108</v>
      </c>
      <c r="G14" s="19" t="s">
        <v>200</v>
      </c>
      <c r="H14" s="20" t="s">
        <v>181</v>
      </c>
      <c r="I14" s="20" t="s">
        <v>181</v>
      </c>
      <c r="J14" s="11"/>
      <c r="K14" s="32" t="str">
        <f>"47,5"</f>
        <v>47,5</v>
      </c>
      <c r="L14" s="11" t="str">
        <f>"66,5565"</f>
        <v>66,5565</v>
      </c>
      <c r="M14" s="10" t="s">
        <v>594</v>
      </c>
    </row>
    <row r="15" spans="1:13">
      <c r="B15" s="5" t="s">
        <v>8</v>
      </c>
    </row>
    <row r="16" spans="1:13" ht="16">
      <c r="A16" s="52" t="s">
        <v>187</v>
      </c>
      <c r="B16" s="52"/>
      <c r="C16" s="53"/>
      <c r="D16" s="53"/>
      <c r="E16" s="53"/>
      <c r="F16" s="53"/>
      <c r="G16" s="53"/>
      <c r="H16" s="53"/>
      <c r="I16" s="53"/>
      <c r="J16" s="53"/>
    </row>
    <row r="17" spans="1:13">
      <c r="A17" s="21" t="s">
        <v>47</v>
      </c>
      <c r="B17" s="15" t="s">
        <v>188</v>
      </c>
      <c r="C17" s="15" t="s">
        <v>189</v>
      </c>
      <c r="D17" s="15" t="s">
        <v>190</v>
      </c>
      <c r="E17" s="15" t="s">
        <v>718</v>
      </c>
      <c r="F17" s="15" t="s">
        <v>108</v>
      </c>
      <c r="G17" s="22" t="s">
        <v>191</v>
      </c>
      <c r="H17" s="22" t="s">
        <v>93</v>
      </c>
      <c r="I17" s="23" t="s">
        <v>192</v>
      </c>
      <c r="J17" s="21"/>
      <c r="K17" s="33" t="str">
        <f>"62,5"</f>
        <v>62,5</v>
      </c>
      <c r="L17" s="21" t="str">
        <f>"73,5375"</f>
        <v>73,5375</v>
      </c>
      <c r="M17" s="15" t="s">
        <v>611</v>
      </c>
    </row>
    <row r="18" spans="1:13">
      <c r="B18" s="5" t="s">
        <v>8</v>
      </c>
    </row>
    <row r="19" spans="1:13" ht="16">
      <c r="A19" s="52" t="s">
        <v>69</v>
      </c>
      <c r="B19" s="52"/>
      <c r="C19" s="53"/>
      <c r="D19" s="53"/>
      <c r="E19" s="53"/>
      <c r="F19" s="53"/>
      <c r="G19" s="53"/>
      <c r="H19" s="53"/>
      <c r="I19" s="53"/>
      <c r="J19" s="53"/>
    </row>
    <row r="20" spans="1:13">
      <c r="A20" s="21" t="s">
        <v>47</v>
      </c>
      <c r="B20" s="15" t="s">
        <v>379</v>
      </c>
      <c r="C20" s="15" t="s">
        <v>380</v>
      </c>
      <c r="D20" s="15" t="s">
        <v>381</v>
      </c>
      <c r="E20" s="15" t="s">
        <v>718</v>
      </c>
      <c r="F20" s="15" t="s">
        <v>327</v>
      </c>
      <c r="G20" s="23" t="s">
        <v>96</v>
      </c>
      <c r="H20" s="23" t="s">
        <v>96</v>
      </c>
      <c r="I20" s="22" t="s">
        <v>96</v>
      </c>
      <c r="J20" s="21"/>
      <c r="K20" s="33" t="str">
        <f>"60,0"</f>
        <v>60,0</v>
      </c>
      <c r="L20" s="21" t="str">
        <f>"66,9780"</f>
        <v>66,9780</v>
      </c>
      <c r="M20" s="15"/>
    </row>
    <row r="21" spans="1:13">
      <c r="B21" s="5" t="s">
        <v>8</v>
      </c>
    </row>
    <row r="22" spans="1:13" ht="16">
      <c r="A22" s="52" t="s">
        <v>49</v>
      </c>
      <c r="B22" s="52"/>
      <c r="C22" s="53"/>
      <c r="D22" s="53"/>
      <c r="E22" s="53"/>
      <c r="F22" s="53"/>
      <c r="G22" s="53"/>
      <c r="H22" s="53"/>
      <c r="I22" s="53"/>
      <c r="J22" s="53"/>
    </row>
    <row r="23" spans="1:13">
      <c r="A23" s="9" t="s">
        <v>47</v>
      </c>
      <c r="B23" s="8" t="s">
        <v>285</v>
      </c>
      <c r="C23" s="8" t="s">
        <v>286</v>
      </c>
      <c r="D23" s="8" t="s">
        <v>199</v>
      </c>
      <c r="E23" s="8" t="s">
        <v>720</v>
      </c>
      <c r="F23" s="8" t="s">
        <v>708</v>
      </c>
      <c r="G23" s="17" t="s">
        <v>64</v>
      </c>
      <c r="H23" s="17" t="s">
        <v>66</v>
      </c>
      <c r="I23" s="17" t="s">
        <v>200</v>
      </c>
      <c r="J23" s="9"/>
      <c r="K23" s="30" t="str">
        <f>"47,5"</f>
        <v>47,5</v>
      </c>
      <c r="L23" s="9" t="str">
        <f>"49,8323"</f>
        <v>49,8323</v>
      </c>
      <c r="M23" s="8" t="s">
        <v>595</v>
      </c>
    </row>
    <row r="24" spans="1:13">
      <c r="A24" s="25" t="s">
        <v>47</v>
      </c>
      <c r="B24" s="24" t="s">
        <v>382</v>
      </c>
      <c r="C24" s="24" t="s">
        <v>383</v>
      </c>
      <c r="D24" s="24" t="s">
        <v>384</v>
      </c>
      <c r="E24" s="24" t="s">
        <v>718</v>
      </c>
      <c r="F24" s="24" t="s">
        <v>101</v>
      </c>
      <c r="G24" s="26" t="s">
        <v>94</v>
      </c>
      <c r="H24" s="26" t="s">
        <v>185</v>
      </c>
      <c r="I24" s="26" t="s">
        <v>55</v>
      </c>
      <c r="J24" s="25"/>
      <c r="K24" s="31" t="str">
        <f>"75,0"</f>
        <v>75,0</v>
      </c>
      <c r="L24" s="25" t="str">
        <f>"81,2325"</f>
        <v>81,2325</v>
      </c>
      <c r="M24" s="24"/>
    </row>
    <row r="25" spans="1:13">
      <c r="A25" s="11" t="s">
        <v>172</v>
      </c>
      <c r="B25" s="10" t="s">
        <v>285</v>
      </c>
      <c r="C25" s="10" t="s">
        <v>287</v>
      </c>
      <c r="D25" s="10" t="s">
        <v>199</v>
      </c>
      <c r="E25" s="10" t="s">
        <v>718</v>
      </c>
      <c r="F25" s="10" t="s">
        <v>708</v>
      </c>
      <c r="G25" s="19" t="s">
        <v>64</v>
      </c>
      <c r="H25" s="19" t="s">
        <v>66</v>
      </c>
      <c r="I25" s="19" t="s">
        <v>200</v>
      </c>
      <c r="J25" s="11"/>
      <c r="K25" s="32" t="str">
        <f>"47,5"</f>
        <v>47,5</v>
      </c>
      <c r="L25" s="11" t="str">
        <f>"49,8323"</f>
        <v>49,8323</v>
      </c>
      <c r="M25" s="10" t="s">
        <v>595</v>
      </c>
    </row>
    <row r="26" spans="1:13">
      <c r="B26" s="5" t="s">
        <v>8</v>
      </c>
    </row>
    <row r="27" spans="1:13" ht="16">
      <c r="A27" s="52" t="s">
        <v>87</v>
      </c>
      <c r="B27" s="52"/>
      <c r="C27" s="53"/>
      <c r="D27" s="53"/>
      <c r="E27" s="53"/>
      <c r="F27" s="53"/>
      <c r="G27" s="53"/>
      <c r="H27" s="53"/>
      <c r="I27" s="53"/>
      <c r="J27" s="53"/>
    </row>
    <row r="28" spans="1:13">
      <c r="A28" s="21" t="s">
        <v>47</v>
      </c>
      <c r="B28" s="15" t="s">
        <v>88</v>
      </c>
      <c r="C28" s="15" t="s">
        <v>89</v>
      </c>
      <c r="D28" s="15" t="s">
        <v>90</v>
      </c>
      <c r="E28" s="15" t="s">
        <v>718</v>
      </c>
      <c r="F28" s="15" t="s">
        <v>708</v>
      </c>
      <c r="G28" s="22" t="s">
        <v>96</v>
      </c>
      <c r="H28" s="23" t="s">
        <v>94</v>
      </c>
      <c r="I28" s="23" t="s">
        <v>94</v>
      </c>
      <c r="J28" s="21"/>
      <c r="K28" s="33" t="str">
        <f>"60,0"</f>
        <v>60,0</v>
      </c>
      <c r="L28" s="21" t="str">
        <f>"57,3780"</f>
        <v>57,3780</v>
      </c>
      <c r="M28" s="15" t="s">
        <v>595</v>
      </c>
    </row>
    <row r="29" spans="1:13">
      <c r="B29" s="5" t="s">
        <v>8</v>
      </c>
    </row>
    <row r="30" spans="1:13" ht="16">
      <c r="A30" s="52" t="s">
        <v>49</v>
      </c>
      <c r="B30" s="52"/>
      <c r="C30" s="53"/>
      <c r="D30" s="53"/>
      <c r="E30" s="53"/>
      <c r="F30" s="53"/>
      <c r="G30" s="53"/>
      <c r="H30" s="53"/>
      <c r="I30" s="53"/>
      <c r="J30" s="53"/>
    </row>
    <row r="31" spans="1:13">
      <c r="A31" s="9" t="s">
        <v>47</v>
      </c>
      <c r="B31" s="8" t="s">
        <v>385</v>
      </c>
      <c r="C31" s="8" t="s">
        <v>386</v>
      </c>
      <c r="D31" s="8" t="s">
        <v>387</v>
      </c>
      <c r="E31" s="8" t="s">
        <v>718</v>
      </c>
      <c r="F31" s="8" t="s">
        <v>708</v>
      </c>
      <c r="G31" s="17" t="s">
        <v>54</v>
      </c>
      <c r="H31" s="17" t="s">
        <v>82</v>
      </c>
      <c r="I31" s="18" t="s">
        <v>19</v>
      </c>
      <c r="J31" s="9"/>
      <c r="K31" s="30" t="str">
        <f>"130,0"</f>
        <v>130,0</v>
      </c>
      <c r="L31" s="9" t="str">
        <f>"100,9580"</f>
        <v>100,9580</v>
      </c>
      <c r="M31" s="8"/>
    </row>
    <row r="32" spans="1:13">
      <c r="A32" s="25" t="s">
        <v>172</v>
      </c>
      <c r="B32" s="24" t="s">
        <v>388</v>
      </c>
      <c r="C32" s="24" t="s">
        <v>389</v>
      </c>
      <c r="D32" s="24" t="s">
        <v>390</v>
      </c>
      <c r="E32" s="24" t="s">
        <v>718</v>
      </c>
      <c r="F32" s="24" t="s">
        <v>108</v>
      </c>
      <c r="G32" s="26" t="s">
        <v>67</v>
      </c>
      <c r="H32" s="26" t="s">
        <v>68</v>
      </c>
      <c r="I32" s="26" t="s">
        <v>54</v>
      </c>
      <c r="J32" s="25"/>
      <c r="K32" s="31" t="str">
        <f>"125,0"</f>
        <v>125,0</v>
      </c>
      <c r="L32" s="25" t="str">
        <f>"98,4000"</f>
        <v>98,4000</v>
      </c>
      <c r="M32" s="24" t="s">
        <v>612</v>
      </c>
    </row>
    <row r="33" spans="1:13">
      <c r="A33" s="25" t="s">
        <v>173</v>
      </c>
      <c r="B33" s="24" t="s">
        <v>392</v>
      </c>
      <c r="C33" s="24" t="s">
        <v>393</v>
      </c>
      <c r="D33" s="24" t="s">
        <v>394</v>
      </c>
      <c r="E33" s="24" t="s">
        <v>718</v>
      </c>
      <c r="F33" s="24" t="s">
        <v>108</v>
      </c>
      <c r="G33" s="26" t="s">
        <v>242</v>
      </c>
      <c r="H33" s="26" t="s">
        <v>226</v>
      </c>
      <c r="I33" s="27" t="s">
        <v>111</v>
      </c>
      <c r="J33" s="25"/>
      <c r="K33" s="31" t="str">
        <f>"107,5"</f>
        <v>107,5</v>
      </c>
      <c r="L33" s="25" t="str">
        <f>"83,3770"</f>
        <v>83,3770</v>
      </c>
      <c r="M33" s="24" t="s">
        <v>603</v>
      </c>
    </row>
    <row r="34" spans="1:13">
      <c r="A34" s="25" t="s">
        <v>174</v>
      </c>
      <c r="B34" s="24" t="s">
        <v>395</v>
      </c>
      <c r="C34" s="24" t="s">
        <v>396</v>
      </c>
      <c r="D34" s="24" t="s">
        <v>397</v>
      </c>
      <c r="E34" s="24" t="s">
        <v>718</v>
      </c>
      <c r="F34" s="24" t="s">
        <v>108</v>
      </c>
      <c r="G34" s="26" t="s">
        <v>78</v>
      </c>
      <c r="H34" s="26" t="s">
        <v>226</v>
      </c>
      <c r="I34" s="27" t="s">
        <v>63</v>
      </c>
      <c r="J34" s="25"/>
      <c r="K34" s="31" t="str">
        <f>"107,5"</f>
        <v>107,5</v>
      </c>
      <c r="L34" s="25" t="str">
        <f>"83,1835"</f>
        <v>83,1835</v>
      </c>
      <c r="M34" s="24" t="s">
        <v>613</v>
      </c>
    </row>
    <row r="35" spans="1:13">
      <c r="A35" s="25" t="s">
        <v>271</v>
      </c>
      <c r="B35" s="24" t="s">
        <v>398</v>
      </c>
      <c r="C35" s="24" t="s">
        <v>399</v>
      </c>
      <c r="D35" s="24" t="s">
        <v>199</v>
      </c>
      <c r="E35" s="24" t="s">
        <v>718</v>
      </c>
      <c r="F35" s="24" t="s">
        <v>400</v>
      </c>
      <c r="G35" s="26" t="s">
        <v>61</v>
      </c>
      <c r="H35" s="27" t="s">
        <v>111</v>
      </c>
      <c r="I35" s="27" t="s">
        <v>111</v>
      </c>
      <c r="J35" s="25"/>
      <c r="K35" s="31" t="str">
        <f>"105,0"</f>
        <v>105,0</v>
      </c>
      <c r="L35" s="25" t="str">
        <f>"83,4960"</f>
        <v>83,4960</v>
      </c>
      <c r="M35" s="24"/>
    </row>
    <row r="36" spans="1:13">
      <c r="A36" s="11" t="s">
        <v>476</v>
      </c>
      <c r="B36" s="10" t="s">
        <v>401</v>
      </c>
      <c r="C36" s="10" t="s">
        <v>402</v>
      </c>
      <c r="D36" s="10" t="s">
        <v>403</v>
      </c>
      <c r="E36" s="10" t="s">
        <v>718</v>
      </c>
      <c r="F36" s="10" t="s">
        <v>108</v>
      </c>
      <c r="G36" s="19" t="s">
        <v>192</v>
      </c>
      <c r="H36" s="20" t="s">
        <v>404</v>
      </c>
      <c r="I36" s="20" t="s">
        <v>404</v>
      </c>
      <c r="J36" s="11"/>
      <c r="K36" s="32" t="str">
        <f>"67,5"</f>
        <v>67,5</v>
      </c>
      <c r="L36" s="11" t="str">
        <f>"53,6085"</f>
        <v>53,6085</v>
      </c>
      <c r="M36" s="10" t="s">
        <v>613</v>
      </c>
    </row>
    <row r="37" spans="1:13">
      <c r="B37" s="5" t="s">
        <v>8</v>
      </c>
    </row>
    <row r="38" spans="1:13" ht="16">
      <c r="A38" s="52" t="s">
        <v>87</v>
      </c>
      <c r="B38" s="52"/>
      <c r="C38" s="53"/>
      <c r="D38" s="53"/>
      <c r="E38" s="53"/>
      <c r="F38" s="53"/>
      <c r="G38" s="53"/>
      <c r="H38" s="53"/>
      <c r="I38" s="53"/>
      <c r="J38" s="53"/>
    </row>
    <row r="39" spans="1:13">
      <c r="A39" s="9" t="s">
        <v>47</v>
      </c>
      <c r="B39" s="8" t="s">
        <v>405</v>
      </c>
      <c r="C39" s="8" t="s">
        <v>406</v>
      </c>
      <c r="D39" s="8" t="s">
        <v>407</v>
      </c>
      <c r="E39" s="8" t="s">
        <v>720</v>
      </c>
      <c r="F39" s="8" t="s">
        <v>108</v>
      </c>
      <c r="G39" s="17" t="s">
        <v>73</v>
      </c>
      <c r="H39" s="18" t="s">
        <v>76</v>
      </c>
      <c r="I39" s="18" t="s">
        <v>76</v>
      </c>
      <c r="J39" s="9"/>
      <c r="K39" s="30" t="str">
        <f>"85,0"</f>
        <v>85,0</v>
      </c>
      <c r="L39" s="9" t="str">
        <f>"61,4975"</f>
        <v>61,4975</v>
      </c>
      <c r="M39" s="8"/>
    </row>
    <row r="40" spans="1:13">
      <c r="A40" s="25" t="s">
        <v>47</v>
      </c>
      <c r="B40" s="24" t="s">
        <v>408</v>
      </c>
      <c r="C40" s="24" t="s">
        <v>669</v>
      </c>
      <c r="D40" s="24" t="s">
        <v>409</v>
      </c>
      <c r="E40" s="24" t="s">
        <v>719</v>
      </c>
      <c r="F40" s="24" t="s">
        <v>108</v>
      </c>
      <c r="G40" s="26" t="s">
        <v>197</v>
      </c>
      <c r="H40" s="27" t="s">
        <v>82</v>
      </c>
      <c r="I40" s="26" t="s">
        <v>82</v>
      </c>
      <c r="J40" s="25"/>
      <c r="K40" s="31" t="str">
        <f>"130,0"</f>
        <v>130,0</v>
      </c>
      <c r="L40" s="25" t="str">
        <f>"92,9760"</f>
        <v>92,9760</v>
      </c>
      <c r="M40" s="24"/>
    </row>
    <row r="41" spans="1:13">
      <c r="A41" s="25" t="s">
        <v>47</v>
      </c>
      <c r="B41" s="24" t="s">
        <v>410</v>
      </c>
      <c r="C41" s="24" t="s">
        <v>411</v>
      </c>
      <c r="D41" s="24" t="s">
        <v>412</v>
      </c>
      <c r="E41" s="24" t="s">
        <v>718</v>
      </c>
      <c r="F41" s="24" t="s">
        <v>108</v>
      </c>
      <c r="G41" s="26" t="s">
        <v>82</v>
      </c>
      <c r="H41" s="27" t="s">
        <v>19</v>
      </c>
      <c r="I41" s="26" t="s">
        <v>19</v>
      </c>
      <c r="J41" s="25"/>
      <c r="K41" s="31" t="str">
        <f>"135,0"</f>
        <v>135,0</v>
      </c>
      <c r="L41" s="25" t="str">
        <f>"98,4555"</f>
        <v>98,4555</v>
      </c>
      <c r="M41" s="24"/>
    </row>
    <row r="42" spans="1:13">
      <c r="A42" s="25" t="s">
        <v>172</v>
      </c>
      <c r="B42" s="24" t="s">
        <v>413</v>
      </c>
      <c r="C42" s="24" t="s">
        <v>414</v>
      </c>
      <c r="D42" s="24" t="s">
        <v>290</v>
      </c>
      <c r="E42" s="24" t="s">
        <v>718</v>
      </c>
      <c r="F42" s="24" t="s">
        <v>108</v>
      </c>
      <c r="G42" s="26" t="s">
        <v>68</v>
      </c>
      <c r="H42" s="27" t="s">
        <v>82</v>
      </c>
      <c r="I42" s="27" t="s">
        <v>82</v>
      </c>
      <c r="J42" s="25"/>
      <c r="K42" s="31" t="str">
        <f>"120,0"</f>
        <v>120,0</v>
      </c>
      <c r="L42" s="25" t="str">
        <f>"87,1680"</f>
        <v>87,1680</v>
      </c>
      <c r="M42" s="24" t="s">
        <v>614</v>
      </c>
    </row>
    <row r="43" spans="1:13">
      <c r="A43" s="25" t="s">
        <v>173</v>
      </c>
      <c r="B43" s="24" t="s">
        <v>415</v>
      </c>
      <c r="C43" s="24" t="s">
        <v>416</v>
      </c>
      <c r="D43" s="24" t="s">
        <v>417</v>
      </c>
      <c r="E43" s="24" t="s">
        <v>718</v>
      </c>
      <c r="F43" s="24" t="s">
        <v>108</v>
      </c>
      <c r="G43" s="26" t="s">
        <v>111</v>
      </c>
      <c r="H43" s="26" t="s">
        <v>63</v>
      </c>
      <c r="I43" s="27" t="s">
        <v>68</v>
      </c>
      <c r="J43" s="25"/>
      <c r="K43" s="31" t="str">
        <f>"117,5"</f>
        <v>117,5</v>
      </c>
      <c r="L43" s="25" t="str">
        <f>"84,4355"</f>
        <v>84,4355</v>
      </c>
      <c r="M43" s="24" t="s">
        <v>615</v>
      </c>
    </row>
    <row r="44" spans="1:13">
      <c r="A44" s="11" t="s">
        <v>47</v>
      </c>
      <c r="B44" s="10" t="s">
        <v>207</v>
      </c>
      <c r="C44" s="10" t="s">
        <v>661</v>
      </c>
      <c r="D44" s="10" t="s">
        <v>208</v>
      </c>
      <c r="E44" s="10" t="s">
        <v>721</v>
      </c>
      <c r="F44" s="10" t="s">
        <v>108</v>
      </c>
      <c r="G44" s="19" t="s">
        <v>196</v>
      </c>
      <c r="H44" s="20" t="s">
        <v>197</v>
      </c>
      <c r="I44" s="19" t="s">
        <v>197</v>
      </c>
      <c r="J44" s="11"/>
      <c r="K44" s="32" t="str">
        <f>"127,5"</f>
        <v>127,5</v>
      </c>
      <c r="L44" s="11" t="str">
        <f>"91,9899"</f>
        <v>91,9899</v>
      </c>
      <c r="M44" s="10"/>
    </row>
    <row r="45" spans="1:13">
      <c r="B45" s="5" t="s">
        <v>8</v>
      </c>
    </row>
    <row r="46" spans="1:13" ht="16">
      <c r="A46" s="52" t="s">
        <v>97</v>
      </c>
      <c r="B46" s="52"/>
      <c r="C46" s="53"/>
      <c r="D46" s="53"/>
      <c r="E46" s="53"/>
      <c r="F46" s="53"/>
      <c r="G46" s="53"/>
      <c r="H46" s="53"/>
      <c r="I46" s="53"/>
      <c r="J46" s="53"/>
    </row>
    <row r="47" spans="1:13">
      <c r="A47" s="9" t="s">
        <v>47</v>
      </c>
      <c r="B47" s="8" t="s">
        <v>212</v>
      </c>
      <c r="C47" s="8" t="s">
        <v>213</v>
      </c>
      <c r="D47" s="8" t="s">
        <v>214</v>
      </c>
      <c r="E47" s="8" t="s">
        <v>718</v>
      </c>
      <c r="F47" s="8" t="s">
        <v>53</v>
      </c>
      <c r="G47" s="17" t="s">
        <v>54</v>
      </c>
      <c r="H47" s="17" t="s">
        <v>19</v>
      </c>
      <c r="I47" s="17" t="s">
        <v>20</v>
      </c>
      <c r="J47" s="9"/>
      <c r="K47" s="30" t="str">
        <f>"142,5"</f>
        <v>142,5</v>
      </c>
      <c r="L47" s="9" t="str">
        <f>"95,4608"</f>
        <v>95,4608</v>
      </c>
      <c r="M47" s="8"/>
    </row>
    <row r="48" spans="1:13">
      <c r="A48" s="25" t="s">
        <v>172</v>
      </c>
      <c r="B48" s="24" t="s">
        <v>418</v>
      </c>
      <c r="C48" s="24" t="s">
        <v>419</v>
      </c>
      <c r="D48" s="24" t="s">
        <v>293</v>
      </c>
      <c r="E48" s="24" t="s">
        <v>718</v>
      </c>
      <c r="F48" s="24" t="s">
        <v>108</v>
      </c>
      <c r="G48" s="27" t="s">
        <v>19</v>
      </c>
      <c r="H48" s="26" t="s">
        <v>25</v>
      </c>
      <c r="I48" s="27" t="s">
        <v>84</v>
      </c>
      <c r="J48" s="25"/>
      <c r="K48" s="31" t="str">
        <f>"140,0"</f>
        <v>140,0</v>
      </c>
      <c r="L48" s="25" t="str">
        <f>"95,2840"</f>
        <v>95,2840</v>
      </c>
      <c r="M48" s="24" t="s">
        <v>616</v>
      </c>
    </row>
    <row r="49" spans="1:13">
      <c r="A49" s="25" t="s">
        <v>173</v>
      </c>
      <c r="B49" s="24" t="s">
        <v>420</v>
      </c>
      <c r="C49" s="24" t="s">
        <v>421</v>
      </c>
      <c r="D49" s="24" t="s">
        <v>422</v>
      </c>
      <c r="E49" s="24" t="s">
        <v>718</v>
      </c>
      <c r="F49" s="24" t="s">
        <v>108</v>
      </c>
      <c r="G49" s="27" t="s">
        <v>19</v>
      </c>
      <c r="H49" s="26" t="s">
        <v>19</v>
      </c>
      <c r="I49" s="27" t="s">
        <v>84</v>
      </c>
      <c r="J49" s="25"/>
      <c r="K49" s="31" t="str">
        <f>"135,0"</f>
        <v>135,0</v>
      </c>
      <c r="L49" s="25" t="str">
        <f>"92,8260"</f>
        <v>92,8260</v>
      </c>
      <c r="M49" s="24"/>
    </row>
    <row r="50" spans="1:13">
      <c r="A50" s="25" t="s">
        <v>174</v>
      </c>
      <c r="B50" s="24" t="s">
        <v>219</v>
      </c>
      <c r="C50" s="24" t="s">
        <v>220</v>
      </c>
      <c r="D50" s="24" t="s">
        <v>221</v>
      </c>
      <c r="E50" s="24" t="s">
        <v>718</v>
      </c>
      <c r="F50" s="24" t="s">
        <v>222</v>
      </c>
      <c r="G50" s="26" t="s">
        <v>82</v>
      </c>
      <c r="H50" s="27" t="s">
        <v>153</v>
      </c>
      <c r="I50" s="27" t="s">
        <v>153</v>
      </c>
      <c r="J50" s="25"/>
      <c r="K50" s="31" t="str">
        <f>"130,0"</f>
        <v>130,0</v>
      </c>
      <c r="L50" s="25" t="str">
        <f>"87,4120"</f>
        <v>87,4120</v>
      </c>
      <c r="M50" s="24" t="s">
        <v>602</v>
      </c>
    </row>
    <row r="51" spans="1:13">
      <c r="A51" s="25" t="s">
        <v>271</v>
      </c>
      <c r="B51" s="24" t="s">
        <v>423</v>
      </c>
      <c r="C51" s="24" t="s">
        <v>424</v>
      </c>
      <c r="D51" s="24" t="s">
        <v>425</v>
      </c>
      <c r="E51" s="24" t="s">
        <v>718</v>
      </c>
      <c r="F51" s="24" t="s">
        <v>108</v>
      </c>
      <c r="G51" s="26" t="s">
        <v>67</v>
      </c>
      <c r="H51" s="27" t="s">
        <v>68</v>
      </c>
      <c r="I51" s="27" t="s">
        <v>68</v>
      </c>
      <c r="J51" s="25"/>
      <c r="K51" s="31" t="str">
        <f>"115,0"</f>
        <v>115,0</v>
      </c>
      <c r="L51" s="25" t="str">
        <f>"78,6945"</f>
        <v>78,6945</v>
      </c>
      <c r="M51" s="24"/>
    </row>
    <row r="52" spans="1:13">
      <c r="A52" s="25" t="s">
        <v>476</v>
      </c>
      <c r="B52" s="24" t="s">
        <v>426</v>
      </c>
      <c r="C52" s="24" t="s">
        <v>427</v>
      </c>
      <c r="D52" s="24" t="s">
        <v>428</v>
      </c>
      <c r="E52" s="24" t="s">
        <v>718</v>
      </c>
      <c r="F52" s="24" t="s">
        <v>108</v>
      </c>
      <c r="G52" s="26" t="s">
        <v>110</v>
      </c>
      <c r="H52" s="27" t="s">
        <v>226</v>
      </c>
      <c r="I52" s="27" t="s">
        <v>226</v>
      </c>
      <c r="J52" s="25"/>
      <c r="K52" s="31" t="str">
        <f>"100,0"</f>
        <v>100,0</v>
      </c>
      <c r="L52" s="25" t="str">
        <f>"67,0900"</f>
        <v>67,0900</v>
      </c>
      <c r="M52" s="24" t="s">
        <v>616</v>
      </c>
    </row>
    <row r="53" spans="1:13">
      <c r="A53" s="11" t="s">
        <v>47</v>
      </c>
      <c r="B53" s="10" t="s">
        <v>429</v>
      </c>
      <c r="C53" s="10" t="s">
        <v>670</v>
      </c>
      <c r="D53" s="10" t="s">
        <v>430</v>
      </c>
      <c r="E53" s="10" t="s">
        <v>722</v>
      </c>
      <c r="F53" s="10" t="s">
        <v>400</v>
      </c>
      <c r="G53" s="19" t="s">
        <v>68</v>
      </c>
      <c r="H53" s="19" t="s">
        <v>197</v>
      </c>
      <c r="I53" s="20" t="s">
        <v>82</v>
      </c>
      <c r="J53" s="11"/>
      <c r="K53" s="32" t="str">
        <f>"127,5"</f>
        <v>127,5</v>
      </c>
      <c r="L53" s="11" t="str">
        <f>"97,1235"</f>
        <v>97,1235</v>
      </c>
      <c r="M53" s="10"/>
    </row>
    <row r="54" spans="1:13">
      <c r="B54" s="5" t="s">
        <v>8</v>
      </c>
    </row>
    <row r="55" spans="1:13" ht="16">
      <c r="A55" s="52" t="s">
        <v>12</v>
      </c>
      <c r="B55" s="52"/>
      <c r="C55" s="53"/>
      <c r="D55" s="53"/>
      <c r="E55" s="53"/>
      <c r="F55" s="53"/>
      <c r="G55" s="53"/>
      <c r="H55" s="53"/>
      <c r="I55" s="53"/>
      <c r="J55" s="53"/>
    </row>
    <row r="56" spans="1:13">
      <c r="A56" s="9" t="s">
        <v>47</v>
      </c>
      <c r="B56" s="8" t="s">
        <v>431</v>
      </c>
      <c r="C56" s="8" t="s">
        <v>432</v>
      </c>
      <c r="D56" s="8" t="s">
        <v>433</v>
      </c>
      <c r="E56" s="8" t="s">
        <v>718</v>
      </c>
      <c r="F56" s="8" t="s">
        <v>108</v>
      </c>
      <c r="G56" s="17" t="s">
        <v>26</v>
      </c>
      <c r="H56" s="18" t="s">
        <v>16</v>
      </c>
      <c r="I56" s="18" t="s">
        <v>16</v>
      </c>
      <c r="J56" s="9"/>
      <c r="K56" s="30" t="str">
        <f>"200,0"</f>
        <v>200,0</v>
      </c>
      <c r="L56" s="9" t="str">
        <f>"128,4800"</f>
        <v>128,4800</v>
      </c>
      <c r="M56" s="8" t="s">
        <v>434</v>
      </c>
    </row>
    <row r="57" spans="1:13">
      <c r="A57" s="25" t="s">
        <v>172</v>
      </c>
      <c r="B57" s="24" t="s">
        <v>435</v>
      </c>
      <c r="C57" s="24" t="s">
        <v>436</v>
      </c>
      <c r="D57" s="24" t="s">
        <v>437</v>
      </c>
      <c r="E57" s="24" t="s">
        <v>718</v>
      </c>
      <c r="F57" s="24" t="s">
        <v>108</v>
      </c>
      <c r="G57" s="26" t="s">
        <v>82</v>
      </c>
      <c r="H57" s="26" t="s">
        <v>19</v>
      </c>
      <c r="I57" s="27" t="s">
        <v>25</v>
      </c>
      <c r="J57" s="25"/>
      <c r="K57" s="31" t="str">
        <f>"135,0"</f>
        <v>135,0</v>
      </c>
      <c r="L57" s="25" t="str">
        <f>"88,5870"</f>
        <v>88,5870</v>
      </c>
      <c r="M57" s="24" t="s">
        <v>617</v>
      </c>
    </row>
    <row r="58" spans="1:13">
      <c r="A58" s="25" t="s">
        <v>47</v>
      </c>
      <c r="B58" s="24" t="s">
        <v>438</v>
      </c>
      <c r="C58" s="24" t="s">
        <v>671</v>
      </c>
      <c r="D58" s="24" t="s">
        <v>439</v>
      </c>
      <c r="E58" s="24" t="s">
        <v>721</v>
      </c>
      <c r="F58" s="24" t="s">
        <v>108</v>
      </c>
      <c r="G58" s="26" t="s">
        <v>54</v>
      </c>
      <c r="H58" s="26" t="s">
        <v>91</v>
      </c>
      <c r="I58" s="27" t="s">
        <v>25</v>
      </c>
      <c r="J58" s="25"/>
      <c r="K58" s="31" t="str">
        <f>"132,5"</f>
        <v>132,5</v>
      </c>
      <c r="L58" s="25" t="str">
        <f>"85,8099"</f>
        <v>85,8099</v>
      </c>
      <c r="M58" s="24" t="s">
        <v>618</v>
      </c>
    </row>
    <row r="59" spans="1:13">
      <c r="A59" s="25" t="s">
        <v>172</v>
      </c>
      <c r="B59" s="24" t="s">
        <v>440</v>
      </c>
      <c r="C59" s="24" t="s">
        <v>672</v>
      </c>
      <c r="D59" s="24" t="s">
        <v>441</v>
      </c>
      <c r="E59" s="24" t="s">
        <v>721</v>
      </c>
      <c r="F59" s="24" t="s">
        <v>108</v>
      </c>
      <c r="G59" s="27" t="s">
        <v>111</v>
      </c>
      <c r="H59" s="27" t="s">
        <v>111</v>
      </c>
      <c r="I59" s="26" t="s">
        <v>111</v>
      </c>
      <c r="J59" s="25"/>
      <c r="K59" s="31" t="str">
        <f>"110,0"</f>
        <v>110,0</v>
      </c>
      <c r="L59" s="25" t="str">
        <f>"73,3550"</f>
        <v>73,3550</v>
      </c>
      <c r="M59" s="24"/>
    </row>
    <row r="60" spans="1:13">
      <c r="A60" s="11" t="s">
        <v>48</v>
      </c>
      <c r="B60" s="10" t="s">
        <v>442</v>
      </c>
      <c r="C60" s="10" t="s">
        <v>673</v>
      </c>
      <c r="D60" s="10" t="s">
        <v>441</v>
      </c>
      <c r="E60" s="10" t="s">
        <v>721</v>
      </c>
      <c r="F60" s="10" t="s">
        <v>108</v>
      </c>
      <c r="G60" s="20" t="s">
        <v>84</v>
      </c>
      <c r="H60" s="20" t="s">
        <v>84</v>
      </c>
      <c r="I60" s="20" t="s">
        <v>84</v>
      </c>
      <c r="J60" s="11"/>
      <c r="K60" s="32">
        <v>0</v>
      </c>
      <c r="L60" s="11" t="str">
        <f>"0,0000"</f>
        <v>0,0000</v>
      </c>
      <c r="M60" s="10" t="s">
        <v>619</v>
      </c>
    </row>
    <row r="61" spans="1:13">
      <c r="B61" s="5" t="s">
        <v>8</v>
      </c>
    </row>
    <row r="62" spans="1:13" ht="16">
      <c r="A62" s="52" t="s">
        <v>28</v>
      </c>
      <c r="B62" s="52"/>
      <c r="C62" s="53"/>
      <c r="D62" s="53"/>
      <c r="E62" s="53"/>
      <c r="F62" s="53"/>
      <c r="G62" s="53"/>
      <c r="H62" s="53"/>
      <c r="I62" s="53"/>
      <c r="J62" s="53"/>
    </row>
    <row r="63" spans="1:13">
      <c r="A63" s="9" t="s">
        <v>47</v>
      </c>
      <c r="B63" s="8" t="s">
        <v>443</v>
      </c>
      <c r="C63" s="8" t="s">
        <v>444</v>
      </c>
      <c r="D63" s="8" t="s">
        <v>445</v>
      </c>
      <c r="E63" s="8" t="s">
        <v>718</v>
      </c>
      <c r="F63" s="8" t="s">
        <v>108</v>
      </c>
      <c r="G63" s="18" t="s">
        <v>109</v>
      </c>
      <c r="H63" s="17" t="s">
        <v>148</v>
      </c>
      <c r="I63" s="17" t="s">
        <v>120</v>
      </c>
      <c r="J63" s="9"/>
      <c r="K63" s="30" t="str">
        <f>"165,0"</f>
        <v>165,0</v>
      </c>
      <c r="L63" s="9" t="str">
        <f>"104,5770"</f>
        <v>104,5770</v>
      </c>
      <c r="M63" s="8" t="s">
        <v>391</v>
      </c>
    </row>
    <row r="64" spans="1:13">
      <c r="A64" s="25" t="s">
        <v>172</v>
      </c>
      <c r="B64" s="24" t="s">
        <v>446</v>
      </c>
      <c r="C64" s="24" t="s">
        <v>447</v>
      </c>
      <c r="D64" s="24" t="s">
        <v>448</v>
      </c>
      <c r="E64" s="24" t="s">
        <v>718</v>
      </c>
      <c r="F64" s="24" t="s">
        <v>108</v>
      </c>
      <c r="G64" s="26" t="s">
        <v>85</v>
      </c>
      <c r="H64" s="26" t="s">
        <v>141</v>
      </c>
      <c r="I64" s="27" t="s">
        <v>148</v>
      </c>
      <c r="J64" s="25"/>
      <c r="K64" s="31" t="str">
        <f>"155,0"</f>
        <v>155,0</v>
      </c>
      <c r="L64" s="25" t="str">
        <f>"95,6195"</f>
        <v>95,6195</v>
      </c>
      <c r="M64" s="24" t="s">
        <v>616</v>
      </c>
    </row>
    <row r="65" spans="1:13">
      <c r="A65" s="25" t="s">
        <v>173</v>
      </c>
      <c r="B65" s="24" t="s">
        <v>449</v>
      </c>
      <c r="C65" s="24" t="s">
        <v>450</v>
      </c>
      <c r="D65" s="24" t="s">
        <v>451</v>
      </c>
      <c r="E65" s="24" t="s">
        <v>718</v>
      </c>
      <c r="F65" s="24" t="s">
        <v>108</v>
      </c>
      <c r="G65" s="26" t="s">
        <v>25</v>
      </c>
      <c r="H65" s="26" t="s">
        <v>84</v>
      </c>
      <c r="I65" s="26" t="s">
        <v>85</v>
      </c>
      <c r="J65" s="25"/>
      <c r="K65" s="31" t="str">
        <f>"150,0"</f>
        <v>150,0</v>
      </c>
      <c r="L65" s="25" t="str">
        <f>"93,6150"</f>
        <v>93,6150</v>
      </c>
      <c r="M65" s="24"/>
    </row>
    <row r="66" spans="1:13">
      <c r="A66" s="25" t="s">
        <v>174</v>
      </c>
      <c r="B66" s="24" t="s">
        <v>452</v>
      </c>
      <c r="C66" s="24" t="s">
        <v>453</v>
      </c>
      <c r="D66" s="24" t="s">
        <v>454</v>
      </c>
      <c r="E66" s="24" t="s">
        <v>718</v>
      </c>
      <c r="F66" s="24" t="s">
        <v>708</v>
      </c>
      <c r="G66" s="26" t="s">
        <v>25</v>
      </c>
      <c r="H66" s="27" t="s">
        <v>141</v>
      </c>
      <c r="I66" s="27" t="s">
        <v>141</v>
      </c>
      <c r="J66" s="25"/>
      <c r="K66" s="31" t="str">
        <f>"140,0"</f>
        <v>140,0</v>
      </c>
      <c r="L66" s="25" t="str">
        <f>"85,7220"</f>
        <v>85,7220</v>
      </c>
      <c r="M66" s="24"/>
    </row>
    <row r="67" spans="1:13">
      <c r="A67" s="25" t="s">
        <v>271</v>
      </c>
      <c r="B67" s="24" t="s">
        <v>455</v>
      </c>
      <c r="C67" s="24" t="s">
        <v>456</v>
      </c>
      <c r="D67" s="24" t="s">
        <v>457</v>
      </c>
      <c r="E67" s="24" t="s">
        <v>718</v>
      </c>
      <c r="F67" s="24" t="s">
        <v>108</v>
      </c>
      <c r="G67" s="26" t="s">
        <v>242</v>
      </c>
      <c r="H67" s="27" t="s">
        <v>62</v>
      </c>
      <c r="I67" s="27" t="s">
        <v>62</v>
      </c>
      <c r="J67" s="25"/>
      <c r="K67" s="31" t="str">
        <f>"102,5"</f>
        <v>102,5</v>
      </c>
      <c r="L67" s="25" t="str">
        <f>"62,5352"</f>
        <v>62,5352</v>
      </c>
      <c r="M67" s="24" t="s">
        <v>613</v>
      </c>
    </row>
    <row r="68" spans="1:13">
      <c r="A68" s="11" t="s">
        <v>47</v>
      </c>
      <c r="B68" s="10" t="s">
        <v>458</v>
      </c>
      <c r="C68" s="10" t="s">
        <v>674</v>
      </c>
      <c r="D68" s="10" t="s">
        <v>459</v>
      </c>
      <c r="E68" s="10" t="s">
        <v>721</v>
      </c>
      <c r="F68" s="10" t="s">
        <v>460</v>
      </c>
      <c r="G68" s="19" t="s">
        <v>141</v>
      </c>
      <c r="H68" s="19" t="s">
        <v>148</v>
      </c>
      <c r="I68" s="20" t="s">
        <v>120</v>
      </c>
      <c r="J68" s="11"/>
      <c r="K68" s="32" t="str">
        <f>"162,5"</f>
        <v>162,5</v>
      </c>
      <c r="L68" s="11" t="str">
        <f>"101,2213"</f>
        <v>101,2213</v>
      </c>
      <c r="M68" s="10"/>
    </row>
    <row r="69" spans="1:13">
      <c r="B69" s="5" t="s">
        <v>8</v>
      </c>
    </row>
    <row r="70" spans="1:13" ht="16">
      <c r="A70" s="52" t="s">
        <v>144</v>
      </c>
      <c r="B70" s="52"/>
      <c r="C70" s="53"/>
      <c r="D70" s="53"/>
      <c r="E70" s="53"/>
      <c r="F70" s="53"/>
      <c r="G70" s="53"/>
      <c r="H70" s="53"/>
      <c r="I70" s="53"/>
      <c r="J70" s="53"/>
    </row>
    <row r="71" spans="1:13">
      <c r="A71" s="21" t="s">
        <v>47</v>
      </c>
      <c r="B71" s="15" t="s">
        <v>461</v>
      </c>
      <c r="C71" s="15" t="s">
        <v>462</v>
      </c>
      <c r="D71" s="15" t="s">
        <v>147</v>
      </c>
      <c r="E71" s="15" t="s">
        <v>718</v>
      </c>
      <c r="F71" s="15" t="s">
        <v>108</v>
      </c>
      <c r="G71" s="22" t="s">
        <v>84</v>
      </c>
      <c r="H71" s="22" t="s">
        <v>85</v>
      </c>
      <c r="I71" s="23" t="s">
        <v>95</v>
      </c>
      <c r="J71" s="21"/>
      <c r="K71" s="33" t="str">
        <f>"150,0"</f>
        <v>150,0</v>
      </c>
      <c r="L71" s="21" t="str">
        <f>"88,9800"</f>
        <v>88,9800</v>
      </c>
      <c r="M71" s="15" t="s">
        <v>620</v>
      </c>
    </row>
    <row r="72" spans="1:13">
      <c r="B72" s="5" t="s">
        <v>8</v>
      </c>
    </row>
    <row r="73" spans="1:13" ht="16">
      <c r="A73" s="52" t="s">
        <v>150</v>
      </c>
      <c r="B73" s="52"/>
      <c r="C73" s="53"/>
      <c r="D73" s="53"/>
      <c r="E73" s="53"/>
      <c r="F73" s="53"/>
      <c r="G73" s="53"/>
      <c r="H73" s="53"/>
      <c r="I73" s="53"/>
      <c r="J73" s="53"/>
    </row>
    <row r="74" spans="1:13">
      <c r="A74" s="9" t="s">
        <v>47</v>
      </c>
      <c r="B74" s="8" t="s">
        <v>463</v>
      </c>
      <c r="C74" s="8" t="s">
        <v>675</v>
      </c>
      <c r="D74" s="8" t="s">
        <v>464</v>
      </c>
      <c r="E74" s="8" t="s">
        <v>719</v>
      </c>
      <c r="F74" s="8" t="s">
        <v>108</v>
      </c>
      <c r="G74" s="17" t="s">
        <v>34</v>
      </c>
      <c r="H74" s="17" t="s">
        <v>35</v>
      </c>
      <c r="I74" s="18" t="s">
        <v>255</v>
      </c>
      <c r="J74" s="9"/>
      <c r="K74" s="30" t="str">
        <f>"187,5"</f>
        <v>187,5</v>
      </c>
      <c r="L74" s="9" t="str">
        <f>"108,4125"</f>
        <v>108,4125</v>
      </c>
      <c r="M74" s="8" t="s">
        <v>391</v>
      </c>
    </row>
    <row r="75" spans="1:13">
      <c r="A75" s="25" t="s">
        <v>47</v>
      </c>
      <c r="B75" s="24" t="s">
        <v>465</v>
      </c>
      <c r="C75" s="24" t="s">
        <v>466</v>
      </c>
      <c r="D75" s="24" t="s">
        <v>467</v>
      </c>
      <c r="E75" s="24" t="s">
        <v>718</v>
      </c>
      <c r="F75" s="24" t="s">
        <v>108</v>
      </c>
      <c r="G75" s="26" t="s">
        <v>109</v>
      </c>
      <c r="H75" s="27" t="s">
        <v>120</v>
      </c>
      <c r="I75" s="26" t="s">
        <v>120</v>
      </c>
      <c r="J75" s="25"/>
      <c r="K75" s="31" t="str">
        <f>"165,0"</f>
        <v>165,0</v>
      </c>
      <c r="L75" s="25" t="str">
        <f>"94,2645"</f>
        <v>94,2645</v>
      </c>
      <c r="M75" s="24" t="s">
        <v>609</v>
      </c>
    </row>
    <row r="76" spans="1:13">
      <c r="A76" s="11" t="s">
        <v>47</v>
      </c>
      <c r="B76" s="10" t="s">
        <v>468</v>
      </c>
      <c r="C76" s="10" t="s">
        <v>676</v>
      </c>
      <c r="D76" s="10" t="s">
        <v>469</v>
      </c>
      <c r="E76" s="10" t="s">
        <v>723</v>
      </c>
      <c r="F76" s="10" t="s">
        <v>108</v>
      </c>
      <c r="G76" s="19" t="s">
        <v>153</v>
      </c>
      <c r="H76" s="20" t="s">
        <v>95</v>
      </c>
      <c r="I76" s="20" t="s">
        <v>95</v>
      </c>
      <c r="J76" s="11"/>
      <c r="K76" s="32" t="str">
        <f>"137,5"</f>
        <v>137,5</v>
      </c>
      <c r="L76" s="11" t="str">
        <f>"90,6372"</f>
        <v>90,6372</v>
      </c>
      <c r="M76" s="10" t="s">
        <v>621</v>
      </c>
    </row>
    <row r="77" spans="1:13">
      <c r="B77" s="5" t="s">
        <v>8</v>
      </c>
    </row>
    <row r="78" spans="1:13">
      <c r="B78" s="5" t="s">
        <v>8</v>
      </c>
    </row>
    <row r="79" spans="1:13">
      <c r="B79" s="5" t="s">
        <v>8</v>
      </c>
    </row>
    <row r="80" spans="1:13" ht="18">
      <c r="B80" s="7" t="s">
        <v>7</v>
      </c>
      <c r="C80" s="7"/>
      <c r="F80" s="3"/>
    </row>
    <row r="81" spans="2:6" ht="16">
      <c r="B81" s="12" t="s">
        <v>160</v>
      </c>
      <c r="C81" s="12"/>
      <c r="F81" s="3"/>
    </row>
    <row r="82" spans="2:6" ht="14">
      <c r="B82" s="13"/>
      <c r="C82" s="14" t="s">
        <v>39</v>
      </c>
      <c r="F82" s="3"/>
    </row>
    <row r="83" spans="2:6" ht="14">
      <c r="B83" s="16" t="s">
        <v>40</v>
      </c>
      <c r="C83" s="16" t="s">
        <v>41</v>
      </c>
      <c r="D83" s="16" t="s">
        <v>707</v>
      </c>
      <c r="E83" s="16" t="s">
        <v>358</v>
      </c>
      <c r="F83" s="16" t="s">
        <v>44</v>
      </c>
    </row>
    <row r="84" spans="2:6">
      <c r="B84" s="5" t="s">
        <v>382</v>
      </c>
      <c r="C84" s="5" t="s">
        <v>39</v>
      </c>
      <c r="D84" s="6" t="s">
        <v>161</v>
      </c>
      <c r="E84" s="6" t="s">
        <v>55</v>
      </c>
      <c r="F84" s="6" t="s">
        <v>470</v>
      </c>
    </row>
    <row r="85" spans="2:6">
      <c r="B85" s="5" t="s">
        <v>188</v>
      </c>
      <c r="C85" s="5" t="s">
        <v>39</v>
      </c>
      <c r="D85" s="6" t="s">
        <v>260</v>
      </c>
      <c r="E85" s="6" t="s">
        <v>93</v>
      </c>
      <c r="F85" s="6" t="s">
        <v>471</v>
      </c>
    </row>
    <row r="86" spans="2:6">
      <c r="B86" s="5" t="s">
        <v>371</v>
      </c>
      <c r="C86" s="5" t="s">
        <v>39</v>
      </c>
      <c r="D86" s="6" t="s">
        <v>162</v>
      </c>
      <c r="E86" s="6" t="s">
        <v>92</v>
      </c>
      <c r="F86" s="6" t="s">
        <v>472</v>
      </c>
    </row>
    <row r="88" spans="2:6" ht="16">
      <c r="B88" s="12" t="s">
        <v>38</v>
      </c>
      <c r="C88" s="12"/>
    </row>
    <row r="89" spans="2:6" ht="14">
      <c r="B89" s="13"/>
      <c r="C89" s="14" t="s">
        <v>39</v>
      </c>
    </row>
    <row r="90" spans="2:6" ht="14">
      <c r="B90" s="16" t="s">
        <v>40</v>
      </c>
      <c r="C90" s="16" t="s">
        <v>41</v>
      </c>
      <c r="D90" s="16" t="s">
        <v>707</v>
      </c>
      <c r="E90" s="16" t="s">
        <v>358</v>
      </c>
      <c r="F90" s="16" t="s">
        <v>44</v>
      </c>
    </row>
    <row r="91" spans="2:6">
      <c r="B91" s="5" t="s">
        <v>431</v>
      </c>
      <c r="C91" s="5" t="s">
        <v>39</v>
      </c>
      <c r="D91" s="6" t="s">
        <v>46</v>
      </c>
      <c r="E91" s="6" t="s">
        <v>26</v>
      </c>
      <c r="F91" s="6" t="s">
        <v>473</v>
      </c>
    </row>
    <row r="92" spans="2:6">
      <c r="B92" s="5" t="s">
        <v>443</v>
      </c>
      <c r="C92" s="5" t="s">
        <v>39</v>
      </c>
      <c r="D92" s="6" t="s">
        <v>45</v>
      </c>
      <c r="E92" s="6" t="s">
        <v>120</v>
      </c>
      <c r="F92" s="6" t="s">
        <v>474</v>
      </c>
    </row>
    <row r="93" spans="2:6">
      <c r="B93" s="5" t="s">
        <v>385</v>
      </c>
      <c r="C93" s="5" t="s">
        <v>39</v>
      </c>
      <c r="D93" s="6" t="s">
        <v>161</v>
      </c>
      <c r="E93" s="6" t="s">
        <v>82</v>
      </c>
      <c r="F93" s="6" t="s">
        <v>475</v>
      </c>
    </row>
  </sheetData>
  <mergeCells count="24"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  <mergeCell ref="A5:J5"/>
    <mergeCell ref="B3:B4"/>
    <mergeCell ref="A73:J73"/>
    <mergeCell ref="A8:J8"/>
    <mergeCell ref="A16:J16"/>
    <mergeCell ref="A19:J19"/>
    <mergeCell ref="A22:J22"/>
    <mergeCell ref="A27:J27"/>
    <mergeCell ref="A30:J30"/>
    <mergeCell ref="A38:J38"/>
    <mergeCell ref="A46:J46"/>
    <mergeCell ref="A55:J55"/>
    <mergeCell ref="A62:J62"/>
    <mergeCell ref="A70:J7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M59"/>
  <sheetViews>
    <sheetView topLeftCell="A16" workbookViewId="0">
      <selection activeCell="E50" sqref="E50"/>
    </sheetView>
  </sheetViews>
  <sheetFormatPr baseColWidth="10" defaultColWidth="9.1640625" defaultRowHeight="13"/>
  <cols>
    <col min="1" max="1" width="7.1640625" style="5" bestFit="1" customWidth="1"/>
    <col min="2" max="2" width="20.5" style="5" bestFit="1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26" style="5" bestFit="1" customWidth="1"/>
    <col min="7" max="9" width="5.5" style="6" customWidth="1"/>
    <col min="10" max="10" width="4.5" style="6" customWidth="1"/>
    <col min="11" max="11" width="10.5" style="6" bestFit="1" customWidth="1"/>
    <col min="12" max="12" width="8.5" style="6" bestFit="1" customWidth="1"/>
    <col min="13" max="13" width="19.33203125" style="5" bestFit="1" customWidth="1"/>
    <col min="14" max="16384" width="9.1640625" style="3"/>
  </cols>
  <sheetData>
    <row r="1" spans="1:13" s="2" customFormat="1" ht="29" customHeight="1">
      <c r="A1" s="64" t="s">
        <v>645</v>
      </c>
      <c r="B1" s="65"/>
      <c r="C1" s="66"/>
      <c r="D1" s="66"/>
      <c r="E1" s="66"/>
      <c r="F1" s="66"/>
      <c r="G1" s="66"/>
      <c r="H1" s="66"/>
      <c r="I1" s="66"/>
      <c r="J1" s="66"/>
      <c r="K1" s="66"/>
      <c r="L1" s="66"/>
      <c r="M1" s="67"/>
    </row>
    <row r="2" spans="1:13" s="2" customFormat="1" ht="62" customHeight="1" thickBot="1">
      <c r="A2" s="68"/>
      <c r="B2" s="69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s="1" customFormat="1" ht="12.75" customHeight="1">
      <c r="A3" s="72" t="s">
        <v>715</v>
      </c>
      <c r="B3" s="62" t="s">
        <v>0</v>
      </c>
      <c r="C3" s="74" t="s">
        <v>716</v>
      </c>
      <c r="D3" s="74" t="s">
        <v>6</v>
      </c>
      <c r="E3" s="56" t="s">
        <v>717</v>
      </c>
      <c r="F3" s="56" t="s">
        <v>5</v>
      </c>
      <c r="G3" s="56" t="s">
        <v>10</v>
      </c>
      <c r="H3" s="56"/>
      <c r="I3" s="56"/>
      <c r="J3" s="56"/>
      <c r="K3" s="56" t="s">
        <v>363</v>
      </c>
      <c r="L3" s="56" t="s">
        <v>3</v>
      </c>
      <c r="M3" s="58" t="s">
        <v>2</v>
      </c>
    </row>
    <row r="4" spans="1:13" s="1" customFormat="1" ht="21" customHeight="1" thickBot="1">
      <c r="A4" s="73"/>
      <c r="B4" s="63"/>
      <c r="C4" s="57"/>
      <c r="D4" s="57"/>
      <c r="E4" s="57"/>
      <c r="F4" s="57"/>
      <c r="G4" s="4">
        <v>1</v>
      </c>
      <c r="H4" s="4">
        <v>2</v>
      </c>
      <c r="I4" s="4">
        <v>3</v>
      </c>
      <c r="J4" s="4" t="s">
        <v>4</v>
      </c>
      <c r="K4" s="57"/>
      <c r="L4" s="57"/>
      <c r="M4" s="59"/>
    </row>
    <row r="5" spans="1:13" ht="16">
      <c r="A5" s="60" t="s">
        <v>49</v>
      </c>
      <c r="B5" s="60"/>
      <c r="C5" s="61"/>
      <c r="D5" s="61"/>
      <c r="E5" s="61"/>
      <c r="F5" s="61"/>
      <c r="G5" s="61"/>
      <c r="H5" s="61"/>
      <c r="I5" s="61"/>
      <c r="J5" s="61"/>
    </row>
    <row r="6" spans="1:13">
      <c r="A6" s="9" t="s">
        <v>47</v>
      </c>
      <c r="B6" s="8" t="s">
        <v>285</v>
      </c>
      <c r="C6" s="8" t="s">
        <v>286</v>
      </c>
      <c r="D6" s="8" t="s">
        <v>199</v>
      </c>
      <c r="E6" s="8" t="s">
        <v>720</v>
      </c>
      <c r="F6" s="8" t="s">
        <v>708</v>
      </c>
      <c r="G6" s="17" t="s">
        <v>64</v>
      </c>
      <c r="H6" s="17" t="s">
        <v>66</v>
      </c>
      <c r="I6" s="17" t="s">
        <v>200</v>
      </c>
      <c r="J6" s="9"/>
      <c r="K6" s="9" t="str">
        <f>"47,5"</f>
        <v>47,5</v>
      </c>
      <c r="L6" s="9" t="str">
        <f>"49,8323"</f>
        <v>49,8323</v>
      </c>
      <c r="M6" s="8" t="s">
        <v>595</v>
      </c>
    </row>
    <row r="7" spans="1:13">
      <c r="A7" s="25" t="s">
        <v>47</v>
      </c>
      <c r="B7" s="24" t="s">
        <v>80</v>
      </c>
      <c r="C7" s="24" t="s">
        <v>81</v>
      </c>
      <c r="D7" s="24" t="s">
        <v>52</v>
      </c>
      <c r="E7" s="24" t="s">
        <v>718</v>
      </c>
      <c r="F7" s="24" t="s">
        <v>53</v>
      </c>
      <c r="G7" s="26" t="s">
        <v>73</v>
      </c>
      <c r="H7" s="26" t="s">
        <v>76</v>
      </c>
      <c r="I7" s="26" t="s">
        <v>83</v>
      </c>
      <c r="J7" s="25"/>
      <c r="K7" s="25" t="str">
        <f>"92,5"</f>
        <v>92,5</v>
      </c>
      <c r="L7" s="25" t="str">
        <f>"95,4323"</f>
        <v>95,4323</v>
      </c>
      <c r="M7" s="24" t="s">
        <v>86</v>
      </c>
    </row>
    <row r="8" spans="1:13">
      <c r="A8" s="11" t="s">
        <v>172</v>
      </c>
      <c r="B8" s="10" t="s">
        <v>285</v>
      </c>
      <c r="C8" s="10" t="s">
        <v>287</v>
      </c>
      <c r="D8" s="10" t="s">
        <v>199</v>
      </c>
      <c r="E8" s="10" t="s">
        <v>718</v>
      </c>
      <c r="F8" s="10" t="s">
        <v>708</v>
      </c>
      <c r="G8" s="19" t="s">
        <v>64</v>
      </c>
      <c r="H8" s="19" t="s">
        <v>66</v>
      </c>
      <c r="I8" s="19" t="s">
        <v>200</v>
      </c>
      <c r="J8" s="11"/>
      <c r="K8" s="11" t="str">
        <f>"47,5"</f>
        <v>47,5</v>
      </c>
      <c r="L8" s="11" t="str">
        <f>"49,8323"</f>
        <v>49,8323</v>
      </c>
      <c r="M8" s="10" t="s">
        <v>595</v>
      </c>
    </row>
    <row r="9" spans="1:13">
      <c r="B9" s="5" t="s">
        <v>8</v>
      </c>
    </row>
    <row r="10" spans="1:13" ht="16">
      <c r="A10" s="52" t="s">
        <v>87</v>
      </c>
      <c r="B10" s="52"/>
      <c r="C10" s="53"/>
      <c r="D10" s="53"/>
      <c r="E10" s="53"/>
      <c r="F10" s="53"/>
      <c r="G10" s="53"/>
      <c r="H10" s="53"/>
      <c r="I10" s="53"/>
      <c r="J10" s="53"/>
    </row>
    <row r="11" spans="1:13">
      <c r="A11" s="21" t="s">
        <v>47</v>
      </c>
      <c r="B11" s="15" t="s">
        <v>288</v>
      </c>
      <c r="C11" s="15" t="s">
        <v>289</v>
      </c>
      <c r="D11" s="15" t="s">
        <v>290</v>
      </c>
      <c r="E11" s="15" t="s">
        <v>718</v>
      </c>
      <c r="F11" s="15" t="s">
        <v>710</v>
      </c>
      <c r="G11" s="22" t="s">
        <v>63</v>
      </c>
      <c r="H11" s="22" t="s">
        <v>54</v>
      </c>
      <c r="I11" s="23" t="s">
        <v>19</v>
      </c>
      <c r="J11" s="21"/>
      <c r="K11" s="21" t="str">
        <f>"125,0"</f>
        <v>125,0</v>
      </c>
      <c r="L11" s="21" t="str">
        <f>"90,8000"</f>
        <v>90,8000</v>
      </c>
      <c r="M11" s="15"/>
    </row>
    <row r="12" spans="1:13">
      <c r="B12" s="5" t="s">
        <v>8</v>
      </c>
    </row>
    <row r="13" spans="1:13" ht="16">
      <c r="A13" s="52" t="s">
        <v>97</v>
      </c>
      <c r="B13" s="52"/>
      <c r="C13" s="53"/>
      <c r="D13" s="53"/>
      <c r="E13" s="53"/>
      <c r="F13" s="53"/>
      <c r="G13" s="53"/>
      <c r="H13" s="53"/>
      <c r="I13" s="53"/>
      <c r="J13" s="53"/>
    </row>
    <row r="14" spans="1:13">
      <c r="A14" s="9" t="s">
        <v>47</v>
      </c>
      <c r="B14" s="8" t="s">
        <v>291</v>
      </c>
      <c r="C14" s="8" t="s">
        <v>292</v>
      </c>
      <c r="D14" s="8" t="s">
        <v>293</v>
      </c>
      <c r="E14" s="8" t="s">
        <v>718</v>
      </c>
      <c r="F14" s="8" t="s">
        <v>101</v>
      </c>
      <c r="G14" s="18" t="s">
        <v>68</v>
      </c>
      <c r="H14" s="17" t="s">
        <v>82</v>
      </c>
      <c r="I14" s="17" t="s">
        <v>153</v>
      </c>
      <c r="J14" s="9"/>
      <c r="K14" s="9" t="str">
        <f>"137,5"</f>
        <v>137,5</v>
      </c>
      <c r="L14" s="9" t="str">
        <f>"93,5825"</f>
        <v>93,5825</v>
      </c>
      <c r="M14" s="8" t="s">
        <v>597</v>
      </c>
    </row>
    <row r="15" spans="1:13">
      <c r="A15" s="25" t="s">
        <v>172</v>
      </c>
      <c r="B15" s="24" t="s">
        <v>294</v>
      </c>
      <c r="C15" s="24" t="s">
        <v>295</v>
      </c>
      <c r="D15" s="24" t="s">
        <v>296</v>
      </c>
      <c r="E15" s="24" t="s">
        <v>718</v>
      </c>
      <c r="F15" s="24" t="s">
        <v>101</v>
      </c>
      <c r="G15" s="26" t="s">
        <v>110</v>
      </c>
      <c r="H15" s="27" t="s">
        <v>67</v>
      </c>
      <c r="I15" s="27" t="s">
        <v>54</v>
      </c>
      <c r="J15" s="25"/>
      <c r="K15" s="25" t="str">
        <f>"100,0"</f>
        <v>100,0</v>
      </c>
      <c r="L15" s="25" t="str">
        <f>"68,6000"</f>
        <v>68,6000</v>
      </c>
      <c r="M15" s="24" t="s">
        <v>597</v>
      </c>
    </row>
    <row r="16" spans="1:13">
      <c r="A16" s="11" t="s">
        <v>47</v>
      </c>
      <c r="B16" s="10" t="s">
        <v>297</v>
      </c>
      <c r="C16" s="10" t="s">
        <v>677</v>
      </c>
      <c r="D16" s="10" t="s">
        <v>298</v>
      </c>
      <c r="E16" s="10" t="s">
        <v>721</v>
      </c>
      <c r="F16" s="10" t="s">
        <v>108</v>
      </c>
      <c r="G16" s="19" t="s">
        <v>85</v>
      </c>
      <c r="H16" s="20" t="s">
        <v>120</v>
      </c>
      <c r="I16" s="20" t="s">
        <v>120</v>
      </c>
      <c r="J16" s="11"/>
      <c r="K16" s="11" t="str">
        <f>"150,0"</f>
        <v>150,0</v>
      </c>
      <c r="L16" s="11" t="str">
        <f>"105,3761"</f>
        <v>105,3761</v>
      </c>
      <c r="M16" s="10"/>
    </row>
    <row r="17" spans="1:13">
      <c r="B17" s="5" t="s">
        <v>8</v>
      </c>
    </row>
    <row r="18" spans="1:13" ht="16">
      <c r="A18" s="52" t="s">
        <v>12</v>
      </c>
      <c r="B18" s="52"/>
      <c r="C18" s="53"/>
      <c r="D18" s="53"/>
      <c r="E18" s="53"/>
      <c r="F18" s="53"/>
      <c r="G18" s="53"/>
      <c r="H18" s="53"/>
      <c r="I18" s="53"/>
      <c r="J18" s="53"/>
    </row>
    <row r="19" spans="1:13">
      <c r="A19" s="9" t="s">
        <v>47</v>
      </c>
      <c r="B19" s="8" t="s">
        <v>299</v>
      </c>
      <c r="C19" s="8" t="s">
        <v>300</v>
      </c>
      <c r="D19" s="8" t="s">
        <v>301</v>
      </c>
      <c r="E19" s="8" t="s">
        <v>720</v>
      </c>
      <c r="F19" s="8" t="s">
        <v>101</v>
      </c>
      <c r="G19" s="17" t="s">
        <v>110</v>
      </c>
      <c r="H19" s="17" t="s">
        <v>111</v>
      </c>
      <c r="I19" s="18" t="s">
        <v>63</v>
      </c>
      <c r="J19" s="9"/>
      <c r="K19" s="9" t="str">
        <f>"110,0"</f>
        <v>110,0</v>
      </c>
      <c r="L19" s="9" t="str">
        <f>"70,5430"</f>
        <v>70,5430</v>
      </c>
      <c r="M19" s="8" t="s">
        <v>597</v>
      </c>
    </row>
    <row r="20" spans="1:13">
      <c r="A20" s="25" t="s">
        <v>47</v>
      </c>
      <c r="B20" s="24" t="s">
        <v>302</v>
      </c>
      <c r="C20" s="24" t="s">
        <v>303</v>
      </c>
      <c r="D20" s="24" t="s">
        <v>304</v>
      </c>
      <c r="E20" s="24" t="s">
        <v>718</v>
      </c>
      <c r="F20" s="24" t="s">
        <v>108</v>
      </c>
      <c r="G20" s="26" t="s">
        <v>120</v>
      </c>
      <c r="H20" s="26" t="s">
        <v>33</v>
      </c>
      <c r="I20" s="26" t="s">
        <v>121</v>
      </c>
      <c r="J20" s="25"/>
      <c r="K20" s="25" t="str">
        <f>"175,0"</f>
        <v>175,0</v>
      </c>
      <c r="L20" s="25" t="str">
        <f>"115,6750"</f>
        <v>115,6750</v>
      </c>
      <c r="M20" s="24"/>
    </row>
    <row r="21" spans="1:13">
      <c r="A21" s="25" t="s">
        <v>47</v>
      </c>
      <c r="B21" s="24" t="s">
        <v>305</v>
      </c>
      <c r="C21" s="24" t="s">
        <v>678</v>
      </c>
      <c r="D21" s="24" t="s">
        <v>306</v>
      </c>
      <c r="E21" s="24" t="s">
        <v>721</v>
      </c>
      <c r="F21" s="24" t="s">
        <v>108</v>
      </c>
      <c r="G21" s="26" t="s">
        <v>197</v>
      </c>
      <c r="H21" s="26" t="s">
        <v>19</v>
      </c>
      <c r="I21" s="26" t="s">
        <v>20</v>
      </c>
      <c r="J21" s="25"/>
      <c r="K21" s="25" t="str">
        <f>"142,5"</f>
        <v>142,5</v>
      </c>
      <c r="L21" s="25" t="str">
        <f>"90,9720"</f>
        <v>90,9720</v>
      </c>
      <c r="M21" s="24" t="s">
        <v>307</v>
      </c>
    </row>
    <row r="22" spans="1:13">
      <c r="A22" s="11" t="s">
        <v>172</v>
      </c>
      <c r="B22" s="10" t="s">
        <v>308</v>
      </c>
      <c r="C22" s="10" t="s">
        <v>679</v>
      </c>
      <c r="D22" s="10" t="s">
        <v>309</v>
      </c>
      <c r="E22" s="10" t="s">
        <v>721</v>
      </c>
      <c r="F22" s="10" t="s">
        <v>310</v>
      </c>
      <c r="G22" s="19" t="s">
        <v>67</v>
      </c>
      <c r="H22" s="19" t="s">
        <v>197</v>
      </c>
      <c r="I22" s="20" t="s">
        <v>25</v>
      </c>
      <c r="J22" s="11"/>
      <c r="K22" s="11" t="str">
        <f>"127,5"</f>
        <v>127,5</v>
      </c>
      <c r="L22" s="11" t="str">
        <f>"82,0336"</f>
        <v>82,0336</v>
      </c>
      <c r="M22" s="10"/>
    </row>
    <row r="23" spans="1:13">
      <c r="B23" s="5" t="s">
        <v>8</v>
      </c>
    </row>
    <row r="24" spans="1:13" ht="16">
      <c r="A24" s="52" t="s">
        <v>28</v>
      </c>
      <c r="B24" s="52"/>
      <c r="C24" s="53"/>
      <c r="D24" s="53"/>
      <c r="E24" s="53"/>
      <c r="F24" s="53"/>
      <c r="G24" s="53"/>
      <c r="H24" s="53"/>
      <c r="I24" s="53"/>
      <c r="J24" s="53"/>
    </row>
    <row r="25" spans="1:13">
      <c r="A25" s="9" t="s">
        <v>47</v>
      </c>
      <c r="B25" s="8" t="s">
        <v>311</v>
      </c>
      <c r="C25" s="8" t="s">
        <v>312</v>
      </c>
      <c r="D25" s="8" t="s">
        <v>313</v>
      </c>
      <c r="E25" s="8" t="s">
        <v>718</v>
      </c>
      <c r="F25" s="8" t="s">
        <v>101</v>
      </c>
      <c r="G25" s="17" t="s">
        <v>26</v>
      </c>
      <c r="H25" s="18" t="s">
        <v>16</v>
      </c>
      <c r="I25" s="18" t="s">
        <v>16</v>
      </c>
      <c r="J25" s="9"/>
      <c r="K25" s="9" t="str">
        <f>"200,0"</f>
        <v>200,0</v>
      </c>
      <c r="L25" s="9" t="str">
        <f>"123,1600"</f>
        <v>123,1600</v>
      </c>
      <c r="M25" s="8"/>
    </row>
    <row r="26" spans="1:13">
      <c r="A26" s="25" t="s">
        <v>172</v>
      </c>
      <c r="B26" s="24" t="s">
        <v>314</v>
      </c>
      <c r="C26" s="24" t="s">
        <v>315</v>
      </c>
      <c r="D26" s="24" t="s">
        <v>277</v>
      </c>
      <c r="E26" s="24" t="s">
        <v>718</v>
      </c>
      <c r="F26" s="24" t="s">
        <v>108</v>
      </c>
      <c r="G26" s="26" t="s">
        <v>33</v>
      </c>
      <c r="H26" s="26" t="s">
        <v>34</v>
      </c>
      <c r="I26" s="27" t="s">
        <v>21</v>
      </c>
      <c r="J26" s="25"/>
      <c r="K26" s="25" t="str">
        <f>"180,0"</f>
        <v>180,0</v>
      </c>
      <c r="L26" s="25" t="str">
        <f>"109,7640"</f>
        <v>109,7640</v>
      </c>
      <c r="M26" s="24" t="s">
        <v>609</v>
      </c>
    </row>
    <row r="27" spans="1:13">
      <c r="A27" s="25" t="s">
        <v>173</v>
      </c>
      <c r="B27" s="24" t="s">
        <v>316</v>
      </c>
      <c r="C27" s="24" t="s">
        <v>317</v>
      </c>
      <c r="D27" s="24" t="s">
        <v>318</v>
      </c>
      <c r="E27" s="24" t="s">
        <v>718</v>
      </c>
      <c r="F27" s="24" t="s">
        <v>108</v>
      </c>
      <c r="G27" s="26" t="s">
        <v>109</v>
      </c>
      <c r="H27" s="26" t="s">
        <v>120</v>
      </c>
      <c r="I27" s="27" t="s">
        <v>33</v>
      </c>
      <c r="J27" s="25"/>
      <c r="K27" s="25" t="str">
        <f>"165,0"</f>
        <v>165,0</v>
      </c>
      <c r="L27" s="25" t="str">
        <f>"105,2205"</f>
        <v>105,2205</v>
      </c>
      <c r="M27" s="24" t="s">
        <v>622</v>
      </c>
    </row>
    <row r="28" spans="1:13">
      <c r="A28" s="25" t="s">
        <v>174</v>
      </c>
      <c r="B28" s="24" t="s">
        <v>319</v>
      </c>
      <c r="C28" s="24" t="s">
        <v>320</v>
      </c>
      <c r="D28" s="24" t="s">
        <v>321</v>
      </c>
      <c r="E28" s="24" t="s">
        <v>718</v>
      </c>
      <c r="F28" s="24" t="s">
        <v>108</v>
      </c>
      <c r="G28" s="26" t="s">
        <v>141</v>
      </c>
      <c r="H28" s="26" t="s">
        <v>120</v>
      </c>
      <c r="I28" s="27" t="s">
        <v>121</v>
      </c>
      <c r="J28" s="25"/>
      <c r="K28" s="25" t="str">
        <f>"165,0"</f>
        <v>165,0</v>
      </c>
      <c r="L28" s="25" t="str">
        <f>"104,0820"</f>
        <v>104,0820</v>
      </c>
      <c r="M28" s="24" t="s">
        <v>307</v>
      </c>
    </row>
    <row r="29" spans="1:13">
      <c r="A29" s="25" t="s">
        <v>271</v>
      </c>
      <c r="B29" s="24" t="s">
        <v>322</v>
      </c>
      <c r="C29" s="24" t="s">
        <v>323</v>
      </c>
      <c r="D29" s="24" t="s">
        <v>324</v>
      </c>
      <c r="E29" s="24" t="s">
        <v>718</v>
      </c>
      <c r="F29" s="24" t="s">
        <v>108</v>
      </c>
      <c r="G29" s="26" t="s">
        <v>25</v>
      </c>
      <c r="H29" s="26" t="s">
        <v>85</v>
      </c>
      <c r="I29" s="26" t="s">
        <v>109</v>
      </c>
      <c r="J29" s="25"/>
      <c r="K29" s="25" t="str">
        <f>"160,0"</f>
        <v>160,0</v>
      </c>
      <c r="L29" s="25" t="str">
        <f>"98,6080"</f>
        <v>98,6080</v>
      </c>
      <c r="M29" s="24" t="s">
        <v>618</v>
      </c>
    </row>
    <row r="30" spans="1:13">
      <c r="A30" s="25" t="s">
        <v>47</v>
      </c>
      <c r="B30" s="24" t="s">
        <v>325</v>
      </c>
      <c r="C30" s="24" t="s">
        <v>680</v>
      </c>
      <c r="D30" s="24" t="s">
        <v>326</v>
      </c>
      <c r="E30" s="24" t="s">
        <v>721</v>
      </c>
      <c r="F30" s="24" t="s">
        <v>327</v>
      </c>
      <c r="G30" s="27" t="s">
        <v>85</v>
      </c>
      <c r="H30" s="26" t="s">
        <v>85</v>
      </c>
      <c r="I30" s="26" t="s">
        <v>120</v>
      </c>
      <c r="J30" s="25"/>
      <c r="K30" s="25" t="str">
        <f>"165,0"</f>
        <v>165,0</v>
      </c>
      <c r="L30" s="25" t="str">
        <f>"104,3163"</f>
        <v>104,3163</v>
      </c>
      <c r="M30" s="24" t="s">
        <v>623</v>
      </c>
    </row>
    <row r="31" spans="1:13">
      <c r="A31" s="11" t="s">
        <v>47</v>
      </c>
      <c r="B31" s="10" t="s">
        <v>29</v>
      </c>
      <c r="C31" s="10" t="s">
        <v>665</v>
      </c>
      <c r="D31" s="10" t="s">
        <v>31</v>
      </c>
      <c r="E31" s="10" t="s">
        <v>722</v>
      </c>
      <c r="F31" s="10" t="s">
        <v>708</v>
      </c>
      <c r="G31" s="19" t="s">
        <v>25</v>
      </c>
      <c r="H31" s="19" t="s">
        <v>95</v>
      </c>
      <c r="I31" s="20" t="s">
        <v>109</v>
      </c>
      <c r="J31" s="11"/>
      <c r="K31" s="11" t="str">
        <f>"152,5"</f>
        <v>152,5</v>
      </c>
      <c r="L31" s="11" t="str">
        <f>"104,8530"</f>
        <v>104,8530</v>
      </c>
      <c r="M31" s="10"/>
    </row>
    <row r="32" spans="1:13">
      <c r="B32" s="5" t="s">
        <v>8</v>
      </c>
    </row>
    <row r="33" spans="1:13" ht="16">
      <c r="A33" s="52" t="s">
        <v>144</v>
      </c>
      <c r="B33" s="52"/>
      <c r="C33" s="53"/>
      <c r="D33" s="53"/>
      <c r="E33" s="53"/>
      <c r="F33" s="53"/>
      <c r="G33" s="53"/>
      <c r="H33" s="53"/>
      <c r="I33" s="53"/>
      <c r="J33" s="53"/>
    </row>
    <row r="34" spans="1:13">
      <c r="A34" s="9" t="s">
        <v>47</v>
      </c>
      <c r="B34" s="8" t="s">
        <v>328</v>
      </c>
      <c r="C34" s="8" t="s">
        <v>329</v>
      </c>
      <c r="D34" s="8" t="s">
        <v>330</v>
      </c>
      <c r="E34" s="8" t="s">
        <v>718</v>
      </c>
      <c r="F34" s="8" t="s">
        <v>108</v>
      </c>
      <c r="G34" s="17" t="s">
        <v>27</v>
      </c>
      <c r="H34" s="17" t="s">
        <v>17</v>
      </c>
      <c r="I34" s="18" t="s">
        <v>24</v>
      </c>
      <c r="J34" s="9"/>
      <c r="K34" s="9" t="str">
        <f>"220,0"</f>
        <v>220,0</v>
      </c>
      <c r="L34" s="9" t="str">
        <f>"132,0880"</f>
        <v>132,0880</v>
      </c>
      <c r="M34" s="8"/>
    </row>
    <row r="35" spans="1:13">
      <c r="A35" s="25" t="s">
        <v>172</v>
      </c>
      <c r="B35" s="24" t="s">
        <v>331</v>
      </c>
      <c r="C35" s="24" t="s">
        <v>332</v>
      </c>
      <c r="D35" s="24" t="s">
        <v>333</v>
      </c>
      <c r="E35" s="24" t="s">
        <v>718</v>
      </c>
      <c r="F35" s="24" t="s">
        <v>708</v>
      </c>
      <c r="G35" s="26" t="s">
        <v>102</v>
      </c>
      <c r="H35" s="26" t="s">
        <v>112</v>
      </c>
      <c r="I35" s="27" t="s">
        <v>139</v>
      </c>
      <c r="J35" s="25"/>
      <c r="K35" s="25" t="str">
        <f>"192,5"</f>
        <v>192,5</v>
      </c>
      <c r="L35" s="25" t="str">
        <f>"113,6135"</f>
        <v>113,6135</v>
      </c>
      <c r="M35" s="24"/>
    </row>
    <row r="36" spans="1:13">
      <c r="A36" s="11" t="s">
        <v>47</v>
      </c>
      <c r="B36" s="10" t="s">
        <v>328</v>
      </c>
      <c r="C36" s="10" t="s">
        <v>681</v>
      </c>
      <c r="D36" s="10" t="s">
        <v>330</v>
      </c>
      <c r="E36" s="10" t="s">
        <v>722</v>
      </c>
      <c r="F36" s="10" t="s">
        <v>108</v>
      </c>
      <c r="G36" s="19" t="s">
        <v>27</v>
      </c>
      <c r="H36" s="19" t="s">
        <v>17</v>
      </c>
      <c r="I36" s="20" t="s">
        <v>24</v>
      </c>
      <c r="J36" s="11"/>
      <c r="K36" s="11" t="str">
        <f>"220,0"</f>
        <v>220,0</v>
      </c>
      <c r="L36" s="11" t="str">
        <f>"144,7684"</f>
        <v>144,7684</v>
      </c>
      <c r="M36" s="10"/>
    </row>
    <row r="37" spans="1:13">
      <c r="B37" s="5" t="s">
        <v>8</v>
      </c>
    </row>
    <row r="38" spans="1:13" ht="16">
      <c r="A38" s="52" t="s">
        <v>150</v>
      </c>
      <c r="B38" s="52"/>
      <c r="C38" s="53"/>
      <c r="D38" s="53"/>
      <c r="E38" s="53"/>
      <c r="F38" s="53"/>
      <c r="G38" s="53"/>
      <c r="H38" s="53"/>
      <c r="I38" s="53"/>
      <c r="J38" s="53"/>
    </row>
    <row r="39" spans="1:13">
      <c r="A39" s="9" t="s">
        <v>47</v>
      </c>
      <c r="B39" s="8" t="s">
        <v>334</v>
      </c>
      <c r="C39" s="8" t="s">
        <v>335</v>
      </c>
      <c r="D39" s="8" t="s">
        <v>336</v>
      </c>
      <c r="E39" s="8" t="s">
        <v>718</v>
      </c>
      <c r="F39" s="8" t="s">
        <v>108</v>
      </c>
      <c r="G39" s="17" t="s">
        <v>22</v>
      </c>
      <c r="H39" s="17" t="s">
        <v>24</v>
      </c>
      <c r="I39" s="18" t="s">
        <v>337</v>
      </c>
      <c r="J39" s="9"/>
      <c r="K39" s="9" t="str">
        <f>"225,0"</f>
        <v>225,0</v>
      </c>
      <c r="L39" s="9" t="str">
        <f>"130,3875"</f>
        <v>130,3875</v>
      </c>
      <c r="M39" s="8"/>
    </row>
    <row r="40" spans="1:13">
      <c r="A40" s="25" t="s">
        <v>172</v>
      </c>
      <c r="B40" s="24" t="s">
        <v>338</v>
      </c>
      <c r="C40" s="24" t="s">
        <v>339</v>
      </c>
      <c r="D40" s="24" t="s">
        <v>340</v>
      </c>
      <c r="E40" s="24" t="s">
        <v>718</v>
      </c>
      <c r="F40" s="24" t="s">
        <v>341</v>
      </c>
      <c r="G40" s="26" t="s">
        <v>255</v>
      </c>
      <c r="H40" s="26" t="s">
        <v>16</v>
      </c>
      <c r="I40" s="26" t="s">
        <v>27</v>
      </c>
      <c r="J40" s="25"/>
      <c r="K40" s="25" t="str">
        <f>"210,0"</f>
        <v>210,0</v>
      </c>
      <c r="L40" s="25" t="str">
        <f>"122,0730"</f>
        <v>122,0730</v>
      </c>
      <c r="M40" s="24" t="s">
        <v>624</v>
      </c>
    </row>
    <row r="41" spans="1:13">
      <c r="A41" s="25" t="s">
        <v>173</v>
      </c>
      <c r="B41" s="24" t="s">
        <v>342</v>
      </c>
      <c r="C41" s="24" t="s">
        <v>343</v>
      </c>
      <c r="D41" s="24" t="s">
        <v>344</v>
      </c>
      <c r="E41" s="24" t="s">
        <v>718</v>
      </c>
      <c r="F41" s="24" t="s">
        <v>108</v>
      </c>
      <c r="G41" s="26" t="s">
        <v>21</v>
      </c>
      <c r="H41" s="26" t="s">
        <v>139</v>
      </c>
      <c r="I41" s="27" t="s">
        <v>27</v>
      </c>
      <c r="J41" s="25"/>
      <c r="K41" s="25" t="str">
        <f>"202,5"</f>
        <v>202,5</v>
      </c>
      <c r="L41" s="25" t="str">
        <f>"116,8425"</f>
        <v>116,8425</v>
      </c>
      <c r="M41" s="24"/>
    </row>
    <row r="42" spans="1:13">
      <c r="A42" s="25" t="s">
        <v>174</v>
      </c>
      <c r="B42" s="24" t="s">
        <v>345</v>
      </c>
      <c r="C42" s="24" t="s">
        <v>346</v>
      </c>
      <c r="D42" s="24" t="s">
        <v>347</v>
      </c>
      <c r="E42" s="24" t="s">
        <v>718</v>
      </c>
      <c r="F42" s="24" t="s">
        <v>108</v>
      </c>
      <c r="G42" s="27" t="s">
        <v>139</v>
      </c>
      <c r="H42" s="27" t="s">
        <v>139</v>
      </c>
      <c r="I42" s="26" t="s">
        <v>139</v>
      </c>
      <c r="J42" s="25"/>
      <c r="K42" s="25" t="str">
        <f>"202,5"</f>
        <v>202,5</v>
      </c>
      <c r="L42" s="25" t="str">
        <f>"115,7288"</f>
        <v>115,7288</v>
      </c>
      <c r="M42" s="24"/>
    </row>
    <row r="43" spans="1:13">
      <c r="A43" s="11" t="s">
        <v>47</v>
      </c>
      <c r="B43" s="10" t="s">
        <v>338</v>
      </c>
      <c r="C43" s="10" t="s">
        <v>682</v>
      </c>
      <c r="D43" s="10" t="s">
        <v>340</v>
      </c>
      <c r="E43" s="10" t="s">
        <v>721</v>
      </c>
      <c r="F43" s="10" t="s">
        <v>341</v>
      </c>
      <c r="G43" s="19" t="s">
        <v>255</v>
      </c>
      <c r="H43" s="19" t="s">
        <v>16</v>
      </c>
      <c r="I43" s="19" t="s">
        <v>27</v>
      </c>
      <c r="J43" s="11"/>
      <c r="K43" s="11" t="str">
        <f>"210,0"</f>
        <v>210,0</v>
      </c>
      <c r="L43" s="11" t="str">
        <f>"125,4910"</f>
        <v>125,4910</v>
      </c>
      <c r="M43" s="10" t="s">
        <v>625</v>
      </c>
    </row>
    <row r="44" spans="1:13">
      <c r="B44" s="5" t="s">
        <v>8</v>
      </c>
    </row>
    <row r="45" spans="1:13" ht="16">
      <c r="A45" s="52" t="s">
        <v>348</v>
      </c>
      <c r="B45" s="52"/>
      <c r="C45" s="53"/>
      <c r="D45" s="53"/>
      <c r="E45" s="53"/>
      <c r="F45" s="53"/>
      <c r="G45" s="53"/>
      <c r="H45" s="53"/>
      <c r="I45" s="53"/>
      <c r="J45" s="53"/>
    </row>
    <row r="46" spans="1:13">
      <c r="A46" s="21" t="s">
        <v>47</v>
      </c>
      <c r="B46" s="15" t="s">
        <v>349</v>
      </c>
      <c r="C46" s="15" t="s">
        <v>350</v>
      </c>
      <c r="D46" s="15" t="s">
        <v>351</v>
      </c>
      <c r="E46" s="15" t="s">
        <v>718</v>
      </c>
      <c r="F46" s="15" t="s">
        <v>352</v>
      </c>
      <c r="G46" s="22" t="s">
        <v>353</v>
      </c>
      <c r="H46" s="22" t="s">
        <v>24</v>
      </c>
      <c r="I46" s="23" t="s">
        <v>18</v>
      </c>
      <c r="J46" s="21"/>
      <c r="K46" s="21" t="str">
        <f>"225,0"</f>
        <v>225,0</v>
      </c>
      <c r="L46" s="21" t="str">
        <f>"126,2925"</f>
        <v>126,2925</v>
      </c>
      <c r="M46" s="15"/>
    </row>
    <row r="47" spans="1:13">
      <c r="B47" s="5" t="s">
        <v>8</v>
      </c>
    </row>
    <row r="48" spans="1:13" ht="16">
      <c r="A48" s="52" t="s">
        <v>354</v>
      </c>
      <c r="B48" s="52"/>
      <c r="C48" s="53"/>
      <c r="D48" s="53"/>
      <c r="E48" s="53"/>
      <c r="F48" s="53"/>
      <c r="G48" s="53"/>
      <c r="H48" s="53"/>
      <c r="I48" s="53"/>
      <c r="J48" s="53"/>
    </row>
    <row r="49" spans="1:13">
      <c r="A49" s="21" t="s">
        <v>47</v>
      </c>
      <c r="B49" s="15" t="s">
        <v>355</v>
      </c>
      <c r="C49" s="15" t="s">
        <v>356</v>
      </c>
      <c r="D49" s="15" t="s">
        <v>357</v>
      </c>
      <c r="E49" s="15" t="s">
        <v>718</v>
      </c>
      <c r="F49" s="15" t="s">
        <v>327</v>
      </c>
      <c r="G49" s="23" t="s">
        <v>16</v>
      </c>
      <c r="H49" s="22" t="s">
        <v>16</v>
      </c>
      <c r="I49" s="23" t="s">
        <v>22</v>
      </c>
      <c r="J49" s="21"/>
      <c r="K49" s="21" t="str">
        <f>"205,0"</f>
        <v>205,0</v>
      </c>
      <c r="L49" s="21" t="str">
        <f>"113,8160"</f>
        <v>113,8160</v>
      </c>
      <c r="M49" s="15" t="s">
        <v>626</v>
      </c>
    </row>
    <row r="50" spans="1:13">
      <c r="B50" s="5" t="s">
        <v>8</v>
      </c>
    </row>
    <row r="51" spans="1:13">
      <c r="B51" s="5" t="s">
        <v>8</v>
      </c>
    </row>
    <row r="52" spans="1:13">
      <c r="B52" s="5" t="s">
        <v>8</v>
      </c>
    </row>
    <row r="53" spans="1:13" ht="18">
      <c r="B53" s="7" t="s">
        <v>7</v>
      </c>
      <c r="C53" s="7"/>
      <c r="F53" s="3"/>
    </row>
    <row r="54" spans="1:13" ht="16">
      <c r="B54" s="12" t="s">
        <v>38</v>
      </c>
      <c r="C54" s="12"/>
      <c r="F54" s="3"/>
    </row>
    <row r="55" spans="1:13" ht="14">
      <c r="B55" s="13"/>
      <c r="C55" s="14" t="s">
        <v>39</v>
      </c>
      <c r="F55" s="3"/>
    </row>
    <row r="56" spans="1:13" ht="14">
      <c r="B56" s="16" t="s">
        <v>40</v>
      </c>
      <c r="C56" s="16" t="s">
        <v>41</v>
      </c>
      <c r="D56" s="16" t="s">
        <v>42</v>
      </c>
      <c r="E56" s="16" t="s">
        <v>358</v>
      </c>
      <c r="F56" s="16" t="s">
        <v>44</v>
      </c>
    </row>
    <row r="57" spans="1:13">
      <c r="B57" s="5" t="s">
        <v>328</v>
      </c>
      <c r="C57" s="5" t="s">
        <v>39</v>
      </c>
      <c r="D57" s="6" t="s">
        <v>270</v>
      </c>
      <c r="E57" s="6" t="s">
        <v>17</v>
      </c>
      <c r="F57" s="6" t="s">
        <v>359</v>
      </c>
    </row>
    <row r="58" spans="1:13">
      <c r="B58" s="5" t="s">
        <v>334</v>
      </c>
      <c r="C58" s="5" t="s">
        <v>39</v>
      </c>
      <c r="D58" s="6" t="s">
        <v>165</v>
      </c>
      <c r="E58" s="6" t="s">
        <v>24</v>
      </c>
      <c r="F58" s="6" t="s">
        <v>360</v>
      </c>
    </row>
    <row r="59" spans="1:13">
      <c r="B59" s="5" t="s">
        <v>349</v>
      </c>
      <c r="C59" s="5" t="s">
        <v>39</v>
      </c>
      <c r="D59" s="6" t="s">
        <v>361</v>
      </c>
      <c r="E59" s="6" t="s">
        <v>24</v>
      </c>
      <c r="F59" s="6" t="s">
        <v>362</v>
      </c>
    </row>
  </sheetData>
  <mergeCells count="20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45:J45"/>
    <mergeCell ref="A48:J48"/>
    <mergeCell ref="B3:B4"/>
    <mergeCell ref="A10:J10"/>
    <mergeCell ref="A13:J13"/>
    <mergeCell ref="A18:J18"/>
    <mergeCell ref="A24:J24"/>
    <mergeCell ref="A33:J33"/>
    <mergeCell ref="A38:J3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M17"/>
  <sheetViews>
    <sheetView workbookViewId="0">
      <selection activeCell="E7" sqref="E7"/>
    </sheetView>
  </sheetViews>
  <sheetFormatPr baseColWidth="10" defaultColWidth="9.1640625" defaultRowHeight="13"/>
  <cols>
    <col min="1" max="1" width="7.1640625" style="5" bestFit="1" customWidth="1"/>
    <col min="2" max="2" width="20" style="5" customWidth="1"/>
    <col min="3" max="3" width="25.1640625" style="5" bestFit="1" customWidth="1"/>
    <col min="4" max="4" width="14.83203125" style="5" bestFit="1" customWidth="1"/>
    <col min="5" max="5" width="9.1640625" style="5" customWidth="1"/>
    <col min="6" max="6" width="25.6640625" style="5" bestFit="1" customWidth="1"/>
    <col min="7" max="9" width="5.5" style="6" customWidth="1"/>
    <col min="10" max="10" width="4.5" style="6" customWidth="1"/>
    <col min="11" max="11" width="10.5" style="29" bestFit="1" customWidth="1"/>
    <col min="12" max="12" width="6.5" style="6" bestFit="1" customWidth="1"/>
    <col min="13" max="13" width="16.5" style="5" bestFit="1" customWidth="1"/>
    <col min="14" max="16384" width="9.1640625" style="3"/>
  </cols>
  <sheetData>
    <row r="1" spans="1:13" s="2" customFormat="1" ht="29" customHeight="1">
      <c r="A1" s="64" t="s">
        <v>646</v>
      </c>
      <c r="B1" s="65"/>
      <c r="C1" s="66"/>
      <c r="D1" s="66"/>
      <c r="E1" s="66"/>
      <c r="F1" s="66"/>
      <c r="G1" s="66"/>
      <c r="H1" s="66"/>
      <c r="I1" s="66"/>
      <c r="J1" s="66"/>
      <c r="K1" s="66"/>
      <c r="L1" s="66"/>
      <c r="M1" s="67"/>
    </row>
    <row r="2" spans="1:13" s="2" customFormat="1" ht="62" customHeight="1" thickBot="1">
      <c r="A2" s="68"/>
      <c r="B2" s="69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s="1" customFormat="1" ht="12.75" customHeight="1">
      <c r="A3" s="72" t="s">
        <v>715</v>
      </c>
      <c r="B3" s="62" t="s">
        <v>0</v>
      </c>
      <c r="C3" s="74" t="s">
        <v>716</v>
      </c>
      <c r="D3" s="74" t="s">
        <v>6</v>
      </c>
      <c r="E3" s="56" t="s">
        <v>717</v>
      </c>
      <c r="F3" s="56" t="s">
        <v>5</v>
      </c>
      <c r="G3" s="56" t="s">
        <v>10</v>
      </c>
      <c r="H3" s="56"/>
      <c r="I3" s="56"/>
      <c r="J3" s="56"/>
      <c r="K3" s="54" t="s">
        <v>363</v>
      </c>
      <c r="L3" s="56" t="s">
        <v>3</v>
      </c>
      <c r="M3" s="58" t="s">
        <v>2</v>
      </c>
    </row>
    <row r="4" spans="1:13" s="1" customFormat="1" ht="21" customHeight="1" thickBot="1">
      <c r="A4" s="73"/>
      <c r="B4" s="63"/>
      <c r="C4" s="57"/>
      <c r="D4" s="57"/>
      <c r="E4" s="57"/>
      <c r="F4" s="57"/>
      <c r="G4" s="4">
        <v>1</v>
      </c>
      <c r="H4" s="4">
        <v>2</v>
      </c>
      <c r="I4" s="4">
        <v>3</v>
      </c>
      <c r="J4" s="4" t="s">
        <v>4</v>
      </c>
      <c r="K4" s="55"/>
      <c r="L4" s="57"/>
      <c r="M4" s="59"/>
    </row>
    <row r="5" spans="1:13" ht="16">
      <c r="A5" s="60" t="s">
        <v>12</v>
      </c>
      <c r="B5" s="60"/>
      <c r="C5" s="61"/>
      <c r="D5" s="61"/>
      <c r="E5" s="61"/>
      <c r="F5" s="61"/>
      <c r="G5" s="61"/>
      <c r="H5" s="61"/>
      <c r="I5" s="61"/>
      <c r="J5" s="61"/>
    </row>
    <row r="6" spans="1:13">
      <c r="A6" s="21" t="s">
        <v>48</v>
      </c>
      <c r="B6" s="15" t="s">
        <v>13</v>
      </c>
      <c r="C6" s="15" t="s">
        <v>14</v>
      </c>
      <c r="D6" s="15" t="s">
        <v>15</v>
      </c>
      <c r="E6" s="15" t="s">
        <v>718</v>
      </c>
      <c r="F6" s="15" t="s">
        <v>708</v>
      </c>
      <c r="G6" s="23" t="s">
        <v>25</v>
      </c>
      <c r="H6" s="23" t="s">
        <v>25</v>
      </c>
      <c r="I6" s="23" t="s">
        <v>25</v>
      </c>
      <c r="J6" s="21"/>
      <c r="K6" s="33">
        <v>0</v>
      </c>
      <c r="L6" s="21" t="str">
        <f>"0,0000"</f>
        <v>0,0000</v>
      </c>
      <c r="M6" s="15" t="s">
        <v>596</v>
      </c>
    </row>
    <row r="7" spans="1:13">
      <c r="B7" s="5" t="s">
        <v>8</v>
      </c>
    </row>
    <row r="8" spans="1:13">
      <c r="B8" s="5" t="s">
        <v>8</v>
      </c>
    </row>
    <row r="9" spans="1:13">
      <c r="B9" s="5" t="s">
        <v>8</v>
      </c>
    </row>
    <row r="10" spans="1:13">
      <c r="B10" s="5" t="s">
        <v>8</v>
      </c>
    </row>
    <row r="11" spans="1:13">
      <c r="B11" s="5" t="s">
        <v>8</v>
      </c>
    </row>
    <row r="12" spans="1:13">
      <c r="B12" s="5" t="s">
        <v>8</v>
      </c>
    </row>
    <row r="13" spans="1:13">
      <c r="B13" s="5" t="s">
        <v>8</v>
      </c>
    </row>
    <row r="14" spans="1:13">
      <c r="B14" s="5" t="s">
        <v>8</v>
      </c>
    </row>
    <row r="15" spans="1:13">
      <c r="B15" s="5" t="s">
        <v>8</v>
      </c>
    </row>
    <row r="17" spans="3:4" ht="18">
      <c r="C17" s="7"/>
      <c r="D17" s="7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M13"/>
  <sheetViews>
    <sheetView workbookViewId="0">
      <selection activeCell="E12" sqref="E12"/>
    </sheetView>
  </sheetViews>
  <sheetFormatPr baseColWidth="10" defaultColWidth="9.1640625" defaultRowHeight="13"/>
  <cols>
    <col min="1" max="1" width="7.1640625" style="5" bestFit="1" customWidth="1"/>
    <col min="2" max="2" width="19.33203125" style="5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29" style="5" customWidth="1"/>
    <col min="7" max="9" width="5.5" style="6" customWidth="1"/>
    <col min="10" max="10" width="4.5" style="6" customWidth="1"/>
    <col min="11" max="11" width="10.5" style="6" bestFit="1" customWidth="1"/>
    <col min="12" max="12" width="8.5" style="6" bestFit="1" customWidth="1"/>
    <col min="13" max="13" width="16.6640625" style="5" customWidth="1"/>
    <col min="14" max="16384" width="9.1640625" style="3"/>
  </cols>
  <sheetData>
    <row r="1" spans="1:13" s="2" customFormat="1" ht="29" customHeight="1">
      <c r="A1" s="64" t="s">
        <v>647</v>
      </c>
      <c r="B1" s="65"/>
      <c r="C1" s="66"/>
      <c r="D1" s="66"/>
      <c r="E1" s="66"/>
      <c r="F1" s="66"/>
      <c r="G1" s="66"/>
      <c r="H1" s="66"/>
      <c r="I1" s="66"/>
      <c r="J1" s="66"/>
      <c r="K1" s="66"/>
      <c r="L1" s="66"/>
      <c r="M1" s="67"/>
    </row>
    <row r="2" spans="1:13" s="2" customFormat="1" ht="62" customHeight="1" thickBot="1">
      <c r="A2" s="68"/>
      <c r="B2" s="69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s="1" customFormat="1" ht="12.75" customHeight="1">
      <c r="A3" s="72" t="s">
        <v>715</v>
      </c>
      <c r="B3" s="62" t="s">
        <v>0</v>
      </c>
      <c r="C3" s="74" t="s">
        <v>716</v>
      </c>
      <c r="D3" s="74" t="s">
        <v>6</v>
      </c>
      <c r="E3" s="56" t="s">
        <v>717</v>
      </c>
      <c r="F3" s="56" t="s">
        <v>5</v>
      </c>
      <c r="G3" s="56" t="s">
        <v>10</v>
      </c>
      <c r="H3" s="56"/>
      <c r="I3" s="56"/>
      <c r="J3" s="56"/>
      <c r="K3" s="56" t="s">
        <v>363</v>
      </c>
      <c r="L3" s="56" t="s">
        <v>3</v>
      </c>
      <c r="M3" s="58" t="s">
        <v>2</v>
      </c>
    </row>
    <row r="4" spans="1:13" s="1" customFormat="1" ht="21" customHeight="1" thickBot="1">
      <c r="A4" s="73"/>
      <c r="B4" s="63"/>
      <c r="C4" s="57"/>
      <c r="D4" s="57"/>
      <c r="E4" s="57"/>
      <c r="F4" s="57"/>
      <c r="G4" s="4">
        <v>1</v>
      </c>
      <c r="H4" s="4">
        <v>2</v>
      </c>
      <c r="I4" s="4">
        <v>3</v>
      </c>
      <c r="J4" s="4" t="s">
        <v>4</v>
      </c>
      <c r="K4" s="57"/>
      <c r="L4" s="57"/>
      <c r="M4" s="59"/>
    </row>
    <row r="5" spans="1:13" ht="16">
      <c r="A5" s="60" t="s">
        <v>97</v>
      </c>
      <c r="B5" s="60"/>
      <c r="C5" s="61"/>
      <c r="D5" s="61"/>
      <c r="E5" s="61"/>
      <c r="F5" s="61"/>
      <c r="G5" s="61"/>
      <c r="H5" s="61"/>
      <c r="I5" s="61"/>
      <c r="J5" s="61"/>
    </row>
    <row r="6" spans="1:13">
      <c r="A6" s="21" t="s">
        <v>47</v>
      </c>
      <c r="B6" s="15" t="s">
        <v>477</v>
      </c>
      <c r="C6" s="15" t="s">
        <v>478</v>
      </c>
      <c r="D6" s="15" t="s">
        <v>479</v>
      </c>
      <c r="E6" s="15" t="s">
        <v>718</v>
      </c>
      <c r="F6" s="15" t="s">
        <v>108</v>
      </c>
      <c r="G6" s="23" t="s">
        <v>121</v>
      </c>
      <c r="H6" s="22" t="s">
        <v>121</v>
      </c>
      <c r="I6" s="23" t="s">
        <v>21</v>
      </c>
      <c r="J6" s="21"/>
      <c r="K6" s="21" t="str">
        <f>"175,0"</f>
        <v>175,0</v>
      </c>
      <c r="L6" s="21" t="str">
        <f>"117,5825"</f>
        <v>117,5825</v>
      </c>
      <c r="M6" s="15" t="s">
        <v>609</v>
      </c>
    </row>
    <row r="7" spans="1:13">
      <c r="B7" s="5" t="s">
        <v>8</v>
      </c>
    </row>
    <row r="8" spans="1:13" ht="16">
      <c r="A8" s="52" t="s">
        <v>28</v>
      </c>
      <c r="B8" s="52"/>
      <c r="C8" s="53"/>
      <c r="D8" s="53"/>
      <c r="E8" s="53"/>
      <c r="F8" s="53"/>
      <c r="G8" s="53"/>
      <c r="H8" s="53"/>
      <c r="I8" s="53"/>
      <c r="J8" s="53"/>
    </row>
    <row r="9" spans="1:13">
      <c r="A9" s="9" t="s">
        <v>47</v>
      </c>
      <c r="B9" s="8" t="s">
        <v>480</v>
      </c>
      <c r="C9" s="8" t="s">
        <v>481</v>
      </c>
      <c r="D9" s="8" t="s">
        <v>482</v>
      </c>
      <c r="E9" s="8" t="s">
        <v>718</v>
      </c>
      <c r="F9" s="8" t="s">
        <v>708</v>
      </c>
      <c r="G9" s="17" t="s">
        <v>26</v>
      </c>
      <c r="H9" s="17" t="s">
        <v>27</v>
      </c>
      <c r="I9" s="18" t="s">
        <v>17</v>
      </c>
      <c r="J9" s="9"/>
      <c r="K9" s="9" t="str">
        <f>"210,0"</f>
        <v>210,0</v>
      </c>
      <c r="L9" s="9" t="str">
        <f>"132,1950"</f>
        <v>132,1950</v>
      </c>
      <c r="M9" s="8" t="s">
        <v>596</v>
      </c>
    </row>
    <row r="10" spans="1:13">
      <c r="A10" s="25" t="s">
        <v>172</v>
      </c>
      <c r="B10" s="24" t="s">
        <v>29</v>
      </c>
      <c r="C10" s="24" t="s">
        <v>30</v>
      </c>
      <c r="D10" s="24" t="s">
        <v>31</v>
      </c>
      <c r="E10" s="24" t="s">
        <v>718</v>
      </c>
      <c r="F10" s="24" t="s">
        <v>708</v>
      </c>
      <c r="G10" s="26" t="s">
        <v>33</v>
      </c>
      <c r="H10" s="26" t="s">
        <v>34</v>
      </c>
      <c r="I10" s="26" t="s">
        <v>35</v>
      </c>
      <c r="J10" s="25"/>
      <c r="K10" s="25" t="str">
        <f>"187,5"</f>
        <v>187,5</v>
      </c>
      <c r="L10" s="25" t="str">
        <f>"115,7250"</f>
        <v>115,7250</v>
      </c>
      <c r="M10" s="24"/>
    </row>
    <row r="11" spans="1:13">
      <c r="A11" s="11" t="s">
        <v>47</v>
      </c>
      <c r="B11" s="10" t="s">
        <v>29</v>
      </c>
      <c r="C11" s="10" t="s">
        <v>665</v>
      </c>
      <c r="D11" s="10" t="s">
        <v>31</v>
      </c>
      <c r="E11" s="10" t="s">
        <v>722</v>
      </c>
      <c r="F11" s="10" t="s">
        <v>708</v>
      </c>
      <c r="G11" s="19" t="s">
        <v>33</v>
      </c>
      <c r="H11" s="19" t="s">
        <v>34</v>
      </c>
      <c r="I11" s="19" t="s">
        <v>35</v>
      </c>
      <c r="J11" s="11"/>
      <c r="K11" s="11" t="str">
        <f>"187,5"</f>
        <v>187,5</v>
      </c>
      <c r="L11" s="11" t="str">
        <f>"128,9177"</f>
        <v>128,9177</v>
      </c>
      <c r="M11" s="10"/>
    </row>
    <row r="12" spans="1:13">
      <c r="B12" s="5" t="s">
        <v>8</v>
      </c>
    </row>
    <row r="13" spans="1:13">
      <c r="B13" s="5" t="s">
        <v>8</v>
      </c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9"/>
  <sheetViews>
    <sheetView workbookViewId="0">
      <selection activeCell="E8" sqref="E8"/>
    </sheetView>
  </sheetViews>
  <sheetFormatPr baseColWidth="10" defaultColWidth="9.1640625" defaultRowHeight="13"/>
  <cols>
    <col min="1" max="1" width="7.1640625" style="5" bestFit="1" customWidth="1"/>
    <col min="2" max="2" width="20.6640625" style="5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25.6640625" style="5" bestFit="1" customWidth="1"/>
    <col min="7" max="9" width="5.5" style="6" customWidth="1"/>
    <col min="10" max="10" width="4.5" style="6" customWidth="1"/>
    <col min="11" max="11" width="10.5" style="6" bestFit="1" customWidth="1"/>
    <col min="12" max="12" width="8.5" style="6" bestFit="1" customWidth="1"/>
    <col min="13" max="13" width="16.1640625" style="5" bestFit="1" customWidth="1"/>
    <col min="14" max="16384" width="9.1640625" style="3"/>
  </cols>
  <sheetData>
    <row r="1" spans="1:13" s="2" customFormat="1" ht="29" customHeight="1">
      <c r="A1" s="64" t="s">
        <v>648</v>
      </c>
      <c r="B1" s="65"/>
      <c r="C1" s="66"/>
      <c r="D1" s="66"/>
      <c r="E1" s="66"/>
      <c r="F1" s="66"/>
      <c r="G1" s="66"/>
      <c r="H1" s="66"/>
      <c r="I1" s="66"/>
      <c r="J1" s="66"/>
      <c r="K1" s="66"/>
      <c r="L1" s="66"/>
      <c r="M1" s="67"/>
    </row>
    <row r="2" spans="1:13" s="2" customFormat="1" ht="62" customHeight="1" thickBot="1">
      <c r="A2" s="68"/>
      <c r="B2" s="69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s="1" customFormat="1" ht="12.75" customHeight="1">
      <c r="A3" s="72" t="s">
        <v>715</v>
      </c>
      <c r="B3" s="62" t="s">
        <v>0</v>
      </c>
      <c r="C3" s="74" t="s">
        <v>716</v>
      </c>
      <c r="D3" s="74" t="s">
        <v>6</v>
      </c>
      <c r="E3" s="56" t="s">
        <v>717</v>
      </c>
      <c r="F3" s="56" t="s">
        <v>5</v>
      </c>
      <c r="G3" s="56" t="s">
        <v>10</v>
      </c>
      <c r="H3" s="56"/>
      <c r="I3" s="56"/>
      <c r="J3" s="56"/>
      <c r="K3" s="56" t="s">
        <v>363</v>
      </c>
      <c r="L3" s="56" t="s">
        <v>3</v>
      </c>
      <c r="M3" s="58" t="s">
        <v>2</v>
      </c>
    </row>
    <row r="4" spans="1:13" s="1" customFormat="1" ht="21" customHeight="1" thickBot="1">
      <c r="A4" s="73"/>
      <c r="B4" s="63"/>
      <c r="C4" s="57"/>
      <c r="D4" s="57"/>
      <c r="E4" s="57"/>
      <c r="F4" s="57"/>
      <c r="G4" s="4">
        <v>1</v>
      </c>
      <c r="H4" s="4">
        <v>2</v>
      </c>
      <c r="I4" s="4">
        <v>3</v>
      </c>
      <c r="J4" s="4" t="s">
        <v>4</v>
      </c>
      <c r="K4" s="57"/>
      <c r="L4" s="57"/>
      <c r="M4" s="59"/>
    </row>
    <row r="5" spans="1:13" ht="16">
      <c r="A5" s="60" t="s">
        <v>28</v>
      </c>
      <c r="B5" s="60"/>
      <c r="C5" s="61"/>
      <c r="D5" s="61"/>
      <c r="E5" s="61"/>
      <c r="F5" s="61"/>
      <c r="G5" s="61"/>
      <c r="H5" s="61"/>
      <c r="I5" s="61"/>
      <c r="J5" s="61"/>
    </row>
    <row r="6" spans="1:13">
      <c r="A6" s="9" t="s">
        <v>47</v>
      </c>
      <c r="B6" s="8" t="s">
        <v>29</v>
      </c>
      <c r="C6" s="8" t="s">
        <v>30</v>
      </c>
      <c r="D6" s="8" t="s">
        <v>31</v>
      </c>
      <c r="E6" s="8" t="s">
        <v>718</v>
      </c>
      <c r="F6" s="8" t="s">
        <v>708</v>
      </c>
      <c r="G6" s="17" t="s">
        <v>22</v>
      </c>
      <c r="H6" s="17" t="s">
        <v>36</v>
      </c>
      <c r="I6" s="18" t="s">
        <v>32</v>
      </c>
      <c r="J6" s="9"/>
      <c r="K6" s="9" t="str">
        <f>"235,0"</f>
        <v>235,0</v>
      </c>
      <c r="L6" s="9" t="str">
        <f>"138,6383"</f>
        <v>138,6383</v>
      </c>
      <c r="M6" s="8"/>
    </row>
    <row r="7" spans="1:13">
      <c r="A7" s="11" t="s">
        <v>47</v>
      </c>
      <c r="B7" s="10" t="s">
        <v>29</v>
      </c>
      <c r="C7" s="10" t="s">
        <v>683</v>
      </c>
      <c r="D7" s="10" t="s">
        <v>31</v>
      </c>
      <c r="E7" s="10" t="s">
        <v>721</v>
      </c>
      <c r="F7" s="10" t="s">
        <v>708</v>
      </c>
      <c r="G7" s="19" t="s">
        <v>22</v>
      </c>
      <c r="H7" s="19" t="s">
        <v>36</v>
      </c>
      <c r="I7" s="20" t="s">
        <v>32</v>
      </c>
      <c r="J7" s="11"/>
      <c r="K7" s="11" t="str">
        <f>"235,0"</f>
        <v>235,0</v>
      </c>
      <c r="L7" s="11" t="str">
        <f>"152,0862"</f>
        <v>152,0862</v>
      </c>
      <c r="M7" s="10"/>
    </row>
    <row r="8" spans="1:13">
      <c r="B8" s="5" t="s">
        <v>8</v>
      </c>
    </row>
    <row r="9" spans="1:13">
      <c r="B9" s="5" t="s">
        <v>8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32"/>
  <sheetViews>
    <sheetView workbookViewId="0">
      <selection sqref="A1:M2"/>
    </sheetView>
  </sheetViews>
  <sheetFormatPr baseColWidth="10" defaultColWidth="9.1640625" defaultRowHeight="13"/>
  <cols>
    <col min="1" max="1" width="7.1640625" style="5" bestFit="1" customWidth="1"/>
    <col min="2" max="2" width="21.33203125" style="5" bestFit="1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25.6640625" style="5" bestFit="1" customWidth="1"/>
    <col min="7" max="9" width="5.5" style="6" customWidth="1"/>
    <col min="10" max="10" width="4.5" style="6" customWidth="1"/>
    <col min="11" max="11" width="10.5" style="29" bestFit="1" customWidth="1"/>
    <col min="12" max="12" width="8.5" style="6" bestFit="1" customWidth="1"/>
    <col min="13" max="13" width="17.83203125" style="5" bestFit="1" customWidth="1"/>
    <col min="14" max="16384" width="9.1640625" style="3"/>
  </cols>
  <sheetData>
    <row r="1" spans="1:13" s="2" customFormat="1" ht="29" customHeight="1">
      <c r="A1" s="64" t="s">
        <v>649</v>
      </c>
      <c r="B1" s="65"/>
      <c r="C1" s="66"/>
      <c r="D1" s="66"/>
      <c r="E1" s="66"/>
      <c r="F1" s="66"/>
      <c r="G1" s="66"/>
      <c r="H1" s="66"/>
      <c r="I1" s="66"/>
      <c r="J1" s="66"/>
      <c r="K1" s="66"/>
      <c r="L1" s="66"/>
      <c r="M1" s="67"/>
    </row>
    <row r="2" spans="1:13" s="2" customFormat="1" ht="62" customHeight="1" thickBot="1">
      <c r="A2" s="68"/>
      <c r="B2" s="69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s="1" customFormat="1" ht="12.75" customHeight="1">
      <c r="A3" s="72" t="s">
        <v>715</v>
      </c>
      <c r="B3" s="62" t="s">
        <v>0</v>
      </c>
      <c r="C3" s="74" t="s">
        <v>716</v>
      </c>
      <c r="D3" s="74" t="s">
        <v>6</v>
      </c>
      <c r="E3" s="56" t="s">
        <v>717</v>
      </c>
      <c r="F3" s="56" t="s">
        <v>5</v>
      </c>
      <c r="G3" s="56" t="s">
        <v>10</v>
      </c>
      <c r="H3" s="56"/>
      <c r="I3" s="56"/>
      <c r="J3" s="56"/>
      <c r="K3" s="54" t="s">
        <v>363</v>
      </c>
      <c r="L3" s="56" t="s">
        <v>3</v>
      </c>
      <c r="M3" s="58" t="s">
        <v>2</v>
      </c>
    </row>
    <row r="4" spans="1:13" s="1" customFormat="1" ht="21" customHeight="1" thickBot="1">
      <c r="A4" s="73"/>
      <c r="B4" s="63"/>
      <c r="C4" s="57"/>
      <c r="D4" s="57"/>
      <c r="E4" s="57"/>
      <c r="F4" s="57"/>
      <c r="G4" s="4">
        <v>1</v>
      </c>
      <c r="H4" s="4">
        <v>2</v>
      </c>
      <c r="I4" s="4">
        <v>3</v>
      </c>
      <c r="J4" s="4" t="s">
        <v>4</v>
      </c>
      <c r="K4" s="55"/>
      <c r="L4" s="57"/>
      <c r="M4" s="59"/>
    </row>
    <row r="5" spans="1:13" ht="16">
      <c r="A5" s="60" t="s">
        <v>57</v>
      </c>
      <c r="B5" s="60"/>
      <c r="C5" s="61"/>
      <c r="D5" s="61"/>
      <c r="E5" s="61"/>
      <c r="F5" s="61"/>
      <c r="G5" s="61"/>
      <c r="H5" s="61"/>
      <c r="I5" s="61"/>
      <c r="J5" s="61"/>
    </row>
    <row r="6" spans="1:13">
      <c r="A6" s="9" t="s">
        <v>47</v>
      </c>
      <c r="B6" s="8" t="s">
        <v>374</v>
      </c>
      <c r="C6" s="8" t="s">
        <v>375</v>
      </c>
      <c r="D6" s="8" t="s">
        <v>376</v>
      </c>
      <c r="E6" s="8" t="s">
        <v>718</v>
      </c>
      <c r="F6" s="8" t="s">
        <v>108</v>
      </c>
      <c r="G6" s="18" t="s">
        <v>185</v>
      </c>
      <c r="H6" s="17" t="s">
        <v>185</v>
      </c>
      <c r="I6" s="18" t="s">
        <v>55</v>
      </c>
      <c r="J6" s="9"/>
      <c r="K6" s="30" t="str">
        <f>"70,0"</f>
        <v>70,0</v>
      </c>
      <c r="L6" s="9" t="str">
        <f>"78,2460"</f>
        <v>78,2460</v>
      </c>
      <c r="M6" s="8" t="s">
        <v>594</v>
      </c>
    </row>
    <row r="7" spans="1:13">
      <c r="A7" s="11" t="s">
        <v>47</v>
      </c>
      <c r="B7" s="10" t="s">
        <v>374</v>
      </c>
      <c r="C7" s="10" t="s">
        <v>684</v>
      </c>
      <c r="D7" s="10" t="s">
        <v>376</v>
      </c>
      <c r="E7" s="10" t="s">
        <v>721</v>
      </c>
      <c r="F7" s="10" t="s">
        <v>108</v>
      </c>
      <c r="G7" s="20" t="s">
        <v>185</v>
      </c>
      <c r="H7" s="19" t="s">
        <v>185</v>
      </c>
      <c r="I7" s="20" t="s">
        <v>55</v>
      </c>
      <c r="J7" s="11"/>
      <c r="K7" s="32" t="str">
        <f>"70,0"</f>
        <v>70,0</v>
      </c>
      <c r="L7" s="11" t="str">
        <f>"85,8359"</f>
        <v>85,8359</v>
      </c>
      <c r="M7" s="10" t="s">
        <v>594</v>
      </c>
    </row>
    <row r="8" spans="1:13">
      <c r="B8" s="5" t="s">
        <v>8</v>
      </c>
      <c r="M8" s="10"/>
    </row>
    <row r="9" spans="1:13" ht="16">
      <c r="A9" s="52" t="s">
        <v>49</v>
      </c>
      <c r="B9" s="52"/>
      <c r="C9" s="53"/>
      <c r="D9" s="53"/>
      <c r="E9" s="53"/>
      <c r="F9" s="53"/>
      <c r="G9" s="53"/>
      <c r="H9" s="53"/>
      <c r="I9" s="53"/>
      <c r="J9" s="53"/>
      <c r="M9" s="10"/>
    </row>
    <row r="10" spans="1:13">
      <c r="A10" s="9" t="s">
        <v>47</v>
      </c>
      <c r="B10" s="8" t="s">
        <v>489</v>
      </c>
      <c r="C10" s="8" t="s">
        <v>507</v>
      </c>
      <c r="D10" s="8" t="s">
        <v>490</v>
      </c>
      <c r="E10" s="8" t="s">
        <v>718</v>
      </c>
      <c r="F10" s="8" t="s">
        <v>710</v>
      </c>
      <c r="G10" s="17" t="s">
        <v>181</v>
      </c>
      <c r="H10" s="17" t="s">
        <v>96</v>
      </c>
      <c r="I10" s="17" t="s">
        <v>94</v>
      </c>
      <c r="J10" s="9"/>
      <c r="K10" s="30" t="str">
        <f>"65,0"</f>
        <v>65,0</v>
      </c>
      <c r="L10" s="9" t="str">
        <f>"62,7737"</f>
        <v>62,7737</v>
      </c>
      <c r="M10" s="8" t="s">
        <v>595</v>
      </c>
    </row>
    <row r="11" spans="1:13">
      <c r="A11" s="11" t="s">
        <v>47</v>
      </c>
      <c r="B11" s="10" t="s">
        <v>489</v>
      </c>
      <c r="C11" s="10" t="s">
        <v>685</v>
      </c>
      <c r="D11" s="10" t="s">
        <v>490</v>
      </c>
      <c r="E11" s="10" t="s">
        <v>721</v>
      </c>
      <c r="F11" s="10" t="s">
        <v>710</v>
      </c>
      <c r="G11" s="19" t="s">
        <v>181</v>
      </c>
      <c r="H11" s="19" t="s">
        <v>96</v>
      </c>
      <c r="I11" s="19" t="s">
        <v>94</v>
      </c>
      <c r="J11" s="11"/>
      <c r="K11" s="32" t="str">
        <f>"65,0"</f>
        <v>65,0</v>
      </c>
      <c r="L11" s="11" t="str">
        <f>"62,7737"</f>
        <v>62,7737</v>
      </c>
      <c r="M11" s="10" t="s">
        <v>595</v>
      </c>
    </row>
    <row r="12" spans="1:13">
      <c r="B12" s="5" t="s">
        <v>8</v>
      </c>
    </row>
    <row r="13" spans="1:13" ht="16">
      <c r="A13" s="52" t="s">
        <v>87</v>
      </c>
      <c r="B13" s="52"/>
      <c r="C13" s="53"/>
      <c r="D13" s="53"/>
      <c r="E13" s="53"/>
      <c r="F13" s="53"/>
      <c r="G13" s="53"/>
      <c r="H13" s="53"/>
      <c r="I13" s="53"/>
      <c r="J13" s="53"/>
    </row>
    <row r="14" spans="1:13">
      <c r="A14" s="21" t="s">
        <v>47</v>
      </c>
      <c r="B14" s="15" t="s">
        <v>88</v>
      </c>
      <c r="C14" s="15" t="s">
        <v>89</v>
      </c>
      <c r="D14" s="15" t="s">
        <v>90</v>
      </c>
      <c r="E14" s="15" t="s">
        <v>718</v>
      </c>
      <c r="F14" s="15" t="s">
        <v>708</v>
      </c>
      <c r="G14" s="22" t="s">
        <v>56</v>
      </c>
      <c r="H14" s="22" t="s">
        <v>76</v>
      </c>
      <c r="I14" s="23" t="s">
        <v>77</v>
      </c>
      <c r="J14" s="21"/>
      <c r="K14" s="33" t="str">
        <f>"90,0"</f>
        <v>90,0</v>
      </c>
      <c r="L14" s="21" t="str">
        <f>"75,7260"</f>
        <v>75,7260</v>
      </c>
      <c r="M14" s="15" t="s">
        <v>596</v>
      </c>
    </row>
    <row r="15" spans="1:13">
      <c r="B15" s="5" t="s">
        <v>8</v>
      </c>
    </row>
    <row r="16" spans="1:13" ht="16">
      <c r="A16" s="52" t="s">
        <v>97</v>
      </c>
      <c r="B16" s="52"/>
      <c r="C16" s="53"/>
      <c r="D16" s="53"/>
      <c r="E16" s="53"/>
      <c r="F16" s="53"/>
      <c r="G16" s="53"/>
      <c r="H16" s="53"/>
      <c r="I16" s="53"/>
      <c r="J16" s="53"/>
    </row>
    <row r="17" spans="1:13">
      <c r="A17" s="9" t="s">
        <v>47</v>
      </c>
      <c r="B17" s="8" t="s">
        <v>586</v>
      </c>
      <c r="C17" s="8" t="s">
        <v>587</v>
      </c>
      <c r="D17" s="8" t="s">
        <v>293</v>
      </c>
      <c r="E17" s="8" t="s">
        <v>718</v>
      </c>
      <c r="F17" s="8" t="s">
        <v>108</v>
      </c>
      <c r="G17" s="17" t="s">
        <v>82</v>
      </c>
      <c r="H17" s="18" t="s">
        <v>95</v>
      </c>
      <c r="I17" s="18" t="s">
        <v>95</v>
      </c>
      <c r="J17" s="9"/>
      <c r="K17" s="30" t="str">
        <f>"130,0"</f>
        <v>130,0</v>
      </c>
      <c r="L17" s="9" t="str">
        <f>"85,2345"</f>
        <v>85,2345</v>
      </c>
      <c r="M17" s="8"/>
    </row>
    <row r="18" spans="1:13">
      <c r="A18" s="25" t="s">
        <v>48</v>
      </c>
      <c r="B18" s="24" t="s">
        <v>578</v>
      </c>
      <c r="C18" s="24" t="s">
        <v>579</v>
      </c>
      <c r="D18" s="24" t="s">
        <v>298</v>
      </c>
      <c r="E18" s="24" t="s">
        <v>718</v>
      </c>
      <c r="F18" s="24" t="s">
        <v>708</v>
      </c>
      <c r="G18" s="27" t="s">
        <v>27</v>
      </c>
      <c r="H18" s="27" t="s">
        <v>27</v>
      </c>
      <c r="I18" s="27" t="s">
        <v>27</v>
      </c>
      <c r="J18" s="25"/>
      <c r="K18" s="31">
        <v>0</v>
      </c>
      <c r="L18" s="25" t="str">
        <f>"0,0000"</f>
        <v>0,0000</v>
      </c>
      <c r="M18" s="24" t="s">
        <v>596</v>
      </c>
    </row>
    <row r="19" spans="1:13">
      <c r="A19" s="11" t="s">
        <v>47</v>
      </c>
      <c r="B19" s="10" t="s">
        <v>586</v>
      </c>
      <c r="C19" s="10" t="s">
        <v>686</v>
      </c>
      <c r="D19" s="10" t="s">
        <v>293</v>
      </c>
      <c r="E19" s="10" t="s">
        <v>722</v>
      </c>
      <c r="F19" s="10" t="s">
        <v>108</v>
      </c>
      <c r="G19" s="19" t="s">
        <v>82</v>
      </c>
      <c r="H19" s="20" t="s">
        <v>95</v>
      </c>
      <c r="I19" s="20" t="s">
        <v>95</v>
      </c>
      <c r="J19" s="11"/>
      <c r="K19" s="32" t="str">
        <f>"130,0"</f>
        <v>130,0</v>
      </c>
      <c r="L19" s="11" t="str">
        <f>"106,2022"</f>
        <v>106,2022</v>
      </c>
      <c r="M19" s="10"/>
    </row>
    <row r="20" spans="1:13">
      <c r="B20" s="5" t="s">
        <v>8</v>
      </c>
    </row>
    <row r="21" spans="1:13" ht="16">
      <c r="A21" s="52" t="s">
        <v>28</v>
      </c>
      <c r="B21" s="52"/>
      <c r="C21" s="53"/>
      <c r="D21" s="53"/>
      <c r="E21" s="53"/>
      <c r="F21" s="53"/>
      <c r="G21" s="53"/>
      <c r="H21" s="53"/>
      <c r="I21" s="53"/>
      <c r="J21" s="53"/>
    </row>
    <row r="22" spans="1:13">
      <c r="A22" s="9" t="s">
        <v>47</v>
      </c>
      <c r="B22" s="8" t="s">
        <v>588</v>
      </c>
      <c r="C22" s="8" t="s">
        <v>589</v>
      </c>
      <c r="D22" s="8" t="s">
        <v>590</v>
      </c>
      <c r="E22" s="8" t="s">
        <v>718</v>
      </c>
      <c r="F22" s="8" t="s">
        <v>708</v>
      </c>
      <c r="G22" s="17" t="s">
        <v>139</v>
      </c>
      <c r="H22" s="18" t="s">
        <v>496</v>
      </c>
      <c r="I22" s="17" t="s">
        <v>496</v>
      </c>
      <c r="J22" s="9"/>
      <c r="K22" s="30" t="str">
        <f>"207,5"</f>
        <v>207,5</v>
      </c>
      <c r="L22" s="9" t="str">
        <f>"120,6716"</f>
        <v>120,6716</v>
      </c>
      <c r="M22" s="8" t="s">
        <v>595</v>
      </c>
    </row>
    <row r="23" spans="1:13">
      <c r="A23" s="11" t="s">
        <v>47</v>
      </c>
      <c r="B23" s="10" t="s">
        <v>588</v>
      </c>
      <c r="C23" s="10" t="s">
        <v>687</v>
      </c>
      <c r="D23" s="10" t="s">
        <v>590</v>
      </c>
      <c r="E23" s="10" t="s">
        <v>721</v>
      </c>
      <c r="F23" s="10" t="s">
        <v>708</v>
      </c>
      <c r="G23" s="19" t="s">
        <v>139</v>
      </c>
      <c r="H23" s="20" t="s">
        <v>496</v>
      </c>
      <c r="I23" s="19" t="s">
        <v>496</v>
      </c>
      <c r="J23" s="11"/>
      <c r="K23" s="32" t="str">
        <f>"207,5"</f>
        <v>207,5</v>
      </c>
      <c r="L23" s="11" t="str">
        <f>"120,6716"</f>
        <v>120,6716</v>
      </c>
      <c r="M23" s="10" t="s">
        <v>595</v>
      </c>
    </row>
    <row r="24" spans="1:13">
      <c r="B24" s="5" t="s">
        <v>8</v>
      </c>
    </row>
    <row r="25" spans="1:13">
      <c r="B25" s="5" t="s">
        <v>8</v>
      </c>
    </row>
    <row r="26" spans="1:13">
      <c r="B26" s="5" t="s">
        <v>8</v>
      </c>
    </row>
    <row r="27" spans="1:13">
      <c r="B27" s="5" t="s">
        <v>8</v>
      </c>
    </row>
    <row r="28" spans="1:13">
      <c r="B28" s="5" t="s">
        <v>8</v>
      </c>
    </row>
    <row r="29" spans="1:13">
      <c r="B29" s="5" t="s">
        <v>8</v>
      </c>
    </row>
    <row r="30" spans="1:13">
      <c r="B30" s="5" t="s">
        <v>8</v>
      </c>
    </row>
    <row r="31" spans="1:13">
      <c r="B31" s="5" t="s">
        <v>8</v>
      </c>
    </row>
    <row r="32" spans="1:13">
      <c r="B32" s="5" t="s">
        <v>8</v>
      </c>
    </row>
  </sheetData>
  <mergeCells count="16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9:J9"/>
    <mergeCell ref="A13:J13"/>
    <mergeCell ref="A16:J16"/>
    <mergeCell ref="A21:J21"/>
    <mergeCell ref="B3:B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21"/>
  <sheetViews>
    <sheetView workbookViewId="0">
      <selection sqref="A1:M2"/>
    </sheetView>
  </sheetViews>
  <sheetFormatPr baseColWidth="10" defaultColWidth="9.1640625" defaultRowHeight="13"/>
  <cols>
    <col min="1" max="1" width="7.1640625" style="5" bestFit="1" customWidth="1"/>
    <col min="2" max="2" width="20.83203125" style="5" bestFit="1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25.6640625" style="5" bestFit="1" customWidth="1"/>
    <col min="7" max="9" width="5.5" style="6" customWidth="1"/>
    <col min="10" max="10" width="4.5" style="6" customWidth="1"/>
    <col min="11" max="11" width="10.5" style="6" bestFit="1" customWidth="1"/>
    <col min="12" max="12" width="8.5" style="6" bestFit="1" customWidth="1"/>
    <col min="13" max="13" width="16.5" style="5" bestFit="1" customWidth="1"/>
    <col min="14" max="16384" width="9.1640625" style="3"/>
  </cols>
  <sheetData>
    <row r="1" spans="1:13" s="2" customFormat="1" ht="29" customHeight="1">
      <c r="A1" s="64" t="s">
        <v>650</v>
      </c>
      <c r="B1" s="65"/>
      <c r="C1" s="66"/>
      <c r="D1" s="66"/>
      <c r="E1" s="66"/>
      <c r="F1" s="66"/>
      <c r="G1" s="66"/>
      <c r="H1" s="66"/>
      <c r="I1" s="66"/>
      <c r="J1" s="66"/>
      <c r="K1" s="66"/>
      <c r="L1" s="66"/>
      <c r="M1" s="67"/>
    </row>
    <row r="2" spans="1:13" s="2" customFormat="1" ht="62" customHeight="1" thickBot="1">
      <c r="A2" s="68"/>
      <c r="B2" s="69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s="1" customFormat="1" ht="12.75" customHeight="1">
      <c r="A3" s="72" t="s">
        <v>715</v>
      </c>
      <c r="B3" s="62" t="s">
        <v>0</v>
      </c>
      <c r="C3" s="74" t="s">
        <v>716</v>
      </c>
      <c r="D3" s="74" t="s">
        <v>6</v>
      </c>
      <c r="E3" s="56" t="s">
        <v>717</v>
      </c>
      <c r="F3" s="56" t="s">
        <v>5</v>
      </c>
      <c r="G3" s="56" t="s">
        <v>10</v>
      </c>
      <c r="H3" s="56"/>
      <c r="I3" s="56"/>
      <c r="J3" s="56"/>
      <c r="K3" s="56" t="s">
        <v>363</v>
      </c>
      <c r="L3" s="56" t="s">
        <v>3</v>
      </c>
      <c r="M3" s="58" t="s">
        <v>2</v>
      </c>
    </row>
    <row r="4" spans="1:13" s="1" customFormat="1" ht="21" customHeight="1" thickBot="1">
      <c r="A4" s="73"/>
      <c r="B4" s="63"/>
      <c r="C4" s="57"/>
      <c r="D4" s="57"/>
      <c r="E4" s="57"/>
      <c r="F4" s="57"/>
      <c r="G4" s="4">
        <v>1</v>
      </c>
      <c r="H4" s="4">
        <v>2</v>
      </c>
      <c r="I4" s="4">
        <v>3</v>
      </c>
      <c r="J4" s="4" t="s">
        <v>4</v>
      </c>
      <c r="K4" s="57"/>
      <c r="L4" s="57"/>
      <c r="M4" s="59"/>
    </row>
    <row r="5" spans="1:13" ht="16">
      <c r="A5" s="60" t="s">
        <v>87</v>
      </c>
      <c r="B5" s="60"/>
      <c r="C5" s="61"/>
      <c r="D5" s="61"/>
      <c r="E5" s="61"/>
      <c r="F5" s="61"/>
      <c r="G5" s="61"/>
      <c r="H5" s="61"/>
      <c r="I5" s="61"/>
      <c r="J5" s="61"/>
    </row>
    <row r="6" spans="1:13">
      <c r="A6" s="21" t="s">
        <v>47</v>
      </c>
      <c r="B6" s="15" t="s">
        <v>88</v>
      </c>
      <c r="C6" s="15" t="s">
        <v>89</v>
      </c>
      <c r="D6" s="15" t="s">
        <v>90</v>
      </c>
      <c r="E6" s="15" t="s">
        <v>718</v>
      </c>
      <c r="F6" s="15" t="s">
        <v>708</v>
      </c>
      <c r="G6" s="22" t="s">
        <v>56</v>
      </c>
      <c r="H6" s="22" t="s">
        <v>76</v>
      </c>
      <c r="I6" s="23" t="s">
        <v>77</v>
      </c>
      <c r="J6" s="21"/>
      <c r="K6" s="21" t="str">
        <f>"90,0"</f>
        <v>90,0</v>
      </c>
      <c r="L6" s="21" t="str">
        <f>"75,7260"</f>
        <v>75,7260</v>
      </c>
      <c r="M6" s="15" t="s">
        <v>596</v>
      </c>
    </row>
    <row r="7" spans="1:13">
      <c r="B7" s="5" t="s">
        <v>8</v>
      </c>
    </row>
    <row r="8" spans="1:13" ht="16">
      <c r="A8" s="52" t="s">
        <v>97</v>
      </c>
      <c r="B8" s="52"/>
      <c r="C8" s="53"/>
      <c r="D8" s="53"/>
      <c r="E8" s="53"/>
      <c r="F8" s="53"/>
      <c r="G8" s="53"/>
      <c r="H8" s="53"/>
      <c r="I8" s="53"/>
      <c r="J8" s="53"/>
    </row>
    <row r="9" spans="1:13">
      <c r="A9" s="21" t="s">
        <v>47</v>
      </c>
      <c r="B9" s="15" t="s">
        <v>578</v>
      </c>
      <c r="C9" s="15" t="s">
        <v>579</v>
      </c>
      <c r="D9" s="15" t="s">
        <v>298</v>
      </c>
      <c r="E9" s="15" t="s">
        <v>718</v>
      </c>
      <c r="F9" s="15" t="s">
        <v>708</v>
      </c>
      <c r="G9" s="22" t="s">
        <v>26</v>
      </c>
      <c r="H9" s="22" t="s">
        <v>27</v>
      </c>
      <c r="I9" s="23" t="s">
        <v>17</v>
      </c>
      <c r="J9" s="21"/>
      <c r="K9" s="21" t="str">
        <f>"210,0"</f>
        <v>210,0</v>
      </c>
      <c r="L9" s="21" t="str">
        <f>"136,0065"</f>
        <v>136,0065</v>
      </c>
      <c r="M9" s="15" t="s">
        <v>596</v>
      </c>
    </row>
    <row r="10" spans="1:13">
      <c r="B10" s="5" t="s">
        <v>8</v>
      </c>
    </row>
    <row r="11" spans="1:13" ht="16">
      <c r="A11" s="52" t="s">
        <v>12</v>
      </c>
      <c r="B11" s="52"/>
      <c r="C11" s="53"/>
      <c r="D11" s="53"/>
      <c r="E11" s="53"/>
      <c r="F11" s="53"/>
      <c r="G11" s="53"/>
      <c r="H11" s="53"/>
      <c r="I11" s="53"/>
      <c r="J11" s="53"/>
    </row>
    <row r="12" spans="1:13">
      <c r="A12" s="21" t="s">
        <v>47</v>
      </c>
      <c r="B12" s="15" t="s">
        <v>580</v>
      </c>
      <c r="C12" s="15" t="s">
        <v>581</v>
      </c>
      <c r="D12" s="15" t="s">
        <v>582</v>
      </c>
      <c r="E12" s="15" t="s">
        <v>718</v>
      </c>
      <c r="F12" s="15" t="s">
        <v>53</v>
      </c>
      <c r="G12" s="22" t="s">
        <v>18</v>
      </c>
      <c r="H12" s="22" t="s">
        <v>32</v>
      </c>
      <c r="I12" s="23" t="s">
        <v>37</v>
      </c>
      <c r="J12" s="21"/>
      <c r="K12" s="21" t="str">
        <f>"245,0"</f>
        <v>245,0</v>
      </c>
      <c r="L12" s="21" t="str">
        <f>"151,9245"</f>
        <v>151,9245</v>
      </c>
      <c r="M12" s="15" t="s">
        <v>583</v>
      </c>
    </row>
    <row r="13" spans="1:13">
      <c r="B13" s="5" t="s">
        <v>8</v>
      </c>
    </row>
    <row r="14" spans="1:13" ht="16">
      <c r="A14" s="52" t="s">
        <v>28</v>
      </c>
      <c r="B14" s="52"/>
      <c r="C14" s="53"/>
      <c r="D14" s="53"/>
      <c r="E14" s="53"/>
      <c r="F14" s="53"/>
      <c r="G14" s="53"/>
      <c r="H14" s="53"/>
      <c r="I14" s="53"/>
      <c r="J14" s="53"/>
    </row>
    <row r="15" spans="1:13">
      <c r="A15" s="21" t="s">
        <v>47</v>
      </c>
      <c r="B15" s="15" t="s">
        <v>584</v>
      </c>
      <c r="C15" s="15" t="s">
        <v>688</v>
      </c>
      <c r="D15" s="15" t="s">
        <v>313</v>
      </c>
      <c r="E15" s="15" t="s">
        <v>722</v>
      </c>
      <c r="F15" s="15" t="s">
        <v>460</v>
      </c>
      <c r="G15" s="22" t="s">
        <v>131</v>
      </c>
      <c r="H15" s="23" t="s">
        <v>135</v>
      </c>
      <c r="I15" s="22" t="s">
        <v>135</v>
      </c>
      <c r="J15" s="21"/>
      <c r="K15" s="21" t="str">
        <f>"260,0"</f>
        <v>260,0</v>
      </c>
      <c r="L15" s="21" t="str">
        <f>"172,9160"</f>
        <v>172,9160</v>
      </c>
      <c r="M15" s="15"/>
    </row>
    <row r="16" spans="1:13">
      <c r="B16" s="5" t="s">
        <v>8</v>
      </c>
    </row>
    <row r="17" spans="1:13" ht="16">
      <c r="A17" s="52" t="s">
        <v>144</v>
      </c>
      <c r="B17" s="52"/>
      <c r="C17" s="53"/>
      <c r="D17" s="53"/>
      <c r="E17" s="53"/>
      <c r="F17" s="53"/>
      <c r="G17" s="53"/>
      <c r="H17" s="53"/>
      <c r="I17" s="53"/>
      <c r="J17" s="53"/>
    </row>
    <row r="18" spans="1:13">
      <c r="A18" s="21" t="s">
        <v>47</v>
      </c>
      <c r="B18" s="15" t="s">
        <v>331</v>
      </c>
      <c r="C18" s="15" t="s">
        <v>332</v>
      </c>
      <c r="D18" s="15" t="s">
        <v>333</v>
      </c>
      <c r="E18" s="15" t="s">
        <v>718</v>
      </c>
      <c r="F18" s="15" t="s">
        <v>708</v>
      </c>
      <c r="G18" s="22" t="s">
        <v>149</v>
      </c>
      <c r="H18" s="22" t="s">
        <v>258</v>
      </c>
      <c r="I18" s="22" t="s">
        <v>585</v>
      </c>
      <c r="J18" s="21"/>
      <c r="K18" s="21" t="str">
        <f>"272,5"</f>
        <v>272,5</v>
      </c>
      <c r="L18" s="21" t="str">
        <f>"153,6764"</f>
        <v>153,6764</v>
      </c>
      <c r="M18" s="15"/>
    </row>
    <row r="19" spans="1:13">
      <c r="B19" s="5" t="s">
        <v>8</v>
      </c>
    </row>
    <row r="20" spans="1:13">
      <c r="B20" s="5" t="s">
        <v>8</v>
      </c>
    </row>
    <row r="21" spans="1:13">
      <c r="B21" s="5" t="s">
        <v>8</v>
      </c>
    </row>
  </sheetData>
  <mergeCells count="16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A14:J14"/>
    <mergeCell ref="A17:J17"/>
    <mergeCell ref="B3:B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M47"/>
  <sheetViews>
    <sheetView topLeftCell="A7" workbookViewId="0">
      <selection activeCell="E38" sqref="E38"/>
    </sheetView>
  </sheetViews>
  <sheetFormatPr baseColWidth="10" defaultColWidth="9.1640625" defaultRowHeight="13"/>
  <cols>
    <col min="1" max="1" width="7.1640625" style="5" bestFit="1" customWidth="1"/>
    <col min="2" max="2" width="21.33203125" style="5" bestFit="1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28.5" style="5" bestFit="1" customWidth="1"/>
    <col min="7" max="9" width="5.5" style="6" customWidth="1"/>
    <col min="10" max="10" width="4.5" style="6" customWidth="1"/>
    <col min="11" max="11" width="10.5" style="6" bestFit="1" customWidth="1"/>
    <col min="12" max="12" width="8.5" style="6" bestFit="1" customWidth="1"/>
    <col min="13" max="13" width="19.5" style="5" bestFit="1" customWidth="1"/>
    <col min="14" max="16384" width="9.1640625" style="3"/>
  </cols>
  <sheetData>
    <row r="1" spans="1:13" s="2" customFormat="1" ht="29" customHeight="1">
      <c r="A1" s="64" t="s">
        <v>651</v>
      </c>
      <c r="B1" s="65"/>
      <c r="C1" s="66"/>
      <c r="D1" s="66"/>
      <c r="E1" s="66"/>
      <c r="F1" s="66"/>
      <c r="G1" s="66"/>
      <c r="H1" s="66"/>
      <c r="I1" s="66"/>
      <c r="J1" s="66"/>
      <c r="K1" s="66"/>
      <c r="L1" s="66"/>
      <c r="M1" s="67"/>
    </row>
    <row r="2" spans="1:13" s="2" customFormat="1" ht="62" customHeight="1" thickBot="1">
      <c r="A2" s="68"/>
      <c r="B2" s="69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s="1" customFormat="1" ht="12.75" customHeight="1">
      <c r="A3" s="72" t="s">
        <v>715</v>
      </c>
      <c r="B3" s="62" t="s">
        <v>0</v>
      </c>
      <c r="C3" s="74" t="s">
        <v>716</v>
      </c>
      <c r="D3" s="74" t="s">
        <v>6</v>
      </c>
      <c r="E3" s="56" t="s">
        <v>717</v>
      </c>
      <c r="F3" s="56" t="s">
        <v>5</v>
      </c>
      <c r="G3" s="56" t="s">
        <v>11</v>
      </c>
      <c r="H3" s="56"/>
      <c r="I3" s="56"/>
      <c r="J3" s="56"/>
      <c r="K3" s="56" t="s">
        <v>363</v>
      </c>
      <c r="L3" s="56" t="s">
        <v>3</v>
      </c>
      <c r="M3" s="58" t="s">
        <v>2</v>
      </c>
    </row>
    <row r="4" spans="1:13" s="1" customFormat="1" ht="21" customHeight="1" thickBot="1">
      <c r="A4" s="73"/>
      <c r="B4" s="63"/>
      <c r="C4" s="57"/>
      <c r="D4" s="57"/>
      <c r="E4" s="57"/>
      <c r="F4" s="57"/>
      <c r="G4" s="4">
        <v>1</v>
      </c>
      <c r="H4" s="4">
        <v>2</v>
      </c>
      <c r="I4" s="4">
        <v>3</v>
      </c>
      <c r="J4" s="4" t="s">
        <v>4</v>
      </c>
      <c r="K4" s="57"/>
      <c r="L4" s="57"/>
      <c r="M4" s="59"/>
    </row>
    <row r="5" spans="1:13" ht="16">
      <c r="A5" s="60" t="s">
        <v>57</v>
      </c>
      <c r="B5" s="60"/>
      <c r="C5" s="61"/>
      <c r="D5" s="61"/>
      <c r="E5" s="61"/>
      <c r="F5" s="61"/>
      <c r="G5" s="61"/>
      <c r="H5" s="61"/>
      <c r="I5" s="61"/>
      <c r="J5" s="61"/>
    </row>
    <row r="6" spans="1:13">
      <c r="A6" s="21" t="s">
        <v>47</v>
      </c>
      <c r="B6" s="15" t="s">
        <v>58</v>
      </c>
      <c r="C6" s="15" t="s">
        <v>59</v>
      </c>
      <c r="D6" s="15" t="s">
        <v>60</v>
      </c>
      <c r="E6" s="15" t="s">
        <v>718</v>
      </c>
      <c r="F6" s="15" t="s">
        <v>708</v>
      </c>
      <c r="G6" s="22" t="s">
        <v>61</v>
      </c>
      <c r="H6" s="22" t="s">
        <v>67</v>
      </c>
      <c r="I6" s="22" t="s">
        <v>68</v>
      </c>
      <c r="J6" s="21"/>
      <c r="K6" s="21" t="str">
        <f>"120,0"</f>
        <v>120,0</v>
      </c>
      <c r="L6" s="21" t="str">
        <f>"151,6200"</f>
        <v>151,6200</v>
      </c>
      <c r="M6" s="15" t="s">
        <v>595</v>
      </c>
    </row>
    <row r="7" spans="1:13">
      <c r="B7" s="5" t="s">
        <v>8</v>
      </c>
    </row>
    <row r="8" spans="1:13" ht="16">
      <c r="A8" s="52" t="s">
        <v>49</v>
      </c>
      <c r="B8" s="52"/>
      <c r="C8" s="53"/>
      <c r="D8" s="53"/>
      <c r="E8" s="53"/>
      <c r="F8" s="53"/>
      <c r="G8" s="53"/>
      <c r="H8" s="53"/>
      <c r="I8" s="53"/>
      <c r="J8" s="53"/>
    </row>
    <row r="9" spans="1:13">
      <c r="A9" s="9" t="s">
        <v>47</v>
      </c>
      <c r="B9" s="8" t="s">
        <v>487</v>
      </c>
      <c r="C9" s="8" t="s">
        <v>488</v>
      </c>
      <c r="D9" s="8" t="s">
        <v>403</v>
      </c>
      <c r="E9" s="8" t="s">
        <v>718</v>
      </c>
      <c r="F9" s="8" t="s">
        <v>708</v>
      </c>
      <c r="G9" s="17" t="s">
        <v>84</v>
      </c>
      <c r="H9" s="17" t="s">
        <v>141</v>
      </c>
      <c r="I9" s="17" t="s">
        <v>148</v>
      </c>
      <c r="J9" s="9"/>
      <c r="K9" s="9" t="str">
        <f>"162,5"</f>
        <v>162,5</v>
      </c>
      <c r="L9" s="34" t="str">
        <f>"170,2837"</f>
        <v>170,2837</v>
      </c>
      <c r="M9" s="8" t="s">
        <v>595</v>
      </c>
    </row>
    <row r="10" spans="1:13">
      <c r="A10" s="25" t="s">
        <v>172</v>
      </c>
      <c r="B10" s="24" t="s">
        <v>489</v>
      </c>
      <c r="C10" s="24" t="s">
        <v>507</v>
      </c>
      <c r="D10" s="24" t="s">
        <v>490</v>
      </c>
      <c r="E10" s="24" t="s">
        <v>718</v>
      </c>
      <c r="F10" s="24" t="s">
        <v>710</v>
      </c>
      <c r="G10" s="26" t="s">
        <v>76</v>
      </c>
      <c r="H10" s="27" t="s">
        <v>61</v>
      </c>
      <c r="I10" s="26" t="s">
        <v>111</v>
      </c>
      <c r="J10" s="25"/>
      <c r="K10" s="25" t="str">
        <f>"110,0"</f>
        <v>110,0</v>
      </c>
      <c r="L10" s="35" t="str">
        <f>"120,0210"</f>
        <v>120,0210</v>
      </c>
      <c r="M10" s="24" t="s">
        <v>595</v>
      </c>
    </row>
    <row r="11" spans="1:13">
      <c r="A11" s="11" t="s">
        <v>47</v>
      </c>
      <c r="B11" s="10" t="s">
        <v>489</v>
      </c>
      <c r="C11" s="10" t="s">
        <v>689</v>
      </c>
      <c r="D11" s="10" t="s">
        <v>490</v>
      </c>
      <c r="E11" s="10" t="s">
        <v>721</v>
      </c>
      <c r="F11" s="10" t="s">
        <v>710</v>
      </c>
      <c r="G11" s="19" t="s">
        <v>76</v>
      </c>
      <c r="H11" s="20" t="s">
        <v>61</v>
      </c>
      <c r="I11" s="19" t="s">
        <v>111</v>
      </c>
      <c r="J11" s="11"/>
      <c r="K11" s="11" t="str">
        <f>"110,0"</f>
        <v>110,0</v>
      </c>
      <c r="L11" s="36" t="str">
        <f>"120,0210"</f>
        <v>120,0210</v>
      </c>
      <c r="M11" s="10" t="s">
        <v>595</v>
      </c>
    </row>
    <row r="12" spans="1:13">
      <c r="B12" s="5" t="s">
        <v>8</v>
      </c>
    </row>
    <row r="13" spans="1:13" ht="16">
      <c r="A13" s="52" t="s">
        <v>87</v>
      </c>
      <c r="B13" s="52"/>
      <c r="C13" s="53"/>
      <c r="D13" s="53"/>
      <c r="E13" s="53"/>
      <c r="F13" s="53"/>
      <c r="G13" s="53"/>
      <c r="H13" s="53"/>
      <c r="I13" s="53"/>
      <c r="J13" s="53"/>
    </row>
    <row r="14" spans="1:13">
      <c r="A14" s="21" t="s">
        <v>47</v>
      </c>
      <c r="B14" s="15" t="s">
        <v>88</v>
      </c>
      <c r="C14" s="15" t="s">
        <v>89</v>
      </c>
      <c r="D14" s="15" t="s">
        <v>90</v>
      </c>
      <c r="E14" s="15" t="s">
        <v>718</v>
      </c>
      <c r="F14" s="15" t="s">
        <v>708</v>
      </c>
      <c r="G14" s="22" t="s">
        <v>19</v>
      </c>
      <c r="H14" s="22" t="s">
        <v>84</v>
      </c>
      <c r="I14" s="22" t="s">
        <v>95</v>
      </c>
      <c r="J14" s="21"/>
      <c r="K14" s="21" t="str">
        <f>"152,5"</f>
        <v>152,5</v>
      </c>
      <c r="L14" s="21" t="str">
        <f>"145,8358"</f>
        <v>145,8358</v>
      </c>
      <c r="M14" s="15" t="s">
        <v>595</v>
      </c>
    </row>
    <row r="15" spans="1:13">
      <c r="B15" s="5" t="s">
        <v>8</v>
      </c>
    </row>
    <row r="16" spans="1:13" ht="16">
      <c r="A16" s="52" t="s">
        <v>87</v>
      </c>
      <c r="B16" s="52"/>
      <c r="C16" s="53"/>
      <c r="D16" s="53"/>
      <c r="E16" s="53"/>
      <c r="F16" s="53"/>
      <c r="G16" s="53"/>
      <c r="H16" s="53"/>
      <c r="I16" s="53"/>
      <c r="J16" s="53"/>
    </row>
    <row r="17" spans="1:13">
      <c r="A17" s="9" t="s">
        <v>47</v>
      </c>
      <c r="B17" s="8" t="s">
        <v>508</v>
      </c>
      <c r="C17" s="8" t="s">
        <v>690</v>
      </c>
      <c r="D17" s="8" t="s">
        <v>509</v>
      </c>
      <c r="E17" s="8" t="s">
        <v>719</v>
      </c>
      <c r="F17" s="8" t="s">
        <v>108</v>
      </c>
      <c r="G17" s="17" t="s">
        <v>102</v>
      </c>
      <c r="H17" s="18" t="s">
        <v>510</v>
      </c>
      <c r="I17" s="18" t="s">
        <v>510</v>
      </c>
      <c r="J17" s="9"/>
      <c r="K17" s="9" t="str">
        <f>"185,0"</f>
        <v>185,0</v>
      </c>
      <c r="L17" s="9" t="str">
        <f>"133,9770"</f>
        <v>133,9770</v>
      </c>
      <c r="M17" s="8" t="s">
        <v>605</v>
      </c>
    </row>
    <row r="18" spans="1:13">
      <c r="A18" s="25" t="s">
        <v>47</v>
      </c>
      <c r="B18" s="24" t="s">
        <v>410</v>
      </c>
      <c r="C18" s="24" t="s">
        <v>411</v>
      </c>
      <c r="D18" s="24" t="s">
        <v>412</v>
      </c>
      <c r="E18" s="24" t="s">
        <v>718</v>
      </c>
      <c r="F18" s="24" t="s">
        <v>108</v>
      </c>
      <c r="G18" s="26" t="s">
        <v>26</v>
      </c>
      <c r="H18" s="26" t="s">
        <v>496</v>
      </c>
      <c r="I18" s="25"/>
      <c r="J18" s="25"/>
      <c r="K18" s="25" t="str">
        <f>"207,5"</f>
        <v>207,5</v>
      </c>
      <c r="L18" s="25" t="str">
        <f>"151,3298"</f>
        <v>151,3298</v>
      </c>
      <c r="M18" s="24"/>
    </row>
    <row r="19" spans="1:13">
      <c r="A19" s="25" t="s">
        <v>172</v>
      </c>
      <c r="B19" s="24" t="s">
        <v>491</v>
      </c>
      <c r="C19" s="24" t="s">
        <v>492</v>
      </c>
      <c r="D19" s="24" t="s">
        <v>412</v>
      </c>
      <c r="E19" s="24" t="s">
        <v>718</v>
      </c>
      <c r="F19" s="24" t="s">
        <v>708</v>
      </c>
      <c r="G19" s="27" t="s">
        <v>120</v>
      </c>
      <c r="H19" s="26" t="s">
        <v>120</v>
      </c>
      <c r="I19" s="27" t="s">
        <v>125</v>
      </c>
      <c r="J19" s="25"/>
      <c r="K19" s="25" t="str">
        <f>"165,0"</f>
        <v>165,0</v>
      </c>
      <c r="L19" s="25" t="str">
        <f>"120,3345"</f>
        <v>120,3345</v>
      </c>
      <c r="M19" s="24" t="s">
        <v>595</v>
      </c>
    </row>
    <row r="20" spans="1:13">
      <c r="A20" s="11" t="s">
        <v>173</v>
      </c>
      <c r="B20" s="10" t="s">
        <v>493</v>
      </c>
      <c r="C20" s="10" t="s">
        <v>494</v>
      </c>
      <c r="D20" s="10" t="s">
        <v>495</v>
      </c>
      <c r="E20" s="10" t="s">
        <v>718</v>
      </c>
      <c r="F20" s="10" t="s">
        <v>708</v>
      </c>
      <c r="G20" s="19" t="s">
        <v>67</v>
      </c>
      <c r="H20" s="19" t="s">
        <v>54</v>
      </c>
      <c r="I20" s="19" t="s">
        <v>19</v>
      </c>
      <c r="J20" s="11"/>
      <c r="K20" s="11" t="str">
        <f>"135,0"</f>
        <v>135,0</v>
      </c>
      <c r="L20" s="11" t="str">
        <f>"98,3475"</f>
        <v>98,3475</v>
      </c>
      <c r="M20" s="10" t="s">
        <v>595</v>
      </c>
    </row>
    <row r="21" spans="1:13">
      <c r="B21" s="5" t="s">
        <v>8</v>
      </c>
    </row>
    <row r="22" spans="1:13" ht="16">
      <c r="A22" s="52" t="s">
        <v>97</v>
      </c>
      <c r="B22" s="52"/>
      <c r="C22" s="53"/>
      <c r="D22" s="53"/>
      <c r="E22" s="53"/>
      <c r="F22" s="53"/>
      <c r="G22" s="53"/>
      <c r="H22" s="53"/>
      <c r="I22" s="53"/>
      <c r="J22" s="53"/>
    </row>
    <row r="23" spans="1:13">
      <c r="A23" s="9" t="s">
        <v>47</v>
      </c>
      <c r="B23" s="8" t="s">
        <v>212</v>
      </c>
      <c r="C23" s="8" t="s">
        <v>213</v>
      </c>
      <c r="D23" s="8" t="s">
        <v>214</v>
      </c>
      <c r="E23" s="8" t="s">
        <v>718</v>
      </c>
      <c r="F23" s="8" t="s">
        <v>53</v>
      </c>
      <c r="G23" s="18" t="s">
        <v>21</v>
      </c>
      <c r="H23" s="17" t="s">
        <v>16</v>
      </c>
      <c r="I23" s="17" t="s">
        <v>22</v>
      </c>
      <c r="J23" s="9"/>
      <c r="K23" s="9" t="str">
        <f>"215,0"</f>
        <v>215,0</v>
      </c>
      <c r="L23" s="9" t="str">
        <f>"144,0285"</f>
        <v>144,0285</v>
      </c>
      <c r="M23" s="8"/>
    </row>
    <row r="24" spans="1:13">
      <c r="A24" s="25" t="s">
        <v>172</v>
      </c>
      <c r="B24" s="24" t="s">
        <v>219</v>
      </c>
      <c r="C24" s="24" t="s">
        <v>220</v>
      </c>
      <c r="D24" s="24" t="s">
        <v>221</v>
      </c>
      <c r="E24" s="24" t="s">
        <v>718</v>
      </c>
      <c r="F24" s="24" t="s">
        <v>222</v>
      </c>
      <c r="G24" s="26" t="s">
        <v>26</v>
      </c>
      <c r="H24" s="27" t="s">
        <v>22</v>
      </c>
      <c r="I24" s="27" t="s">
        <v>17</v>
      </c>
      <c r="J24" s="25"/>
      <c r="K24" s="25" t="str">
        <f>"200,0"</f>
        <v>200,0</v>
      </c>
      <c r="L24" s="25" t="str">
        <f>"134,4800"</f>
        <v>134,4800</v>
      </c>
      <c r="M24" s="24" t="s">
        <v>602</v>
      </c>
    </row>
    <row r="25" spans="1:13">
      <c r="A25" s="11" t="s">
        <v>173</v>
      </c>
      <c r="B25" s="10" t="s">
        <v>282</v>
      </c>
      <c r="C25" s="10" t="s">
        <v>283</v>
      </c>
      <c r="D25" s="10" t="s">
        <v>284</v>
      </c>
      <c r="E25" s="10" t="s">
        <v>718</v>
      </c>
      <c r="F25" s="10" t="s">
        <v>708</v>
      </c>
      <c r="G25" s="19" t="s">
        <v>255</v>
      </c>
      <c r="H25" s="20" t="s">
        <v>27</v>
      </c>
      <c r="I25" s="11"/>
      <c r="J25" s="11"/>
      <c r="K25" s="11" t="str">
        <f>"195,0"</f>
        <v>195,0</v>
      </c>
      <c r="L25" s="11" t="str">
        <f>"133,1265"</f>
        <v>133,1265</v>
      </c>
      <c r="M25" s="10" t="s">
        <v>595</v>
      </c>
    </row>
    <row r="26" spans="1:13">
      <c r="B26" s="5" t="s">
        <v>8</v>
      </c>
    </row>
    <row r="27" spans="1:13" ht="16">
      <c r="A27" s="52" t="s">
        <v>12</v>
      </c>
      <c r="B27" s="52"/>
      <c r="C27" s="53"/>
      <c r="D27" s="53"/>
      <c r="E27" s="53"/>
      <c r="F27" s="53"/>
      <c r="G27" s="53"/>
      <c r="H27" s="53"/>
      <c r="I27" s="53"/>
      <c r="J27" s="53"/>
    </row>
    <row r="28" spans="1:13">
      <c r="A28" s="9" t="s">
        <v>47</v>
      </c>
      <c r="B28" s="8" t="s">
        <v>497</v>
      </c>
      <c r="C28" s="8" t="s">
        <v>498</v>
      </c>
      <c r="D28" s="8" t="s">
        <v>439</v>
      </c>
      <c r="E28" s="8" t="s">
        <v>718</v>
      </c>
      <c r="F28" s="8" t="s">
        <v>708</v>
      </c>
      <c r="G28" s="17" t="s">
        <v>22</v>
      </c>
      <c r="H28" s="17" t="s">
        <v>24</v>
      </c>
      <c r="I28" s="17" t="s">
        <v>18</v>
      </c>
      <c r="J28" s="9"/>
      <c r="K28" s="9" t="str">
        <f>"230,0"</f>
        <v>230,0</v>
      </c>
      <c r="L28" s="9" t="str">
        <f>"148,2120"</f>
        <v>148,2120</v>
      </c>
      <c r="M28" s="8" t="s">
        <v>595</v>
      </c>
    </row>
    <row r="29" spans="1:13">
      <c r="A29" s="11" t="s">
        <v>172</v>
      </c>
      <c r="B29" s="10" t="s">
        <v>230</v>
      </c>
      <c r="C29" s="10" t="s">
        <v>231</v>
      </c>
      <c r="D29" s="10" t="s">
        <v>232</v>
      </c>
      <c r="E29" s="10" t="s">
        <v>718</v>
      </c>
      <c r="F29" s="10" t="s">
        <v>108</v>
      </c>
      <c r="G29" s="19" t="s">
        <v>17</v>
      </c>
      <c r="H29" s="20" t="s">
        <v>18</v>
      </c>
      <c r="I29" s="20" t="s">
        <v>18</v>
      </c>
      <c r="J29" s="11"/>
      <c r="K29" s="11" t="str">
        <f>"220,0"</f>
        <v>220,0</v>
      </c>
      <c r="L29" s="11" t="str">
        <f>"140,7560"</f>
        <v>140,7560</v>
      </c>
      <c r="M29" s="10" t="s">
        <v>606</v>
      </c>
    </row>
    <row r="30" spans="1:13">
      <c r="B30" s="5" t="s">
        <v>8</v>
      </c>
    </row>
    <row r="31" spans="1:13" ht="16">
      <c r="A31" s="52" t="s">
        <v>28</v>
      </c>
      <c r="B31" s="52"/>
      <c r="C31" s="53"/>
      <c r="D31" s="53"/>
      <c r="E31" s="53"/>
      <c r="F31" s="53"/>
      <c r="G31" s="53"/>
      <c r="H31" s="53"/>
      <c r="I31" s="53"/>
      <c r="J31" s="53"/>
    </row>
    <row r="32" spans="1:13">
      <c r="A32" s="9" t="s">
        <v>47</v>
      </c>
      <c r="B32" s="8" t="s">
        <v>243</v>
      </c>
      <c r="C32" s="8" t="s">
        <v>244</v>
      </c>
      <c r="D32" s="8" t="s">
        <v>245</v>
      </c>
      <c r="E32" s="8" t="s">
        <v>718</v>
      </c>
      <c r="F32" s="8" t="s">
        <v>108</v>
      </c>
      <c r="G32" s="17" t="s">
        <v>131</v>
      </c>
      <c r="H32" s="17" t="s">
        <v>246</v>
      </c>
      <c r="I32" s="18" t="s">
        <v>247</v>
      </c>
      <c r="J32" s="9"/>
      <c r="K32" s="9" t="str">
        <f>"257,5"</f>
        <v>257,5</v>
      </c>
      <c r="L32" s="9" t="str">
        <f>"160,3195"</f>
        <v>160,3195</v>
      </c>
      <c r="M32" s="8" t="s">
        <v>607</v>
      </c>
    </row>
    <row r="33" spans="1:13">
      <c r="A33" s="11" t="s">
        <v>172</v>
      </c>
      <c r="B33" s="10" t="s">
        <v>248</v>
      </c>
      <c r="C33" s="10" t="s">
        <v>249</v>
      </c>
      <c r="D33" s="10" t="s">
        <v>250</v>
      </c>
      <c r="E33" s="10" t="s">
        <v>718</v>
      </c>
      <c r="F33" s="10" t="s">
        <v>108</v>
      </c>
      <c r="G33" s="19" t="s">
        <v>26</v>
      </c>
      <c r="H33" s="19" t="s">
        <v>22</v>
      </c>
      <c r="I33" s="20" t="s">
        <v>17</v>
      </c>
      <c r="J33" s="11"/>
      <c r="K33" s="11" t="str">
        <f>"215,0"</f>
        <v>215,0</v>
      </c>
      <c r="L33" s="11" t="str">
        <f>"131,8165"</f>
        <v>131,8165</v>
      </c>
      <c r="M33" s="10"/>
    </row>
    <row r="34" spans="1:13">
      <c r="B34" s="5" t="s">
        <v>8</v>
      </c>
    </row>
    <row r="35" spans="1:13" ht="16">
      <c r="A35" s="52" t="s">
        <v>144</v>
      </c>
      <c r="B35" s="52"/>
      <c r="C35" s="53"/>
      <c r="D35" s="53"/>
      <c r="E35" s="53"/>
      <c r="F35" s="53"/>
      <c r="G35" s="53"/>
      <c r="H35" s="53"/>
      <c r="I35" s="53"/>
      <c r="J35" s="53"/>
    </row>
    <row r="36" spans="1:13">
      <c r="A36" s="9" t="s">
        <v>47</v>
      </c>
      <c r="B36" s="8" t="s">
        <v>511</v>
      </c>
      <c r="C36" s="8" t="s">
        <v>512</v>
      </c>
      <c r="D36" s="8" t="s">
        <v>513</v>
      </c>
      <c r="E36" s="8" t="s">
        <v>718</v>
      </c>
      <c r="F36" s="8" t="s">
        <v>108</v>
      </c>
      <c r="G36" s="18" t="s">
        <v>258</v>
      </c>
      <c r="H36" s="17" t="s">
        <v>258</v>
      </c>
      <c r="I36" s="18" t="s">
        <v>514</v>
      </c>
      <c r="J36" s="9"/>
      <c r="K36" s="9" t="str">
        <f>"262,5"</f>
        <v>262,5</v>
      </c>
      <c r="L36" s="9" t="str">
        <f>"155,3737"</f>
        <v>155,3737</v>
      </c>
      <c r="M36" s="8" t="s">
        <v>603</v>
      </c>
    </row>
    <row r="37" spans="1:13">
      <c r="A37" s="11" t="s">
        <v>172</v>
      </c>
      <c r="B37" s="10" t="s">
        <v>252</v>
      </c>
      <c r="C37" s="10" t="s">
        <v>253</v>
      </c>
      <c r="D37" s="10" t="s">
        <v>254</v>
      </c>
      <c r="E37" s="10" t="s">
        <v>718</v>
      </c>
      <c r="F37" s="10" t="s">
        <v>108</v>
      </c>
      <c r="G37" s="19" t="s">
        <v>119</v>
      </c>
      <c r="H37" s="19" t="s">
        <v>129</v>
      </c>
      <c r="I37" s="11"/>
      <c r="J37" s="11"/>
      <c r="K37" s="11" t="str">
        <f>"247,5"</f>
        <v>247,5</v>
      </c>
      <c r="L37" s="11" t="str">
        <f>"147,6585"</f>
        <v>147,6585</v>
      </c>
      <c r="M37" s="10"/>
    </row>
    <row r="38" spans="1:13">
      <c r="B38" s="5" t="s">
        <v>8</v>
      </c>
    </row>
    <row r="39" spans="1:13">
      <c r="B39" s="5" t="s">
        <v>8</v>
      </c>
    </row>
    <row r="40" spans="1:13">
      <c r="B40" s="5" t="s">
        <v>8</v>
      </c>
      <c r="C40" s="3"/>
      <c r="D40" s="3"/>
      <c r="E40" s="3"/>
      <c r="F40" s="3"/>
    </row>
    <row r="41" spans="1:13" ht="18">
      <c r="B41" s="7" t="s">
        <v>7</v>
      </c>
      <c r="C41" s="7"/>
      <c r="F41" s="3"/>
    </row>
    <row r="42" spans="1:13" ht="16">
      <c r="B42" s="12" t="s">
        <v>38</v>
      </c>
      <c r="C42" s="12"/>
      <c r="F42" s="3"/>
    </row>
    <row r="43" spans="1:13" ht="14">
      <c r="B43" s="13"/>
      <c r="C43" s="14" t="s">
        <v>39</v>
      </c>
      <c r="F43" s="3"/>
    </row>
    <row r="44" spans="1:13" ht="14">
      <c r="B44" s="16" t="s">
        <v>40</v>
      </c>
      <c r="C44" s="16" t="s">
        <v>41</v>
      </c>
      <c r="D44" s="16" t="s">
        <v>707</v>
      </c>
      <c r="E44" s="16" t="s">
        <v>358</v>
      </c>
      <c r="F44" s="16" t="s">
        <v>44</v>
      </c>
    </row>
    <row r="45" spans="1:13">
      <c r="B45" s="5" t="s">
        <v>243</v>
      </c>
      <c r="C45" s="5" t="s">
        <v>39</v>
      </c>
      <c r="D45" s="6" t="s">
        <v>45</v>
      </c>
      <c r="E45" s="6" t="s">
        <v>246</v>
      </c>
      <c r="F45" s="6" t="s">
        <v>515</v>
      </c>
    </row>
    <row r="46" spans="1:13">
      <c r="B46" s="5" t="s">
        <v>511</v>
      </c>
      <c r="C46" s="5" t="s">
        <v>39</v>
      </c>
      <c r="D46" s="6" t="s">
        <v>270</v>
      </c>
      <c r="E46" s="6" t="s">
        <v>258</v>
      </c>
      <c r="F46" s="6" t="s">
        <v>516</v>
      </c>
    </row>
    <row r="47" spans="1:13">
      <c r="B47" s="5" t="s">
        <v>410</v>
      </c>
      <c r="C47" s="5" t="s">
        <v>39</v>
      </c>
      <c r="D47" s="6" t="s">
        <v>164</v>
      </c>
      <c r="E47" s="6" t="s">
        <v>496</v>
      </c>
      <c r="F47" s="6" t="s">
        <v>517</v>
      </c>
    </row>
  </sheetData>
  <mergeCells count="19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35:J35"/>
    <mergeCell ref="B3:B4"/>
    <mergeCell ref="A8:J8"/>
    <mergeCell ref="A13:J13"/>
    <mergeCell ref="A16:J16"/>
    <mergeCell ref="A22:J22"/>
    <mergeCell ref="A27:J27"/>
    <mergeCell ref="A31:J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U48"/>
  <sheetViews>
    <sheetView topLeftCell="A14" workbookViewId="0">
      <selection activeCell="E39" sqref="E39"/>
    </sheetView>
  </sheetViews>
  <sheetFormatPr baseColWidth="10" defaultColWidth="9.1640625" defaultRowHeight="13"/>
  <cols>
    <col min="1" max="1" width="7.1640625" style="5" bestFit="1" customWidth="1"/>
    <col min="2" max="2" width="20.83203125" style="5" bestFit="1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25.6640625" style="5" bestFit="1" customWidth="1"/>
    <col min="7" max="9" width="5.5" style="6" customWidth="1"/>
    <col min="10" max="10" width="4.5" style="6" customWidth="1"/>
    <col min="11" max="13" width="5.5" style="6" customWidth="1"/>
    <col min="14" max="14" width="4.5" style="6" customWidth="1"/>
    <col min="15" max="17" width="5.5" style="6" customWidth="1"/>
    <col min="18" max="18" width="4.5" style="6" customWidth="1"/>
    <col min="19" max="19" width="7.6640625" style="6" bestFit="1" customWidth="1"/>
    <col min="20" max="20" width="8.5" style="6" bestFit="1" customWidth="1"/>
    <col min="21" max="21" width="19.5" style="5" bestFit="1" customWidth="1"/>
    <col min="22" max="16384" width="9.1640625" style="3"/>
  </cols>
  <sheetData>
    <row r="1" spans="1:21" s="2" customFormat="1" ht="29" customHeight="1">
      <c r="A1" s="64" t="s">
        <v>634</v>
      </c>
      <c r="B1" s="65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7"/>
    </row>
    <row r="2" spans="1:21" s="2" customFormat="1" ht="62" customHeight="1" thickBot="1">
      <c r="A2" s="68"/>
      <c r="B2" s="69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1"/>
    </row>
    <row r="3" spans="1:21" s="1" customFormat="1" ht="12.75" customHeight="1">
      <c r="A3" s="72" t="s">
        <v>715</v>
      </c>
      <c r="B3" s="62" t="s">
        <v>0</v>
      </c>
      <c r="C3" s="74" t="s">
        <v>716</v>
      </c>
      <c r="D3" s="74" t="s">
        <v>6</v>
      </c>
      <c r="E3" s="56" t="s">
        <v>717</v>
      </c>
      <c r="F3" s="56" t="s">
        <v>5</v>
      </c>
      <c r="G3" s="56" t="s">
        <v>9</v>
      </c>
      <c r="H3" s="56"/>
      <c r="I3" s="56"/>
      <c r="J3" s="56"/>
      <c r="K3" s="56" t="s">
        <v>10</v>
      </c>
      <c r="L3" s="56"/>
      <c r="M3" s="56"/>
      <c r="N3" s="56"/>
      <c r="O3" s="56" t="s">
        <v>11</v>
      </c>
      <c r="P3" s="56"/>
      <c r="Q3" s="56"/>
      <c r="R3" s="56"/>
      <c r="S3" s="56" t="s">
        <v>1</v>
      </c>
      <c r="T3" s="56" t="s">
        <v>3</v>
      </c>
      <c r="U3" s="58" t="s">
        <v>2</v>
      </c>
    </row>
    <row r="4" spans="1:21" s="1" customFormat="1" ht="21" customHeight="1" thickBot="1">
      <c r="A4" s="73"/>
      <c r="B4" s="63"/>
      <c r="C4" s="57"/>
      <c r="D4" s="57"/>
      <c r="E4" s="57"/>
      <c r="F4" s="57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7"/>
      <c r="T4" s="57"/>
      <c r="U4" s="59"/>
    </row>
    <row r="5" spans="1:21" ht="16">
      <c r="A5" s="60" t="s">
        <v>57</v>
      </c>
      <c r="B5" s="60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</row>
    <row r="6" spans="1:21">
      <c r="A6" s="21" t="s">
        <v>47</v>
      </c>
      <c r="B6" s="15" t="s">
        <v>58</v>
      </c>
      <c r="C6" s="15" t="s">
        <v>59</v>
      </c>
      <c r="D6" s="15" t="s">
        <v>60</v>
      </c>
      <c r="E6" s="15" t="s">
        <v>718</v>
      </c>
      <c r="F6" s="15" t="s">
        <v>708</v>
      </c>
      <c r="G6" s="22" t="s">
        <v>61</v>
      </c>
      <c r="H6" s="22" t="s">
        <v>62</v>
      </c>
      <c r="I6" s="23" t="s">
        <v>63</v>
      </c>
      <c r="J6" s="21"/>
      <c r="K6" s="22" t="s">
        <v>64</v>
      </c>
      <c r="L6" s="22" t="s">
        <v>65</v>
      </c>
      <c r="M6" s="23" t="s">
        <v>66</v>
      </c>
      <c r="N6" s="21"/>
      <c r="O6" s="22" t="s">
        <v>61</v>
      </c>
      <c r="P6" s="22" t="s">
        <v>67</v>
      </c>
      <c r="Q6" s="22" t="s">
        <v>68</v>
      </c>
      <c r="R6" s="21"/>
      <c r="S6" s="21" t="str">
        <f>"275,0"</f>
        <v>275,0</v>
      </c>
      <c r="T6" s="21" t="str">
        <f>"347,4625"</f>
        <v>347,4625</v>
      </c>
      <c r="U6" s="15" t="s">
        <v>595</v>
      </c>
    </row>
    <row r="7" spans="1:21">
      <c r="B7" s="5" t="s">
        <v>8</v>
      </c>
    </row>
    <row r="8" spans="1:21" ht="16">
      <c r="A8" s="52" t="s">
        <v>69</v>
      </c>
      <c r="B8" s="52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</row>
    <row r="9" spans="1:21">
      <c r="A9" s="21" t="s">
        <v>47</v>
      </c>
      <c r="B9" s="15" t="s">
        <v>70</v>
      </c>
      <c r="C9" s="15" t="s">
        <v>71</v>
      </c>
      <c r="D9" s="15" t="s">
        <v>72</v>
      </c>
      <c r="E9" s="15" t="s">
        <v>718</v>
      </c>
      <c r="F9" s="15" t="s">
        <v>53</v>
      </c>
      <c r="G9" s="22" t="s">
        <v>56</v>
      </c>
      <c r="H9" s="22" t="s">
        <v>73</v>
      </c>
      <c r="I9" s="22" t="s">
        <v>74</v>
      </c>
      <c r="J9" s="21"/>
      <c r="K9" s="22" t="s">
        <v>75</v>
      </c>
      <c r="L9" s="22" t="s">
        <v>64</v>
      </c>
      <c r="M9" s="22" t="s">
        <v>65</v>
      </c>
      <c r="N9" s="21"/>
      <c r="O9" s="23" t="s">
        <v>76</v>
      </c>
      <c r="P9" s="22" t="s">
        <v>77</v>
      </c>
      <c r="Q9" s="22" t="s">
        <v>78</v>
      </c>
      <c r="R9" s="21"/>
      <c r="S9" s="21" t="str">
        <f>"227,5"</f>
        <v>227,5</v>
      </c>
      <c r="T9" s="21" t="str">
        <f>"260,0780"</f>
        <v>260,0780</v>
      </c>
      <c r="U9" s="15" t="s">
        <v>79</v>
      </c>
    </row>
    <row r="10" spans="1:21">
      <c r="B10" s="5" t="s">
        <v>8</v>
      </c>
    </row>
    <row r="11" spans="1:21" ht="16">
      <c r="A11" s="52" t="s">
        <v>49</v>
      </c>
      <c r="B11" s="52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</row>
    <row r="12" spans="1:21">
      <c r="A12" s="21" t="s">
        <v>47</v>
      </c>
      <c r="B12" s="15" t="s">
        <v>80</v>
      </c>
      <c r="C12" s="15" t="s">
        <v>81</v>
      </c>
      <c r="D12" s="15" t="s">
        <v>52</v>
      </c>
      <c r="E12" s="15" t="s">
        <v>718</v>
      </c>
      <c r="F12" s="15" t="s">
        <v>53</v>
      </c>
      <c r="G12" s="22" t="s">
        <v>68</v>
      </c>
      <c r="H12" s="22" t="s">
        <v>54</v>
      </c>
      <c r="I12" s="23" t="s">
        <v>82</v>
      </c>
      <c r="J12" s="21"/>
      <c r="K12" s="22" t="s">
        <v>73</v>
      </c>
      <c r="L12" s="22" t="s">
        <v>76</v>
      </c>
      <c r="M12" s="22" t="s">
        <v>83</v>
      </c>
      <c r="N12" s="21"/>
      <c r="O12" s="22" t="s">
        <v>19</v>
      </c>
      <c r="P12" s="22" t="s">
        <v>84</v>
      </c>
      <c r="Q12" s="22" t="s">
        <v>85</v>
      </c>
      <c r="R12" s="21"/>
      <c r="S12" s="21" t="str">
        <f>"367,5"</f>
        <v>367,5</v>
      </c>
      <c r="T12" s="21" t="str">
        <f>"379,1498"</f>
        <v>379,1498</v>
      </c>
      <c r="U12" s="15" t="s">
        <v>86</v>
      </c>
    </row>
    <row r="13" spans="1:21">
      <c r="B13" s="5" t="s">
        <v>8</v>
      </c>
    </row>
    <row r="14" spans="1:21" ht="16">
      <c r="A14" s="52" t="s">
        <v>87</v>
      </c>
      <c r="B14" s="52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</row>
    <row r="15" spans="1:21">
      <c r="A15" s="21" t="s">
        <v>47</v>
      </c>
      <c r="B15" s="15" t="s">
        <v>88</v>
      </c>
      <c r="C15" s="15" t="s">
        <v>89</v>
      </c>
      <c r="D15" s="15" t="s">
        <v>90</v>
      </c>
      <c r="E15" s="15" t="s">
        <v>718</v>
      </c>
      <c r="F15" s="15" t="s">
        <v>708</v>
      </c>
      <c r="G15" s="22" t="s">
        <v>67</v>
      </c>
      <c r="H15" s="22" t="s">
        <v>54</v>
      </c>
      <c r="I15" s="23" t="s">
        <v>91</v>
      </c>
      <c r="J15" s="21"/>
      <c r="K15" s="22" t="s">
        <v>92</v>
      </c>
      <c r="L15" s="22" t="s">
        <v>93</v>
      </c>
      <c r="M15" s="23" t="s">
        <v>94</v>
      </c>
      <c r="N15" s="21"/>
      <c r="O15" s="22" t="s">
        <v>19</v>
      </c>
      <c r="P15" s="22" t="s">
        <v>84</v>
      </c>
      <c r="Q15" s="23" t="s">
        <v>95</v>
      </c>
      <c r="R15" s="21"/>
      <c r="S15" s="21" t="str">
        <f>"332,5"</f>
        <v>332,5</v>
      </c>
      <c r="T15" s="21" t="str">
        <f>"317,9698"</f>
        <v>317,9698</v>
      </c>
      <c r="U15" s="15" t="s">
        <v>596</v>
      </c>
    </row>
    <row r="16" spans="1:21">
      <c r="B16" s="5" t="s">
        <v>8</v>
      </c>
    </row>
    <row r="17" spans="1:21" ht="16">
      <c r="A17" s="52" t="s">
        <v>97</v>
      </c>
      <c r="B17" s="52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</row>
    <row r="18" spans="1:21">
      <c r="A18" s="9" t="s">
        <v>47</v>
      </c>
      <c r="B18" s="8" t="s">
        <v>98</v>
      </c>
      <c r="C18" s="8" t="s">
        <v>99</v>
      </c>
      <c r="D18" s="8" t="s">
        <v>100</v>
      </c>
      <c r="E18" s="8" t="s">
        <v>718</v>
      </c>
      <c r="F18" s="8" t="s">
        <v>101</v>
      </c>
      <c r="G18" s="17" t="s">
        <v>33</v>
      </c>
      <c r="H18" s="17" t="s">
        <v>102</v>
      </c>
      <c r="I18" s="18" t="s">
        <v>21</v>
      </c>
      <c r="J18" s="9"/>
      <c r="K18" s="17" t="s">
        <v>91</v>
      </c>
      <c r="L18" s="17" t="s">
        <v>25</v>
      </c>
      <c r="M18" s="17" t="s">
        <v>103</v>
      </c>
      <c r="N18" s="9"/>
      <c r="O18" s="17" t="s">
        <v>26</v>
      </c>
      <c r="P18" s="18" t="s">
        <v>27</v>
      </c>
      <c r="Q18" s="9" t="s">
        <v>27</v>
      </c>
      <c r="R18" s="9"/>
      <c r="S18" s="9" t="str">
        <f>"532,5"</f>
        <v>532,5</v>
      </c>
      <c r="T18" s="9" t="str">
        <f>"369,5017"</f>
        <v>369,5017</v>
      </c>
      <c r="U18" s="8" t="s">
        <v>104</v>
      </c>
    </row>
    <row r="19" spans="1:21">
      <c r="A19" s="11" t="s">
        <v>172</v>
      </c>
      <c r="B19" s="10" t="s">
        <v>105</v>
      </c>
      <c r="C19" s="10" t="s">
        <v>106</v>
      </c>
      <c r="D19" s="10" t="s">
        <v>107</v>
      </c>
      <c r="E19" s="10" t="s">
        <v>718</v>
      </c>
      <c r="F19" s="10" t="s">
        <v>108</v>
      </c>
      <c r="G19" s="19" t="s">
        <v>25</v>
      </c>
      <c r="H19" s="19" t="s">
        <v>85</v>
      </c>
      <c r="I19" s="19" t="s">
        <v>109</v>
      </c>
      <c r="J19" s="11"/>
      <c r="K19" s="19" t="s">
        <v>110</v>
      </c>
      <c r="L19" s="19" t="s">
        <v>111</v>
      </c>
      <c r="M19" s="19" t="s">
        <v>67</v>
      </c>
      <c r="N19" s="11"/>
      <c r="O19" s="19" t="s">
        <v>33</v>
      </c>
      <c r="P19" s="19" t="s">
        <v>102</v>
      </c>
      <c r="Q19" s="20" t="s">
        <v>112</v>
      </c>
      <c r="R19" s="11"/>
      <c r="S19" s="11" t="str">
        <f>"460,0"</f>
        <v>460,0</v>
      </c>
      <c r="T19" s="11" t="str">
        <f>"311,3740"</f>
        <v>311,3740</v>
      </c>
      <c r="U19" s="10" t="s">
        <v>618</v>
      </c>
    </row>
    <row r="20" spans="1:21">
      <c r="B20" s="5" t="s">
        <v>8</v>
      </c>
    </row>
    <row r="21" spans="1:21" ht="16">
      <c r="A21" s="52" t="s">
        <v>12</v>
      </c>
      <c r="B21" s="52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</row>
    <row r="22" spans="1:21">
      <c r="A22" s="9" t="s">
        <v>47</v>
      </c>
      <c r="B22" s="8" t="s">
        <v>113</v>
      </c>
      <c r="C22" s="8" t="s">
        <v>114</v>
      </c>
      <c r="D22" s="8" t="s">
        <v>115</v>
      </c>
      <c r="E22" s="8" t="s">
        <v>720</v>
      </c>
      <c r="F22" s="8" t="s">
        <v>108</v>
      </c>
      <c r="G22" s="17" t="s">
        <v>85</v>
      </c>
      <c r="H22" s="17" t="s">
        <v>109</v>
      </c>
      <c r="I22" s="17" t="s">
        <v>33</v>
      </c>
      <c r="J22" s="9"/>
      <c r="K22" s="17" t="s">
        <v>110</v>
      </c>
      <c r="L22" s="17" t="s">
        <v>111</v>
      </c>
      <c r="M22" s="17" t="s">
        <v>68</v>
      </c>
      <c r="N22" s="9"/>
      <c r="O22" s="17" t="s">
        <v>109</v>
      </c>
      <c r="P22" s="17" t="s">
        <v>33</v>
      </c>
      <c r="Q22" s="17" t="s">
        <v>34</v>
      </c>
      <c r="R22" s="9"/>
      <c r="S22" s="9" t="str">
        <f>"470,0"</f>
        <v>470,0</v>
      </c>
      <c r="T22" s="9" t="str">
        <f>"310,2470"</f>
        <v>310,2470</v>
      </c>
      <c r="U22" s="8" t="s">
        <v>618</v>
      </c>
    </row>
    <row r="23" spans="1:21">
      <c r="A23" s="25" t="s">
        <v>47</v>
      </c>
      <c r="B23" s="24" t="s">
        <v>116</v>
      </c>
      <c r="C23" s="24" t="s">
        <v>117</v>
      </c>
      <c r="D23" s="24" t="s">
        <v>118</v>
      </c>
      <c r="E23" s="24" t="s">
        <v>718</v>
      </c>
      <c r="F23" s="24" t="s">
        <v>108</v>
      </c>
      <c r="G23" s="26" t="s">
        <v>17</v>
      </c>
      <c r="H23" s="26" t="s">
        <v>18</v>
      </c>
      <c r="I23" s="26" t="s">
        <v>119</v>
      </c>
      <c r="J23" s="25"/>
      <c r="K23" s="26" t="s">
        <v>120</v>
      </c>
      <c r="L23" s="26" t="s">
        <v>33</v>
      </c>
      <c r="M23" s="26" t="s">
        <v>121</v>
      </c>
      <c r="N23" s="25"/>
      <c r="O23" s="26" t="s">
        <v>22</v>
      </c>
      <c r="P23" s="26" t="s">
        <v>23</v>
      </c>
      <c r="Q23" s="26" t="s">
        <v>18</v>
      </c>
      <c r="R23" s="25"/>
      <c r="S23" s="25" t="str">
        <f>"645,0"</f>
        <v>645,0</v>
      </c>
      <c r="T23" s="25" t="str">
        <f>"417,3795"</f>
        <v>417,3795</v>
      </c>
      <c r="U23" s="24"/>
    </row>
    <row r="24" spans="1:21">
      <c r="A24" s="11" t="s">
        <v>172</v>
      </c>
      <c r="B24" s="10" t="s">
        <v>122</v>
      </c>
      <c r="C24" s="10" t="s">
        <v>123</v>
      </c>
      <c r="D24" s="10" t="s">
        <v>124</v>
      </c>
      <c r="E24" s="10" t="s">
        <v>718</v>
      </c>
      <c r="F24" s="10" t="s">
        <v>108</v>
      </c>
      <c r="G24" s="19" t="s">
        <v>26</v>
      </c>
      <c r="H24" s="20" t="s">
        <v>27</v>
      </c>
      <c r="I24" s="11"/>
      <c r="J24" s="11"/>
      <c r="K24" s="19" t="s">
        <v>33</v>
      </c>
      <c r="L24" s="19" t="s">
        <v>121</v>
      </c>
      <c r="M24" s="20" t="s">
        <v>125</v>
      </c>
      <c r="N24" s="11"/>
      <c r="O24" s="19" t="s">
        <v>26</v>
      </c>
      <c r="P24" s="19" t="s">
        <v>17</v>
      </c>
      <c r="Q24" s="20" t="s">
        <v>119</v>
      </c>
      <c r="R24" s="11"/>
      <c r="S24" s="11" t="str">
        <f>"595,0"</f>
        <v>595,0</v>
      </c>
      <c r="T24" s="11" t="str">
        <f>"382,0495"</f>
        <v>382,0495</v>
      </c>
      <c r="U24" s="10" t="s">
        <v>609</v>
      </c>
    </row>
    <row r="25" spans="1:21">
      <c r="B25" s="5" t="s">
        <v>8</v>
      </c>
    </row>
    <row r="26" spans="1:21" ht="16">
      <c r="A26" s="52" t="s">
        <v>28</v>
      </c>
      <c r="B26" s="52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</row>
    <row r="27" spans="1:21">
      <c r="A27" s="9" t="s">
        <v>47</v>
      </c>
      <c r="B27" s="8" t="s">
        <v>126</v>
      </c>
      <c r="C27" s="8" t="s">
        <v>127</v>
      </c>
      <c r="D27" s="8" t="s">
        <v>128</v>
      </c>
      <c r="E27" s="8" t="s">
        <v>718</v>
      </c>
      <c r="F27" s="8" t="s">
        <v>108</v>
      </c>
      <c r="G27" s="17" t="s">
        <v>18</v>
      </c>
      <c r="H27" s="17" t="s">
        <v>119</v>
      </c>
      <c r="I27" s="18" t="s">
        <v>129</v>
      </c>
      <c r="J27" s="9"/>
      <c r="K27" s="17" t="s">
        <v>120</v>
      </c>
      <c r="L27" s="17" t="s">
        <v>130</v>
      </c>
      <c r="M27" s="17" t="s">
        <v>125</v>
      </c>
      <c r="N27" s="9"/>
      <c r="O27" s="17" t="s">
        <v>119</v>
      </c>
      <c r="P27" s="17" t="s">
        <v>131</v>
      </c>
      <c r="Q27" s="17" t="s">
        <v>37</v>
      </c>
      <c r="R27" s="9"/>
      <c r="S27" s="9" t="str">
        <f>"672,5"</f>
        <v>672,5</v>
      </c>
      <c r="T27" s="9" t="str">
        <f>"415,2015"</f>
        <v>415,2015</v>
      </c>
      <c r="U27" s="8" t="s">
        <v>631</v>
      </c>
    </row>
    <row r="28" spans="1:21">
      <c r="A28" s="25" t="s">
        <v>172</v>
      </c>
      <c r="B28" s="24" t="s">
        <v>132</v>
      </c>
      <c r="C28" s="24" t="s">
        <v>133</v>
      </c>
      <c r="D28" s="24" t="s">
        <v>134</v>
      </c>
      <c r="E28" s="24" t="s">
        <v>718</v>
      </c>
      <c r="F28" s="24" t="s">
        <v>53</v>
      </c>
      <c r="G28" s="26" t="s">
        <v>21</v>
      </c>
      <c r="H28" s="26" t="s">
        <v>16</v>
      </c>
      <c r="I28" s="26" t="s">
        <v>22</v>
      </c>
      <c r="J28" s="25"/>
      <c r="K28" s="26" t="s">
        <v>33</v>
      </c>
      <c r="L28" s="26" t="s">
        <v>34</v>
      </c>
      <c r="M28" s="27" t="s">
        <v>21</v>
      </c>
      <c r="N28" s="25"/>
      <c r="O28" s="26" t="s">
        <v>32</v>
      </c>
      <c r="P28" s="27" t="s">
        <v>135</v>
      </c>
      <c r="Q28" s="27" t="s">
        <v>135</v>
      </c>
      <c r="R28" s="25"/>
      <c r="S28" s="25" t="str">
        <f>"640,0"</f>
        <v>640,0</v>
      </c>
      <c r="T28" s="25" t="str">
        <f>"406,9760"</f>
        <v>406,9760</v>
      </c>
      <c r="U28" s="24" t="s">
        <v>602</v>
      </c>
    </row>
    <row r="29" spans="1:21">
      <c r="A29" s="25" t="s">
        <v>173</v>
      </c>
      <c r="B29" s="24" t="s">
        <v>136</v>
      </c>
      <c r="C29" s="24" t="s">
        <v>137</v>
      </c>
      <c r="D29" s="24" t="s">
        <v>138</v>
      </c>
      <c r="E29" s="24" t="s">
        <v>718</v>
      </c>
      <c r="F29" s="24" t="s">
        <v>101</v>
      </c>
      <c r="G29" s="26" t="s">
        <v>21</v>
      </c>
      <c r="H29" s="26" t="s">
        <v>139</v>
      </c>
      <c r="I29" s="26" t="s">
        <v>140</v>
      </c>
      <c r="J29" s="25"/>
      <c r="K29" s="26" t="s">
        <v>25</v>
      </c>
      <c r="L29" s="26" t="s">
        <v>103</v>
      </c>
      <c r="M29" s="26" t="s">
        <v>141</v>
      </c>
      <c r="N29" s="25"/>
      <c r="O29" s="26" t="s">
        <v>119</v>
      </c>
      <c r="P29" s="26" t="s">
        <v>131</v>
      </c>
      <c r="Q29" s="27" t="s">
        <v>142</v>
      </c>
      <c r="R29" s="25"/>
      <c r="S29" s="25" t="str">
        <f>"617,5"</f>
        <v>617,5</v>
      </c>
      <c r="T29" s="25" t="str">
        <f>"378,7745"</f>
        <v>378,7745</v>
      </c>
      <c r="U29" s="24" t="s">
        <v>143</v>
      </c>
    </row>
    <row r="30" spans="1:21">
      <c r="A30" s="25" t="s">
        <v>174</v>
      </c>
      <c r="B30" s="24" t="s">
        <v>29</v>
      </c>
      <c r="C30" s="24" t="s">
        <v>30</v>
      </c>
      <c r="D30" s="24" t="s">
        <v>31</v>
      </c>
      <c r="E30" s="24" t="s">
        <v>718</v>
      </c>
      <c r="F30" s="24" t="s">
        <v>708</v>
      </c>
      <c r="G30" s="26" t="s">
        <v>33</v>
      </c>
      <c r="H30" s="26" t="s">
        <v>21</v>
      </c>
      <c r="I30" s="26" t="s">
        <v>139</v>
      </c>
      <c r="J30" s="25"/>
      <c r="K30" s="26" t="s">
        <v>25</v>
      </c>
      <c r="L30" s="26" t="s">
        <v>95</v>
      </c>
      <c r="M30" s="27" t="s">
        <v>109</v>
      </c>
      <c r="N30" s="25"/>
      <c r="O30" s="26" t="s">
        <v>21</v>
      </c>
      <c r="P30" s="26" t="s">
        <v>27</v>
      </c>
      <c r="Q30" s="26" t="s">
        <v>23</v>
      </c>
      <c r="R30" s="25"/>
      <c r="S30" s="25" t="str">
        <f>"577,5"</f>
        <v>577,5</v>
      </c>
      <c r="T30" s="25" t="str">
        <f>"356,4330"</f>
        <v>356,4330</v>
      </c>
      <c r="U30" s="24"/>
    </row>
    <row r="31" spans="1:21">
      <c r="A31" s="11" t="s">
        <v>47</v>
      </c>
      <c r="B31" s="10" t="s">
        <v>29</v>
      </c>
      <c r="C31" s="10" t="s">
        <v>665</v>
      </c>
      <c r="D31" s="10" t="s">
        <v>31</v>
      </c>
      <c r="E31" s="10" t="s">
        <v>722</v>
      </c>
      <c r="F31" s="10" t="s">
        <v>708</v>
      </c>
      <c r="G31" s="19" t="s">
        <v>33</v>
      </c>
      <c r="H31" s="19" t="s">
        <v>21</v>
      </c>
      <c r="I31" s="19" t="s">
        <v>139</v>
      </c>
      <c r="J31" s="11"/>
      <c r="K31" s="19" t="s">
        <v>25</v>
      </c>
      <c r="L31" s="19" t="s">
        <v>95</v>
      </c>
      <c r="M31" s="20" t="s">
        <v>109</v>
      </c>
      <c r="N31" s="11"/>
      <c r="O31" s="19" t="s">
        <v>21</v>
      </c>
      <c r="P31" s="19" t="s">
        <v>27</v>
      </c>
      <c r="Q31" s="19" t="s">
        <v>23</v>
      </c>
      <c r="R31" s="11"/>
      <c r="S31" s="11" t="str">
        <f>"577,5"</f>
        <v>577,5</v>
      </c>
      <c r="T31" s="11" t="str">
        <f>"397,0664"</f>
        <v>397,0664</v>
      </c>
      <c r="U31" s="10"/>
    </row>
    <row r="32" spans="1:21">
      <c r="B32" s="5" t="s">
        <v>8</v>
      </c>
    </row>
    <row r="33" spans="1:21" ht="16">
      <c r="A33" s="52" t="s">
        <v>144</v>
      </c>
      <c r="B33" s="52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</row>
    <row r="34" spans="1:21">
      <c r="A34" s="21" t="s">
        <v>47</v>
      </c>
      <c r="B34" s="15" t="s">
        <v>145</v>
      </c>
      <c r="C34" s="15" t="s">
        <v>146</v>
      </c>
      <c r="D34" s="15" t="s">
        <v>147</v>
      </c>
      <c r="E34" s="15" t="s">
        <v>718</v>
      </c>
      <c r="F34" s="15" t="s">
        <v>108</v>
      </c>
      <c r="G34" s="22" t="s">
        <v>17</v>
      </c>
      <c r="H34" s="22" t="s">
        <v>18</v>
      </c>
      <c r="I34" s="22" t="s">
        <v>119</v>
      </c>
      <c r="J34" s="21"/>
      <c r="K34" s="22" t="s">
        <v>141</v>
      </c>
      <c r="L34" s="22" t="s">
        <v>148</v>
      </c>
      <c r="M34" s="22" t="s">
        <v>120</v>
      </c>
      <c r="N34" s="21"/>
      <c r="O34" s="22" t="s">
        <v>18</v>
      </c>
      <c r="P34" s="22" t="s">
        <v>32</v>
      </c>
      <c r="Q34" s="22" t="s">
        <v>149</v>
      </c>
      <c r="R34" s="21"/>
      <c r="S34" s="21" t="str">
        <f>"657,5"</f>
        <v>657,5</v>
      </c>
      <c r="T34" s="21" t="str">
        <f>"390,0290"</f>
        <v>390,0290</v>
      </c>
      <c r="U34" s="15"/>
    </row>
    <row r="35" spans="1:21">
      <c r="B35" s="5" t="s">
        <v>8</v>
      </c>
    </row>
    <row r="36" spans="1:21" ht="16">
      <c r="A36" s="52" t="s">
        <v>150</v>
      </c>
      <c r="B36" s="52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</row>
    <row r="37" spans="1:21">
      <c r="A37" s="9" t="s">
        <v>47</v>
      </c>
      <c r="B37" s="8" t="s">
        <v>151</v>
      </c>
      <c r="C37" s="8" t="s">
        <v>666</v>
      </c>
      <c r="D37" s="8" t="s">
        <v>152</v>
      </c>
      <c r="E37" s="8" t="s">
        <v>719</v>
      </c>
      <c r="F37" s="8" t="s">
        <v>108</v>
      </c>
      <c r="G37" s="17" t="s">
        <v>33</v>
      </c>
      <c r="H37" s="17" t="s">
        <v>102</v>
      </c>
      <c r="I37" s="17" t="s">
        <v>21</v>
      </c>
      <c r="J37" s="9"/>
      <c r="K37" s="17" t="s">
        <v>153</v>
      </c>
      <c r="L37" s="18" t="s">
        <v>84</v>
      </c>
      <c r="M37" s="17" t="s">
        <v>84</v>
      </c>
      <c r="N37" s="9"/>
      <c r="O37" s="17" t="s">
        <v>21</v>
      </c>
      <c r="P37" s="17" t="s">
        <v>16</v>
      </c>
      <c r="Q37" s="17" t="s">
        <v>22</v>
      </c>
      <c r="R37" s="9"/>
      <c r="S37" s="9" t="str">
        <f>"550,0"</f>
        <v>550,0</v>
      </c>
      <c r="T37" s="9" t="str">
        <f>"320,6500"</f>
        <v>320,6500</v>
      </c>
      <c r="U37" s="8"/>
    </row>
    <row r="38" spans="1:21">
      <c r="A38" s="11" t="s">
        <v>47</v>
      </c>
      <c r="B38" s="10" t="s">
        <v>154</v>
      </c>
      <c r="C38" s="10" t="s">
        <v>155</v>
      </c>
      <c r="D38" s="10" t="s">
        <v>156</v>
      </c>
      <c r="E38" s="10" t="s">
        <v>718</v>
      </c>
      <c r="F38" s="10" t="s">
        <v>108</v>
      </c>
      <c r="G38" s="20" t="s">
        <v>18</v>
      </c>
      <c r="H38" s="19" t="s">
        <v>119</v>
      </c>
      <c r="I38" s="19" t="s">
        <v>131</v>
      </c>
      <c r="J38" s="11"/>
      <c r="K38" s="19" t="s">
        <v>34</v>
      </c>
      <c r="L38" s="19" t="s">
        <v>21</v>
      </c>
      <c r="M38" s="19" t="s">
        <v>26</v>
      </c>
      <c r="N38" s="11"/>
      <c r="O38" s="19" t="s">
        <v>157</v>
      </c>
      <c r="P38" s="19" t="s">
        <v>158</v>
      </c>
      <c r="Q38" s="20" t="s">
        <v>159</v>
      </c>
      <c r="R38" s="11"/>
      <c r="S38" s="11" t="str">
        <f>"740,0"</f>
        <v>740,0</v>
      </c>
      <c r="T38" s="11" t="str">
        <f>"423,7980"</f>
        <v>423,7980</v>
      </c>
      <c r="U38" s="10"/>
    </row>
    <row r="39" spans="1:21">
      <c r="B39" s="5" t="s">
        <v>8</v>
      </c>
    </row>
    <row r="40" spans="1:21">
      <c r="B40" s="5" t="s">
        <v>8</v>
      </c>
      <c r="C40" s="3"/>
      <c r="D40" s="3"/>
      <c r="E40" s="3"/>
      <c r="F40" s="3"/>
    </row>
    <row r="41" spans="1:21">
      <c r="B41" s="5" t="s">
        <v>8</v>
      </c>
      <c r="C41" s="3"/>
      <c r="D41" s="3"/>
      <c r="E41" s="3"/>
      <c r="F41" s="3"/>
    </row>
    <row r="42" spans="1:21" ht="18">
      <c r="B42" s="7" t="s">
        <v>7</v>
      </c>
      <c r="C42" s="7"/>
      <c r="F42" s="3"/>
    </row>
    <row r="43" spans="1:21" ht="16">
      <c r="B43" s="12" t="s">
        <v>38</v>
      </c>
      <c r="C43" s="12"/>
      <c r="F43" s="3"/>
    </row>
    <row r="44" spans="1:21" ht="14">
      <c r="B44" s="13"/>
      <c r="C44" s="14" t="s">
        <v>39</v>
      </c>
      <c r="F44" s="3"/>
    </row>
    <row r="45" spans="1:21" ht="14">
      <c r="B45" s="16" t="s">
        <v>40</v>
      </c>
      <c r="C45" s="16" t="s">
        <v>41</v>
      </c>
      <c r="D45" s="16" t="s">
        <v>709</v>
      </c>
      <c r="E45" s="16" t="s">
        <v>43</v>
      </c>
      <c r="F45" s="16" t="s">
        <v>44</v>
      </c>
    </row>
    <row r="46" spans="1:21">
      <c r="B46" s="5" t="s">
        <v>154</v>
      </c>
      <c r="C46" s="5" t="s">
        <v>39</v>
      </c>
      <c r="D46" s="6" t="s">
        <v>165</v>
      </c>
      <c r="E46" s="6" t="s">
        <v>166</v>
      </c>
      <c r="F46" s="6" t="s">
        <v>167</v>
      </c>
    </row>
    <row r="47" spans="1:21">
      <c r="B47" s="5" t="s">
        <v>116</v>
      </c>
      <c r="C47" s="5" t="s">
        <v>39</v>
      </c>
      <c r="D47" s="6" t="s">
        <v>46</v>
      </c>
      <c r="E47" s="6" t="s">
        <v>168</v>
      </c>
      <c r="F47" s="6" t="s">
        <v>169</v>
      </c>
    </row>
    <row r="48" spans="1:21">
      <c r="B48" s="5" t="s">
        <v>126</v>
      </c>
      <c r="C48" s="5" t="s">
        <v>39</v>
      </c>
      <c r="D48" s="6" t="s">
        <v>45</v>
      </c>
      <c r="E48" s="6" t="s">
        <v>170</v>
      </c>
      <c r="F48" s="6" t="s">
        <v>171</v>
      </c>
    </row>
  </sheetData>
  <mergeCells count="22"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33:R33"/>
    <mergeCell ref="A36:R36"/>
    <mergeCell ref="B3:B4"/>
    <mergeCell ref="A8:R8"/>
    <mergeCell ref="A11:R11"/>
    <mergeCell ref="A14:R14"/>
    <mergeCell ref="A17:R17"/>
    <mergeCell ref="A21:R21"/>
    <mergeCell ref="A26:R26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M68"/>
  <sheetViews>
    <sheetView workbookViewId="0">
      <selection activeCell="E33" sqref="E33"/>
    </sheetView>
  </sheetViews>
  <sheetFormatPr baseColWidth="10" defaultColWidth="9.1640625" defaultRowHeight="13"/>
  <cols>
    <col min="1" max="1" width="7.1640625" style="5" bestFit="1" customWidth="1"/>
    <col min="2" max="2" width="21.33203125" style="5" bestFit="1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28.6640625" style="5" bestFit="1" customWidth="1"/>
    <col min="7" max="9" width="5.5" style="6" customWidth="1"/>
    <col min="10" max="10" width="4.5" style="6" customWidth="1"/>
    <col min="11" max="11" width="10.5" style="6" bestFit="1" customWidth="1"/>
    <col min="12" max="12" width="8.5" style="6" bestFit="1" customWidth="1"/>
    <col min="13" max="13" width="19.33203125" style="5" bestFit="1" customWidth="1"/>
    <col min="14" max="16384" width="9.1640625" style="3"/>
  </cols>
  <sheetData>
    <row r="1" spans="1:13" s="2" customFormat="1" ht="29" customHeight="1">
      <c r="A1" s="64" t="s">
        <v>652</v>
      </c>
      <c r="B1" s="65"/>
      <c r="C1" s="66"/>
      <c r="D1" s="66"/>
      <c r="E1" s="66"/>
      <c r="F1" s="66"/>
      <c r="G1" s="66"/>
      <c r="H1" s="66"/>
      <c r="I1" s="66"/>
      <c r="J1" s="66"/>
      <c r="K1" s="66"/>
      <c r="L1" s="66"/>
      <c r="M1" s="67"/>
    </row>
    <row r="2" spans="1:13" s="2" customFormat="1" ht="62" customHeight="1" thickBot="1">
      <c r="A2" s="68"/>
      <c r="B2" s="69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s="1" customFormat="1" ht="12.75" customHeight="1">
      <c r="A3" s="72" t="s">
        <v>715</v>
      </c>
      <c r="B3" s="62" t="s">
        <v>0</v>
      </c>
      <c r="C3" s="74" t="s">
        <v>716</v>
      </c>
      <c r="D3" s="74" t="s">
        <v>6</v>
      </c>
      <c r="E3" s="56" t="s">
        <v>717</v>
      </c>
      <c r="F3" s="56" t="s">
        <v>5</v>
      </c>
      <c r="G3" s="56" t="s">
        <v>11</v>
      </c>
      <c r="H3" s="56"/>
      <c r="I3" s="56"/>
      <c r="J3" s="56"/>
      <c r="K3" s="56" t="s">
        <v>363</v>
      </c>
      <c r="L3" s="56" t="s">
        <v>3</v>
      </c>
      <c r="M3" s="58" t="s">
        <v>2</v>
      </c>
    </row>
    <row r="4" spans="1:13" s="1" customFormat="1" ht="21" customHeight="1" thickBot="1">
      <c r="A4" s="73"/>
      <c r="B4" s="63"/>
      <c r="C4" s="57"/>
      <c r="D4" s="57"/>
      <c r="E4" s="57"/>
      <c r="F4" s="57"/>
      <c r="G4" s="4">
        <v>1</v>
      </c>
      <c r="H4" s="4">
        <v>2</v>
      </c>
      <c r="I4" s="4">
        <v>3</v>
      </c>
      <c r="J4" s="4" t="s">
        <v>4</v>
      </c>
      <c r="K4" s="57"/>
      <c r="L4" s="57"/>
      <c r="M4" s="59"/>
    </row>
    <row r="5" spans="1:13" ht="16">
      <c r="A5" s="60" t="s">
        <v>483</v>
      </c>
      <c r="B5" s="60"/>
      <c r="C5" s="61"/>
      <c r="D5" s="61"/>
      <c r="E5" s="61"/>
      <c r="F5" s="61"/>
      <c r="G5" s="61"/>
      <c r="H5" s="61"/>
      <c r="I5" s="61"/>
      <c r="J5" s="61"/>
    </row>
    <row r="6" spans="1:13">
      <c r="A6" s="21" t="s">
        <v>47</v>
      </c>
      <c r="B6" s="15" t="s">
        <v>484</v>
      </c>
      <c r="C6" s="15" t="s">
        <v>485</v>
      </c>
      <c r="D6" s="15" t="s">
        <v>486</v>
      </c>
      <c r="E6" s="15" t="s">
        <v>720</v>
      </c>
      <c r="F6" s="15" t="s">
        <v>310</v>
      </c>
      <c r="G6" s="22" t="s">
        <v>66</v>
      </c>
      <c r="H6" s="22" t="s">
        <v>181</v>
      </c>
      <c r="I6" s="22" t="s">
        <v>92</v>
      </c>
      <c r="J6" s="21"/>
      <c r="K6" s="21" t="str">
        <f>"55,0"</f>
        <v>55,0</v>
      </c>
      <c r="L6" s="21" t="str">
        <f>"82,1480"</f>
        <v>82,1480</v>
      </c>
      <c r="M6" s="15" t="s">
        <v>608</v>
      </c>
    </row>
    <row r="7" spans="1:13">
      <c r="B7" s="5" t="s">
        <v>8</v>
      </c>
    </row>
    <row r="8" spans="1:13" ht="16">
      <c r="A8" s="52" t="s">
        <v>49</v>
      </c>
      <c r="B8" s="52"/>
      <c r="C8" s="53"/>
      <c r="D8" s="53"/>
      <c r="E8" s="53"/>
      <c r="F8" s="53"/>
      <c r="G8" s="53"/>
      <c r="H8" s="53"/>
      <c r="I8" s="53"/>
      <c r="J8" s="53"/>
    </row>
    <row r="9" spans="1:13">
      <c r="A9" s="9" t="s">
        <v>47</v>
      </c>
      <c r="B9" s="8" t="s">
        <v>487</v>
      </c>
      <c r="C9" s="8" t="s">
        <v>488</v>
      </c>
      <c r="D9" s="8" t="s">
        <v>403</v>
      </c>
      <c r="E9" s="8" t="s">
        <v>718</v>
      </c>
      <c r="F9" s="8" t="s">
        <v>708</v>
      </c>
      <c r="G9" s="17" t="s">
        <v>84</v>
      </c>
      <c r="H9" s="17" t="s">
        <v>141</v>
      </c>
      <c r="I9" s="17" t="s">
        <v>148</v>
      </c>
      <c r="J9" s="9"/>
      <c r="K9" s="9" t="str">
        <f>"162,5"</f>
        <v>162,5</v>
      </c>
      <c r="L9" s="9" t="str">
        <f>"170,2837"</f>
        <v>170,2837</v>
      </c>
      <c r="M9" s="8" t="s">
        <v>596</v>
      </c>
    </row>
    <row r="10" spans="1:13">
      <c r="A10" s="11" t="s">
        <v>47</v>
      </c>
      <c r="B10" s="10" t="s">
        <v>489</v>
      </c>
      <c r="C10" s="10" t="s">
        <v>689</v>
      </c>
      <c r="D10" s="10" t="s">
        <v>490</v>
      </c>
      <c r="E10" s="10" t="s">
        <v>721</v>
      </c>
      <c r="F10" s="10" t="s">
        <v>710</v>
      </c>
      <c r="G10" s="19" t="s">
        <v>76</v>
      </c>
      <c r="H10" s="20" t="s">
        <v>61</v>
      </c>
      <c r="I10" s="19" t="s">
        <v>111</v>
      </c>
      <c r="J10" s="11"/>
      <c r="K10" s="11" t="str">
        <f>"110,0"</f>
        <v>110,0</v>
      </c>
      <c r="L10" s="11" t="str">
        <f>"120,0210"</f>
        <v>120,0210</v>
      </c>
      <c r="M10" s="10" t="s">
        <v>596</v>
      </c>
    </row>
    <row r="11" spans="1:13">
      <c r="B11" s="5" t="s">
        <v>8</v>
      </c>
    </row>
    <row r="12" spans="1:13" ht="16">
      <c r="A12" s="52" t="s">
        <v>87</v>
      </c>
      <c r="B12" s="52"/>
      <c r="C12" s="53"/>
      <c r="D12" s="53"/>
      <c r="E12" s="53"/>
      <c r="F12" s="53"/>
      <c r="G12" s="53"/>
      <c r="H12" s="53"/>
      <c r="I12" s="53"/>
      <c r="J12" s="53"/>
    </row>
    <row r="13" spans="1:13">
      <c r="A13" s="9" t="s">
        <v>47</v>
      </c>
      <c r="B13" s="8" t="s">
        <v>491</v>
      </c>
      <c r="C13" s="8" t="s">
        <v>492</v>
      </c>
      <c r="D13" s="8" t="s">
        <v>412</v>
      </c>
      <c r="E13" s="8" t="s">
        <v>718</v>
      </c>
      <c r="F13" s="8" t="s">
        <v>708</v>
      </c>
      <c r="G13" s="18" t="s">
        <v>120</v>
      </c>
      <c r="H13" s="17" t="s">
        <v>120</v>
      </c>
      <c r="I13" s="18" t="s">
        <v>125</v>
      </c>
      <c r="J13" s="9"/>
      <c r="K13" s="9" t="str">
        <f>"165,0"</f>
        <v>165,0</v>
      </c>
      <c r="L13" s="9" t="str">
        <f>"120,3345"</f>
        <v>120,3345</v>
      </c>
      <c r="M13" s="8" t="s">
        <v>596</v>
      </c>
    </row>
    <row r="14" spans="1:13">
      <c r="A14" s="11" t="s">
        <v>172</v>
      </c>
      <c r="B14" s="10" t="s">
        <v>493</v>
      </c>
      <c r="C14" s="10" t="s">
        <v>494</v>
      </c>
      <c r="D14" s="10" t="s">
        <v>495</v>
      </c>
      <c r="E14" s="10" t="s">
        <v>718</v>
      </c>
      <c r="F14" s="10" t="s">
        <v>708</v>
      </c>
      <c r="G14" s="19" t="s">
        <v>67</v>
      </c>
      <c r="H14" s="19" t="s">
        <v>54</v>
      </c>
      <c r="I14" s="19" t="s">
        <v>19</v>
      </c>
      <c r="J14" s="11"/>
      <c r="K14" s="11" t="str">
        <f>"135,0"</f>
        <v>135,0</v>
      </c>
      <c r="L14" s="11" t="str">
        <f>"98,3475"</f>
        <v>98,3475</v>
      </c>
      <c r="M14" s="10" t="s">
        <v>596</v>
      </c>
    </row>
    <row r="15" spans="1:13">
      <c r="B15" s="5" t="s">
        <v>8</v>
      </c>
    </row>
    <row r="16" spans="1:13" ht="16">
      <c r="A16" s="52" t="s">
        <v>97</v>
      </c>
      <c r="B16" s="52"/>
      <c r="C16" s="53"/>
      <c r="D16" s="53"/>
      <c r="E16" s="53"/>
      <c r="F16" s="53"/>
      <c r="G16" s="53"/>
      <c r="H16" s="53"/>
      <c r="I16" s="53"/>
      <c r="J16" s="53"/>
    </row>
    <row r="17" spans="1:13">
      <c r="A17" s="9" t="s">
        <v>47</v>
      </c>
      <c r="B17" s="8" t="s">
        <v>294</v>
      </c>
      <c r="C17" s="8" t="s">
        <v>295</v>
      </c>
      <c r="D17" s="8" t="s">
        <v>296</v>
      </c>
      <c r="E17" s="8" t="s">
        <v>718</v>
      </c>
      <c r="F17" s="8" t="s">
        <v>101</v>
      </c>
      <c r="G17" s="18" t="s">
        <v>34</v>
      </c>
      <c r="H17" s="17" t="s">
        <v>26</v>
      </c>
      <c r="I17" s="18" t="s">
        <v>496</v>
      </c>
      <c r="J17" s="9"/>
      <c r="K17" s="9" t="str">
        <f>"200,0"</f>
        <v>200,0</v>
      </c>
      <c r="L17" s="9" t="str">
        <f>"137,2000"</f>
        <v>137,2000</v>
      </c>
      <c r="M17" s="8" t="s">
        <v>597</v>
      </c>
    </row>
    <row r="18" spans="1:13">
      <c r="A18" s="11" t="s">
        <v>172</v>
      </c>
      <c r="B18" s="10" t="s">
        <v>282</v>
      </c>
      <c r="C18" s="10" t="s">
        <v>283</v>
      </c>
      <c r="D18" s="10" t="s">
        <v>284</v>
      </c>
      <c r="E18" s="10" t="s">
        <v>718</v>
      </c>
      <c r="F18" s="10" t="s">
        <v>708</v>
      </c>
      <c r="G18" s="19" t="s">
        <v>255</v>
      </c>
      <c r="H18" s="20" t="s">
        <v>27</v>
      </c>
      <c r="I18" s="11"/>
      <c r="J18" s="11"/>
      <c r="K18" s="11" t="str">
        <f>"195,0"</f>
        <v>195,0</v>
      </c>
      <c r="L18" s="11" t="str">
        <f>"133,1265"</f>
        <v>133,1265</v>
      </c>
      <c r="M18" s="10" t="s">
        <v>596</v>
      </c>
    </row>
    <row r="19" spans="1:13">
      <c r="B19" s="5" t="s">
        <v>8</v>
      </c>
    </row>
    <row r="20" spans="1:13" ht="16">
      <c r="A20" s="52" t="s">
        <v>12</v>
      </c>
      <c r="B20" s="52"/>
      <c r="C20" s="53"/>
      <c r="D20" s="53"/>
      <c r="E20" s="53"/>
      <c r="F20" s="53"/>
      <c r="G20" s="53"/>
      <c r="H20" s="53"/>
      <c r="I20" s="53"/>
      <c r="J20" s="53"/>
    </row>
    <row r="21" spans="1:13">
      <c r="A21" s="9" t="s">
        <v>47</v>
      </c>
      <c r="B21" s="8" t="s">
        <v>497</v>
      </c>
      <c r="C21" s="8" t="s">
        <v>498</v>
      </c>
      <c r="D21" s="8" t="s">
        <v>439</v>
      </c>
      <c r="E21" s="8" t="s">
        <v>718</v>
      </c>
      <c r="F21" s="8" t="s">
        <v>708</v>
      </c>
      <c r="G21" s="17" t="s">
        <v>22</v>
      </c>
      <c r="H21" s="17" t="s">
        <v>24</v>
      </c>
      <c r="I21" s="17" t="s">
        <v>18</v>
      </c>
      <c r="J21" s="9"/>
      <c r="K21" s="9" t="str">
        <f>"230,0"</f>
        <v>230,0</v>
      </c>
      <c r="L21" s="9" t="str">
        <f>"148,2120"</f>
        <v>148,2120</v>
      </c>
      <c r="M21" s="8" t="s">
        <v>596</v>
      </c>
    </row>
    <row r="22" spans="1:13">
      <c r="A22" s="25" t="s">
        <v>172</v>
      </c>
      <c r="B22" s="24" t="s">
        <v>122</v>
      </c>
      <c r="C22" s="24" t="s">
        <v>123</v>
      </c>
      <c r="D22" s="24" t="s">
        <v>124</v>
      </c>
      <c r="E22" s="24" t="s">
        <v>718</v>
      </c>
      <c r="F22" s="24" t="s">
        <v>108</v>
      </c>
      <c r="G22" s="26" t="s">
        <v>26</v>
      </c>
      <c r="H22" s="26" t="s">
        <v>17</v>
      </c>
      <c r="I22" s="27" t="s">
        <v>119</v>
      </c>
      <c r="J22" s="25"/>
      <c r="K22" s="25" t="str">
        <f>"220,0"</f>
        <v>220,0</v>
      </c>
      <c r="L22" s="25" t="str">
        <f>"141,2620"</f>
        <v>141,2620</v>
      </c>
      <c r="M22" s="24" t="s">
        <v>609</v>
      </c>
    </row>
    <row r="23" spans="1:13">
      <c r="A23" s="11" t="s">
        <v>47</v>
      </c>
      <c r="B23" s="10" t="s">
        <v>308</v>
      </c>
      <c r="C23" s="10" t="s">
        <v>679</v>
      </c>
      <c r="D23" s="10" t="s">
        <v>309</v>
      </c>
      <c r="E23" s="10" t="s">
        <v>721</v>
      </c>
      <c r="F23" s="10" t="s">
        <v>310</v>
      </c>
      <c r="G23" s="19" t="s">
        <v>16</v>
      </c>
      <c r="H23" s="19" t="s">
        <v>353</v>
      </c>
      <c r="I23" s="20" t="s">
        <v>36</v>
      </c>
      <c r="J23" s="11"/>
      <c r="K23" s="11" t="str">
        <f>"217,5"</f>
        <v>217,5</v>
      </c>
      <c r="L23" s="11" t="str">
        <f>"139,9397"</f>
        <v>139,9397</v>
      </c>
      <c r="M23" s="10"/>
    </row>
    <row r="24" spans="1:13">
      <c r="B24" s="5" t="s">
        <v>8</v>
      </c>
    </row>
    <row r="25" spans="1:13" ht="16">
      <c r="A25" s="52" t="s">
        <v>28</v>
      </c>
      <c r="B25" s="52"/>
      <c r="C25" s="53"/>
      <c r="D25" s="53"/>
      <c r="E25" s="53"/>
      <c r="F25" s="53"/>
      <c r="G25" s="53"/>
      <c r="H25" s="53"/>
      <c r="I25" s="53"/>
      <c r="J25" s="53"/>
    </row>
    <row r="26" spans="1:13">
      <c r="A26" s="9" t="s">
        <v>47</v>
      </c>
      <c r="B26" s="8" t="s">
        <v>136</v>
      </c>
      <c r="C26" s="8" t="s">
        <v>137</v>
      </c>
      <c r="D26" s="8" t="s">
        <v>138</v>
      </c>
      <c r="E26" s="8" t="s">
        <v>718</v>
      </c>
      <c r="F26" s="8" t="s">
        <v>101</v>
      </c>
      <c r="G26" s="17" t="s">
        <v>119</v>
      </c>
      <c r="H26" s="17" t="s">
        <v>131</v>
      </c>
      <c r="I26" s="18" t="s">
        <v>142</v>
      </c>
      <c r="J26" s="9"/>
      <c r="K26" s="9" t="str">
        <f>"250,0"</f>
        <v>250,0</v>
      </c>
      <c r="L26" s="9" t="str">
        <f>"153,3500"</f>
        <v>153,3500</v>
      </c>
      <c r="M26" s="8" t="s">
        <v>143</v>
      </c>
    </row>
    <row r="27" spans="1:13">
      <c r="A27" s="25" t="s">
        <v>172</v>
      </c>
      <c r="B27" s="24" t="s">
        <v>275</v>
      </c>
      <c r="C27" s="24" t="s">
        <v>276</v>
      </c>
      <c r="D27" s="24" t="s">
        <v>277</v>
      </c>
      <c r="E27" s="24" t="s">
        <v>718</v>
      </c>
      <c r="F27" s="24" t="s">
        <v>108</v>
      </c>
      <c r="G27" s="26" t="s">
        <v>16</v>
      </c>
      <c r="H27" s="26" t="s">
        <v>22</v>
      </c>
      <c r="I27" s="26" t="s">
        <v>17</v>
      </c>
      <c r="J27" s="25"/>
      <c r="K27" s="25" t="str">
        <f>"220,0"</f>
        <v>220,0</v>
      </c>
      <c r="L27" s="25" t="str">
        <f>"134,1560"</f>
        <v>134,1560</v>
      </c>
      <c r="M27" s="24"/>
    </row>
    <row r="28" spans="1:13">
      <c r="A28" s="11" t="s">
        <v>47</v>
      </c>
      <c r="B28" s="10" t="s">
        <v>29</v>
      </c>
      <c r="C28" s="10" t="s">
        <v>665</v>
      </c>
      <c r="D28" s="10" t="s">
        <v>31</v>
      </c>
      <c r="E28" s="10" t="s">
        <v>722</v>
      </c>
      <c r="F28" s="10" t="s">
        <v>708</v>
      </c>
      <c r="G28" s="19" t="s">
        <v>21</v>
      </c>
      <c r="H28" s="19" t="s">
        <v>27</v>
      </c>
      <c r="I28" s="19" t="s">
        <v>23</v>
      </c>
      <c r="J28" s="11"/>
      <c r="K28" s="11" t="str">
        <f>"222,5"</f>
        <v>222,5</v>
      </c>
      <c r="L28" s="11" t="str">
        <f>"152,9823"</f>
        <v>152,9823</v>
      </c>
      <c r="M28" s="10"/>
    </row>
    <row r="29" spans="1:13">
      <c r="B29" s="5" t="s">
        <v>8</v>
      </c>
    </row>
    <row r="30" spans="1:13" ht="16">
      <c r="A30" s="52" t="s">
        <v>150</v>
      </c>
      <c r="B30" s="52"/>
      <c r="C30" s="53"/>
      <c r="D30" s="53"/>
      <c r="E30" s="53"/>
      <c r="F30" s="53"/>
      <c r="G30" s="53"/>
      <c r="H30" s="53"/>
      <c r="I30" s="53"/>
      <c r="J30" s="53"/>
    </row>
    <row r="31" spans="1:13">
      <c r="A31" s="9" t="s">
        <v>47</v>
      </c>
      <c r="B31" s="8" t="s">
        <v>499</v>
      </c>
      <c r="C31" s="8" t="s">
        <v>500</v>
      </c>
      <c r="D31" s="8" t="s">
        <v>501</v>
      </c>
      <c r="E31" s="8" t="s">
        <v>718</v>
      </c>
      <c r="F31" s="8" t="s">
        <v>108</v>
      </c>
      <c r="G31" s="17" t="s">
        <v>502</v>
      </c>
      <c r="H31" s="17" t="s">
        <v>158</v>
      </c>
      <c r="I31" s="18" t="s">
        <v>159</v>
      </c>
      <c r="J31" s="9"/>
      <c r="K31" s="9" t="str">
        <f>"290,0"</f>
        <v>290,0</v>
      </c>
      <c r="L31" s="9" t="str">
        <f>"165,9090"</f>
        <v>165,9090</v>
      </c>
      <c r="M31" s="8"/>
    </row>
    <row r="32" spans="1:13">
      <c r="A32" s="11" t="s">
        <v>172</v>
      </c>
      <c r="B32" s="10" t="s">
        <v>503</v>
      </c>
      <c r="C32" s="10" t="s">
        <v>504</v>
      </c>
      <c r="D32" s="10" t="s">
        <v>505</v>
      </c>
      <c r="E32" s="10" t="s">
        <v>718</v>
      </c>
      <c r="F32" s="10" t="s">
        <v>310</v>
      </c>
      <c r="G32" s="19" t="s">
        <v>135</v>
      </c>
      <c r="H32" s="19" t="s">
        <v>142</v>
      </c>
      <c r="I32" s="20" t="s">
        <v>506</v>
      </c>
      <c r="J32" s="11"/>
      <c r="K32" s="11" t="str">
        <f>"275,0"</f>
        <v>275,0</v>
      </c>
      <c r="L32" s="11" t="str">
        <f>"157,9875"</f>
        <v>157,9875</v>
      </c>
      <c r="M32" s="10"/>
    </row>
    <row r="33" spans="2:6">
      <c r="B33" s="5" t="s">
        <v>8</v>
      </c>
    </row>
    <row r="34" spans="2:6">
      <c r="B34" s="5" t="s">
        <v>8</v>
      </c>
    </row>
    <row r="35" spans="2:6">
      <c r="B35" s="5" t="s">
        <v>8</v>
      </c>
    </row>
    <row r="36" spans="2:6">
      <c r="B36" s="5" t="s">
        <v>8</v>
      </c>
    </row>
    <row r="37" spans="2:6">
      <c r="B37" s="5" t="s">
        <v>8</v>
      </c>
    </row>
    <row r="38" spans="2:6">
      <c r="B38" s="5" t="s">
        <v>8</v>
      </c>
    </row>
    <row r="39" spans="2:6">
      <c r="B39" s="5" t="s">
        <v>8</v>
      </c>
    </row>
    <row r="40" spans="2:6">
      <c r="B40" s="5" t="s">
        <v>8</v>
      </c>
    </row>
    <row r="41" spans="2:6">
      <c r="B41" s="5" t="s">
        <v>8</v>
      </c>
    </row>
    <row r="42" spans="2:6" ht="18">
      <c r="B42" s="5" t="s">
        <v>8</v>
      </c>
      <c r="C42" s="7"/>
      <c r="D42" s="7"/>
    </row>
    <row r="43" spans="2:6" ht="16">
      <c r="B43" s="5" t="s">
        <v>8</v>
      </c>
      <c r="C43" s="12"/>
      <c r="D43" s="12"/>
    </row>
    <row r="44" spans="2:6" ht="14">
      <c r="B44" s="5" t="s">
        <v>8</v>
      </c>
      <c r="C44" s="13"/>
      <c r="D44" s="14"/>
    </row>
    <row r="45" spans="2:6" ht="14">
      <c r="B45" s="5" t="s">
        <v>8</v>
      </c>
      <c r="C45" s="16"/>
      <c r="D45" s="16"/>
      <c r="E45" s="16"/>
      <c r="F45" s="16"/>
    </row>
    <row r="46" spans="2:6">
      <c r="B46" s="5" t="s">
        <v>8</v>
      </c>
      <c r="E46" s="6"/>
      <c r="F46" s="6"/>
    </row>
    <row r="47" spans="2:6">
      <c r="B47" s="5" t="s">
        <v>8</v>
      </c>
    </row>
    <row r="48" spans="2:6" ht="14">
      <c r="B48" s="5" t="s">
        <v>8</v>
      </c>
      <c r="C48" s="13"/>
      <c r="D48" s="14"/>
    </row>
    <row r="49" spans="2:6" ht="14">
      <c r="B49" s="5" t="s">
        <v>8</v>
      </c>
      <c r="C49" s="16"/>
      <c r="D49" s="16"/>
      <c r="E49" s="16"/>
      <c r="F49" s="16"/>
    </row>
    <row r="50" spans="2:6">
      <c r="B50" s="5" t="s">
        <v>8</v>
      </c>
      <c r="E50" s="6"/>
      <c r="F50" s="6"/>
    </row>
    <row r="51" spans="2:6">
      <c r="B51" s="5" t="s">
        <v>8</v>
      </c>
    </row>
    <row r="52" spans="2:6" ht="14">
      <c r="B52" s="5" t="s">
        <v>8</v>
      </c>
      <c r="C52" s="13"/>
      <c r="D52" s="14"/>
    </row>
    <row r="53" spans="2:6" ht="14">
      <c r="B53" s="5" t="s">
        <v>8</v>
      </c>
      <c r="C53" s="16"/>
      <c r="D53" s="16"/>
      <c r="E53" s="16"/>
      <c r="F53" s="16"/>
    </row>
    <row r="54" spans="2:6">
      <c r="B54" s="5" t="s">
        <v>8</v>
      </c>
      <c r="E54" s="6"/>
      <c r="F54" s="6"/>
    </row>
    <row r="55" spans="2:6">
      <c r="B55" s="5" t="s">
        <v>8</v>
      </c>
    </row>
    <row r="56" spans="2:6">
      <c r="B56" s="5" t="s">
        <v>8</v>
      </c>
    </row>
    <row r="57" spans="2:6" ht="16">
      <c r="B57" s="5" t="s">
        <v>8</v>
      </c>
      <c r="C57" s="12"/>
      <c r="D57" s="12"/>
    </row>
    <row r="58" spans="2:6" ht="14">
      <c r="B58" s="5" t="s">
        <v>8</v>
      </c>
      <c r="C58" s="13"/>
      <c r="D58" s="14"/>
    </row>
    <row r="59" spans="2:6" ht="14">
      <c r="B59" s="5" t="s">
        <v>8</v>
      </c>
      <c r="C59" s="16"/>
      <c r="D59" s="16"/>
      <c r="E59" s="16"/>
      <c r="F59" s="16"/>
    </row>
    <row r="60" spans="2:6">
      <c r="B60" s="5" t="s">
        <v>8</v>
      </c>
      <c r="E60" s="6"/>
      <c r="F60" s="6"/>
    </row>
    <row r="61" spans="2:6">
      <c r="B61" s="5" t="s">
        <v>8</v>
      </c>
      <c r="E61" s="6"/>
      <c r="F61" s="6"/>
    </row>
    <row r="62" spans="2:6">
      <c r="B62" s="5" t="s">
        <v>8</v>
      </c>
      <c r="E62" s="6"/>
      <c r="F62" s="6"/>
    </row>
    <row r="63" spans="2:6">
      <c r="B63" s="5" t="s">
        <v>8</v>
      </c>
    </row>
    <row r="64" spans="2:6" ht="14">
      <c r="B64" s="5" t="s">
        <v>8</v>
      </c>
      <c r="C64" s="13"/>
      <c r="D64" s="14"/>
    </row>
    <row r="65" spans="2:6" ht="14">
      <c r="B65" s="5" t="s">
        <v>8</v>
      </c>
      <c r="C65" s="16"/>
      <c r="D65" s="16"/>
      <c r="E65" s="16"/>
      <c r="F65" s="16"/>
    </row>
    <row r="66" spans="2:6">
      <c r="B66" s="5" t="s">
        <v>8</v>
      </c>
      <c r="E66" s="6"/>
      <c r="F66" s="6"/>
    </row>
    <row r="67" spans="2:6">
      <c r="B67" s="5" t="s">
        <v>8</v>
      </c>
      <c r="E67" s="6"/>
      <c r="F67" s="6"/>
    </row>
    <row r="68" spans="2:6">
      <c r="B68" s="5" t="s">
        <v>8</v>
      </c>
    </row>
  </sheetData>
  <mergeCells count="18">
    <mergeCell ref="A1:M2"/>
    <mergeCell ref="A3:A4"/>
    <mergeCell ref="C3:C4"/>
    <mergeCell ref="D3:D4"/>
    <mergeCell ref="E3:E4"/>
    <mergeCell ref="F3:F4"/>
    <mergeCell ref="G3:J3"/>
    <mergeCell ref="A30:J30"/>
    <mergeCell ref="K3:K4"/>
    <mergeCell ref="L3:L4"/>
    <mergeCell ref="M3:M4"/>
    <mergeCell ref="A5:J5"/>
    <mergeCell ref="B3:B4"/>
    <mergeCell ref="A8:J8"/>
    <mergeCell ref="A12:J12"/>
    <mergeCell ref="A16:J16"/>
    <mergeCell ref="A20:J20"/>
    <mergeCell ref="A25:J2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M11"/>
  <sheetViews>
    <sheetView workbookViewId="0">
      <selection sqref="A1:M2"/>
    </sheetView>
  </sheetViews>
  <sheetFormatPr baseColWidth="10" defaultColWidth="9.1640625" defaultRowHeight="13"/>
  <cols>
    <col min="1" max="1" width="7.1640625" style="5" bestFit="1" customWidth="1"/>
    <col min="2" max="2" width="16.83203125" style="5" bestFit="1" customWidth="1"/>
    <col min="3" max="3" width="25.1640625" style="5" bestFit="1" customWidth="1"/>
    <col min="4" max="4" width="20.83203125" style="5" bestFit="1" customWidth="1"/>
    <col min="5" max="5" width="10.1640625" style="5" bestFit="1" customWidth="1"/>
    <col min="6" max="6" width="24.6640625" style="5" bestFit="1" customWidth="1"/>
    <col min="7" max="9" width="5.5" style="6" customWidth="1"/>
    <col min="10" max="10" width="4.5" style="6" customWidth="1"/>
    <col min="11" max="11" width="10.5" style="6" bestFit="1" customWidth="1"/>
    <col min="12" max="12" width="8.5" style="6" bestFit="1" customWidth="1"/>
    <col min="13" max="13" width="19.5" style="5" bestFit="1" customWidth="1"/>
    <col min="14" max="16384" width="9.1640625" style="3"/>
  </cols>
  <sheetData>
    <row r="1" spans="1:13" s="2" customFormat="1" ht="29" customHeight="1">
      <c r="A1" s="64" t="s">
        <v>653</v>
      </c>
      <c r="B1" s="65"/>
      <c r="C1" s="66"/>
      <c r="D1" s="66"/>
      <c r="E1" s="66"/>
      <c r="F1" s="66"/>
      <c r="G1" s="66"/>
      <c r="H1" s="66"/>
      <c r="I1" s="66"/>
      <c r="J1" s="66"/>
      <c r="K1" s="66"/>
      <c r="L1" s="66"/>
      <c r="M1" s="67"/>
    </row>
    <row r="2" spans="1:13" s="2" customFormat="1" ht="62" customHeight="1" thickBot="1">
      <c r="A2" s="68"/>
      <c r="B2" s="69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s="1" customFormat="1" ht="12.75" customHeight="1">
      <c r="A3" s="72" t="s">
        <v>715</v>
      </c>
      <c r="B3" s="62" t="s">
        <v>0</v>
      </c>
      <c r="C3" s="74" t="s">
        <v>716</v>
      </c>
      <c r="D3" s="74" t="s">
        <v>6</v>
      </c>
      <c r="E3" s="56" t="s">
        <v>717</v>
      </c>
      <c r="F3" s="56" t="s">
        <v>5</v>
      </c>
      <c r="G3" s="56" t="s">
        <v>11</v>
      </c>
      <c r="H3" s="56"/>
      <c r="I3" s="56"/>
      <c r="J3" s="56"/>
      <c r="K3" s="56" t="s">
        <v>363</v>
      </c>
      <c r="L3" s="56" t="s">
        <v>3</v>
      </c>
      <c r="M3" s="58" t="s">
        <v>2</v>
      </c>
    </row>
    <row r="4" spans="1:13" s="1" customFormat="1" ht="21" customHeight="1" thickBot="1">
      <c r="A4" s="73"/>
      <c r="B4" s="63"/>
      <c r="C4" s="57"/>
      <c r="D4" s="57"/>
      <c r="E4" s="57"/>
      <c r="F4" s="57"/>
      <c r="G4" s="4">
        <v>1</v>
      </c>
      <c r="H4" s="4">
        <v>2</v>
      </c>
      <c r="I4" s="4">
        <v>3</v>
      </c>
      <c r="J4" s="4" t="s">
        <v>4</v>
      </c>
      <c r="K4" s="57"/>
      <c r="L4" s="57"/>
      <c r="M4" s="59"/>
    </row>
    <row r="5" spans="1:13" ht="16">
      <c r="A5" s="60" t="s">
        <v>49</v>
      </c>
      <c r="B5" s="60"/>
      <c r="C5" s="61"/>
      <c r="D5" s="61"/>
      <c r="E5" s="61"/>
      <c r="F5" s="61"/>
      <c r="G5" s="61"/>
      <c r="H5" s="61"/>
      <c r="I5" s="61"/>
      <c r="J5" s="61"/>
    </row>
    <row r="6" spans="1:13">
      <c r="A6" s="21" t="s">
        <v>47</v>
      </c>
      <c r="B6" s="15" t="s">
        <v>50</v>
      </c>
      <c r="C6" s="15" t="s">
        <v>51</v>
      </c>
      <c r="D6" s="15" t="s">
        <v>52</v>
      </c>
      <c r="E6" s="15" t="s">
        <v>718</v>
      </c>
      <c r="F6" s="15" t="s">
        <v>53</v>
      </c>
      <c r="G6" s="22" t="s">
        <v>67</v>
      </c>
      <c r="H6" s="22" t="s">
        <v>54</v>
      </c>
      <c r="I6" s="23" t="s">
        <v>82</v>
      </c>
      <c r="J6" s="21"/>
      <c r="K6" s="21" t="str">
        <f>"125,0"</f>
        <v>125,0</v>
      </c>
      <c r="L6" s="21" t="str">
        <f>"128,9625"</f>
        <v>128,9625</v>
      </c>
      <c r="M6" s="15" t="s">
        <v>602</v>
      </c>
    </row>
    <row r="7" spans="1:13">
      <c r="B7" s="5" t="s">
        <v>8</v>
      </c>
    </row>
    <row r="8" spans="1:13" ht="16">
      <c r="A8" s="52" t="s">
        <v>12</v>
      </c>
      <c r="B8" s="52"/>
      <c r="C8" s="53"/>
      <c r="D8" s="53"/>
      <c r="E8" s="53"/>
      <c r="F8" s="53"/>
      <c r="G8" s="53"/>
      <c r="H8" s="53"/>
      <c r="I8" s="53"/>
      <c r="J8" s="53"/>
    </row>
    <row r="9" spans="1:13">
      <c r="A9" s="21" t="s">
        <v>47</v>
      </c>
      <c r="B9" s="15" t="s">
        <v>13</v>
      </c>
      <c r="C9" s="15" t="s">
        <v>14</v>
      </c>
      <c r="D9" s="15" t="s">
        <v>15</v>
      </c>
      <c r="E9" s="15" t="s">
        <v>718</v>
      </c>
      <c r="F9" s="15" t="s">
        <v>708</v>
      </c>
      <c r="G9" s="22" t="s">
        <v>26</v>
      </c>
      <c r="H9" s="22" t="s">
        <v>27</v>
      </c>
      <c r="I9" s="22" t="s">
        <v>22</v>
      </c>
      <c r="J9" s="21"/>
      <c r="K9" s="21" t="str">
        <f>"215,0"</f>
        <v>215,0</v>
      </c>
      <c r="L9" s="21" t="str">
        <f>"138,8685"</f>
        <v>138,8685</v>
      </c>
      <c r="M9" s="15" t="s">
        <v>595</v>
      </c>
    </row>
    <row r="10" spans="1:13">
      <c r="B10" s="5" t="s">
        <v>8</v>
      </c>
    </row>
    <row r="11" spans="1:13">
      <c r="B11" s="5" t="s">
        <v>8</v>
      </c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M17"/>
  <sheetViews>
    <sheetView workbookViewId="0">
      <selection sqref="A1:M2"/>
    </sheetView>
  </sheetViews>
  <sheetFormatPr baseColWidth="10" defaultColWidth="9.1640625" defaultRowHeight="13"/>
  <cols>
    <col min="1" max="1" width="7.1640625" style="5" bestFit="1" customWidth="1"/>
    <col min="2" max="2" width="16.83203125" style="5" bestFit="1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25.6640625" style="5" bestFit="1" customWidth="1"/>
    <col min="7" max="9" width="5.5" style="6" customWidth="1"/>
    <col min="10" max="10" width="4.5" style="6" customWidth="1"/>
    <col min="11" max="11" width="10.5" style="6" bestFit="1" customWidth="1"/>
    <col min="12" max="12" width="8.5" style="6" bestFit="1" customWidth="1"/>
    <col min="13" max="13" width="18.83203125" style="5" customWidth="1"/>
    <col min="14" max="16384" width="9.1640625" style="3"/>
  </cols>
  <sheetData>
    <row r="1" spans="1:13" s="2" customFormat="1" ht="29" customHeight="1">
      <c r="A1" s="64" t="s">
        <v>654</v>
      </c>
      <c r="B1" s="65"/>
      <c r="C1" s="66"/>
      <c r="D1" s="66"/>
      <c r="E1" s="66"/>
      <c r="F1" s="66"/>
      <c r="G1" s="66"/>
      <c r="H1" s="66"/>
      <c r="I1" s="66"/>
      <c r="J1" s="66"/>
      <c r="K1" s="66"/>
      <c r="L1" s="66"/>
      <c r="M1" s="67"/>
    </row>
    <row r="2" spans="1:13" s="2" customFormat="1" ht="62" customHeight="1" thickBot="1">
      <c r="A2" s="68"/>
      <c r="B2" s="69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s="1" customFormat="1" ht="12.75" customHeight="1">
      <c r="A3" s="72" t="s">
        <v>715</v>
      </c>
      <c r="B3" s="62" t="s">
        <v>0</v>
      </c>
      <c r="C3" s="74" t="s">
        <v>716</v>
      </c>
      <c r="D3" s="74" t="s">
        <v>6</v>
      </c>
      <c r="E3" s="56" t="s">
        <v>717</v>
      </c>
      <c r="F3" s="56" t="s">
        <v>5</v>
      </c>
      <c r="G3" s="56" t="s">
        <v>11</v>
      </c>
      <c r="H3" s="56"/>
      <c r="I3" s="56"/>
      <c r="J3" s="56"/>
      <c r="K3" s="56" t="s">
        <v>363</v>
      </c>
      <c r="L3" s="56" t="s">
        <v>3</v>
      </c>
      <c r="M3" s="58" t="s">
        <v>2</v>
      </c>
    </row>
    <row r="4" spans="1:13" s="1" customFormat="1" ht="21" customHeight="1" thickBot="1">
      <c r="A4" s="73"/>
      <c r="B4" s="63"/>
      <c r="C4" s="57"/>
      <c r="D4" s="57"/>
      <c r="E4" s="57"/>
      <c r="F4" s="57"/>
      <c r="G4" s="4">
        <v>1</v>
      </c>
      <c r="H4" s="4">
        <v>2</v>
      </c>
      <c r="I4" s="4">
        <v>3</v>
      </c>
      <c r="J4" s="4" t="s">
        <v>4</v>
      </c>
      <c r="K4" s="57"/>
      <c r="L4" s="57"/>
      <c r="M4" s="59"/>
    </row>
    <row r="5" spans="1:13" ht="16">
      <c r="A5" s="60" t="s">
        <v>57</v>
      </c>
      <c r="B5" s="60"/>
      <c r="C5" s="61"/>
      <c r="D5" s="61"/>
      <c r="E5" s="61"/>
      <c r="F5" s="61"/>
      <c r="G5" s="61"/>
      <c r="H5" s="61"/>
      <c r="I5" s="61"/>
      <c r="J5" s="61"/>
    </row>
    <row r="6" spans="1:13">
      <c r="A6" s="21" t="s">
        <v>47</v>
      </c>
      <c r="B6" s="15" t="s">
        <v>518</v>
      </c>
      <c r="C6" s="15" t="s">
        <v>519</v>
      </c>
      <c r="D6" s="15" t="s">
        <v>520</v>
      </c>
      <c r="E6" s="15" t="s">
        <v>718</v>
      </c>
      <c r="F6" s="15" t="s">
        <v>108</v>
      </c>
      <c r="G6" s="22" t="s">
        <v>92</v>
      </c>
      <c r="H6" s="22" t="s">
        <v>93</v>
      </c>
      <c r="I6" s="22" t="s">
        <v>185</v>
      </c>
      <c r="J6" s="21"/>
      <c r="K6" s="21" t="str">
        <f>"70,0"</f>
        <v>70,0</v>
      </c>
      <c r="L6" s="21" t="str">
        <f>"87,6540"</f>
        <v>87,6540</v>
      </c>
      <c r="M6" s="15" t="s">
        <v>604</v>
      </c>
    </row>
    <row r="7" spans="1:13">
      <c r="B7" s="5" t="s">
        <v>8</v>
      </c>
    </row>
    <row r="8" spans="1:13" ht="16">
      <c r="A8" s="52" t="s">
        <v>28</v>
      </c>
      <c r="B8" s="52"/>
      <c r="C8" s="53"/>
      <c r="D8" s="53"/>
      <c r="E8" s="53"/>
      <c r="F8" s="53"/>
      <c r="G8" s="53"/>
      <c r="H8" s="53"/>
      <c r="I8" s="53"/>
      <c r="J8" s="53"/>
    </row>
    <row r="9" spans="1:13">
      <c r="A9" s="9" t="s">
        <v>47</v>
      </c>
      <c r="B9" s="8" t="s">
        <v>319</v>
      </c>
      <c r="C9" s="8" t="s">
        <v>320</v>
      </c>
      <c r="D9" s="8" t="s">
        <v>321</v>
      </c>
      <c r="E9" s="8" t="s">
        <v>718</v>
      </c>
      <c r="F9" s="8" t="s">
        <v>108</v>
      </c>
      <c r="G9" s="17" t="s">
        <v>247</v>
      </c>
      <c r="H9" s="17" t="s">
        <v>521</v>
      </c>
      <c r="I9" s="17" t="s">
        <v>506</v>
      </c>
      <c r="J9" s="9"/>
      <c r="K9" s="9" t="str">
        <f>"292,5"</f>
        <v>292,5</v>
      </c>
      <c r="L9" s="9" t="str">
        <f>"184,5090"</f>
        <v>184,5090</v>
      </c>
      <c r="M9" s="8" t="s">
        <v>307</v>
      </c>
    </row>
    <row r="10" spans="1:13">
      <c r="A10" s="25" t="s">
        <v>172</v>
      </c>
      <c r="B10" s="24" t="s">
        <v>29</v>
      </c>
      <c r="C10" s="24" t="s">
        <v>30</v>
      </c>
      <c r="D10" s="24" t="s">
        <v>31</v>
      </c>
      <c r="E10" s="24" t="s">
        <v>718</v>
      </c>
      <c r="F10" s="24" t="s">
        <v>708</v>
      </c>
      <c r="G10" s="26" t="s">
        <v>27</v>
      </c>
      <c r="H10" s="26" t="s">
        <v>36</v>
      </c>
      <c r="I10" s="26" t="s">
        <v>37</v>
      </c>
      <c r="J10" s="25"/>
      <c r="K10" s="25" t="str">
        <f>"255,0"</f>
        <v>255,0</v>
      </c>
      <c r="L10" s="25" t="str">
        <f>"157,3860"</f>
        <v>157,3860</v>
      </c>
      <c r="M10" s="24"/>
    </row>
    <row r="11" spans="1:13">
      <c r="A11" s="11" t="s">
        <v>47</v>
      </c>
      <c r="B11" s="10" t="s">
        <v>29</v>
      </c>
      <c r="C11" s="10" t="s">
        <v>665</v>
      </c>
      <c r="D11" s="10" t="s">
        <v>31</v>
      </c>
      <c r="E11" s="10" t="s">
        <v>722</v>
      </c>
      <c r="F11" s="10" t="s">
        <v>708</v>
      </c>
      <c r="G11" s="19" t="s">
        <v>27</v>
      </c>
      <c r="H11" s="19" t="s">
        <v>36</v>
      </c>
      <c r="I11" s="19" t="s">
        <v>37</v>
      </c>
      <c r="J11" s="11"/>
      <c r="K11" s="11" t="str">
        <f>"255,0"</f>
        <v>255,0</v>
      </c>
      <c r="L11" s="11" t="str">
        <f>"175,3280"</f>
        <v>175,3280</v>
      </c>
      <c r="M11" s="10"/>
    </row>
    <row r="12" spans="1:13">
      <c r="B12" s="5" t="s">
        <v>8</v>
      </c>
    </row>
    <row r="13" spans="1:13">
      <c r="B13" s="5" t="s">
        <v>8</v>
      </c>
    </row>
    <row r="14" spans="1:13">
      <c r="B14" s="5" t="s">
        <v>8</v>
      </c>
    </row>
    <row r="15" spans="1:13">
      <c r="B15" s="5" t="s">
        <v>8</v>
      </c>
    </row>
    <row r="16" spans="1:13">
      <c r="B16" s="5" t="s">
        <v>8</v>
      </c>
    </row>
    <row r="17" spans="2:2">
      <c r="B17" s="5" t="s">
        <v>8</v>
      </c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Q39"/>
  <sheetViews>
    <sheetView workbookViewId="0">
      <selection activeCell="E34" sqref="E34"/>
    </sheetView>
  </sheetViews>
  <sheetFormatPr baseColWidth="10" defaultColWidth="9.1640625" defaultRowHeight="13"/>
  <cols>
    <col min="1" max="1" width="7.1640625" style="5" bestFit="1" customWidth="1"/>
    <col min="2" max="2" width="17.83203125" style="5" bestFit="1" customWidth="1"/>
    <col min="3" max="3" width="29" style="5" bestFit="1" customWidth="1"/>
    <col min="4" max="4" width="20.83203125" style="5" bestFit="1" customWidth="1"/>
    <col min="5" max="5" width="10.1640625" style="5" bestFit="1" customWidth="1"/>
    <col min="6" max="6" width="28" style="5" bestFit="1" customWidth="1"/>
    <col min="7" max="14" width="4.5" style="6" customWidth="1"/>
    <col min="15" max="15" width="7.6640625" style="6" bestFit="1" customWidth="1"/>
    <col min="16" max="16" width="8.5" style="6" bestFit="1" customWidth="1"/>
    <col min="17" max="17" width="21" style="5" customWidth="1"/>
    <col min="18" max="16384" width="9.1640625" style="3"/>
  </cols>
  <sheetData>
    <row r="1" spans="1:17" s="2" customFormat="1" ht="29" customHeight="1">
      <c r="A1" s="64" t="s">
        <v>655</v>
      </c>
      <c r="B1" s="65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7"/>
    </row>
    <row r="2" spans="1:17" s="2" customFormat="1" ht="62" customHeight="1" thickBot="1">
      <c r="A2" s="68"/>
      <c r="B2" s="69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1"/>
    </row>
    <row r="3" spans="1:17" s="1" customFormat="1" ht="12.75" customHeight="1">
      <c r="A3" s="72" t="s">
        <v>715</v>
      </c>
      <c r="B3" s="62" t="s">
        <v>0</v>
      </c>
      <c r="C3" s="74" t="s">
        <v>716</v>
      </c>
      <c r="D3" s="74" t="s">
        <v>6</v>
      </c>
      <c r="E3" s="56" t="s">
        <v>717</v>
      </c>
      <c r="F3" s="56" t="s">
        <v>5</v>
      </c>
      <c r="G3" s="56" t="s">
        <v>714</v>
      </c>
      <c r="H3" s="56"/>
      <c r="I3" s="56"/>
      <c r="J3" s="56"/>
      <c r="K3" s="56" t="s">
        <v>591</v>
      </c>
      <c r="L3" s="56"/>
      <c r="M3" s="56"/>
      <c r="N3" s="56"/>
      <c r="O3" s="56" t="s">
        <v>1</v>
      </c>
      <c r="P3" s="56" t="s">
        <v>3</v>
      </c>
      <c r="Q3" s="58" t="s">
        <v>2</v>
      </c>
    </row>
    <row r="4" spans="1:17" s="1" customFormat="1" ht="21" customHeight="1" thickBot="1">
      <c r="A4" s="73"/>
      <c r="B4" s="63"/>
      <c r="C4" s="57"/>
      <c r="D4" s="57"/>
      <c r="E4" s="57"/>
      <c r="F4" s="57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57"/>
      <c r="P4" s="57"/>
      <c r="Q4" s="59"/>
    </row>
    <row r="5" spans="1:17" ht="16">
      <c r="A5" s="60" t="s">
        <v>57</v>
      </c>
      <c r="B5" s="60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</row>
    <row r="6" spans="1:17">
      <c r="A6" s="9" t="s">
        <v>47</v>
      </c>
      <c r="B6" s="8" t="s">
        <v>558</v>
      </c>
      <c r="C6" s="8" t="s">
        <v>691</v>
      </c>
      <c r="D6" s="8" t="s">
        <v>281</v>
      </c>
      <c r="E6" s="8" t="s">
        <v>720</v>
      </c>
      <c r="F6" s="8" t="s">
        <v>711</v>
      </c>
      <c r="G6" s="17" t="s">
        <v>559</v>
      </c>
      <c r="H6" s="17" t="s">
        <v>535</v>
      </c>
      <c r="I6" s="18" t="s">
        <v>536</v>
      </c>
      <c r="J6" s="9"/>
      <c r="K6" s="17" t="s">
        <v>559</v>
      </c>
      <c r="L6" s="17" t="s">
        <v>535</v>
      </c>
      <c r="M6" s="18" t="s">
        <v>536</v>
      </c>
      <c r="N6" s="9"/>
      <c r="O6" s="9" t="str">
        <f>"45,0"</f>
        <v>45,0</v>
      </c>
      <c r="P6" s="9" t="str">
        <f>"53,0550"</f>
        <v>53,0550</v>
      </c>
      <c r="Q6" s="8" t="s">
        <v>593</v>
      </c>
    </row>
    <row r="7" spans="1:17">
      <c r="A7" s="11" t="s">
        <v>47</v>
      </c>
      <c r="B7" s="10" t="s">
        <v>364</v>
      </c>
      <c r="C7" s="10" t="s">
        <v>365</v>
      </c>
      <c r="D7" s="10" t="s">
        <v>366</v>
      </c>
      <c r="E7" s="10" t="s">
        <v>718</v>
      </c>
      <c r="F7" s="10" t="s">
        <v>327</v>
      </c>
      <c r="G7" s="19" t="s">
        <v>560</v>
      </c>
      <c r="H7" s="20" t="s">
        <v>561</v>
      </c>
      <c r="I7" s="20" t="s">
        <v>561</v>
      </c>
      <c r="J7" s="11"/>
      <c r="K7" s="19" t="s">
        <v>536</v>
      </c>
      <c r="L7" s="19" t="s">
        <v>561</v>
      </c>
      <c r="M7" s="20" t="s">
        <v>562</v>
      </c>
      <c r="N7" s="11"/>
      <c r="O7" s="11" t="str">
        <f>"57,5"</f>
        <v>57,5</v>
      </c>
      <c r="P7" s="11" t="str">
        <f>"68,8850"</f>
        <v>68,8850</v>
      </c>
      <c r="Q7" s="10" t="s">
        <v>367</v>
      </c>
    </row>
    <row r="8" spans="1:17">
      <c r="B8" s="5" t="s">
        <v>8</v>
      </c>
    </row>
    <row r="9" spans="1:17" ht="16">
      <c r="A9" s="52" t="s">
        <v>49</v>
      </c>
      <c r="B9" s="52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</row>
    <row r="10" spans="1:17">
      <c r="A10" s="21" t="s">
        <v>47</v>
      </c>
      <c r="B10" s="15" t="s">
        <v>382</v>
      </c>
      <c r="C10" s="15" t="s">
        <v>383</v>
      </c>
      <c r="D10" s="15" t="s">
        <v>384</v>
      </c>
      <c r="E10" s="15" t="s">
        <v>718</v>
      </c>
      <c r="F10" s="15" t="s">
        <v>101</v>
      </c>
      <c r="G10" s="22" t="s">
        <v>186</v>
      </c>
      <c r="H10" s="22" t="s">
        <v>64</v>
      </c>
      <c r="I10" s="22" t="s">
        <v>66</v>
      </c>
      <c r="J10" s="21"/>
      <c r="K10" s="22" t="s">
        <v>536</v>
      </c>
      <c r="L10" s="22" t="s">
        <v>561</v>
      </c>
      <c r="M10" s="23" t="s">
        <v>186</v>
      </c>
      <c r="N10" s="21"/>
      <c r="O10" s="21" t="str">
        <f>"75,0"</f>
        <v>75,0</v>
      </c>
      <c r="P10" s="21" t="str">
        <f>"71,8763"</f>
        <v>71,8763</v>
      </c>
      <c r="Q10" s="15"/>
    </row>
    <row r="11" spans="1:17">
      <c r="B11" s="5" t="s">
        <v>8</v>
      </c>
    </row>
    <row r="12" spans="1:17" ht="16">
      <c r="A12" s="52" t="s">
        <v>57</v>
      </c>
      <c r="B12" s="52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</row>
    <row r="13" spans="1:17">
      <c r="A13" s="21" t="s">
        <v>47</v>
      </c>
      <c r="B13" s="15" t="s">
        <v>563</v>
      </c>
      <c r="C13" s="15" t="s">
        <v>692</v>
      </c>
      <c r="D13" s="15" t="s">
        <v>564</v>
      </c>
      <c r="E13" s="15" t="s">
        <v>720</v>
      </c>
      <c r="F13" s="15" t="s">
        <v>327</v>
      </c>
      <c r="G13" s="22" t="s">
        <v>560</v>
      </c>
      <c r="H13" s="22" t="s">
        <v>562</v>
      </c>
      <c r="I13" s="23" t="s">
        <v>186</v>
      </c>
      <c r="J13" s="21"/>
      <c r="K13" s="23" t="s">
        <v>536</v>
      </c>
      <c r="L13" s="22" t="s">
        <v>536</v>
      </c>
      <c r="M13" s="23" t="s">
        <v>561</v>
      </c>
      <c r="N13" s="21"/>
      <c r="O13" s="21" t="str">
        <f>"57,5"</f>
        <v>57,5</v>
      </c>
      <c r="P13" s="21" t="str">
        <f>"56,4104"</f>
        <v>56,4104</v>
      </c>
      <c r="Q13" s="15" t="s">
        <v>598</v>
      </c>
    </row>
    <row r="14" spans="1:17">
      <c r="B14" s="5" t="s">
        <v>8</v>
      </c>
    </row>
    <row r="15" spans="1:17" ht="16">
      <c r="A15" s="52" t="s">
        <v>187</v>
      </c>
      <c r="B15" s="52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17">
      <c r="A16" s="21" t="s">
        <v>47</v>
      </c>
      <c r="B16" s="15" t="s">
        <v>565</v>
      </c>
      <c r="C16" s="15" t="s">
        <v>693</v>
      </c>
      <c r="D16" s="15" t="s">
        <v>190</v>
      </c>
      <c r="E16" s="15" t="s">
        <v>720</v>
      </c>
      <c r="F16" s="15" t="s">
        <v>711</v>
      </c>
      <c r="G16" s="22" t="s">
        <v>64</v>
      </c>
      <c r="H16" s="22" t="s">
        <v>65</v>
      </c>
      <c r="I16" s="23" t="s">
        <v>66</v>
      </c>
      <c r="J16" s="21"/>
      <c r="K16" s="22" t="s">
        <v>561</v>
      </c>
      <c r="L16" s="22" t="s">
        <v>186</v>
      </c>
      <c r="M16" s="22" t="s">
        <v>75</v>
      </c>
      <c r="N16" s="21"/>
      <c r="O16" s="21" t="str">
        <f>"80,0"</f>
        <v>80,0</v>
      </c>
      <c r="P16" s="21" t="str">
        <f>"71,4040"</f>
        <v>71,4040</v>
      </c>
      <c r="Q16" s="15" t="s">
        <v>593</v>
      </c>
    </row>
    <row r="17" spans="1:17">
      <c r="B17" s="5" t="s">
        <v>8</v>
      </c>
    </row>
    <row r="18" spans="1:17" ht="16">
      <c r="A18" s="52" t="s">
        <v>69</v>
      </c>
      <c r="B18" s="52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</row>
    <row r="19" spans="1:17">
      <c r="A19" s="21" t="s">
        <v>47</v>
      </c>
      <c r="B19" s="15" t="s">
        <v>566</v>
      </c>
      <c r="C19" s="15" t="s">
        <v>694</v>
      </c>
      <c r="D19" s="15" t="s">
        <v>72</v>
      </c>
      <c r="E19" s="15" t="s">
        <v>720</v>
      </c>
      <c r="F19" s="15" t="s">
        <v>327</v>
      </c>
      <c r="G19" s="22" t="s">
        <v>181</v>
      </c>
      <c r="H19" s="22" t="s">
        <v>92</v>
      </c>
      <c r="I19" s="23" t="s">
        <v>191</v>
      </c>
      <c r="J19" s="21"/>
      <c r="K19" s="22" t="s">
        <v>65</v>
      </c>
      <c r="L19" s="22" t="s">
        <v>200</v>
      </c>
      <c r="M19" s="23" t="s">
        <v>181</v>
      </c>
      <c r="N19" s="21"/>
      <c r="O19" s="21" t="str">
        <f>"102,5"</f>
        <v>102,5</v>
      </c>
      <c r="P19" s="21" t="str">
        <f>"88,1141"</f>
        <v>88,1141</v>
      </c>
      <c r="Q19" s="15"/>
    </row>
    <row r="20" spans="1:17">
      <c r="B20" s="5" t="s">
        <v>8</v>
      </c>
    </row>
    <row r="21" spans="1:17" ht="16">
      <c r="A21" s="52" t="s">
        <v>49</v>
      </c>
      <c r="B21" s="52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</row>
    <row r="22" spans="1:17">
      <c r="A22" s="9" t="s">
        <v>47</v>
      </c>
      <c r="B22" s="8" t="s">
        <v>537</v>
      </c>
      <c r="C22" s="8" t="s">
        <v>695</v>
      </c>
      <c r="D22" s="8" t="s">
        <v>538</v>
      </c>
      <c r="E22" s="8" t="s">
        <v>720</v>
      </c>
      <c r="F22" s="8" t="s">
        <v>539</v>
      </c>
      <c r="G22" s="17" t="s">
        <v>181</v>
      </c>
      <c r="H22" s="17" t="s">
        <v>92</v>
      </c>
      <c r="I22" s="18" t="s">
        <v>96</v>
      </c>
      <c r="J22" s="9"/>
      <c r="K22" s="17" t="s">
        <v>66</v>
      </c>
      <c r="L22" s="17" t="s">
        <v>181</v>
      </c>
      <c r="M22" s="18" t="s">
        <v>177</v>
      </c>
      <c r="N22" s="9"/>
      <c r="O22" s="9" t="str">
        <f>"105,0"</f>
        <v>105,0</v>
      </c>
      <c r="P22" s="9" t="str">
        <f>"79,8998"</f>
        <v>79,8998</v>
      </c>
      <c r="Q22" s="8"/>
    </row>
    <row r="23" spans="1:17">
      <c r="A23" s="25" t="s">
        <v>172</v>
      </c>
      <c r="B23" s="24" t="s">
        <v>567</v>
      </c>
      <c r="C23" s="24" t="s">
        <v>696</v>
      </c>
      <c r="D23" s="24" t="s">
        <v>387</v>
      </c>
      <c r="E23" s="24" t="s">
        <v>720</v>
      </c>
      <c r="F23" s="24" t="s">
        <v>327</v>
      </c>
      <c r="G23" s="26" t="s">
        <v>200</v>
      </c>
      <c r="H23" s="26" t="s">
        <v>181</v>
      </c>
      <c r="I23" s="25"/>
      <c r="J23" s="25"/>
      <c r="K23" s="26" t="s">
        <v>200</v>
      </c>
      <c r="L23" s="27" t="s">
        <v>181</v>
      </c>
      <c r="M23" s="27" t="s">
        <v>181</v>
      </c>
      <c r="N23" s="25"/>
      <c r="O23" s="25" t="str">
        <f>"97,5"</f>
        <v>97,5</v>
      </c>
      <c r="P23" s="25" t="str">
        <f>"73,5296"</f>
        <v>73,5296</v>
      </c>
      <c r="Q23" s="24"/>
    </row>
    <row r="24" spans="1:17">
      <c r="A24" s="11" t="s">
        <v>47</v>
      </c>
      <c r="B24" s="10" t="s">
        <v>568</v>
      </c>
      <c r="C24" s="10" t="s">
        <v>569</v>
      </c>
      <c r="D24" s="10" t="s">
        <v>570</v>
      </c>
      <c r="E24" s="10" t="s">
        <v>718</v>
      </c>
      <c r="F24" s="10" t="s">
        <v>108</v>
      </c>
      <c r="G24" s="19" t="s">
        <v>181</v>
      </c>
      <c r="H24" s="19" t="s">
        <v>92</v>
      </c>
      <c r="I24" s="19" t="s">
        <v>191</v>
      </c>
      <c r="J24" s="11"/>
      <c r="K24" s="19" t="s">
        <v>181</v>
      </c>
      <c r="L24" s="19" t="s">
        <v>92</v>
      </c>
      <c r="M24" s="19" t="s">
        <v>191</v>
      </c>
      <c r="N24" s="11"/>
      <c r="O24" s="11" t="str">
        <f>"115,0"</f>
        <v>115,0</v>
      </c>
      <c r="P24" s="11" t="str">
        <f>"86,5030"</f>
        <v>86,5030</v>
      </c>
      <c r="Q24" s="10"/>
    </row>
    <row r="25" spans="1:17">
      <c r="B25" s="5" t="s">
        <v>8</v>
      </c>
    </row>
    <row r="26" spans="1:17" ht="16">
      <c r="A26" s="52" t="s">
        <v>87</v>
      </c>
      <c r="B26" s="52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</row>
    <row r="27" spans="1:17">
      <c r="A27" s="9" t="s">
        <v>47</v>
      </c>
      <c r="B27" s="8" t="s">
        <v>571</v>
      </c>
      <c r="C27" s="8" t="s">
        <v>697</v>
      </c>
      <c r="D27" s="8" t="s">
        <v>572</v>
      </c>
      <c r="E27" s="8" t="s">
        <v>720</v>
      </c>
      <c r="F27" s="8" t="s">
        <v>327</v>
      </c>
      <c r="G27" s="17" t="s">
        <v>94</v>
      </c>
      <c r="H27" s="18" t="s">
        <v>185</v>
      </c>
      <c r="I27" s="18" t="s">
        <v>185</v>
      </c>
      <c r="J27" s="9"/>
      <c r="K27" s="17" t="s">
        <v>181</v>
      </c>
      <c r="L27" s="17" t="s">
        <v>177</v>
      </c>
      <c r="M27" s="18" t="s">
        <v>92</v>
      </c>
      <c r="N27" s="9"/>
      <c r="O27" s="9" t="str">
        <f>"117,5"</f>
        <v>117,5</v>
      </c>
      <c r="P27" s="9" t="str">
        <f>"81,7154"</f>
        <v>81,7154</v>
      </c>
      <c r="Q27" s="8"/>
    </row>
    <row r="28" spans="1:17">
      <c r="A28" s="25" t="s">
        <v>172</v>
      </c>
      <c r="B28" s="24" t="s">
        <v>573</v>
      </c>
      <c r="C28" s="24" t="s">
        <v>698</v>
      </c>
      <c r="D28" s="24" t="s">
        <v>574</v>
      </c>
      <c r="E28" s="24" t="s">
        <v>720</v>
      </c>
      <c r="F28" s="24" t="s">
        <v>711</v>
      </c>
      <c r="G28" s="27" t="s">
        <v>96</v>
      </c>
      <c r="H28" s="26" t="s">
        <v>93</v>
      </c>
      <c r="I28" s="26" t="s">
        <v>94</v>
      </c>
      <c r="J28" s="25"/>
      <c r="K28" s="26" t="s">
        <v>65</v>
      </c>
      <c r="L28" s="26" t="s">
        <v>66</v>
      </c>
      <c r="M28" s="26" t="s">
        <v>200</v>
      </c>
      <c r="N28" s="25"/>
      <c r="O28" s="25" t="str">
        <f>"112,5"</f>
        <v>112,5</v>
      </c>
      <c r="P28" s="25" t="str">
        <f>"81,1406"</f>
        <v>81,1406</v>
      </c>
      <c r="Q28" s="24" t="s">
        <v>593</v>
      </c>
    </row>
    <row r="29" spans="1:17">
      <c r="A29" s="11" t="s">
        <v>47</v>
      </c>
      <c r="B29" s="10" t="s">
        <v>410</v>
      </c>
      <c r="C29" s="10" t="s">
        <v>411</v>
      </c>
      <c r="D29" s="10" t="s">
        <v>412</v>
      </c>
      <c r="E29" s="10" t="s">
        <v>718</v>
      </c>
      <c r="F29" s="10" t="s">
        <v>108</v>
      </c>
      <c r="G29" s="19" t="s">
        <v>192</v>
      </c>
      <c r="H29" s="19" t="s">
        <v>404</v>
      </c>
      <c r="I29" s="19" t="s">
        <v>56</v>
      </c>
      <c r="J29" s="11"/>
      <c r="K29" s="19" t="s">
        <v>96</v>
      </c>
      <c r="L29" s="19" t="s">
        <v>93</v>
      </c>
      <c r="M29" s="19" t="s">
        <v>192</v>
      </c>
      <c r="N29" s="11"/>
      <c r="O29" s="11" t="str">
        <f>"147,5"</f>
        <v>147,5</v>
      </c>
      <c r="P29" s="11" t="str">
        <f>"104,0834"</f>
        <v>104,0834</v>
      </c>
      <c r="Q29" s="10"/>
    </row>
    <row r="30" spans="1:17">
      <c r="B30" s="5" t="s">
        <v>8</v>
      </c>
    </row>
    <row r="31" spans="1:17" ht="16">
      <c r="A31" s="52" t="s">
        <v>97</v>
      </c>
      <c r="B31" s="52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</row>
    <row r="32" spans="1:17">
      <c r="A32" s="34" t="s">
        <v>47</v>
      </c>
      <c r="B32" s="43" t="s">
        <v>575</v>
      </c>
      <c r="C32" s="43" t="s">
        <v>576</v>
      </c>
      <c r="D32" s="43" t="s">
        <v>577</v>
      </c>
      <c r="E32" s="43" t="s">
        <v>718</v>
      </c>
      <c r="F32" s="43" t="s">
        <v>711</v>
      </c>
      <c r="G32" s="49" t="s">
        <v>185</v>
      </c>
      <c r="H32" s="17" t="s">
        <v>55</v>
      </c>
      <c r="I32" s="44" t="s">
        <v>404</v>
      </c>
      <c r="J32" s="38"/>
      <c r="K32" s="17" t="s">
        <v>66</v>
      </c>
      <c r="L32" s="37" t="s">
        <v>200</v>
      </c>
      <c r="M32" s="51" t="s">
        <v>181</v>
      </c>
      <c r="N32" s="47"/>
      <c r="O32" s="47" t="str">
        <f>"125,0"</f>
        <v>125,0</v>
      </c>
      <c r="P32" s="47" t="str">
        <f>"81,1562"</f>
        <v>81,1562</v>
      </c>
      <c r="Q32" s="39"/>
    </row>
    <row r="33" spans="1:17">
      <c r="A33" s="36" t="s">
        <v>172</v>
      </c>
      <c r="B33" s="45" t="s">
        <v>524</v>
      </c>
      <c r="C33" s="45" t="s">
        <v>712</v>
      </c>
      <c r="D33" s="45" t="s">
        <v>525</v>
      </c>
      <c r="E33" s="45" t="s">
        <v>718</v>
      </c>
      <c r="F33" s="45" t="s">
        <v>108</v>
      </c>
      <c r="G33" s="50" t="s">
        <v>96</v>
      </c>
      <c r="H33" s="20" t="s">
        <v>185</v>
      </c>
      <c r="I33" s="46" t="s">
        <v>185</v>
      </c>
      <c r="J33" s="41"/>
      <c r="K33" s="20" t="s">
        <v>92</v>
      </c>
      <c r="L33" s="40" t="s">
        <v>92</v>
      </c>
      <c r="M33" s="46" t="s">
        <v>191</v>
      </c>
      <c r="N33" s="48"/>
      <c r="O33" s="48" t="str">
        <f>"115,0"</f>
        <v>115,0</v>
      </c>
      <c r="P33" s="48" t="str">
        <f>"75,2100"</f>
        <v>75,2100</v>
      </c>
      <c r="Q33" s="42" t="s">
        <v>307</v>
      </c>
    </row>
    <row r="34" spans="1:17">
      <c r="B34" s="5" t="s">
        <v>8</v>
      </c>
    </row>
    <row r="35" spans="1:17">
      <c r="B35" s="5" t="s">
        <v>8</v>
      </c>
    </row>
    <row r="36" spans="1:17">
      <c r="B36" s="5" t="s">
        <v>8</v>
      </c>
    </row>
    <row r="37" spans="1:17">
      <c r="B37" s="5" t="s">
        <v>8</v>
      </c>
    </row>
    <row r="38" spans="1:17">
      <c r="B38" s="5" t="s">
        <v>8</v>
      </c>
    </row>
    <row r="39" spans="1:17">
      <c r="B39" s="5" t="s">
        <v>8</v>
      </c>
    </row>
  </sheetData>
  <mergeCells count="20"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  <mergeCell ref="A31:N31"/>
    <mergeCell ref="B3:B4"/>
    <mergeCell ref="A9:N9"/>
    <mergeCell ref="A12:N12"/>
    <mergeCell ref="A15:N15"/>
    <mergeCell ref="A18:N18"/>
    <mergeCell ref="A21:N21"/>
    <mergeCell ref="A26:N26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Q11"/>
  <sheetViews>
    <sheetView workbookViewId="0">
      <selection activeCell="E10" sqref="E10"/>
    </sheetView>
  </sheetViews>
  <sheetFormatPr baseColWidth="10" defaultColWidth="9.1640625" defaultRowHeight="13"/>
  <cols>
    <col min="1" max="1" width="7.1640625" style="5" bestFit="1" customWidth="1"/>
    <col min="2" max="2" width="19.1640625" style="5" bestFit="1" customWidth="1"/>
    <col min="3" max="3" width="28.5" style="5" bestFit="1" customWidth="1"/>
    <col min="4" max="4" width="20.83203125" style="5" bestFit="1" customWidth="1"/>
    <col min="5" max="5" width="10.1640625" style="5" bestFit="1" customWidth="1"/>
    <col min="6" max="6" width="26.33203125" style="5" customWidth="1"/>
    <col min="7" max="14" width="4.5" style="6" customWidth="1"/>
    <col min="15" max="15" width="7.6640625" style="29" bestFit="1" customWidth="1"/>
    <col min="16" max="16" width="7.5" style="6" bestFit="1" customWidth="1"/>
    <col min="17" max="17" width="21.33203125" style="5" customWidth="1"/>
    <col min="18" max="16384" width="9.1640625" style="3"/>
  </cols>
  <sheetData>
    <row r="1" spans="1:17" s="2" customFormat="1" ht="29" customHeight="1">
      <c r="A1" s="64" t="s">
        <v>656</v>
      </c>
      <c r="B1" s="65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7"/>
    </row>
    <row r="2" spans="1:17" s="2" customFormat="1" ht="62" customHeight="1" thickBot="1">
      <c r="A2" s="68"/>
      <c r="B2" s="69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1"/>
    </row>
    <row r="3" spans="1:17" s="1" customFormat="1" ht="12.75" customHeight="1">
      <c r="A3" s="72" t="s">
        <v>715</v>
      </c>
      <c r="B3" s="62" t="s">
        <v>0</v>
      </c>
      <c r="C3" s="74" t="s">
        <v>716</v>
      </c>
      <c r="D3" s="74" t="s">
        <v>6</v>
      </c>
      <c r="E3" s="56" t="s">
        <v>717</v>
      </c>
      <c r="F3" s="56" t="s">
        <v>5</v>
      </c>
      <c r="G3" s="56" t="s">
        <v>714</v>
      </c>
      <c r="H3" s="56"/>
      <c r="I3" s="56"/>
      <c r="J3" s="56"/>
      <c r="K3" s="56" t="s">
        <v>591</v>
      </c>
      <c r="L3" s="56"/>
      <c r="M3" s="56"/>
      <c r="N3" s="56"/>
      <c r="O3" s="54" t="s">
        <v>1</v>
      </c>
      <c r="P3" s="56" t="s">
        <v>3</v>
      </c>
      <c r="Q3" s="58" t="s">
        <v>2</v>
      </c>
    </row>
    <row r="4" spans="1:17" s="1" customFormat="1" ht="21" customHeight="1" thickBot="1">
      <c r="A4" s="73"/>
      <c r="B4" s="63"/>
      <c r="C4" s="57"/>
      <c r="D4" s="57"/>
      <c r="E4" s="57"/>
      <c r="F4" s="57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55"/>
      <c r="P4" s="57"/>
      <c r="Q4" s="59"/>
    </row>
    <row r="5" spans="1:17" ht="16">
      <c r="A5" s="60" t="s">
        <v>87</v>
      </c>
      <c r="B5" s="60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</row>
    <row r="6" spans="1:17">
      <c r="A6" s="9" t="s">
        <v>47</v>
      </c>
      <c r="B6" s="8" t="s">
        <v>553</v>
      </c>
      <c r="C6" s="8" t="s">
        <v>700</v>
      </c>
      <c r="D6" s="8" t="s">
        <v>407</v>
      </c>
      <c r="E6" s="8" t="s">
        <v>720</v>
      </c>
      <c r="F6" s="8" t="s">
        <v>708</v>
      </c>
      <c r="G6" s="17" t="s">
        <v>185</v>
      </c>
      <c r="H6" s="17" t="s">
        <v>541</v>
      </c>
      <c r="I6" s="17" t="s">
        <v>55</v>
      </c>
      <c r="J6" s="18" t="s">
        <v>56</v>
      </c>
      <c r="K6" s="17" t="s">
        <v>92</v>
      </c>
      <c r="L6" s="17" t="s">
        <v>96</v>
      </c>
      <c r="M6" s="18" t="s">
        <v>94</v>
      </c>
      <c r="N6" s="9"/>
      <c r="O6" s="30" t="str">
        <f>"135,0"</f>
        <v>135,0</v>
      </c>
      <c r="P6" s="9" t="str">
        <f>"94,4663"</f>
        <v>94,4663</v>
      </c>
      <c r="Q6" s="8"/>
    </row>
    <row r="7" spans="1:17">
      <c r="A7" s="25" t="s">
        <v>172</v>
      </c>
      <c r="B7" s="24" t="s">
        <v>554</v>
      </c>
      <c r="C7" s="24" t="s">
        <v>701</v>
      </c>
      <c r="D7" s="24" t="s">
        <v>555</v>
      </c>
      <c r="E7" s="24" t="s">
        <v>720</v>
      </c>
      <c r="F7" s="24" t="s">
        <v>556</v>
      </c>
      <c r="G7" s="26" t="s">
        <v>541</v>
      </c>
      <c r="H7" s="26" t="s">
        <v>55</v>
      </c>
      <c r="I7" s="27" t="s">
        <v>404</v>
      </c>
      <c r="J7" s="25"/>
      <c r="K7" s="26" t="s">
        <v>181</v>
      </c>
      <c r="L7" s="27" t="s">
        <v>92</v>
      </c>
      <c r="M7" s="26" t="s">
        <v>92</v>
      </c>
      <c r="N7" s="25"/>
      <c r="O7" s="31" t="str">
        <f>"130,0"</f>
        <v>130,0</v>
      </c>
      <c r="P7" s="25" t="str">
        <f>"91,8320"</f>
        <v>91,8320</v>
      </c>
      <c r="Q7" s="24" t="s">
        <v>592</v>
      </c>
    </row>
    <row r="8" spans="1:17">
      <c r="A8" s="25" t="s">
        <v>173</v>
      </c>
      <c r="B8" s="24" t="s">
        <v>529</v>
      </c>
      <c r="C8" s="24" t="s">
        <v>702</v>
      </c>
      <c r="D8" s="24" t="s">
        <v>530</v>
      </c>
      <c r="E8" s="24" t="s">
        <v>720</v>
      </c>
      <c r="F8" s="24" t="s">
        <v>531</v>
      </c>
      <c r="G8" s="26" t="s">
        <v>94</v>
      </c>
      <c r="H8" s="26" t="s">
        <v>192</v>
      </c>
      <c r="I8" s="27" t="s">
        <v>185</v>
      </c>
      <c r="J8" s="25"/>
      <c r="K8" s="26" t="s">
        <v>177</v>
      </c>
      <c r="L8" s="26" t="s">
        <v>92</v>
      </c>
      <c r="M8" s="27" t="s">
        <v>96</v>
      </c>
      <c r="N8" s="25"/>
      <c r="O8" s="31" t="str">
        <f>"122,5"</f>
        <v>122,5</v>
      </c>
      <c r="P8" s="25" t="str">
        <f>"89,8047"</f>
        <v>89,8047</v>
      </c>
      <c r="Q8" s="24"/>
    </row>
    <row r="9" spans="1:17">
      <c r="A9" s="11" t="s">
        <v>48</v>
      </c>
      <c r="B9" s="10" t="s">
        <v>557</v>
      </c>
      <c r="C9" s="10" t="s">
        <v>703</v>
      </c>
      <c r="D9" s="10" t="s">
        <v>509</v>
      </c>
      <c r="E9" s="10" t="s">
        <v>719</v>
      </c>
      <c r="F9" s="10" t="s">
        <v>708</v>
      </c>
      <c r="G9" s="20" t="s">
        <v>185</v>
      </c>
      <c r="H9" s="19" t="s">
        <v>541</v>
      </c>
      <c r="I9" s="20" t="s">
        <v>404</v>
      </c>
      <c r="J9" s="11"/>
      <c r="K9" s="20" t="s">
        <v>96</v>
      </c>
      <c r="L9" s="20" t="s">
        <v>94</v>
      </c>
      <c r="M9" s="20" t="s">
        <v>94</v>
      </c>
      <c r="N9" s="11"/>
      <c r="O9" s="32">
        <v>0</v>
      </c>
      <c r="P9" s="11" t="str">
        <f>"0,0000"</f>
        <v>0,0000</v>
      </c>
      <c r="Q9" s="10"/>
    </row>
    <row r="10" spans="1:17">
      <c r="B10" s="5" t="s">
        <v>8</v>
      </c>
    </row>
    <row r="11" spans="1:17">
      <c r="B11" s="5" t="s">
        <v>8</v>
      </c>
    </row>
  </sheetData>
  <mergeCells count="13">
    <mergeCell ref="A5:N5"/>
    <mergeCell ref="B3:B4"/>
    <mergeCell ref="A1:Q2"/>
    <mergeCell ref="A3:A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M13"/>
  <sheetViews>
    <sheetView workbookViewId="0">
      <selection activeCell="E10" sqref="E10"/>
    </sheetView>
  </sheetViews>
  <sheetFormatPr baseColWidth="10" defaultColWidth="9.1640625" defaultRowHeight="13"/>
  <cols>
    <col min="1" max="1" width="7.1640625" style="5" bestFit="1" customWidth="1"/>
    <col min="2" max="2" width="17.83203125" style="5" bestFit="1" customWidth="1"/>
    <col min="3" max="3" width="28.5" style="5" bestFit="1" customWidth="1"/>
    <col min="4" max="4" width="20.83203125" style="5" bestFit="1" customWidth="1"/>
    <col min="5" max="5" width="10.1640625" style="5" bestFit="1" customWidth="1"/>
    <col min="6" max="6" width="26.5" style="5" bestFit="1" customWidth="1"/>
    <col min="7" max="10" width="4.5" style="6" customWidth="1"/>
    <col min="11" max="11" width="10.5" style="6" bestFit="1" customWidth="1"/>
    <col min="12" max="12" width="7.5" style="6" bestFit="1" customWidth="1"/>
    <col min="13" max="13" width="17.5" style="5" bestFit="1" customWidth="1"/>
    <col min="14" max="16384" width="9.1640625" style="3"/>
  </cols>
  <sheetData>
    <row r="1" spans="1:13" s="2" customFormat="1" ht="29" customHeight="1">
      <c r="A1" s="64" t="s">
        <v>657</v>
      </c>
      <c r="B1" s="65"/>
      <c r="C1" s="66"/>
      <c r="D1" s="66"/>
      <c r="E1" s="66"/>
      <c r="F1" s="66"/>
      <c r="G1" s="66"/>
      <c r="H1" s="66"/>
      <c r="I1" s="66"/>
      <c r="J1" s="66"/>
      <c r="K1" s="66"/>
      <c r="L1" s="66"/>
      <c r="M1" s="67"/>
    </row>
    <row r="2" spans="1:13" s="2" customFormat="1" ht="62" customHeight="1" thickBot="1">
      <c r="A2" s="68"/>
      <c r="B2" s="69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s="1" customFormat="1" ht="12.75" customHeight="1">
      <c r="A3" s="72" t="s">
        <v>715</v>
      </c>
      <c r="B3" s="62" t="s">
        <v>0</v>
      </c>
      <c r="C3" s="74" t="s">
        <v>716</v>
      </c>
      <c r="D3" s="74" t="s">
        <v>6</v>
      </c>
      <c r="E3" s="56" t="s">
        <v>717</v>
      </c>
      <c r="F3" s="56" t="s">
        <v>5</v>
      </c>
      <c r="G3" s="56" t="s">
        <v>714</v>
      </c>
      <c r="H3" s="56"/>
      <c r="I3" s="56"/>
      <c r="J3" s="56"/>
      <c r="K3" s="56" t="s">
        <v>363</v>
      </c>
      <c r="L3" s="56" t="s">
        <v>3</v>
      </c>
      <c r="M3" s="58" t="s">
        <v>2</v>
      </c>
    </row>
    <row r="4" spans="1:13" s="1" customFormat="1" ht="21" customHeight="1" thickBot="1">
      <c r="A4" s="73"/>
      <c r="B4" s="63"/>
      <c r="C4" s="57"/>
      <c r="D4" s="57"/>
      <c r="E4" s="57"/>
      <c r="F4" s="57"/>
      <c r="G4" s="4">
        <v>1</v>
      </c>
      <c r="H4" s="4">
        <v>2</v>
      </c>
      <c r="I4" s="4">
        <v>3</v>
      </c>
      <c r="J4" s="4" t="s">
        <v>4</v>
      </c>
      <c r="K4" s="57"/>
      <c r="L4" s="57"/>
      <c r="M4" s="59"/>
    </row>
    <row r="5" spans="1:13" ht="16">
      <c r="A5" s="60" t="s">
        <v>97</v>
      </c>
      <c r="B5" s="60"/>
      <c r="C5" s="61"/>
      <c r="D5" s="61"/>
      <c r="E5" s="61"/>
      <c r="F5" s="61"/>
      <c r="G5" s="61"/>
      <c r="H5" s="61"/>
      <c r="I5" s="61"/>
      <c r="J5" s="61"/>
    </row>
    <row r="6" spans="1:13">
      <c r="A6" s="21" t="s">
        <v>47</v>
      </c>
      <c r="B6" s="15" t="s">
        <v>524</v>
      </c>
      <c r="C6" s="15" t="s">
        <v>699</v>
      </c>
      <c r="D6" s="15" t="s">
        <v>525</v>
      </c>
      <c r="E6" s="15" t="s">
        <v>719</v>
      </c>
      <c r="F6" s="15" t="s">
        <v>108</v>
      </c>
      <c r="G6" s="22" t="s">
        <v>96</v>
      </c>
      <c r="H6" s="23" t="s">
        <v>185</v>
      </c>
      <c r="I6" s="23" t="s">
        <v>185</v>
      </c>
      <c r="J6" s="21"/>
      <c r="K6" s="21" t="str">
        <f>"60,0"</f>
        <v>60,0</v>
      </c>
      <c r="L6" s="21" t="str">
        <f>"39,2400"</f>
        <v>39,2400</v>
      </c>
      <c r="M6" s="15" t="s">
        <v>307</v>
      </c>
    </row>
    <row r="7" spans="1:13">
      <c r="B7" s="5" t="s">
        <v>8</v>
      </c>
    </row>
    <row r="8" spans="1:13" ht="16">
      <c r="A8" s="52" t="s">
        <v>12</v>
      </c>
      <c r="B8" s="52"/>
      <c r="C8" s="53"/>
      <c r="D8" s="53"/>
      <c r="E8" s="53"/>
      <c r="F8" s="53"/>
      <c r="G8" s="53"/>
      <c r="H8" s="53"/>
      <c r="I8" s="53"/>
      <c r="J8" s="53"/>
    </row>
    <row r="9" spans="1:13">
      <c r="A9" s="21" t="s">
        <v>47</v>
      </c>
      <c r="B9" s="15" t="s">
        <v>526</v>
      </c>
      <c r="C9" s="15" t="s">
        <v>527</v>
      </c>
      <c r="D9" s="15" t="s">
        <v>528</v>
      </c>
      <c r="E9" s="15" t="s">
        <v>718</v>
      </c>
      <c r="F9" s="15" t="s">
        <v>327</v>
      </c>
      <c r="G9" s="23" t="s">
        <v>76</v>
      </c>
      <c r="H9" s="23" t="s">
        <v>76</v>
      </c>
      <c r="I9" s="22" t="s">
        <v>76</v>
      </c>
      <c r="J9" s="21"/>
      <c r="K9" s="21" t="str">
        <f>"90,0"</f>
        <v>90,0</v>
      </c>
      <c r="L9" s="21" t="str">
        <f>"56,8125"</f>
        <v>56,8125</v>
      </c>
      <c r="M9" s="15"/>
    </row>
    <row r="10" spans="1:13">
      <c r="B10" s="5" t="s">
        <v>8</v>
      </c>
    </row>
    <row r="11" spans="1:13">
      <c r="B11" s="5" t="s">
        <v>8</v>
      </c>
    </row>
    <row r="12" spans="1:13">
      <c r="B12" s="5" t="s">
        <v>8</v>
      </c>
    </row>
    <row r="13" spans="1:13">
      <c r="B13" s="5" t="s">
        <v>8</v>
      </c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24"/>
  <sheetViews>
    <sheetView workbookViewId="0">
      <selection activeCell="E23" sqref="E23"/>
    </sheetView>
  </sheetViews>
  <sheetFormatPr baseColWidth="10" defaultColWidth="9.1640625" defaultRowHeight="13"/>
  <cols>
    <col min="1" max="1" width="7.1640625" style="5" bestFit="1" customWidth="1"/>
    <col min="2" max="2" width="19.6640625" style="5" bestFit="1" customWidth="1"/>
    <col min="3" max="3" width="28.5" style="5" bestFit="1" customWidth="1"/>
    <col min="4" max="4" width="20.83203125" style="5" bestFit="1" customWidth="1"/>
    <col min="5" max="5" width="10.1640625" style="5" bestFit="1" customWidth="1"/>
    <col min="6" max="6" width="28" style="5" bestFit="1" customWidth="1"/>
    <col min="7" max="10" width="4.5" style="6" customWidth="1"/>
    <col min="11" max="11" width="10.5" style="6" bestFit="1" customWidth="1"/>
    <col min="12" max="12" width="7.5" style="6" bestFit="1" customWidth="1"/>
    <col min="13" max="13" width="18.5" style="5" bestFit="1" customWidth="1"/>
    <col min="14" max="16384" width="9.1640625" style="3"/>
  </cols>
  <sheetData>
    <row r="1" spans="1:13" s="2" customFormat="1" ht="29" customHeight="1">
      <c r="A1" s="64" t="s">
        <v>658</v>
      </c>
      <c r="B1" s="65"/>
      <c r="C1" s="66"/>
      <c r="D1" s="66"/>
      <c r="E1" s="66"/>
      <c r="F1" s="66"/>
      <c r="G1" s="66"/>
      <c r="H1" s="66"/>
      <c r="I1" s="66"/>
      <c r="J1" s="66"/>
      <c r="K1" s="66"/>
      <c r="L1" s="66"/>
      <c r="M1" s="67"/>
    </row>
    <row r="2" spans="1:13" s="2" customFormat="1" ht="62" customHeight="1" thickBot="1">
      <c r="A2" s="68"/>
      <c r="B2" s="69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s="1" customFormat="1" ht="12.75" customHeight="1">
      <c r="A3" s="72" t="s">
        <v>715</v>
      </c>
      <c r="B3" s="62" t="s">
        <v>0</v>
      </c>
      <c r="C3" s="74" t="s">
        <v>716</v>
      </c>
      <c r="D3" s="74" t="s">
        <v>6</v>
      </c>
      <c r="E3" s="56" t="s">
        <v>717</v>
      </c>
      <c r="F3" s="56" t="s">
        <v>5</v>
      </c>
      <c r="G3" s="56" t="s">
        <v>714</v>
      </c>
      <c r="H3" s="56"/>
      <c r="I3" s="56"/>
      <c r="J3" s="56"/>
      <c r="K3" s="56" t="s">
        <v>363</v>
      </c>
      <c r="L3" s="56" t="s">
        <v>3</v>
      </c>
      <c r="M3" s="58" t="s">
        <v>2</v>
      </c>
    </row>
    <row r="4" spans="1:13" s="1" customFormat="1" ht="21" customHeight="1" thickBot="1">
      <c r="A4" s="73"/>
      <c r="B4" s="63"/>
      <c r="C4" s="57"/>
      <c r="D4" s="57"/>
      <c r="E4" s="57"/>
      <c r="F4" s="57"/>
      <c r="G4" s="4">
        <v>1</v>
      </c>
      <c r="H4" s="4">
        <v>2</v>
      </c>
      <c r="I4" s="4">
        <v>3</v>
      </c>
      <c r="J4" s="4" t="s">
        <v>4</v>
      </c>
      <c r="K4" s="57"/>
      <c r="L4" s="57"/>
      <c r="M4" s="59"/>
    </row>
    <row r="5" spans="1:13" ht="16">
      <c r="A5" s="60" t="s">
        <v>57</v>
      </c>
      <c r="B5" s="60"/>
      <c r="C5" s="61"/>
      <c r="D5" s="61"/>
      <c r="E5" s="61"/>
      <c r="F5" s="61"/>
      <c r="G5" s="61"/>
      <c r="H5" s="61"/>
      <c r="I5" s="61"/>
      <c r="J5" s="61"/>
    </row>
    <row r="6" spans="1:13">
      <c r="A6" s="21" t="s">
        <v>47</v>
      </c>
      <c r="B6" s="15" t="s">
        <v>371</v>
      </c>
      <c r="C6" s="15" t="s">
        <v>372</v>
      </c>
      <c r="D6" s="15" t="s">
        <v>373</v>
      </c>
      <c r="E6" s="15" t="s">
        <v>718</v>
      </c>
      <c r="F6" s="15" t="s">
        <v>341</v>
      </c>
      <c r="G6" s="22" t="s">
        <v>535</v>
      </c>
      <c r="H6" s="22" t="s">
        <v>536</v>
      </c>
      <c r="I6" s="21"/>
      <c r="J6" s="21"/>
      <c r="K6" s="21" t="str">
        <f>"25,0"</f>
        <v>25,0</v>
      </c>
      <c r="L6" s="21" t="str">
        <f>"28,1175"</f>
        <v>28,1175</v>
      </c>
      <c r="M6" s="15" t="s">
        <v>599</v>
      </c>
    </row>
    <row r="7" spans="1:13">
      <c r="B7" s="5" t="s">
        <v>8</v>
      </c>
    </row>
    <row r="8" spans="1:13" ht="16">
      <c r="A8" s="52" t="s">
        <v>49</v>
      </c>
      <c r="B8" s="52"/>
      <c r="C8" s="53"/>
      <c r="D8" s="53"/>
      <c r="E8" s="53"/>
      <c r="F8" s="53"/>
      <c r="G8" s="53"/>
      <c r="H8" s="53"/>
      <c r="I8" s="53"/>
      <c r="J8" s="53"/>
    </row>
    <row r="9" spans="1:13">
      <c r="A9" s="21" t="s">
        <v>47</v>
      </c>
      <c r="B9" s="15" t="s">
        <v>537</v>
      </c>
      <c r="C9" s="15" t="s">
        <v>695</v>
      </c>
      <c r="D9" s="15" t="s">
        <v>538</v>
      </c>
      <c r="E9" s="15" t="s">
        <v>720</v>
      </c>
      <c r="F9" s="15" t="s">
        <v>539</v>
      </c>
      <c r="G9" s="22" t="s">
        <v>66</v>
      </c>
      <c r="H9" s="22" t="s">
        <v>181</v>
      </c>
      <c r="I9" s="23" t="s">
        <v>177</v>
      </c>
      <c r="J9" s="21"/>
      <c r="K9" s="21" t="str">
        <f>"50,0"</f>
        <v>50,0</v>
      </c>
      <c r="L9" s="21" t="str">
        <f>"38,0475"</f>
        <v>38,0475</v>
      </c>
      <c r="M9" s="15"/>
    </row>
    <row r="10" spans="1:13">
      <c r="B10" s="5" t="s">
        <v>8</v>
      </c>
    </row>
    <row r="11" spans="1:13" ht="16">
      <c r="A11" s="52" t="s">
        <v>97</v>
      </c>
      <c r="B11" s="52"/>
      <c r="C11" s="53"/>
      <c r="D11" s="53"/>
      <c r="E11" s="53"/>
      <c r="F11" s="53"/>
      <c r="G11" s="53"/>
      <c r="H11" s="53"/>
      <c r="I11" s="53"/>
      <c r="J11" s="53"/>
    </row>
    <row r="12" spans="1:13">
      <c r="A12" s="9" t="s">
        <v>47</v>
      </c>
      <c r="B12" s="8" t="s">
        <v>540</v>
      </c>
      <c r="C12" s="8" t="s">
        <v>704</v>
      </c>
      <c r="D12" s="8" t="s">
        <v>221</v>
      </c>
      <c r="E12" s="8" t="s">
        <v>719</v>
      </c>
      <c r="F12" s="8" t="s">
        <v>327</v>
      </c>
      <c r="G12" s="17" t="s">
        <v>94</v>
      </c>
      <c r="H12" s="17" t="s">
        <v>185</v>
      </c>
      <c r="I12" s="17" t="s">
        <v>541</v>
      </c>
      <c r="J12" s="9"/>
      <c r="K12" s="9" t="str">
        <f>"72,5"</f>
        <v>72,5</v>
      </c>
      <c r="L12" s="34" t="str">
        <f>"46,9184"</f>
        <v>46,9184</v>
      </c>
      <c r="M12" s="8" t="s">
        <v>600</v>
      </c>
    </row>
    <row r="13" spans="1:13">
      <c r="A13" s="25" t="s">
        <v>172</v>
      </c>
      <c r="B13" s="24" t="s">
        <v>524</v>
      </c>
      <c r="C13" s="24" t="s">
        <v>699</v>
      </c>
      <c r="D13" s="24" t="s">
        <v>525</v>
      </c>
      <c r="E13" s="24" t="s">
        <v>719</v>
      </c>
      <c r="F13" s="24" t="s">
        <v>108</v>
      </c>
      <c r="G13" s="27" t="s">
        <v>92</v>
      </c>
      <c r="H13" s="26" t="s">
        <v>92</v>
      </c>
      <c r="I13" s="27" t="s">
        <v>191</v>
      </c>
      <c r="J13" s="25"/>
      <c r="K13" s="25" t="str">
        <f>"55,0"</f>
        <v>55,0</v>
      </c>
      <c r="L13" s="35" t="str">
        <f>"35,9700"</f>
        <v>35,9700</v>
      </c>
      <c r="M13" s="24" t="s">
        <v>600</v>
      </c>
    </row>
    <row r="14" spans="1:13">
      <c r="A14" s="11" t="s">
        <v>47</v>
      </c>
      <c r="B14" s="10" t="s">
        <v>542</v>
      </c>
      <c r="C14" s="10" t="s">
        <v>543</v>
      </c>
      <c r="D14" s="10" t="s">
        <v>544</v>
      </c>
      <c r="E14" s="10" t="s">
        <v>718</v>
      </c>
      <c r="F14" s="10" t="s">
        <v>327</v>
      </c>
      <c r="G14" s="19" t="s">
        <v>181</v>
      </c>
      <c r="H14" s="20" t="s">
        <v>92</v>
      </c>
      <c r="I14" s="19" t="s">
        <v>92</v>
      </c>
      <c r="J14" s="11"/>
      <c r="K14" s="11" t="str">
        <f>"55,0"</f>
        <v>55,0</v>
      </c>
      <c r="L14" s="36" t="str">
        <f>"35,8215"</f>
        <v>35,8215</v>
      </c>
      <c r="M14" s="10" t="s">
        <v>600</v>
      </c>
    </row>
    <row r="15" spans="1:13">
      <c r="B15" s="5" t="s">
        <v>8</v>
      </c>
    </row>
    <row r="16" spans="1:13" ht="16">
      <c r="A16" s="52" t="s">
        <v>12</v>
      </c>
      <c r="B16" s="52"/>
      <c r="C16" s="53"/>
      <c r="D16" s="53"/>
      <c r="E16" s="53"/>
      <c r="F16" s="53"/>
      <c r="G16" s="53"/>
      <c r="H16" s="53"/>
      <c r="I16" s="53"/>
      <c r="J16" s="53"/>
    </row>
    <row r="17" spans="1:13">
      <c r="A17" s="9" t="s">
        <v>47</v>
      </c>
      <c r="B17" s="8" t="s">
        <v>545</v>
      </c>
      <c r="C17" s="8" t="s">
        <v>705</v>
      </c>
      <c r="D17" s="8" t="s">
        <v>546</v>
      </c>
      <c r="E17" s="8" t="s">
        <v>719</v>
      </c>
      <c r="F17" s="8" t="s">
        <v>108</v>
      </c>
      <c r="G17" s="17" t="s">
        <v>94</v>
      </c>
      <c r="H17" s="17" t="s">
        <v>185</v>
      </c>
      <c r="I17" s="17" t="s">
        <v>541</v>
      </c>
      <c r="J17" s="9"/>
      <c r="K17" s="9" t="str">
        <f>"72,5"</f>
        <v>72,5</v>
      </c>
      <c r="L17" s="9" t="str">
        <f>"45,1965"</f>
        <v>45,1965</v>
      </c>
      <c r="M17" s="8"/>
    </row>
    <row r="18" spans="1:13">
      <c r="A18" s="25" t="s">
        <v>47</v>
      </c>
      <c r="B18" s="24" t="s">
        <v>545</v>
      </c>
      <c r="C18" s="24" t="s">
        <v>547</v>
      </c>
      <c r="D18" s="24" t="s">
        <v>546</v>
      </c>
      <c r="E18" s="24" t="s">
        <v>718</v>
      </c>
      <c r="F18" s="24" t="s">
        <v>108</v>
      </c>
      <c r="G18" s="26" t="s">
        <v>94</v>
      </c>
      <c r="H18" s="26" t="s">
        <v>185</v>
      </c>
      <c r="I18" s="26" t="s">
        <v>541</v>
      </c>
      <c r="J18" s="25"/>
      <c r="K18" s="25" t="str">
        <f>"72,5"</f>
        <v>72,5</v>
      </c>
      <c r="L18" s="25" t="str">
        <f>"45,1965"</f>
        <v>45,1965</v>
      </c>
      <c r="M18" s="24"/>
    </row>
    <row r="19" spans="1:13">
      <c r="A19" s="11" t="s">
        <v>172</v>
      </c>
      <c r="B19" s="10" t="s">
        <v>548</v>
      </c>
      <c r="C19" s="10" t="s">
        <v>549</v>
      </c>
      <c r="D19" s="10" t="s">
        <v>228</v>
      </c>
      <c r="E19" s="10" t="s">
        <v>718</v>
      </c>
      <c r="F19" s="10" t="s">
        <v>108</v>
      </c>
      <c r="G19" s="19" t="s">
        <v>200</v>
      </c>
      <c r="H19" s="19" t="s">
        <v>92</v>
      </c>
      <c r="I19" s="20" t="s">
        <v>94</v>
      </c>
      <c r="J19" s="11"/>
      <c r="K19" s="11" t="str">
        <f>"55,0"</f>
        <v>55,0</v>
      </c>
      <c r="L19" s="11" t="str">
        <f>"33,9048"</f>
        <v>33,9048</v>
      </c>
      <c r="M19" s="10"/>
    </row>
    <row r="20" spans="1:13">
      <c r="B20" s="5" t="s">
        <v>8</v>
      </c>
    </row>
    <row r="21" spans="1:13" ht="16">
      <c r="A21" s="52" t="s">
        <v>28</v>
      </c>
      <c r="B21" s="52"/>
      <c r="C21" s="53"/>
      <c r="D21" s="53"/>
      <c r="E21" s="53"/>
      <c r="F21" s="53"/>
      <c r="G21" s="53"/>
      <c r="H21" s="53"/>
      <c r="I21" s="53"/>
      <c r="J21" s="53"/>
    </row>
    <row r="22" spans="1:13">
      <c r="A22" s="21" t="s">
        <v>47</v>
      </c>
      <c r="B22" s="15" t="s">
        <v>550</v>
      </c>
      <c r="C22" s="15" t="s">
        <v>551</v>
      </c>
      <c r="D22" s="15" t="s">
        <v>552</v>
      </c>
      <c r="E22" s="15" t="s">
        <v>718</v>
      </c>
      <c r="F22" s="15" t="s">
        <v>327</v>
      </c>
      <c r="G22" s="22" t="s">
        <v>191</v>
      </c>
      <c r="H22" s="22" t="s">
        <v>94</v>
      </c>
      <c r="I22" s="21"/>
      <c r="J22" s="21"/>
      <c r="K22" s="21" t="str">
        <f>"65,0"</f>
        <v>65,0</v>
      </c>
      <c r="L22" s="21" t="str">
        <f>"39,0195"</f>
        <v>39,0195</v>
      </c>
      <c r="M22" s="15" t="s">
        <v>601</v>
      </c>
    </row>
    <row r="23" spans="1:13">
      <c r="B23" s="5" t="s">
        <v>8</v>
      </c>
    </row>
    <row r="24" spans="1:13">
      <c r="B24" s="5" t="s">
        <v>8</v>
      </c>
    </row>
  </sheetData>
  <mergeCells count="16"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  <mergeCell ref="A21:J21"/>
    <mergeCell ref="A5:J5"/>
    <mergeCell ref="A8:J8"/>
    <mergeCell ref="A11:J11"/>
    <mergeCell ref="A16:J16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M11"/>
  <sheetViews>
    <sheetView tabSelected="1" workbookViewId="0">
      <selection sqref="A1:M2"/>
    </sheetView>
  </sheetViews>
  <sheetFormatPr baseColWidth="10" defaultColWidth="9.1640625" defaultRowHeight="13"/>
  <cols>
    <col min="1" max="1" width="7.1640625" style="5" bestFit="1" customWidth="1"/>
    <col min="2" max="2" width="19.1640625" style="5" bestFit="1" customWidth="1"/>
    <col min="3" max="3" width="27.6640625" style="5" bestFit="1" customWidth="1"/>
    <col min="4" max="4" width="20.83203125" style="5" bestFit="1" customWidth="1"/>
    <col min="5" max="5" width="10.1640625" style="5" bestFit="1" customWidth="1"/>
    <col min="6" max="6" width="31.6640625" style="5" customWidth="1"/>
    <col min="7" max="10" width="4.5" style="6" customWidth="1"/>
    <col min="11" max="11" width="10.5" style="6" bestFit="1" customWidth="1"/>
    <col min="12" max="12" width="7.5" style="6" bestFit="1" customWidth="1"/>
    <col min="13" max="13" width="21.83203125" style="5" customWidth="1"/>
    <col min="14" max="16384" width="9.1640625" style="3"/>
  </cols>
  <sheetData>
    <row r="1" spans="1:13" s="2" customFormat="1" ht="29" customHeight="1">
      <c r="A1" s="64" t="s">
        <v>659</v>
      </c>
      <c r="B1" s="65"/>
      <c r="C1" s="66"/>
      <c r="D1" s="66"/>
      <c r="E1" s="66"/>
      <c r="F1" s="66"/>
      <c r="G1" s="66"/>
      <c r="H1" s="66"/>
      <c r="I1" s="66"/>
      <c r="J1" s="66"/>
      <c r="K1" s="66"/>
      <c r="L1" s="66"/>
      <c r="M1" s="67"/>
    </row>
    <row r="2" spans="1:13" s="2" customFormat="1" ht="62" customHeight="1" thickBot="1">
      <c r="A2" s="68"/>
      <c r="B2" s="69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s="1" customFormat="1" ht="12.75" customHeight="1">
      <c r="A3" s="72" t="s">
        <v>715</v>
      </c>
      <c r="B3" s="62" t="s">
        <v>0</v>
      </c>
      <c r="C3" s="74" t="s">
        <v>716</v>
      </c>
      <c r="D3" s="74" t="s">
        <v>6</v>
      </c>
      <c r="E3" s="56" t="s">
        <v>717</v>
      </c>
      <c r="F3" s="56" t="s">
        <v>5</v>
      </c>
      <c r="G3" s="56" t="s">
        <v>714</v>
      </c>
      <c r="H3" s="56"/>
      <c r="I3" s="56"/>
      <c r="J3" s="56"/>
      <c r="K3" s="56" t="s">
        <v>363</v>
      </c>
      <c r="L3" s="56" t="s">
        <v>3</v>
      </c>
      <c r="M3" s="58" t="s">
        <v>2</v>
      </c>
    </row>
    <row r="4" spans="1:13" s="1" customFormat="1" ht="21" customHeight="1" thickBot="1">
      <c r="A4" s="73"/>
      <c r="B4" s="63"/>
      <c r="C4" s="57"/>
      <c r="D4" s="57"/>
      <c r="E4" s="57"/>
      <c r="F4" s="57"/>
      <c r="G4" s="4">
        <v>1</v>
      </c>
      <c r="H4" s="4">
        <v>2</v>
      </c>
      <c r="I4" s="4">
        <v>3</v>
      </c>
      <c r="J4" s="4" t="s">
        <v>4</v>
      </c>
      <c r="K4" s="57"/>
      <c r="L4" s="57"/>
      <c r="M4" s="59"/>
    </row>
    <row r="5" spans="1:13" ht="16">
      <c r="A5" s="60" t="s">
        <v>87</v>
      </c>
      <c r="B5" s="60"/>
      <c r="C5" s="61"/>
      <c r="D5" s="61"/>
      <c r="E5" s="61"/>
      <c r="F5" s="61"/>
      <c r="G5" s="61"/>
      <c r="H5" s="61"/>
      <c r="I5" s="61"/>
      <c r="J5" s="61"/>
    </row>
    <row r="6" spans="1:13">
      <c r="A6" s="21" t="s">
        <v>47</v>
      </c>
      <c r="B6" s="15" t="s">
        <v>529</v>
      </c>
      <c r="C6" s="15" t="s">
        <v>702</v>
      </c>
      <c r="D6" s="15" t="s">
        <v>530</v>
      </c>
      <c r="E6" s="15" t="s">
        <v>720</v>
      </c>
      <c r="F6" s="15" t="s">
        <v>713</v>
      </c>
      <c r="G6" s="22" t="s">
        <v>177</v>
      </c>
      <c r="H6" s="22" t="s">
        <v>92</v>
      </c>
      <c r="I6" s="23" t="s">
        <v>96</v>
      </c>
      <c r="J6" s="21"/>
      <c r="K6" s="21" t="str">
        <f>"55,0"</f>
        <v>55,0</v>
      </c>
      <c r="L6" s="21" t="str">
        <f>"40,3205"</f>
        <v>40,3205</v>
      </c>
      <c r="M6" s="15"/>
    </row>
    <row r="7" spans="1:13">
      <c r="B7" s="5" t="s">
        <v>8</v>
      </c>
    </row>
    <row r="8" spans="1:13" ht="16">
      <c r="A8" s="52" t="s">
        <v>144</v>
      </c>
      <c r="B8" s="52"/>
      <c r="C8" s="53"/>
      <c r="D8" s="53"/>
      <c r="E8" s="53"/>
      <c r="F8" s="53"/>
      <c r="G8" s="53"/>
      <c r="H8" s="53"/>
      <c r="I8" s="53"/>
      <c r="J8" s="53"/>
    </row>
    <row r="9" spans="1:13">
      <c r="A9" s="21" t="s">
        <v>47</v>
      </c>
      <c r="B9" s="15" t="s">
        <v>532</v>
      </c>
      <c r="C9" s="15" t="s">
        <v>533</v>
      </c>
      <c r="D9" s="15" t="s">
        <v>534</v>
      </c>
      <c r="E9" s="15" t="s">
        <v>718</v>
      </c>
      <c r="F9" s="15" t="s">
        <v>108</v>
      </c>
      <c r="G9" s="23" t="s">
        <v>404</v>
      </c>
      <c r="H9" s="22" t="s">
        <v>404</v>
      </c>
      <c r="I9" s="22" t="s">
        <v>73</v>
      </c>
      <c r="J9" s="21"/>
      <c r="K9" s="21" t="str">
        <f>"85,0"</f>
        <v>85,0</v>
      </c>
      <c r="L9" s="21" t="str">
        <f>"48,0250"</f>
        <v>48,0250</v>
      </c>
      <c r="M9" s="15"/>
    </row>
    <row r="10" spans="1:13">
      <c r="B10" s="5" t="s">
        <v>8</v>
      </c>
    </row>
    <row r="11" spans="1:13">
      <c r="B11" s="5" t="s">
        <v>8</v>
      </c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U11"/>
  <sheetViews>
    <sheetView workbookViewId="0">
      <selection activeCell="E10" sqref="E10"/>
    </sheetView>
  </sheetViews>
  <sheetFormatPr baseColWidth="10" defaultColWidth="9.1640625" defaultRowHeight="13"/>
  <cols>
    <col min="1" max="1" width="7.1640625" style="5" bestFit="1" customWidth="1"/>
    <col min="2" max="2" width="18.1640625" style="5" bestFit="1" customWidth="1"/>
    <col min="3" max="3" width="25.1640625" style="5" bestFit="1" customWidth="1"/>
    <col min="4" max="4" width="20.83203125" style="5" bestFit="1" customWidth="1"/>
    <col min="5" max="5" width="10.1640625" style="5" bestFit="1" customWidth="1"/>
    <col min="6" max="6" width="25.6640625" style="5" bestFit="1" customWidth="1"/>
    <col min="7" max="9" width="5.5" style="6" customWidth="1"/>
    <col min="10" max="11" width="4.5" style="6" customWidth="1"/>
    <col min="12" max="13" width="5.5" style="6" customWidth="1"/>
    <col min="14" max="14" width="4.5" style="6" customWidth="1"/>
    <col min="15" max="16" width="5.5" style="6" customWidth="1"/>
    <col min="17" max="17" width="4.6640625" style="6" customWidth="1"/>
    <col min="18" max="18" width="4.5" style="6" customWidth="1"/>
    <col min="19" max="19" width="7.6640625" style="6" bestFit="1" customWidth="1"/>
    <col min="20" max="20" width="8.5" style="6" bestFit="1" customWidth="1"/>
    <col min="21" max="21" width="19" style="5" bestFit="1" customWidth="1"/>
    <col min="22" max="16384" width="9.1640625" style="3"/>
  </cols>
  <sheetData>
    <row r="1" spans="1:21" s="2" customFormat="1" ht="29" customHeight="1">
      <c r="A1" s="64" t="s">
        <v>635</v>
      </c>
      <c r="B1" s="65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7"/>
    </row>
    <row r="2" spans="1:21" s="2" customFormat="1" ht="62" customHeight="1" thickBot="1">
      <c r="A2" s="68"/>
      <c r="B2" s="69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1"/>
    </row>
    <row r="3" spans="1:21" s="1" customFormat="1" ht="12.75" customHeight="1">
      <c r="A3" s="72" t="s">
        <v>715</v>
      </c>
      <c r="B3" s="62" t="s">
        <v>0</v>
      </c>
      <c r="C3" s="74" t="s">
        <v>716</v>
      </c>
      <c r="D3" s="74" t="s">
        <v>6</v>
      </c>
      <c r="E3" s="56" t="s">
        <v>717</v>
      </c>
      <c r="F3" s="56" t="s">
        <v>5</v>
      </c>
      <c r="G3" s="56" t="s">
        <v>9</v>
      </c>
      <c r="H3" s="56"/>
      <c r="I3" s="56"/>
      <c r="J3" s="56"/>
      <c r="K3" s="56" t="s">
        <v>10</v>
      </c>
      <c r="L3" s="56"/>
      <c r="M3" s="56"/>
      <c r="N3" s="56"/>
      <c r="O3" s="56" t="s">
        <v>11</v>
      </c>
      <c r="P3" s="56"/>
      <c r="Q3" s="56"/>
      <c r="R3" s="56"/>
      <c r="S3" s="56" t="s">
        <v>1</v>
      </c>
      <c r="T3" s="56" t="s">
        <v>3</v>
      </c>
      <c r="U3" s="58" t="s">
        <v>2</v>
      </c>
    </row>
    <row r="4" spans="1:21" s="1" customFormat="1" ht="21" customHeight="1" thickBot="1">
      <c r="A4" s="73"/>
      <c r="B4" s="63"/>
      <c r="C4" s="57"/>
      <c r="D4" s="57"/>
      <c r="E4" s="57"/>
      <c r="F4" s="57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7"/>
      <c r="T4" s="57"/>
      <c r="U4" s="59"/>
    </row>
    <row r="5" spans="1:21" ht="16">
      <c r="A5" s="60" t="s">
        <v>278</v>
      </c>
      <c r="B5" s="60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</row>
    <row r="6" spans="1:21">
      <c r="A6" s="21" t="s">
        <v>47</v>
      </c>
      <c r="B6" s="15" t="s">
        <v>279</v>
      </c>
      <c r="C6" s="15" t="s">
        <v>280</v>
      </c>
      <c r="D6" s="15" t="s">
        <v>281</v>
      </c>
      <c r="E6" s="15" t="s">
        <v>718</v>
      </c>
      <c r="F6" s="15" t="s">
        <v>108</v>
      </c>
      <c r="G6" s="22" t="s">
        <v>73</v>
      </c>
      <c r="H6" s="22" t="s">
        <v>76</v>
      </c>
      <c r="I6" s="22" t="s">
        <v>83</v>
      </c>
      <c r="J6" s="21"/>
      <c r="K6" s="22" t="s">
        <v>66</v>
      </c>
      <c r="L6" s="22" t="s">
        <v>200</v>
      </c>
      <c r="M6" s="23" t="s">
        <v>181</v>
      </c>
      <c r="N6" s="21"/>
      <c r="O6" s="22" t="s">
        <v>226</v>
      </c>
      <c r="P6" s="22" t="s">
        <v>111</v>
      </c>
      <c r="Q6" s="21"/>
      <c r="R6" s="21"/>
      <c r="S6" s="21" t="str">
        <f>"250,0"</f>
        <v>250,0</v>
      </c>
      <c r="T6" s="21" t="str">
        <f>"331,1000"</f>
        <v>331,1000</v>
      </c>
      <c r="U6" s="15" t="s">
        <v>607</v>
      </c>
    </row>
    <row r="7" spans="1:21">
      <c r="B7" s="5" t="s">
        <v>8</v>
      </c>
    </row>
    <row r="8" spans="1:21" ht="16">
      <c r="A8" s="52" t="s">
        <v>97</v>
      </c>
      <c r="B8" s="52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</row>
    <row r="9" spans="1:21">
      <c r="A9" s="21" t="s">
        <v>47</v>
      </c>
      <c r="B9" s="15" t="s">
        <v>282</v>
      </c>
      <c r="C9" s="15" t="s">
        <v>283</v>
      </c>
      <c r="D9" s="15" t="s">
        <v>284</v>
      </c>
      <c r="E9" s="15" t="s">
        <v>718</v>
      </c>
      <c r="F9" s="15" t="s">
        <v>708</v>
      </c>
      <c r="G9" s="22" t="s">
        <v>84</v>
      </c>
      <c r="H9" s="22" t="s">
        <v>120</v>
      </c>
      <c r="I9" s="23" t="s">
        <v>121</v>
      </c>
      <c r="J9" s="21"/>
      <c r="K9" s="22" t="s">
        <v>77</v>
      </c>
      <c r="L9" s="22" t="s">
        <v>61</v>
      </c>
      <c r="M9" s="22" t="s">
        <v>62</v>
      </c>
      <c r="N9" s="21"/>
      <c r="O9" s="22" t="s">
        <v>255</v>
      </c>
      <c r="P9" s="23" t="s">
        <v>27</v>
      </c>
      <c r="Q9" s="21"/>
      <c r="R9" s="21"/>
      <c r="S9" s="21" t="str">
        <f>"472,5"</f>
        <v>472,5</v>
      </c>
      <c r="T9" s="21" t="str">
        <f>"322,5757"</f>
        <v>322,5757</v>
      </c>
      <c r="U9" s="15" t="s">
        <v>595</v>
      </c>
    </row>
    <row r="10" spans="1:21">
      <c r="B10" s="5" t="s">
        <v>8</v>
      </c>
    </row>
    <row r="11" spans="1:21">
      <c r="B11" s="5" t="s">
        <v>8</v>
      </c>
    </row>
  </sheetData>
  <mergeCells count="15"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8:R8"/>
    <mergeCell ref="B3:B4"/>
    <mergeCell ref="S3:S4"/>
    <mergeCell ref="T3:T4"/>
    <mergeCell ref="U3:U4"/>
    <mergeCell ref="A5:R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U8"/>
  <sheetViews>
    <sheetView workbookViewId="0">
      <selection activeCell="E8" sqref="E8"/>
    </sheetView>
  </sheetViews>
  <sheetFormatPr baseColWidth="10" defaultColWidth="9.1640625" defaultRowHeight="13"/>
  <cols>
    <col min="1" max="1" width="7.1640625" style="5" bestFit="1" customWidth="1"/>
    <col min="2" max="2" width="16.6640625" style="5" bestFit="1" customWidth="1"/>
    <col min="3" max="3" width="25.1640625" style="5" bestFit="1" customWidth="1"/>
    <col min="4" max="4" width="20.83203125" style="5" bestFit="1" customWidth="1"/>
    <col min="5" max="5" width="10.1640625" style="5" bestFit="1" customWidth="1"/>
    <col min="6" max="6" width="25.6640625" style="5" bestFit="1" customWidth="1"/>
    <col min="7" max="9" width="5.5" style="6" customWidth="1"/>
    <col min="10" max="10" width="4.5" style="6" customWidth="1"/>
    <col min="11" max="13" width="5.5" style="6" customWidth="1"/>
    <col min="14" max="14" width="4.5" style="6" customWidth="1"/>
    <col min="15" max="17" width="5.5" style="6" customWidth="1"/>
    <col min="18" max="18" width="4.5" style="6" customWidth="1"/>
    <col min="19" max="19" width="7.6640625" style="6" bestFit="1" customWidth="1"/>
    <col min="20" max="20" width="8.5" style="6" bestFit="1" customWidth="1"/>
    <col min="21" max="21" width="16.1640625" style="5" bestFit="1" customWidth="1"/>
    <col min="22" max="16384" width="9.1640625" style="3"/>
  </cols>
  <sheetData>
    <row r="1" spans="1:21" s="2" customFormat="1" ht="29" customHeight="1">
      <c r="A1" s="64" t="s">
        <v>636</v>
      </c>
      <c r="B1" s="65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7"/>
    </row>
    <row r="2" spans="1:21" s="2" customFormat="1" ht="62" customHeight="1" thickBot="1">
      <c r="A2" s="68"/>
      <c r="B2" s="69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1"/>
    </row>
    <row r="3" spans="1:21" s="1" customFormat="1" ht="12.75" customHeight="1">
      <c r="A3" s="72" t="s">
        <v>715</v>
      </c>
      <c r="B3" s="62" t="s">
        <v>0</v>
      </c>
      <c r="C3" s="74" t="s">
        <v>716</v>
      </c>
      <c r="D3" s="74" t="s">
        <v>6</v>
      </c>
      <c r="E3" s="56" t="s">
        <v>717</v>
      </c>
      <c r="F3" s="56" t="s">
        <v>5</v>
      </c>
      <c r="G3" s="56" t="s">
        <v>9</v>
      </c>
      <c r="H3" s="56"/>
      <c r="I3" s="56"/>
      <c r="J3" s="56"/>
      <c r="K3" s="56" t="s">
        <v>10</v>
      </c>
      <c r="L3" s="56"/>
      <c r="M3" s="56"/>
      <c r="N3" s="56"/>
      <c r="O3" s="56" t="s">
        <v>11</v>
      </c>
      <c r="P3" s="56"/>
      <c r="Q3" s="56"/>
      <c r="R3" s="56"/>
      <c r="S3" s="56" t="s">
        <v>1</v>
      </c>
      <c r="T3" s="56" t="s">
        <v>3</v>
      </c>
      <c r="U3" s="58" t="s">
        <v>2</v>
      </c>
    </row>
    <row r="4" spans="1:21" s="1" customFormat="1" ht="21" customHeight="1" thickBot="1">
      <c r="A4" s="73"/>
      <c r="B4" s="63"/>
      <c r="C4" s="57"/>
      <c r="D4" s="57"/>
      <c r="E4" s="57"/>
      <c r="F4" s="57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7"/>
      <c r="T4" s="57"/>
      <c r="U4" s="59"/>
    </row>
    <row r="5" spans="1:21" ht="16">
      <c r="A5" s="60" t="s">
        <v>28</v>
      </c>
      <c r="B5" s="60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</row>
    <row r="6" spans="1:21">
      <c r="A6" s="9" t="s">
        <v>47</v>
      </c>
      <c r="B6" s="8" t="s">
        <v>272</v>
      </c>
      <c r="C6" s="8" t="s">
        <v>273</v>
      </c>
      <c r="D6" s="8" t="s">
        <v>274</v>
      </c>
      <c r="E6" s="8" t="s">
        <v>718</v>
      </c>
      <c r="F6" s="8" t="s">
        <v>108</v>
      </c>
      <c r="G6" s="17" t="s">
        <v>24</v>
      </c>
      <c r="H6" s="17" t="s">
        <v>119</v>
      </c>
      <c r="I6" s="17" t="s">
        <v>131</v>
      </c>
      <c r="J6" s="9"/>
      <c r="K6" s="17" t="s">
        <v>25</v>
      </c>
      <c r="L6" s="17" t="s">
        <v>85</v>
      </c>
      <c r="M6" s="17" t="s">
        <v>141</v>
      </c>
      <c r="N6" s="9"/>
      <c r="O6" s="17" t="s">
        <v>22</v>
      </c>
      <c r="P6" s="17" t="s">
        <v>24</v>
      </c>
      <c r="Q6" s="18" t="s">
        <v>18</v>
      </c>
      <c r="R6" s="9"/>
      <c r="S6" s="9" t="str">
        <f>"630,0"</f>
        <v>630,0</v>
      </c>
      <c r="T6" s="9" t="str">
        <f>"388,1430"</f>
        <v>388,1430</v>
      </c>
      <c r="U6" s="8" t="s">
        <v>607</v>
      </c>
    </row>
    <row r="7" spans="1:21">
      <c r="A7" s="11" t="s">
        <v>172</v>
      </c>
      <c r="B7" s="10" t="s">
        <v>275</v>
      </c>
      <c r="C7" s="10" t="s">
        <v>276</v>
      </c>
      <c r="D7" s="10" t="s">
        <v>277</v>
      </c>
      <c r="E7" s="10" t="s">
        <v>718</v>
      </c>
      <c r="F7" s="10" t="s">
        <v>108</v>
      </c>
      <c r="G7" s="19" t="s">
        <v>121</v>
      </c>
      <c r="H7" s="19" t="s">
        <v>34</v>
      </c>
      <c r="I7" s="20" t="s">
        <v>21</v>
      </c>
      <c r="J7" s="11"/>
      <c r="K7" s="19" t="s">
        <v>111</v>
      </c>
      <c r="L7" s="20" t="s">
        <v>67</v>
      </c>
      <c r="M7" s="19" t="s">
        <v>68</v>
      </c>
      <c r="N7" s="11"/>
      <c r="O7" s="19" t="s">
        <v>16</v>
      </c>
      <c r="P7" s="19" t="s">
        <v>22</v>
      </c>
      <c r="Q7" s="19" t="s">
        <v>17</v>
      </c>
      <c r="R7" s="11"/>
      <c r="S7" s="11" t="str">
        <f>"520,0"</f>
        <v>520,0</v>
      </c>
      <c r="T7" s="11" t="str">
        <f>"317,0960"</f>
        <v>317,0960</v>
      </c>
      <c r="U7" s="10"/>
    </row>
    <row r="8" spans="1:21">
      <c r="B8" s="5" t="s">
        <v>8</v>
      </c>
    </row>
  </sheetData>
  <mergeCells count="14">
    <mergeCell ref="A5:R5"/>
    <mergeCell ref="B3:B4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U20"/>
  <sheetViews>
    <sheetView workbookViewId="0">
      <selection activeCell="E10" sqref="E10"/>
    </sheetView>
  </sheetViews>
  <sheetFormatPr baseColWidth="10" defaultColWidth="9.1640625" defaultRowHeight="13"/>
  <cols>
    <col min="1" max="1" width="7.1640625" style="5" bestFit="1" customWidth="1"/>
    <col min="2" max="2" width="16.83203125" style="5" bestFit="1" customWidth="1"/>
    <col min="3" max="3" width="25.1640625" style="5" bestFit="1" customWidth="1"/>
    <col min="4" max="4" width="14.83203125" style="5" bestFit="1" customWidth="1"/>
    <col min="5" max="5" width="9.6640625" style="5" customWidth="1"/>
    <col min="6" max="6" width="29" style="5" customWidth="1"/>
    <col min="7" max="9" width="5.5" style="6" customWidth="1"/>
    <col min="10" max="10" width="4.5" style="6" customWidth="1"/>
    <col min="11" max="13" width="5.5" style="6" customWidth="1"/>
    <col min="14" max="14" width="4.5" style="6" customWidth="1"/>
    <col min="15" max="17" width="5.5" style="6" customWidth="1"/>
    <col min="18" max="18" width="4.5" style="6" customWidth="1"/>
    <col min="19" max="19" width="7.6640625" style="29" bestFit="1" customWidth="1"/>
    <col min="20" max="20" width="6.5" style="6" bestFit="1" customWidth="1"/>
    <col min="21" max="21" width="19.5" style="5" bestFit="1" customWidth="1"/>
    <col min="22" max="16384" width="9.1640625" style="3"/>
  </cols>
  <sheetData>
    <row r="1" spans="1:21" s="2" customFormat="1" ht="29" customHeight="1">
      <c r="A1" s="64" t="s">
        <v>637</v>
      </c>
      <c r="B1" s="65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7"/>
    </row>
    <row r="2" spans="1:21" s="2" customFormat="1" ht="62" customHeight="1" thickBot="1">
      <c r="A2" s="68"/>
      <c r="B2" s="69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1"/>
    </row>
    <row r="3" spans="1:21" s="1" customFormat="1" ht="12.75" customHeight="1">
      <c r="A3" s="72" t="s">
        <v>715</v>
      </c>
      <c r="B3" s="62" t="s">
        <v>0</v>
      </c>
      <c r="C3" s="74" t="s">
        <v>716</v>
      </c>
      <c r="D3" s="74" t="s">
        <v>6</v>
      </c>
      <c r="E3" s="56" t="s">
        <v>717</v>
      </c>
      <c r="F3" s="56" t="s">
        <v>5</v>
      </c>
      <c r="G3" s="56" t="s">
        <v>9</v>
      </c>
      <c r="H3" s="56"/>
      <c r="I3" s="56"/>
      <c r="J3" s="56"/>
      <c r="K3" s="56" t="s">
        <v>10</v>
      </c>
      <c r="L3" s="56"/>
      <c r="M3" s="56"/>
      <c r="N3" s="56"/>
      <c r="O3" s="56" t="s">
        <v>11</v>
      </c>
      <c r="P3" s="56"/>
      <c r="Q3" s="56"/>
      <c r="R3" s="56"/>
      <c r="S3" s="54" t="s">
        <v>1</v>
      </c>
      <c r="T3" s="56" t="s">
        <v>3</v>
      </c>
      <c r="U3" s="58" t="s">
        <v>2</v>
      </c>
    </row>
    <row r="4" spans="1:21" s="1" customFormat="1" ht="21" customHeight="1" thickBot="1">
      <c r="A4" s="73"/>
      <c r="B4" s="63"/>
      <c r="C4" s="57"/>
      <c r="D4" s="57"/>
      <c r="E4" s="57"/>
      <c r="F4" s="57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5"/>
      <c r="T4" s="57"/>
      <c r="U4" s="59"/>
    </row>
    <row r="5" spans="1:21" ht="16">
      <c r="A5" s="60" t="s">
        <v>49</v>
      </c>
      <c r="B5" s="60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</row>
    <row r="6" spans="1:21">
      <c r="A6" s="21" t="s">
        <v>48</v>
      </c>
      <c r="B6" s="15" t="s">
        <v>50</v>
      </c>
      <c r="C6" s="15" t="s">
        <v>51</v>
      </c>
      <c r="D6" s="15" t="s">
        <v>52</v>
      </c>
      <c r="E6" s="15" t="s">
        <v>718</v>
      </c>
      <c r="F6" s="15" t="s">
        <v>53</v>
      </c>
      <c r="G6" s="22" t="s">
        <v>54</v>
      </c>
      <c r="H6" s="22" t="s">
        <v>19</v>
      </c>
      <c r="I6" s="21"/>
      <c r="J6" s="21"/>
      <c r="K6" s="23" t="s">
        <v>55</v>
      </c>
      <c r="L6" s="23" t="s">
        <v>56</v>
      </c>
      <c r="M6" s="23" t="s">
        <v>56</v>
      </c>
      <c r="N6" s="21"/>
      <c r="O6" s="23"/>
      <c r="P6" s="21"/>
      <c r="Q6" s="21"/>
      <c r="R6" s="21"/>
      <c r="S6" s="33">
        <v>0</v>
      </c>
      <c r="T6" s="21" t="str">
        <f>"0,0000"</f>
        <v>0,0000</v>
      </c>
      <c r="U6" s="15" t="s">
        <v>602</v>
      </c>
    </row>
    <row r="7" spans="1:21">
      <c r="B7" s="5" t="s">
        <v>8</v>
      </c>
    </row>
    <row r="8" spans="1:21" ht="16">
      <c r="A8" s="52" t="s">
        <v>12</v>
      </c>
      <c r="B8" s="52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</row>
    <row r="9" spans="1:21">
      <c r="A9" s="21" t="s">
        <v>48</v>
      </c>
      <c r="B9" s="15" t="s">
        <v>13</v>
      </c>
      <c r="C9" s="15" t="s">
        <v>14</v>
      </c>
      <c r="D9" s="15" t="s">
        <v>15</v>
      </c>
      <c r="E9" s="15" t="s">
        <v>718</v>
      </c>
      <c r="F9" s="15" t="s">
        <v>708</v>
      </c>
      <c r="G9" s="22" t="s">
        <v>22</v>
      </c>
      <c r="H9" s="23" t="s">
        <v>24</v>
      </c>
      <c r="I9" s="22" t="s">
        <v>24</v>
      </c>
      <c r="J9" s="21"/>
      <c r="K9" s="23" t="s">
        <v>25</v>
      </c>
      <c r="L9" s="23" t="s">
        <v>25</v>
      </c>
      <c r="M9" s="23" t="s">
        <v>25</v>
      </c>
      <c r="N9" s="21"/>
      <c r="O9" s="21"/>
      <c r="P9" s="21"/>
      <c r="Q9" s="21"/>
      <c r="R9" s="21"/>
      <c r="S9" s="33">
        <v>0</v>
      </c>
      <c r="T9" s="21" t="str">
        <f>"0,0000"</f>
        <v>0,0000</v>
      </c>
      <c r="U9" s="15" t="s">
        <v>596</v>
      </c>
    </row>
    <row r="10" spans="1:21">
      <c r="B10" s="5" t="s">
        <v>8</v>
      </c>
    </row>
    <row r="11" spans="1:21">
      <c r="B11" s="5" t="s">
        <v>8</v>
      </c>
    </row>
    <row r="12" spans="1:21">
      <c r="B12" s="5" t="s">
        <v>8</v>
      </c>
    </row>
    <row r="13" spans="1:21">
      <c r="B13" s="5" t="s">
        <v>8</v>
      </c>
    </row>
    <row r="14" spans="1:21">
      <c r="B14" s="5" t="s">
        <v>8</v>
      </c>
    </row>
    <row r="15" spans="1:21">
      <c r="B15" s="5" t="s">
        <v>8</v>
      </c>
    </row>
    <row r="16" spans="1:21">
      <c r="B16" s="5" t="s">
        <v>8</v>
      </c>
    </row>
    <row r="17" spans="2:4">
      <c r="B17" s="5" t="s">
        <v>8</v>
      </c>
    </row>
    <row r="18" spans="2:4">
      <c r="B18" s="5" t="s">
        <v>8</v>
      </c>
    </row>
    <row r="20" spans="2:4" ht="18">
      <c r="C20" s="7"/>
      <c r="D20" s="7"/>
    </row>
  </sheetData>
  <mergeCells count="15"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8:R8"/>
    <mergeCell ref="B3:B4"/>
    <mergeCell ref="S3:S4"/>
    <mergeCell ref="T3:T4"/>
    <mergeCell ref="U3:U4"/>
    <mergeCell ref="A5:R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U12"/>
  <sheetViews>
    <sheetView workbookViewId="0">
      <selection sqref="A1:U2"/>
    </sheetView>
  </sheetViews>
  <sheetFormatPr baseColWidth="10" defaultColWidth="9.1640625" defaultRowHeight="13"/>
  <cols>
    <col min="1" max="1" width="7.1640625" style="5" bestFit="1" customWidth="1"/>
    <col min="2" max="2" width="16" style="5" bestFit="1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29.1640625" style="5" customWidth="1"/>
    <col min="7" max="9" width="5.5" style="6" customWidth="1"/>
    <col min="10" max="10" width="4.5" style="6" customWidth="1"/>
    <col min="11" max="13" width="5.5" style="6" customWidth="1"/>
    <col min="14" max="14" width="4.5" style="6" customWidth="1"/>
    <col min="15" max="17" width="5.5" style="6" customWidth="1"/>
    <col min="18" max="18" width="4.5" style="6" customWidth="1"/>
    <col min="19" max="19" width="7.6640625" style="6" bestFit="1" customWidth="1"/>
    <col min="20" max="20" width="8.5" style="6" bestFit="1" customWidth="1"/>
    <col min="21" max="21" width="16.5" style="5" bestFit="1" customWidth="1"/>
    <col min="22" max="16384" width="9.1640625" style="3"/>
  </cols>
  <sheetData>
    <row r="1" spans="1:21" s="2" customFormat="1" ht="29" customHeight="1">
      <c r="A1" s="64" t="s">
        <v>638</v>
      </c>
      <c r="B1" s="65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7"/>
    </row>
    <row r="2" spans="1:21" s="2" customFormat="1" ht="62" customHeight="1" thickBot="1">
      <c r="A2" s="68"/>
      <c r="B2" s="69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1"/>
    </row>
    <row r="3" spans="1:21" s="1" customFormat="1" ht="12.75" customHeight="1">
      <c r="A3" s="72" t="s">
        <v>715</v>
      </c>
      <c r="B3" s="62" t="s">
        <v>0</v>
      </c>
      <c r="C3" s="74" t="s">
        <v>716</v>
      </c>
      <c r="D3" s="74" t="s">
        <v>6</v>
      </c>
      <c r="E3" s="56" t="s">
        <v>717</v>
      </c>
      <c r="F3" s="56" t="s">
        <v>5</v>
      </c>
      <c r="G3" s="56" t="s">
        <v>9</v>
      </c>
      <c r="H3" s="56"/>
      <c r="I3" s="56"/>
      <c r="J3" s="56"/>
      <c r="K3" s="56" t="s">
        <v>10</v>
      </c>
      <c r="L3" s="56"/>
      <c r="M3" s="56"/>
      <c r="N3" s="56"/>
      <c r="O3" s="56" t="s">
        <v>11</v>
      </c>
      <c r="P3" s="56"/>
      <c r="Q3" s="56"/>
      <c r="R3" s="56"/>
      <c r="S3" s="56" t="s">
        <v>1</v>
      </c>
      <c r="T3" s="56" t="s">
        <v>3</v>
      </c>
      <c r="U3" s="58" t="s">
        <v>2</v>
      </c>
    </row>
    <row r="4" spans="1:21" s="1" customFormat="1" ht="21" customHeight="1" thickBot="1">
      <c r="A4" s="73"/>
      <c r="B4" s="63"/>
      <c r="C4" s="57"/>
      <c r="D4" s="57"/>
      <c r="E4" s="57"/>
      <c r="F4" s="57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7"/>
      <c r="T4" s="57"/>
      <c r="U4" s="59"/>
    </row>
    <row r="5" spans="1:21" ht="16">
      <c r="A5" s="60" t="s">
        <v>12</v>
      </c>
      <c r="B5" s="60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</row>
    <row r="6" spans="1:21">
      <c r="A6" s="21" t="s">
        <v>47</v>
      </c>
      <c r="B6" s="15" t="s">
        <v>13</v>
      </c>
      <c r="C6" s="15" t="s">
        <v>14</v>
      </c>
      <c r="D6" s="15" t="s">
        <v>15</v>
      </c>
      <c r="E6" s="15" t="s">
        <v>718</v>
      </c>
      <c r="F6" s="15" t="s">
        <v>708</v>
      </c>
      <c r="G6" s="22" t="s">
        <v>16</v>
      </c>
      <c r="H6" s="22" t="s">
        <v>17</v>
      </c>
      <c r="I6" s="22" t="s">
        <v>18</v>
      </c>
      <c r="J6" s="21"/>
      <c r="K6" s="22" t="s">
        <v>19</v>
      </c>
      <c r="L6" s="23" t="s">
        <v>20</v>
      </c>
      <c r="M6" s="23" t="s">
        <v>20</v>
      </c>
      <c r="N6" s="21"/>
      <c r="O6" s="22" t="s">
        <v>21</v>
      </c>
      <c r="P6" s="22" t="s">
        <v>22</v>
      </c>
      <c r="Q6" s="22" t="s">
        <v>23</v>
      </c>
      <c r="R6" s="21"/>
      <c r="S6" s="21" t="str">
        <f>"587,5"</f>
        <v>587,5</v>
      </c>
      <c r="T6" s="21" t="str">
        <f>"379,4663"</f>
        <v>379,4663</v>
      </c>
      <c r="U6" s="15" t="s">
        <v>596</v>
      </c>
    </row>
    <row r="7" spans="1:21">
      <c r="B7" s="5" t="s">
        <v>8</v>
      </c>
    </row>
    <row r="8" spans="1:21" ht="16">
      <c r="A8" s="52" t="s">
        <v>28</v>
      </c>
      <c r="B8" s="52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</row>
    <row r="9" spans="1:21">
      <c r="A9" s="9" t="s">
        <v>47</v>
      </c>
      <c r="B9" s="8" t="s">
        <v>29</v>
      </c>
      <c r="C9" s="8" t="s">
        <v>30</v>
      </c>
      <c r="D9" s="8" t="s">
        <v>31</v>
      </c>
      <c r="E9" s="8" t="s">
        <v>718</v>
      </c>
      <c r="F9" s="8" t="s">
        <v>708</v>
      </c>
      <c r="G9" s="17" t="s">
        <v>24</v>
      </c>
      <c r="H9" s="18" t="s">
        <v>32</v>
      </c>
      <c r="I9" s="17" t="s">
        <v>32</v>
      </c>
      <c r="J9" s="9"/>
      <c r="K9" s="17" t="s">
        <v>33</v>
      </c>
      <c r="L9" s="17" t="s">
        <v>34</v>
      </c>
      <c r="M9" s="17" t="s">
        <v>35</v>
      </c>
      <c r="N9" s="9"/>
      <c r="O9" s="17" t="s">
        <v>27</v>
      </c>
      <c r="P9" s="17" t="s">
        <v>36</v>
      </c>
      <c r="Q9" s="17" t="s">
        <v>37</v>
      </c>
      <c r="R9" s="9"/>
      <c r="S9" s="9" t="str">
        <f>"687,5"</f>
        <v>687,5</v>
      </c>
      <c r="T9" s="9" t="str">
        <f>"424,3250"</f>
        <v>424,3250</v>
      </c>
      <c r="U9" s="8"/>
    </row>
    <row r="10" spans="1:21">
      <c r="A10" s="11" t="s">
        <v>47</v>
      </c>
      <c r="B10" s="10" t="s">
        <v>29</v>
      </c>
      <c r="C10" s="10" t="s">
        <v>665</v>
      </c>
      <c r="D10" s="10" t="s">
        <v>31</v>
      </c>
      <c r="E10" s="10" t="s">
        <v>722</v>
      </c>
      <c r="F10" s="10" t="s">
        <v>708</v>
      </c>
      <c r="G10" s="19" t="s">
        <v>24</v>
      </c>
      <c r="H10" s="20" t="s">
        <v>32</v>
      </c>
      <c r="I10" s="19" t="s">
        <v>32</v>
      </c>
      <c r="J10" s="11"/>
      <c r="K10" s="19" t="s">
        <v>33</v>
      </c>
      <c r="L10" s="19" t="s">
        <v>34</v>
      </c>
      <c r="M10" s="19" t="s">
        <v>35</v>
      </c>
      <c r="N10" s="11"/>
      <c r="O10" s="19" t="s">
        <v>27</v>
      </c>
      <c r="P10" s="19" t="s">
        <v>36</v>
      </c>
      <c r="Q10" s="19" t="s">
        <v>37</v>
      </c>
      <c r="R10" s="11"/>
      <c r="S10" s="11" t="str">
        <f>"687,5"</f>
        <v>687,5</v>
      </c>
      <c r="T10" s="11" t="str">
        <f>"472,6981"</f>
        <v>472,6981</v>
      </c>
      <c r="U10" s="10"/>
    </row>
    <row r="11" spans="1:21">
      <c r="B11" s="5" t="s">
        <v>8</v>
      </c>
    </row>
    <row r="12" spans="1:21">
      <c r="B12" s="5" t="s">
        <v>8</v>
      </c>
    </row>
  </sheetData>
  <mergeCells count="15"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8:R8"/>
    <mergeCell ref="B3:B4"/>
    <mergeCell ref="S3:S4"/>
    <mergeCell ref="T3:T4"/>
    <mergeCell ref="U3:U4"/>
    <mergeCell ref="A5:R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Q18"/>
  <sheetViews>
    <sheetView workbookViewId="0">
      <selection activeCell="E13" sqref="E13"/>
    </sheetView>
  </sheetViews>
  <sheetFormatPr baseColWidth="10" defaultColWidth="9.1640625" defaultRowHeight="13"/>
  <cols>
    <col min="1" max="1" width="7.1640625" style="5" bestFit="1" customWidth="1"/>
    <col min="2" max="2" width="19.83203125" style="5" bestFit="1" customWidth="1"/>
    <col min="3" max="3" width="28.83203125" style="5" bestFit="1" customWidth="1"/>
    <col min="4" max="4" width="20.83203125" style="5" bestFit="1" customWidth="1"/>
    <col min="5" max="5" width="10.1640625" style="5" bestFit="1" customWidth="1"/>
    <col min="6" max="6" width="25.6640625" style="5" bestFit="1" customWidth="1"/>
    <col min="7" max="9" width="5.5" style="6" customWidth="1"/>
    <col min="10" max="10" width="4.5" style="6" customWidth="1"/>
    <col min="11" max="13" width="5.5" style="6" customWidth="1"/>
    <col min="14" max="14" width="4.5" style="6" customWidth="1"/>
    <col min="15" max="15" width="7.6640625" style="6" bestFit="1" customWidth="1"/>
    <col min="16" max="16" width="8.5" style="6" bestFit="1" customWidth="1"/>
    <col min="17" max="17" width="19.5" style="5" bestFit="1" customWidth="1"/>
    <col min="18" max="16384" width="9.1640625" style="3"/>
  </cols>
  <sheetData>
    <row r="1" spans="1:17" s="2" customFormat="1" ht="29" customHeight="1">
      <c r="A1" s="64" t="s">
        <v>639</v>
      </c>
      <c r="B1" s="65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7"/>
    </row>
    <row r="2" spans="1:17" s="2" customFormat="1" ht="62" customHeight="1" thickBot="1">
      <c r="A2" s="68"/>
      <c r="B2" s="69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1"/>
    </row>
    <row r="3" spans="1:17" s="1" customFormat="1" ht="12.75" customHeight="1">
      <c r="A3" s="72" t="s">
        <v>715</v>
      </c>
      <c r="B3" s="62" t="s">
        <v>0</v>
      </c>
      <c r="C3" s="74" t="s">
        <v>716</v>
      </c>
      <c r="D3" s="74" t="s">
        <v>6</v>
      </c>
      <c r="E3" s="56" t="s">
        <v>717</v>
      </c>
      <c r="F3" s="56" t="s">
        <v>5</v>
      </c>
      <c r="G3" s="56" t="s">
        <v>10</v>
      </c>
      <c r="H3" s="56"/>
      <c r="I3" s="56"/>
      <c r="J3" s="56"/>
      <c r="K3" s="56" t="s">
        <v>11</v>
      </c>
      <c r="L3" s="56"/>
      <c r="M3" s="56"/>
      <c r="N3" s="56"/>
      <c r="O3" s="56" t="s">
        <v>1</v>
      </c>
      <c r="P3" s="56" t="s">
        <v>3</v>
      </c>
      <c r="Q3" s="58" t="s">
        <v>2</v>
      </c>
    </row>
    <row r="4" spans="1:17" s="1" customFormat="1" ht="21" customHeight="1" thickBot="1">
      <c r="A4" s="73"/>
      <c r="B4" s="63"/>
      <c r="C4" s="57"/>
      <c r="D4" s="57"/>
      <c r="E4" s="57"/>
      <c r="F4" s="57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57"/>
      <c r="P4" s="57"/>
      <c r="Q4" s="59"/>
    </row>
    <row r="5" spans="1:17" ht="16">
      <c r="A5" s="60" t="s">
        <v>87</v>
      </c>
      <c r="B5" s="60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</row>
    <row r="6" spans="1:17">
      <c r="A6" s="21" t="s">
        <v>47</v>
      </c>
      <c r="B6" s="15" t="s">
        <v>522</v>
      </c>
      <c r="C6" s="15" t="s">
        <v>667</v>
      </c>
      <c r="D6" s="15" t="s">
        <v>523</v>
      </c>
      <c r="E6" s="15" t="s">
        <v>719</v>
      </c>
      <c r="F6" s="15" t="s">
        <v>108</v>
      </c>
      <c r="G6" s="22" t="s">
        <v>185</v>
      </c>
      <c r="H6" s="22" t="s">
        <v>55</v>
      </c>
      <c r="I6" s="23" t="s">
        <v>404</v>
      </c>
      <c r="J6" s="21"/>
      <c r="K6" s="22" t="s">
        <v>141</v>
      </c>
      <c r="L6" s="22" t="s">
        <v>109</v>
      </c>
      <c r="M6" s="23" t="s">
        <v>120</v>
      </c>
      <c r="N6" s="21"/>
      <c r="O6" s="21" t="str">
        <f>"235,0"</f>
        <v>235,0</v>
      </c>
      <c r="P6" s="21" t="str">
        <f>"229,8065"</f>
        <v>229,8065</v>
      </c>
      <c r="Q6" s="15"/>
    </row>
    <row r="7" spans="1:17">
      <c r="B7" s="5" t="s">
        <v>8</v>
      </c>
    </row>
    <row r="8" spans="1:17" ht="16">
      <c r="A8" s="52" t="s">
        <v>97</v>
      </c>
      <c r="B8" s="52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</row>
    <row r="9" spans="1:17">
      <c r="A9" s="21" t="s">
        <v>47</v>
      </c>
      <c r="B9" s="15" t="s">
        <v>219</v>
      </c>
      <c r="C9" s="15" t="s">
        <v>220</v>
      </c>
      <c r="D9" s="15" t="s">
        <v>221</v>
      </c>
      <c r="E9" s="15" t="s">
        <v>718</v>
      </c>
      <c r="F9" s="15" t="s">
        <v>222</v>
      </c>
      <c r="G9" s="22" t="s">
        <v>82</v>
      </c>
      <c r="H9" s="23" t="s">
        <v>153</v>
      </c>
      <c r="I9" s="23" t="s">
        <v>153</v>
      </c>
      <c r="J9" s="21"/>
      <c r="K9" s="22" t="s">
        <v>26</v>
      </c>
      <c r="L9" s="23" t="s">
        <v>22</v>
      </c>
      <c r="M9" s="23" t="s">
        <v>17</v>
      </c>
      <c r="N9" s="21"/>
      <c r="O9" s="21" t="str">
        <f>"330,0"</f>
        <v>330,0</v>
      </c>
      <c r="P9" s="21" t="str">
        <f>"221,8920"</f>
        <v>221,8920</v>
      </c>
      <c r="Q9" s="15" t="s">
        <v>602</v>
      </c>
    </row>
    <row r="10" spans="1:17">
      <c r="B10" s="5" t="s">
        <v>8</v>
      </c>
    </row>
    <row r="11" spans="1:17" ht="16">
      <c r="A11" s="52" t="s">
        <v>144</v>
      </c>
      <c r="B11" s="52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</row>
    <row r="12" spans="1:17">
      <c r="A12" s="21" t="s">
        <v>47</v>
      </c>
      <c r="B12" s="15" t="s">
        <v>511</v>
      </c>
      <c r="C12" s="15" t="s">
        <v>512</v>
      </c>
      <c r="D12" s="15" t="s">
        <v>513</v>
      </c>
      <c r="E12" s="15" t="s">
        <v>718</v>
      </c>
      <c r="F12" s="15" t="s">
        <v>108</v>
      </c>
      <c r="G12" s="22" t="s">
        <v>85</v>
      </c>
      <c r="H12" s="22" t="s">
        <v>141</v>
      </c>
      <c r="I12" s="22" t="s">
        <v>109</v>
      </c>
      <c r="J12" s="21"/>
      <c r="K12" s="23" t="s">
        <v>258</v>
      </c>
      <c r="L12" s="22" t="s">
        <v>258</v>
      </c>
      <c r="M12" s="23" t="s">
        <v>514</v>
      </c>
      <c r="N12" s="21"/>
      <c r="O12" s="21" t="str">
        <f>"422,5"</f>
        <v>422,5</v>
      </c>
      <c r="P12" s="21" t="str">
        <f>"250,0777"</f>
        <v>250,0777</v>
      </c>
      <c r="Q12" s="15" t="s">
        <v>603</v>
      </c>
    </row>
    <row r="13" spans="1:17">
      <c r="B13" s="5" t="s">
        <v>8</v>
      </c>
    </row>
    <row r="14" spans="1:17">
      <c r="B14" s="5" t="s">
        <v>8</v>
      </c>
    </row>
    <row r="15" spans="1:17">
      <c r="B15" s="5" t="s">
        <v>8</v>
      </c>
    </row>
    <row r="16" spans="1:17">
      <c r="B16" s="5" t="s">
        <v>8</v>
      </c>
    </row>
    <row r="17" spans="2:2">
      <c r="B17" s="5" t="s">
        <v>8</v>
      </c>
    </row>
    <row r="18" spans="2:2">
      <c r="B18" s="5" t="s">
        <v>8</v>
      </c>
    </row>
  </sheetData>
  <mergeCells count="15"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  <mergeCell ref="A8:N8"/>
    <mergeCell ref="A11:N11"/>
    <mergeCell ref="B3:B4"/>
    <mergeCell ref="O3:O4"/>
    <mergeCell ref="P3:P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15"/>
  <sheetViews>
    <sheetView workbookViewId="0">
      <selection activeCell="E13" sqref="E13"/>
    </sheetView>
  </sheetViews>
  <sheetFormatPr baseColWidth="10" defaultColWidth="9.1640625" defaultRowHeight="13"/>
  <cols>
    <col min="1" max="1" width="7.1640625" style="5" bestFit="1" customWidth="1"/>
    <col min="2" max="2" width="20.83203125" style="5" bestFit="1" customWidth="1"/>
    <col min="3" max="3" width="25.1640625" style="5" bestFit="1" customWidth="1"/>
    <col min="4" max="4" width="20.83203125" style="5" bestFit="1" customWidth="1"/>
    <col min="5" max="5" width="10.1640625" style="5" bestFit="1" customWidth="1"/>
    <col min="6" max="6" width="30.1640625" style="5" customWidth="1"/>
    <col min="7" max="9" width="5.5" style="6" customWidth="1"/>
    <col min="10" max="10" width="4.5" style="6" customWidth="1"/>
    <col min="11" max="11" width="10.5" style="29" bestFit="1" customWidth="1"/>
    <col min="12" max="12" width="8.5" style="6" bestFit="1" customWidth="1"/>
    <col min="13" max="13" width="18.83203125" style="5" customWidth="1"/>
    <col min="14" max="16384" width="9.1640625" style="3"/>
  </cols>
  <sheetData>
    <row r="1" spans="1:13" s="2" customFormat="1" ht="29" customHeight="1">
      <c r="A1" s="64" t="s">
        <v>640</v>
      </c>
      <c r="B1" s="65"/>
      <c r="C1" s="66"/>
      <c r="D1" s="66"/>
      <c r="E1" s="66"/>
      <c r="F1" s="66"/>
      <c r="G1" s="66"/>
      <c r="H1" s="66"/>
      <c r="I1" s="66"/>
      <c r="J1" s="66"/>
      <c r="K1" s="66"/>
      <c r="L1" s="66"/>
      <c r="M1" s="67"/>
    </row>
    <row r="2" spans="1:13" s="2" customFormat="1" ht="62" customHeight="1" thickBot="1">
      <c r="A2" s="68"/>
      <c r="B2" s="69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s="1" customFormat="1" ht="12.75" customHeight="1">
      <c r="A3" s="72" t="s">
        <v>715</v>
      </c>
      <c r="B3" s="62" t="s">
        <v>0</v>
      </c>
      <c r="C3" s="74" t="s">
        <v>716</v>
      </c>
      <c r="D3" s="74" t="s">
        <v>6</v>
      </c>
      <c r="E3" s="56" t="s">
        <v>717</v>
      </c>
      <c r="F3" s="56" t="s">
        <v>5</v>
      </c>
      <c r="G3" s="56" t="s">
        <v>9</v>
      </c>
      <c r="H3" s="56"/>
      <c r="I3" s="56"/>
      <c r="J3" s="56"/>
      <c r="K3" s="54" t="s">
        <v>363</v>
      </c>
      <c r="L3" s="56" t="s">
        <v>3</v>
      </c>
      <c r="M3" s="58" t="s">
        <v>2</v>
      </c>
    </row>
    <row r="4" spans="1:13" s="1" customFormat="1" ht="21" customHeight="1" thickBot="1">
      <c r="A4" s="73"/>
      <c r="B4" s="63"/>
      <c r="C4" s="57"/>
      <c r="D4" s="57"/>
      <c r="E4" s="57"/>
      <c r="F4" s="57"/>
      <c r="G4" s="4">
        <v>1</v>
      </c>
      <c r="H4" s="4">
        <v>2</v>
      </c>
      <c r="I4" s="4">
        <v>3</v>
      </c>
      <c r="J4" s="4" t="s">
        <v>4</v>
      </c>
      <c r="K4" s="55"/>
      <c r="L4" s="57"/>
      <c r="M4" s="59"/>
    </row>
    <row r="5" spans="1:13" ht="16">
      <c r="A5" s="60" t="s">
        <v>57</v>
      </c>
      <c r="B5" s="60"/>
      <c r="C5" s="61"/>
      <c r="D5" s="61"/>
      <c r="E5" s="61"/>
      <c r="F5" s="61"/>
      <c r="G5" s="61"/>
      <c r="H5" s="61"/>
      <c r="I5" s="61"/>
      <c r="J5" s="61"/>
    </row>
    <row r="6" spans="1:13">
      <c r="A6" s="21" t="s">
        <v>47</v>
      </c>
      <c r="B6" s="15" t="s">
        <v>58</v>
      </c>
      <c r="C6" s="15" t="s">
        <v>59</v>
      </c>
      <c r="D6" s="15" t="s">
        <v>60</v>
      </c>
      <c r="E6" s="15" t="s">
        <v>718</v>
      </c>
      <c r="F6" s="15" t="s">
        <v>708</v>
      </c>
      <c r="G6" s="22" t="s">
        <v>61</v>
      </c>
      <c r="H6" s="22" t="s">
        <v>62</v>
      </c>
      <c r="I6" s="23" t="s">
        <v>63</v>
      </c>
      <c r="J6" s="21"/>
      <c r="K6" s="33" t="str">
        <f>"112,5"</f>
        <v>112,5</v>
      </c>
      <c r="L6" s="21" t="str">
        <f>"142,1437"</f>
        <v>142,1437</v>
      </c>
      <c r="M6" s="15" t="s">
        <v>596</v>
      </c>
    </row>
    <row r="7" spans="1:13">
      <c r="B7" s="5" t="s">
        <v>8</v>
      </c>
    </row>
    <row r="8" spans="1:13" ht="16">
      <c r="A8" s="52" t="s">
        <v>87</v>
      </c>
      <c r="B8" s="52"/>
      <c r="C8" s="53"/>
      <c r="D8" s="53"/>
      <c r="E8" s="53"/>
      <c r="F8" s="53"/>
      <c r="G8" s="53"/>
      <c r="H8" s="53"/>
      <c r="I8" s="53"/>
      <c r="J8" s="53"/>
    </row>
    <row r="9" spans="1:13">
      <c r="A9" s="21" t="s">
        <v>48</v>
      </c>
      <c r="B9" s="15" t="s">
        <v>88</v>
      </c>
      <c r="C9" s="15" t="s">
        <v>89</v>
      </c>
      <c r="D9" s="15" t="s">
        <v>90</v>
      </c>
      <c r="E9" s="15" t="s">
        <v>718</v>
      </c>
      <c r="F9" s="15" t="s">
        <v>708</v>
      </c>
      <c r="G9" s="23" t="s">
        <v>68</v>
      </c>
      <c r="H9" s="23" t="s">
        <v>54</v>
      </c>
      <c r="I9" s="23" t="s">
        <v>54</v>
      </c>
      <c r="J9" s="21"/>
      <c r="K9" s="33">
        <v>0</v>
      </c>
      <c r="L9" s="21" t="str">
        <f>"0,0000"</f>
        <v>0,0000</v>
      </c>
      <c r="M9" s="15" t="s">
        <v>596</v>
      </c>
    </row>
    <row r="10" spans="1:13">
      <c r="B10" s="5" t="s">
        <v>8</v>
      </c>
    </row>
    <row r="11" spans="1:13" ht="16">
      <c r="A11" s="52" t="s">
        <v>144</v>
      </c>
      <c r="B11" s="52"/>
      <c r="C11" s="53"/>
      <c r="D11" s="53"/>
      <c r="E11" s="53"/>
      <c r="F11" s="53"/>
      <c r="G11" s="53"/>
      <c r="H11" s="53"/>
      <c r="I11" s="53"/>
      <c r="J11" s="53"/>
    </row>
    <row r="12" spans="1:13">
      <c r="A12" s="21" t="s">
        <v>47</v>
      </c>
      <c r="B12" s="15" t="s">
        <v>252</v>
      </c>
      <c r="C12" s="15" t="s">
        <v>253</v>
      </c>
      <c r="D12" s="15" t="s">
        <v>254</v>
      </c>
      <c r="E12" s="15" t="s">
        <v>718</v>
      </c>
      <c r="F12" s="15" t="s">
        <v>108</v>
      </c>
      <c r="G12" s="22" t="s">
        <v>21</v>
      </c>
      <c r="H12" s="23" t="s">
        <v>255</v>
      </c>
      <c r="I12" s="23" t="s">
        <v>26</v>
      </c>
      <c r="J12" s="21"/>
      <c r="K12" s="33" t="str">
        <f>"190,0"</f>
        <v>190,0</v>
      </c>
      <c r="L12" s="21" t="str">
        <f>"113,3540"</f>
        <v>113,3540</v>
      </c>
      <c r="M12" s="15"/>
    </row>
    <row r="13" spans="1:13">
      <c r="B13" s="5" t="s">
        <v>8</v>
      </c>
    </row>
    <row r="14" spans="1:13">
      <c r="B14" s="5" t="s">
        <v>8</v>
      </c>
    </row>
    <row r="15" spans="1:13">
      <c r="B15" s="5" t="s">
        <v>8</v>
      </c>
    </row>
  </sheetData>
  <mergeCells count="14"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B3:B4"/>
    <mergeCell ref="K3:K4"/>
    <mergeCell ref="L3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9"/>
  <sheetViews>
    <sheetView workbookViewId="0">
      <selection sqref="A1:M2"/>
    </sheetView>
  </sheetViews>
  <sheetFormatPr baseColWidth="10" defaultColWidth="9.1640625" defaultRowHeight="13"/>
  <cols>
    <col min="1" max="1" width="7.1640625" style="5" bestFit="1" customWidth="1"/>
    <col min="2" max="2" width="16" style="5" bestFit="1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25.6640625" style="5" bestFit="1" customWidth="1"/>
    <col min="7" max="9" width="5.5" style="6" customWidth="1"/>
    <col min="10" max="10" width="4.5" style="6" customWidth="1"/>
    <col min="11" max="11" width="10.5" style="6" bestFit="1" customWidth="1"/>
    <col min="12" max="12" width="8.5" style="6" bestFit="1" customWidth="1"/>
    <col min="13" max="13" width="19" style="5" customWidth="1"/>
    <col min="14" max="16384" width="9.1640625" style="3"/>
  </cols>
  <sheetData>
    <row r="1" spans="1:13" s="2" customFormat="1" ht="29" customHeight="1">
      <c r="A1" s="64" t="s">
        <v>641</v>
      </c>
      <c r="B1" s="65"/>
      <c r="C1" s="66"/>
      <c r="D1" s="66"/>
      <c r="E1" s="66"/>
      <c r="F1" s="66"/>
      <c r="G1" s="66"/>
      <c r="H1" s="66"/>
      <c r="I1" s="66"/>
      <c r="J1" s="66"/>
      <c r="K1" s="66"/>
      <c r="L1" s="66"/>
      <c r="M1" s="67"/>
    </row>
    <row r="2" spans="1:13" s="2" customFormat="1" ht="62" customHeight="1" thickBot="1">
      <c r="A2" s="68"/>
      <c r="B2" s="69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s="1" customFormat="1" ht="12.75" customHeight="1">
      <c r="A3" s="72" t="s">
        <v>715</v>
      </c>
      <c r="B3" s="62" t="s">
        <v>0</v>
      </c>
      <c r="C3" s="74" t="s">
        <v>716</v>
      </c>
      <c r="D3" s="74" t="s">
        <v>6</v>
      </c>
      <c r="E3" s="56" t="s">
        <v>717</v>
      </c>
      <c r="F3" s="56" t="s">
        <v>5</v>
      </c>
      <c r="G3" s="56" t="s">
        <v>9</v>
      </c>
      <c r="H3" s="56"/>
      <c r="I3" s="56"/>
      <c r="J3" s="56"/>
      <c r="K3" s="56" t="s">
        <v>363</v>
      </c>
      <c r="L3" s="56" t="s">
        <v>3</v>
      </c>
      <c r="M3" s="58" t="s">
        <v>2</v>
      </c>
    </row>
    <row r="4" spans="1:13" s="1" customFormat="1" ht="21" customHeight="1" thickBot="1">
      <c r="A4" s="73"/>
      <c r="B4" s="63"/>
      <c r="C4" s="57"/>
      <c r="D4" s="57"/>
      <c r="E4" s="57"/>
      <c r="F4" s="57"/>
      <c r="G4" s="4">
        <v>1</v>
      </c>
      <c r="H4" s="4">
        <v>2</v>
      </c>
      <c r="I4" s="4">
        <v>3</v>
      </c>
      <c r="J4" s="4" t="s">
        <v>4</v>
      </c>
      <c r="K4" s="57"/>
      <c r="L4" s="57"/>
      <c r="M4" s="59"/>
    </row>
    <row r="5" spans="1:13" ht="16">
      <c r="A5" s="60" t="s">
        <v>28</v>
      </c>
      <c r="B5" s="60"/>
      <c r="C5" s="61"/>
      <c r="D5" s="61"/>
      <c r="E5" s="61"/>
      <c r="F5" s="61"/>
      <c r="G5" s="61"/>
      <c r="H5" s="61"/>
      <c r="I5" s="61"/>
      <c r="J5" s="61"/>
    </row>
    <row r="6" spans="1:13">
      <c r="A6" s="21" t="s">
        <v>47</v>
      </c>
      <c r="B6" s="15" t="s">
        <v>29</v>
      </c>
      <c r="C6" s="15" t="s">
        <v>665</v>
      </c>
      <c r="D6" s="15" t="s">
        <v>31</v>
      </c>
      <c r="E6" s="15" t="s">
        <v>722</v>
      </c>
      <c r="F6" s="15" t="s">
        <v>708</v>
      </c>
      <c r="G6" s="22" t="s">
        <v>33</v>
      </c>
      <c r="H6" s="22" t="s">
        <v>21</v>
      </c>
      <c r="I6" s="22" t="s">
        <v>139</v>
      </c>
      <c r="J6" s="21"/>
      <c r="K6" s="21" t="str">
        <f>"202,5"</f>
        <v>202,5</v>
      </c>
      <c r="L6" s="21" t="str">
        <f>"139,2311"</f>
        <v>139,2311</v>
      </c>
      <c r="M6" s="15"/>
    </row>
    <row r="7" spans="1:13">
      <c r="B7" s="5" t="s">
        <v>8</v>
      </c>
    </row>
    <row r="8" spans="1:13">
      <c r="B8" s="5" t="s">
        <v>8</v>
      </c>
    </row>
    <row r="9" spans="1:13">
      <c r="B9" s="5" t="s">
        <v>8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27</vt:i4>
      </vt:variant>
    </vt:vector>
  </HeadingPairs>
  <TitlesOfParts>
    <vt:vector size="27" baseType="lpstr">
      <vt:lpstr>IPL ПЛ без экипировки ДК</vt:lpstr>
      <vt:lpstr>IPL ПЛ без экипировки</vt:lpstr>
      <vt:lpstr>IPL ПЛ в бинтах ДК</vt:lpstr>
      <vt:lpstr>IPL ПЛ в бинтах</vt:lpstr>
      <vt:lpstr>IPL ПЛ однослой ДК</vt:lpstr>
      <vt:lpstr>IPL ПЛ однослой</vt:lpstr>
      <vt:lpstr>IPL Двоеборье без экип ДК</vt:lpstr>
      <vt:lpstr>IPL Присед без экипировки ДК</vt:lpstr>
      <vt:lpstr>IPL Присед без экипировки</vt:lpstr>
      <vt:lpstr>IPL Присед однослой ДК</vt:lpstr>
      <vt:lpstr>IPL Присед однослой</vt:lpstr>
      <vt:lpstr>IPL Жим без экипировки ДК</vt:lpstr>
      <vt:lpstr>IPL Жим без экипировки</vt:lpstr>
      <vt:lpstr>IPL Жим однослой ДК</vt:lpstr>
      <vt:lpstr>IPL Жим однослой</vt:lpstr>
      <vt:lpstr>СПР Жим софт многопетельная</vt:lpstr>
      <vt:lpstr>СПР Жим софт однопетельная ДК</vt:lpstr>
      <vt:lpstr>СПР Жим софт однопетельная</vt:lpstr>
      <vt:lpstr>IPL Тяга без экипировки ДК</vt:lpstr>
      <vt:lpstr>IPL Тяга без экипировки</vt:lpstr>
      <vt:lpstr>IPL Тяга однослой ДК</vt:lpstr>
      <vt:lpstr>IPL Тяга однослой</vt:lpstr>
      <vt:lpstr>СПР Пауэрспорт ДК</vt:lpstr>
      <vt:lpstr>СПР Пауэрспорт</vt:lpstr>
      <vt:lpstr>СПР Жим стоя ДК</vt:lpstr>
      <vt:lpstr>СПР Подъем на бицепс ДК</vt:lpstr>
      <vt:lpstr>СПР Подъем на бицепс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2021-05-01T09:32:38Z</dcterms:modified>
</cp:coreProperties>
</file>