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1" documentId="11_5F365C9AF1404CBD0CB63F7492FA1737667C1436" xr6:coauthVersionLast="46" xr6:coauthVersionMax="46" xr10:uidLastSave="{9C8EEB40-5CDD-451A-8A73-17980EF33DCB}"/>
  <bookViews>
    <workbookView xWindow="-120" yWindow="-120" windowWidth="38640" windowHeight="16440" tabRatio="957" xr2:uid="{00000000-000D-0000-FFFF-FFFF00000000}"/>
  </bookViews>
  <sheets>
    <sheet name="AWPC б_э ПЛ" sheetId="16" r:id="rId1"/>
    <sheet name="AWPC Класс. ПЛ" sheetId="17" r:id="rId2"/>
    <sheet name="WPC б_э ПЛ" sheetId="7" r:id="rId3"/>
    <sheet name="WPC класс. ПЛ" sheetId="8" r:id="rId4"/>
    <sheet name="WPC 1 слой ПЛ" sheetId="9" r:id="rId5"/>
    <sheet name="AWPC б_э жим" sheetId="20" r:id="rId6"/>
    <sheet name="AWPC ст. софт эк. жим" sheetId="23" r:id="rId7"/>
    <sheet name="AWPC мн. софт эк. жим" sheetId="24" r:id="rId8"/>
    <sheet name="WPC б_э жим" sheetId="11" r:id="rId9"/>
    <sheet name="WPC ст. софт эк. жим" sheetId="14" r:id="rId10"/>
    <sheet name="AWPC б_э тяга" sheetId="28" r:id="rId11"/>
    <sheet name="WPC 1 слой тяга" sheetId="26" r:id="rId12"/>
    <sheet name="WPC б_э тяга" sheetId="25" r:id="rId13"/>
  </sheets>
  <calcPr calcId="191029" refMode="R1C1"/>
</workbook>
</file>

<file path=xl/calcChain.xml><?xml version="1.0" encoding="utf-8"?>
<calcChain xmlns="http://schemas.openxmlformats.org/spreadsheetml/2006/main">
  <c r="N42" i="28" l="1"/>
  <c r="M42" i="28"/>
  <c r="N41" i="28"/>
  <c r="M41" i="28"/>
  <c r="N40" i="28"/>
  <c r="M40" i="28"/>
  <c r="M39" i="28"/>
  <c r="N38" i="28"/>
  <c r="M38" i="28"/>
  <c r="N37" i="28"/>
  <c r="M37" i="28"/>
  <c r="N36" i="28"/>
  <c r="M36" i="28"/>
  <c r="N35" i="28"/>
  <c r="M35" i="28"/>
  <c r="N34" i="28"/>
  <c r="M34" i="28"/>
  <c r="N33" i="28"/>
  <c r="M33" i="28"/>
  <c r="N32" i="28"/>
  <c r="M32" i="28"/>
  <c r="N31" i="28"/>
  <c r="M31" i="28"/>
  <c r="N30" i="28"/>
  <c r="M30" i="28"/>
  <c r="N29" i="28"/>
  <c r="M29" i="28"/>
  <c r="N28" i="28"/>
  <c r="M28" i="28"/>
  <c r="N27" i="28"/>
  <c r="M27" i="28"/>
  <c r="N26" i="28"/>
  <c r="M26" i="28"/>
  <c r="N25" i="28"/>
  <c r="M25" i="28"/>
  <c r="N24" i="28"/>
  <c r="M24" i="28"/>
  <c r="N23" i="28"/>
  <c r="M23" i="28"/>
  <c r="N22" i="28"/>
  <c r="M22" i="28"/>
  <c r="N21" i="28"/>
  <c r="M21" i="28"/>
  <c r="N20" i="28"/>
  <c r="M20" i="28"/>
  <c r="N19" i="28"/>
  <c r="M19" i="28"/>
  <c r="N18" i="28"/>
  <c r="M18" i="28"/>
  <c r="N17" i="28"/>
  <c r="M17" i="28"/>
  <c r="N16" i="28"/>
  <c r="M16" i="28"/>
  <c r="N15" i="28"/>
  <c r="M15" i="28"/>
  <c r="N14" i="28"/>
  <c r="M14" i="28"/>
  <c r="N13" i="28"/>
  <c r="M13" i="28"/>
  <c r="N12" i="28"/>
  <c r="M12" i="28"/>
  <c r="N11" i="28"/>
  <c r="M11" i="28"/>
  <c r="N10" i="28"/>
  <c r="M10" i="28"/>
  <c r="N9" i="28"/>
  <c r="M9" i="28"/>
  <c r="N8" i="28"/>
  <c r="M8" i="28"/>
  <c r="M7" i="28"/>
  <c r="N6" i="28"/>
  <c r="M6" i="28"/>
  <c r="N5" i="28"/>
  <c r="M5" i="28"/>
  <c r="N4" i="28"/>
  <c r="M4" i="28"/>
  <c r="N3" i="28"/>
  <c r="M3" i="28"/>
  <c r="N3" i="26"/>
  <c r="M3" i="26"/>
  <c r="N8" i="25"/>
  <c r="M8" i="25"/>
  <c r="M7" i="25"/>
  <c r="N6" i="25"/>
  <c r="M6" i="25"/>
  <c r="N5" i="25"/>
  <c r="M5" i="25"/>
  <c r="N4" i="25"/>
  <c r="M4" i="25"/>
  <c r="N3" i="25"/>
  <c r="M3" i="25"/>
  <c r="N5" i="24"/>
  <c r="M5" i="24"/>
  <c r="N4" i="24"/>
  <c r="M4" i="24"/>
  <c r="M3" i="24"/>
  <c r="N16" i="23"/>
  <c r="M16" i="23"/>
  <c r="N15" i="23"/>
  <c r="M15" i="23"/>
  <c r="M14" i="23"/>
  <c r="N13" i="23"/>
  <c r="M13" i="23"/>
  <c r="N12" i="23"/>
  <c r="M12" i="23"/>
  <c r="M11" i="23"/>
  <c r="N10" i="23"/>
  <c r="M10" i="23"/>
  <c r="N9" i="23"/>
  <c r="M9" i="23"/>
  <c r="N8" i="23"/>
  <c r="M8" i="23"/>
  <c r="N7" i="23"/>
  <c r="M7" i="23"/>
  <c r="N6" i="23"/>
  <c r="M6" i="23"/>
  <c r="N5" i="23"/>
  <c r="M5" i="23"/>
  <c r="N4" i="23"/>
  <c r="M4" i="23"/>
  <c r="N3" i="23"/>
  <c r="M3" i="23"/>
  <c r="N68" i="20"/>
  <c r="M68" i="20"/>
  <c r="N67" i="20"/>
  <c r="M67" i="20"/>
  <c r="N66" i="20"/>
  <c r="M66" i="20"/>
  <c r="N65" i="20"/>
  <c r="M65" i="20"/>
  <c r="N64" i="20"/>
  <c r="M64" i="20"/>
  <c r="N63" i="20"/>
  <c r="M63" i="20"/>
  <c r="N62" i="20"/>
  <c r="M62" i="20"/>
  <c r="N61" i="20"/>
  <c r="M61" i="20"/>
  <c r="N60" i="20"/>
  <c r="M60" i="20"/>
  <c r="N59" i="20"/>
  <c r="M59" i="20"/>
  <c r="N58" i="20"/>
  <c r="M58" i="20"/>
  <c r="N57" i="20"/>
  <c r="M57" i="20"/>
  <c r="N56" i="20"/>
  <c r="M56" i="20"/>
  <c r="N55" i="20"/>
  <c r="M55" i="20"/>
  <c r="M54" i="20"/>
  <c r="N53" i="20"/>
  <c r="M53" i="20"/>
  <c r="N52" i="20"/>
  <c r="M52" i="20"/>
  <c r="N51" i="20"/>
  <c r="M51" i="20"/>
  <c r="N50" i="20"/>
  <c r="M50" i="20"/>
  <c r="N49" i="20"/>
  <c r="M49" i="20"/>
  <c r="N48" i="20"/>
  <c r="M48" i="20"/>
  <c r="M47" i="20"/>
  <c r="N46" i="20"/>
  <c r="M46" i="20"/>
  <c r="N45" i="20"/>
  <c r="M45" i="20"/>
  <c r="N44" i="20"/>
  <c r="M44" i="20"/>
  <c r="N43" i="20"/>
  <c r="M43" i="20"/>
  <c r="N42" i="20"/>
  <c r="M42" i="20"/>
  <c r="N41" i="20"/>
  <c r="M41" i="20"/>
  <c r="N40" i="20"/>
  <c r="M40" i="20"/>
  <c r="N39" i="20"/>
  <c r="M39" i="20"/>
  <c r="N38" i="20"/>
  <c r="M38" i="20"/>
  <c r="N37" i="20"/>
  <c r="M37" i="20"/>
  <c r="N36" i="20"/>
  <c r="M36" i="20"/>
  <c r="N35" i="20"/>
  <c r="M35" i="20"/>
  <c r="N34" i="20"/>
  <c r="M34" i="20"/>
  <c r="N33" i="20"/>
  <c r="M33" i="20"/>
  <c r="N32" i="20"/>
  <c r="M32" i="20"/>
  <c r="N31" i="20"/>
  <c r="M31" i="20"/>
  <c r="N30" i="20"/>
  <c r="M30" i="20"/>
  <c r="N29" i="20"/>
  <c r="M29" i="20"/>
  <c r="N28" i="20"/>
  <c r="M28" i="20"/>
  <c r="N27" i="20"/>
  <c r="M27" i="20"/>
  <c r="N26" i="20"/>
  <c r="M26" i="20"/>
  <c r="N25" i="20"/>
  <c r="M25" i="20"/>
  <c r="N24" i="20"/>
  <c r="M24" i="20"/>
  <c r="N23" i="20"/>
  <c r="M23" i="20"/>
  <c r="N22" i="20"/>
  <c r="M22" i="20"/>
  <c r="N21" i="20"/>
  <c r="M21" i="20"/>
  <c r="N20" i="20"/>
  <c r="M20" i="20"/>
  <c r="N19" i="20"/>
  <c r="M19" i="20"/>
  <c r="N18" i="20"/>
  <c r="M18" i="20"/>
  <c r="N17" i="20"/>
  <c r="M17" i="20"/>
  <c r="N16" i="20"/>
  <c r="M16" i="20"/>
  <c r="N15" i="20"/>
  <c r="M15" i="20"/>
  <c r="N14" i="20"/>
  <c r="M14" i="20"/>
  <c r="N13" i="20"/>
  <c r="M13" i="20"/>
  <c r="N12" i="20"/>
  <c r="M12" i="20"/>
  <c r="N11" i="20"/>
  <c r="M11" i="20"/>
  <c r="N10" i="20"/>
  <c r="M10" i="20"/>
  <c r="N9" i="20"/>
  <c r="M9" i="20"/>
  <c r="M8" i="20"/>
  <c r="N7" i="20"/>
  <c r="M7" i="20"/>
  <c r="N6" i="20"/>
  <c r="M6" i="20"/>
  <c r="N5" i="20"/>
  <c r="M5" i="20"/>
  <c r="N4" i="20"/>
  <c r="M4" i="20"/>
  <c r="M3" i="20"/>
  <c r="V3" i="17"/>
  <c r="U3" i="17"/>
  <c r="U14" i="16"/>
  <c r="V13" i="16"/>
  <c r="U13" i="16"/>
  <c r="V12" i="16"/>
  <c r="U12" i="16"/>
  <c r="V11" i="16"/>
  <c r="U11" i="16"/>
  <c r="V10" i="16"/>
  <c r="U10" i="16"/>
  <c r="V9" i="16"/>
  <c r="U9" i="16"/>
  <c r="V8" i="16"/>
  <c r="U8" i="16"/>
  <c r="V7" i="16"/>
  <c r="U7" i="16"/>
  <c r="V6" i="16"/>
  <c r="U6" i="16"/>
  <c r="V5" i="16"/>
  <c r="U5" i="16"/>
  <c r="V4" i="16"/>
  <c r="U4" i="16"/>
  <c r="V3" i="16"/>
  <c r="U3" i="16"/>
  <c r="N8" i="14"/>
  <c r="M8" i="14"/>
  <c r="N7" i="14"/>
  <c r="M7" i="14"/>
  <c r="N6" i="14"/>
  <c r="M6" i="14"/>
  <c r="M5" i="14"/>
  <c r="N4" i="14"/>
  <c r="M4" i="14"/>
  <c r="N3" i="14"/>
  <c r="M3" i="14"/>
  <c r="N25" i="11"/>
  <c r="M25" i="11"/>
  <c r="N24" i="11"/>
  <c r="M24" i="11"/>
  <c r="N23" i="11"/>
  <c r="M23" i="11"/>
  <c r="N22" i="11"/>
  <c r="M22" i="11"/>
  <c r="N21" i="11"/>
  <c r="M21" i="11"/>
  <c r="N20" i="11"/>
  <c r="M20" i="11"/>
  <c r="N19" i="11"/>
  <c r="M19" i="11"/>
  <c r="M18" i="11"/>
  <c r="N17" i="11"/>
  <c r="M17" i="11"/>
  <c r="N16" i="11"/>
  <c r="M16" i="11"/>
  <c r="N15" i="11"/>
  <c r="M15" i="11"/>
  <c r="N14" i="11"/>
  <c r="M14" i="11"/>
  <c r="N13" i="11"/>
  <c r="M13" i="11"/>
  <c r="N12" i="11"/>
  <c r="M12" i="11"/>
  <c r="N11" i="11"/>
  <c r="M11" i="11"/>
  <c r="N10" i="11"/>
  <c r="M10" i="11"/>
  <c r="N7" i="11"/>
  <c r="M7" i="11"/>
  <c r="N6" i="11"/>
  <c r="M6" i="11"/>
  <c r="N5" i="11"/>
  <c r="M5" i="11"/>
  <c r="N4" i="11"/>
  <c r="M4" i="11"/>
  <c r="N3" i="11"/>
  <c r="M3" i="11"/>
  <c r="U4" i="9"/>
  <c r="V3" i="9"/>
  <c r="U3" i="9"/>
  <c r="V6" i="8"/>
  <c r="U6" i="8"/>
  <c r="V5" i="8"/>
  <c r="U5" i="8"/>
  <c r="V4" i="8"/>
  <c r="U4" i="8"/>
  <c r="V3" i="8"/>
  <c r="U3" i="8"/>
  <c r="V7" i="7"/>
  <c r="U7" i="7"/>
  <c r="V6" i="7"/>
  <c r="U6" i="7"/>
  <c r="V5" i="7"/>
  <c r="U5" i="7"/>
  <c r="V4" i="7"/>
  <c r="U4" i="7"/>
  <c r="V3" i="7"/>
  <c r="U3" i="7"/>
</calcChain>
</file>

<file path=xl/sharedStrings.xml><?xml version="1.0" encoding="utf-8"?>
<sst xmlns="http://schemas.openxmlformats.org/spreadsheetml/2006/main" count="2277" uniqueCount="629">
  <si>
    <t>Сумма</t>
  </si>
  <si>
    <t>Очки</t>
  </si>
  <si>
    <t>Рек</t>
  </si>
  <si>
    <t>Приседание</t>
  </si>
  <si>
    <t>72,05</t>
  </si>
  <si>
    <t>130,0</t>
  </si>
  <si>
    <t>140,0</t>
  </si>
  <si>
    <t>100,0</t>
  </si>
  <si>
    <t>145,0</t>
  </si>
  <si>
    <t>160,0</t>
  </si>
  <si>
    <t>180,0</t>
  </si>
  <si>
    <t>81,65</t>
  </si>
  <si>
    <t>150,0</t>
  </si>
  <si>
    <t>155,0</t>
  </si>
  <si>
    <t>50,0</t>
  </si>
  <si>
    <t>190,0</t>
  </si>
  <si>
    <t>195,0</t>
  </si>
  <si>
    <t>88,50</t>
  </si>
  <si>
    <t>200,0</t>
  </si>
  <si>
    <t>212,5</t>
  </si>
  <si>
    <t>220,0</t>
  </si>
  <si>
    <t>135,0</t>
  </si>
  <si>
    <t>142,5</t>
  </si>
  <si>
    <t>245,0</t>
  </si>
  <si>
    <t>260,0</t>
  </si>
  <si>
    <t>265,0</t>
  </si>
  <si>
    <t>99,10</t>
  </si>
  <si>
    <t>230,0</t>
  </si>
  <si>
    <t>240,0</t>
  </si>
  <si>
    <t>247,5</t>
  </si>
  <si>
    <t>162,5</t>
  </si>
  <si>
    <t>170,0</t>
  </si>
  <si>
    <t>175,0</t>
  </si>
  <si>
    <t>255,0</t>
  </si>
  <si>
    <t>122,40</t>
  </si>
  <si>
    <t>250,0</t>
  </si>
  <si>
    <t>270,0</t>
  </si>
  <si>
    <t>120,0</t>
  </si>
  <si>
    <t>125,0</t>
  </si>
  <si>
    <t>132,5</t>
  </si>
  <si>
    <t>275,0</t>
  </si>
  <si>
    <t>100</t>
  </si>
  <si>
    <t>125</t>
  </si>
  <si>
    <t>75</t>
  </si>
  <si>
    <t>90</t>
  </si>
  <si>
    <t>82.5</t>
  </si>
  <si>
    <t>63,90</t>
  </si>
  <si>
    <t>70,0</t>
  </si>
  <si>
    <t>75,0</t>
  </si>
  <si>
    <t>77,5</t>
  </si>
  <si>
    <t>71,65</t>
  </si>
  <si>
    <t>115,0</t>
  </si>
  <si>
    <t>65,0</t>
  </si>
  <si>
    <t>89,75</t>
  </si>
  <si>
    <t>185,0</t>
  </si>
  <si>
    <t>205,0</t>
  </si>
  <si>
    <t>137,90</t>
  </si>
  <si>
    <t>315,0</t>
  </si>
  <si>
    <t>325,0</t>
  </si>
  <si>
    <t>330,0</t>
  </si>
  <si>
    <t>280,0</t>
  </si>
  <si>
    <t>140</t>
  </si>
  <si>
    <t>67.5</t>
  </si>
  <si>
    <t>Мухранов Александр</t>
  </si>
  <si>
    <t>86,95</t>
  </si>
  <si>
    <t>225,0</t>
  </si>
  <si>
    <t>113,60</t>
  </si>
  <si>
    <t>300,0</t>
  </si>
  <si>
    <t>64,60</t>
  </si>
  <si>
    <t>55,0</t>
  </si>
  <si>
    <t>57,5</t>
  </si>
  <si>
    <t>63,65</t>
  </si>
  <si>
    <t>45,0</t>
  </si>
  <si>
    <t>52,5</t>
  </si>
  <si>
    <t>74,00</t>
  </si>
  <si>
    <t>72,00</t>
  </si>
  <si>
    <t>60,0</t>
  </si>
  <si>
    <t>80,00</t>
  </si>
  <si>
    <t>88,05</t>
  </si>
  <si>
    <t>192,5</t>
  </si>
  <si>
    <t>197,5</t>
  </si>
  <si>
    <t>87,90</t>
  </si>
  <si>
    <t>87,85</t>
  </si>
  <si>
    <t>110,0</t>
  </si>
  <si>
    <t>117,5</t>
  </si>
  <si>
    <t>99,00</t>
  </si>
  <si>
    <t>210,0</t>
  </si>
  <si>
    <t>97,80</t>
  </si>
  <si>
    <t>95,50</t>
  </si>
  <si>
    <t>167,5</t>
  </si>
  <si>
    <t>97,10</t>
  </si>
  <si>
    <t>97,95</t>
  </si>
  <si>
    <t>97,40</t>
  </si>
  <si>
    <t>165,0</t>
  </si>
  <si>
    <t>98,40</t>
  </si>
  <si>
    <t>101,25</t>
  </si>
  <si>
    <t>125,00</t>
  </si>
  <si>
    <t>123,70</t>
  </si>
  <si>
    <t>131,10</t>
  </si>
  <si>
    <t>163,35</t>
  </si>
  <si>
    <t>235,0</t>
  </si>
  <si>
    <t>140+</t>
  </si>
  <si>
    <t>110</t>
  </si>
  <si>
    <t>Результат</t>
  </si>
  <si>
    <t>64,55</t>
  </si>
  <si>
    <t>89,65</t>
  </si>
  <si>
    <t>86,60</t>
  </si>
  <si>
    <t>290,0</t>
  </si>
  <si>
    <t>98,50</t>
  </si>
  <si>
    <t>312,5</t>
  </si>
  <si>
    <t>99,40</t>
  </si>
  <si>
    <t>95,25</t>
  </si>
  <si>
    <t>56,00</t>
  </si>
  <si>
    <t>87,5</t>
  </si>
  <si>
    <t>90,0</t>
  </si>
  <si>
    <t>92,5</t>
  </si>
  <si>
    <t>47,5</t>
  </si>
  <si>
    <t>105,0</t>
  </si>
  <si>
    <t>112,5</t>
  </si>
  <si>
    <t>65,70</t>
  </si>
  <si>
    <t>62,5</t>
  </si>
  <si>
    <t>61,10</t>
  </si>
  <si>
    <t>80,0</t>
  </si>
  <si>
    <t>85,0</t>
  </si>
  <si>
    <t>40,0</t>
  </si>
  <si>
    <t>42,5</t>
  </si>
  <si>
    <t>73,40</t>
  </si>
  <si>
    <t>215,0</t>
  </si>
  <si>
    <t>71,90</t>
  </si>
  <si>
    <t>81,50</t>
  </si>
  <si>
    <t>127,5</t>
  </si>
  <si>
    <t>237,5</t>
  </si>
  <si>
    <t>75,40</t>
  </si>
  <si>
    <t>84,30</t>
  </si>
  <si>
    <t>152,5</t>
  </si>
  <si>
    <t>106,25</t>
  </si>
  <si>
    <t>120,70</t>
  </si>
  <si>
    <t>172,5</t>
  </si>
  <si>
    <t>177,5</t>
  </si>
  <si>
    <t>97,5</t>
  </si>
  <si>
    <t>102,5</t>
  </si>
  <si>
    <t>110,60</t>
  </si>
  <si>
    <t>117,40</t>
  </si>
  <si>
    <t>56</t>
  </si>
  <si>
    <t>100,20</t>
  </si>
  <si>
    <t>137,5</t>
  </si>
  <si>
    <t>50,50</t>
  </si>
  <si>
    <t>51,55</t>
  </si>
  <si>
    <t>53,90</t>
  </si>
  <si>
    <t>54,90</t>
  </si>
  <si>
    <t>32,5</t>
  </si>
  <si>
    <t>37,5</t>
  </si>
  <si>
    <t>55,10</t>
  </si>
  <si>
    <t>59,40</t>
  </si>
  <si>
    <t>58,70</t>
  </si>
  <si>
    <t>64,30</t>
  </si>
  <si>
    <t>62,70</t>
  </si>
  <si>
    <t>63,20</t>
  </si>
  <si>
    <t>89,30</t>
  </si>
  <si>
    <t>32,00</t>
  </si>
  <si>
    <t>51,60</t>
  </si>
  <si>
    <t>55,30</t>
  </si>
  <si>
    <t>82,5</t>
  </si>
  <si>
    <t>57,10</t>
  </si>
  <si>
    <t>95,0</t>
  </si>
  <si>
    <t>60,10</t>
  </si>
  <si>
    <t>66,65</t>
  </si>
  <si>
    <t>73,20</t>
  </si>
  <si>
    <t>69,90</t>
  </si>
  <si>
    <t>72,50</t>
  </si>
  <si>
    <t>147,5</t>
  </si>
  <si>
    <t>73,10</t>
  </si>
  <si>
    <t>74,10</t>
  </si>
  <si>
    <t>73,60</t>
  </si>
  <si>
    <t>73,80</t>
  </si>
  <si>
    <t>72,80</t>
  </si>
  <si>
    <t>75,00</t>
  </si>
  <si>
    <t>74,20</t>
  </si>
  <si>
    <t>80,40</t>
  </si>
  <si>
    <t>82,00</t>
  </si>
  <si>
    <t>81,80</t>
  </si>
  <si>
    <t>81,60</t>
  </si>
  <si>
    <t>82,45</t>
  </si>
  <si>
    <t>80,05</t>
  </si>
  <si>
    <t>76,90</t>
  </si>
  <si>
    <t>89,00</t>
  </si>
  <si>
    <t>86,20</t>
  </si>
  <si>
    <t>88,40</t>
  </si>
  <si>
    <t>89,40</t>
  </si>
  <si>
    <t>157,5</t>
  </si>
  <si>
    <t>89,20</t>
  </si>
  <si>
    <t>88,60</t>
  </si>
  <si>
    <t>87,20</t>
  </si>
  <si>
    <t>86,70</t>
  </si>
  <si>
    <t>87,80</t>
  </si>
  <si>
    <t>88,85</t>
  </si>
  <si>
    <t>98,00</t>
  </si>
  <si>
    <t>97,00</t>
  </si>
  <si>
    <t>97,70</t>
  </si>
  <si>
    <t>98,60</t>
  </si>
  <si>
    <t>99,80</t>
  </si>
  <si>
    <t>107,70</t>
  </si>
  <si>
    <t>109,90</t>
  </si>
  <si>
    <t>102,60</t>
  </si>
  <si>
    <t>108,30</t>
  </si>
  <si>
    <t>182,5</t>
  </si>
  <si>
    <t>100,75</t>
  </si>
  <si>
    <t>116,00</t>
  </si>
  <si>
    <t>124,90</t>
  </si>
  <si>
    <t>123,00</t>
  </si>
  <si>
    <t>202,5</t>
  </si>
  <si>
    <t>134,10</t>
  </si>
  <si>
    <t>52</t>
  </si>
  <si>
    <t>60</t>
  </si>
  <si>
    <t>59,00</t>
  </si>
  <si>
    <t>79,95</t>
  </si>
  <si>
    <t>81,10</t>
  </si>
  <si>
    <t>80,50</t>
  </si>
  <si>
    <t>89,10</t>
  </si>
  <si>
    <t>83,30</t>
  </si>
  <si>
    <t>96,40</t>
  </si>
  <si>
    <t>267,5</t>
  </si>
  <si>
    <t>282,5</t>
  </si>
  <si>
    <t>107,10</t>
  </si>
  <si>
    <t>108,60</t>
  </si>
  <si>
    <t>102,00</t>
  </si>
  <si>
    <t>310,0</t>
  </si>
  <si>
    <t>96,60</t>
  </si>
  <si>
    <t>103,90</t>
  </si>
  <si>
    <t>242,5</t>
  </si>
  <si>
    <t>75,90</t>
  </si>
  <si>
    <t>89,50</t>
  </si>
  <si>
    <t>305,0</t>
  </si>
  <si>
    <t>91,00</t>
  </si>
  <si>
    <t>277,5</t>
  </si>
  <si>
    <t>94,80</t>
  </si>
  <si>
    <t>47,30</t>
  </si>
  <si>
    <t>54,60</t>
  </si>
  <si>
    <t>122,5</t>
  </si>
  <si>
    <t>54,00</t>
  </si>
  <si>
    <t>-. Юрасова Анастасия</t>
  </si>
  <si>
    <t>107,5</t>
  </si>
  <si>
    <t>56,65</t>
  </si>
  <si>
    <t>64,00</t>
  </si>
  <si>
    <t>66,10</t>
  </si>
  <si>
    <t>67,50</t>
  </si>
  <si>
    <t>66,30</t>
  </si>
  <si>
    <t>72,55</t>
  </si>
  <si>
    <t>59,20</t>
  </si>
  <si>
    <t>56,90</t>
  </si>
  <si>
    <t>66,80</t>
  </si>
  <si>
    <t>227,5</t>
  </si>
  <si>
    <t>74,40</t>
  </si>
  <si>
    <t>79,80</t>
  </si>
  <si>
    <t>77,55</t>
  </si>
  <si>
    <t>88,70</t>
  </si>
  <si>
    <t>262,5</t>
  </si>
  <si>
    <t>92,20</t>
  </si>
  <si>
    <t>94,40</t>
  </si>
  <si>
    <t>93,80</t>
  </si>
  <si>
    <t>117,55</t>
  </si>
  <si>
    <t>150</t>
  </si>
  <si>
    <t>98,6325</t>
  </si>
  <si>
    <t>160</t>
  </si>
  <si>
    <t>106,7204</t>
  </si>
  <si>
    <t>Город</t>
  </si>
  <si>
    <t>вес</t>
  </si>
  <si>
    <t>пол</t>
  </si>
  <si>
    <t>имя</t>
  </si>
  <si>
    <t>№</t>
  </si>
  <si>
    <t>f</t>
  </si>
  <si>
    <t>m</t>
  </si>
  <si>
    <t>1</t>
  </si>
  <si>
    <t>2</t>
  </si>
  <si>
    <t xml:space="preserve"> Зотова Милена</t>
  </si>
  <si>
    <t xml:space="preserve"> Корниенко Анна</t>
  </si>
  <si>
    <t xml:space="preserve"> Маслов Денис</t>
  </si>
  <si>
    <t xml:space="preserve"> Ким Артур</t>
  </si>
  <si>
    <t xml:space="preserve"> Крохмалёв Леонид</t>
  </si>
  <si>
    <t xml:space="preserve"> Изгагин Александр</t>
  </si>
  <si>
    <t xml:space="preserve"> Нагорнов Сергей</t>
  </si>
  <si>
    <t xml:space="preserve"> Дорошев Антон</t>
  </si>
  <si>
    <t xml:space="preserve"> Деменко Никита</t>
  </si>
  <si>
    <t xml:space="preserve"> Кравцов Денис</t>
  </si>
  <si>
    <t xml:space="preserve"> Юнаева Татьяна</t>
  </si>
  <si>
    <t>Лагута Руслан</t>
  </si>
  <si>
    <t xml:space="preserve"> Крошка Никита</t>
  </si>
  <si>
    <t xml:space="preserve"> Кирильчук Сергей</t>
  </si>
  <si>
    <t xml:space="preserve"> Дейников Андрей</t>
  </si>
  <si>
    <t xml:space="preserve"> Балабин Денис</t>
  </si>
  <si>
    <t xml:space="preserve"> Литвиненко Юрий</t>
  </si>
  <si>
    <t xml:space="preserve"> Барыкин Ярослав</t>
  </si>
  <si>
    <t xml:space="preserve"> Мыльников Александр</t>
  </si>
  <si>
    <t xml:space="preserve"> Иванов Александр</t>
  </si>
  <si>
    <t xml:space="preserve"> Ростовцев Михаил</t>
  </si>
  <si>
    <t xml:space="preserve"> Барашев Олег</t>
  </si>
  <si>
    <t>Василенко Алексей</t>
  </si>
  <si>
    <t>0</t>
  </si>
  <si>
    <t>3</t>
  </si>
  <si>
    <t>4</t>
  </si>
  <si>
    <t>5</t>
  </si>
  <si>
    <t xml:space="preserve"> Костенко Родион</t>
  </si>
  <si>
    <t xml:space="preserve"> Киселева Анастасия</t>
  </si>
  <si>
    <t xml:space="preserve"> Торговская Диана</t>
  </si>
  <si>
    <t xml:space="preserve"> Аликовская Татьяна</t>
  </si>
  <si>
    <t xml:space="preserve"> Манина Наталья</t>
  </si>
  <si>
    <t xml:space="preserve"> Ялина Вероника</t>
  </si>
  <si>
    <t xml:space="preserve"> Игнатенко Людмила</t>
  </si>
  <si>
    <t xml:space="preserve"> Валиулина Арина</t>
  </si>
  <si>
    <t xml:space="preserve"> Николаева Анжелика</t>
  </si>
  <si>
    <t xml:space="preserve"> Нефедова Ксения</t>
  </si>
  <si>
    <t xml:space="preserve"> Зубрилина Зульфия</t>
  </si>
  <si>
    <t xml:space="preserve"> Алексеева Евгения</t>
  </si>
  <si>
    <t xml:space="preserve"> Ромашин Роман</t>
  </si>
  <si>
    <t xml:space="preserve"> Москаленко Владимир</t>
  </si>
  <si>
    <t xml:space="preserve"> Чеснаков Виталий</t>
  </si>
  <si>
    <t xml:space="preserve"> Бородин Алексей</t>
  </si>
  <si>
    <t xml:space="preserve"> Емельянов Егор</t>
  </si>
  <si>
    <t xml:space="preserve"> Котов Алексей</t>
  </si>
  <si>
    <t xml:space="preserve"> Крикунов Юрий</t>
  </si>
  <si>
    <t xml:space="preserve"> Денисов Николай</t>
  </si>
  <si>
    <t xml:space="preserve"> Кейзеров Алексей</t>
  </si>
  <si>
    <t xml:space="preserve"> Шанин Алексей</t>
  </si>
  <si>
    <t xml:space="preserve"> Жабин Даниил</t>
  </si>
  <si>
    <t xml:space="preserve"> Таах Александр</t>
  </si>
  <si>
    <t xml:space="preserve"> Шваров Вячеслав</t>
  </si>
  <si>
    <t xml:space="preserve"> Руденко Иван</t>
  </si>
  <si>
    <t xml:space="preserve"> Пенева Юлия</t>
  </si>
  <si>
    <t xml:space="preserve"> Захарченко Дмитрий</t>
  </si>
  <si>
    <t xml:space="preserve"> Руженский Анатолий</t>
  </si>
  <si>
    <t xml:space="preserve"> Безсонов Сергей</t>
  </si>
  <si>
    <t xml:space="preserve"> Лопарёв Денис</t>
  </si>
  <si>
    <t xml:space="preserve"> Боровой Руслан</t>
  </si>
  <si>
    <t xml:space="preserve"> Юраш Максим</t>
  </si>
  <si>
    <t xml:space="preserve"> Ищенко Кирилл</t>
  </si>
  <si>
    <t xml:space="preserve"> Абдуллаев Шадиг</t>
  </si>
  <si>
    <t xml:space="preserve"> Павлов Сергей</t>
  </si>
  <si>
    <t xml:space="preserve"> Истомин Максим</t>
  </si>
  <si>
    <t xml:space="preserve"> Волобуева Надежда</t>
  </si>
  <si>
    <t xml:space="preserve"> Пономарёв Феликс</t>
  </si>
  <si>
    <t xml:space="preserve"> Бурцев Анатолий</t>
  </si>
  <si>
    <t xml:space="preserve"> Лабуз Максим</t>
  </si>
  <si>
    <t xml:space="preserve"> Орлов Сергей</t>
  </si>
  <si>
    <t>Хоменко Александр</t>
  </si>
  <si>
    <t xml:space="preserve"> Килко Александр</t>
  </si>
  <si>
    <t>Заболотский Владимир</t>
  </si>
  <si>
    <t xml:space="preserve"> Шапринская Татьяна</t>
  </si>
  <si>
    <t xml:space="preserve"> Щур Андрей</t>
  </si>
  <si>
    <t xml:space="preserve"> Минашкин Сергей</t>
  </si>
  <si>
    <t xml:space="preserve"> Паска Сергей</t>
  </si>
  <si>
    <t xml:space="preserve"> Терещенко Владимир</t>
  </si>
  <si>
    <t xml:space="preserve"> Зиновагин Дмитрий</t>
  </si>
  <si>
    <t xml:space="preserve"> Ким Виталий</t>
  </si>
  <si>
    <t xml:space="preserve"> Озорнин Сергей</t>
  </si>
  <si>
    <t xml:space="preserve"> Хромов Александр</t>
  </si>
  <si>
    <t xml:space="preserve"> Суворин Дмитрий</t>
  </si>
  <si>
    <t xml:space="preserve"> Беликова Анастасия</t>
  </si>
  <si>
    <t xml:space="preserve"> Толмачёв Петр</t>
  </si>
  <si>
    <t xml:space="preserve"> Маргарян Фрунзик</t>
  </si>
  <si>
    <t>Ратушный Денис</t>
  </si>
  <si>
    <t xml:space="preserve"> Кропоткин Александр</t>
  </si>
  <si>
    <t xml:space="preserve"> Мухранов Сергей</t>
  </si>
  <si>
    <t xml:space="preserve"> Петраков Андрей</t>
  </si>
  <si>
    <t xml:space="preserve"> Черников Алексей</t>
  </si>
  <si>
    <t xml:space="preserve"> Ян Евгения</t>
  </si>
  <si>
    <t xml:space="preserve"> Юрасова Анастасия</t>
  </si>
  <si>
    <t xml:space="preserve"> Мамедова Роза</t>
  </si>
  <si>
    <t xml:space="preserve"> Шинкарская Валерия</t>
  </si>
  <si>
    <t xml:space="preserve"> Толмачёва Татьяна</t>
  </si>
  <si>
    <t xml:space="preserve"> Майорова Мирослава</t>
  </si>
  <si>
    <t xml:space="preserve"> Деркачева Анна</t>
  </si>
  <si>
    <t xml:space="preserve"> Калашников Леонид</t>
  </si>
  <si>
    <t xml:space="preserve"> Суняйкин Сергей</t>
  </si>
  <si>
    <t xml:space="preserve"> Абубакиров Иса</t>
  </si>
  <si>
    <t xml:space="preserve"> Сухарев Александр</t>
  </si>
  <si>
    <t xml:space="preserve"> Степанов Сергей</t>
  </si>
  <si>
    <t xml:space="preserve"> Посполит Николай</t>
  </si>
  <si>
    <t xml:space="preserve"> Миронов Вячеслав</t>
  </si>
  <si>
    <t xml:space="preserve"> Малахов Никита</t>
  </si>
  <si>
    <t xml:space="preserve"> Борок Антон</t>
  </si>
  <si>
    <t xml:space="preserve"> Коваль Павел</t>
  </si>
  <si>
    <t xml:space="preserve"> Азаров Юрий</t>
  </si>
  <si>
    <t xml:space="preserve"> Герасимов Виктор</t>
  </si>
  <si>
    <t xml:space="preserve"> Назаров Артём</t>
  </si>
  <si>
    <t xml:space="preserve"> Виткалов Илья</t>
  </si>
  <si>
    <t xml:space="preserve"> Новосельцев Дмитрий</t>
  </si>
  <si>
    <t xml:space="preserve"> Скворцов Виталий</t>
  </si>
  <si>
    <t xml:space="preserve"> Дегтярёв Евгений</t>
  </si>
  <si>
    <t xml:space="preserve"> Павлов Алексей</t>
  </si>
  <si>
    <t xml:space="preserve"> Аверьянов Антон</t>
  </si>
  <si>
    <t xml:space="preserve"> Рогалёв Алексей</t>
  </si>
  <si>
    <t xml:space="preserve"> Зимелис Андрей</t>
  </si>
  <si>
    <t xml:space="preserve"> Пинчук Захар</t>
  </si>
  <si>
    <t xml:space="preserve"> Шишков Сергей</t>
  </si>
  <si>
    <t xml:space="preserve"> Романенко Александр</t>
  </si>
  <si>
    <t xml:space="preserve"> Янгалиева Иделя</t>
  </si>
  <si>
    <t xml:space="preserve"> Биковец Максим</t>
  </si>
  <si>
    <t xml:space="preserve"> Толстой Дмитрий</t>
  </si>
  <si>
    <t xml:space="preserve"> Слободенюк Михаил</t>
  </si>
  <si>
    <t xml:space="preserve"> Телепнёв Владислав</t>
  </si>
  <si>
    <t xml:space="preserve"> Мокий Евгений</t>
  </si>
  <si>
    <t xml:space="preserve"> Горшенин Олег</t>
  </si>
  <si>
    <t xml:space="preserve"> Тяжлов Владислав</t>
  </si>
  <si>
    <t xml:space="preserve"> Сулумханов Шахман</t>
  </si>
  <si>
    <t xml:space="preserve"> Князев Владимир</t>
  </si>
  <si>
    <t xml:space="preserve"> Миненко Антон</t>
  </si>
  <si>
    <t xml:space="preserve"> Кавтарадзе Фридон</t>
  </si>
  <si>
    <t xml:space="preserve"> Федореев Антон</t>
  </si>
  <si>
    <t xml:space="preserve"> Кондратенко Владимир</t>
  </si>
  <si>
    <t xml:space="preserve"> Сафронов Александр</t>
  </si>
  <si>
    <t xml:space="preserve"> Коваль Алексей</t>
  </si>
  <si>
    <t xml:space="preserve"> Гаврилов Владислав</t>
  </si>
  <si>
    <t xml:space="preserve"> Терехин Александр</t>
  </si>
  <si>
    <t>6</t>
  </si>
  <si>
    <t>7</t>
  </si>
  <si>
    <t xml:space="preserve"> Чупров Артур</t>
  </si>
  <si>
    <t xml:space="preserve"> Князев Алексей</t>
  </si>
  <si>
    <t xml:space="preserve"> Тимбал Егор</t>
  </si>
  <si>
    <t>Токарев Андрей</t>
  </si>
  <si>
    <t xml:space="preserve"> Сабирова Татьяна</t>
  </si>
  <si>
    <t xml:space="preserve"> Федорова Татьяна</t>
  </si>
  <si>
    <t xml:space="preserve"> Фаизов Наиль</t>
  </si>
  <si>
    <t xml:space="preserve"> Коняхин Иван</t>
  </si>
  <si>
    <t xml:space="preserve"> Кравец Сергей</t>
  </si>
  <si>
    <t xml:space="preserve"> Мартыненко Роман</t>
  </si>
  <si>
    <t xml:space="preserve"> Швец Максим</t>
  </si>
  <si>
    <t xml:space="preserve"> Иващук Александр</t>
  </si>
  <si>
    <t xml:space="preserve"> Гречуха Михаил</t>
  </si>
  <si>
    <t xml:space="preserve"> Портнягин Вадим</t>
  </si>
  <si>
    <t xml:space="preserve"> Бареев Константин</t>
  </si>
  <si>
    <t xml:space="preserve"> Орлов Николай</t>
  </si>
  <si>
    <t xml:space="preserve"> Шевченко Владимир</t>
  </si>
  <si>
    <t xml:space="preserve"> Замарай Владимир</t>
  </si>
  <si>
    <t xml:space="preserve"> Поляков Семён</t>
  </si>
  <si>
    <t xml:space="preserve"> Злобин Фёдор</t>
  </si>
  <si>
    <t xml:space="preserve"> Пышненко Евгений</t>
  </si>
  <si>
    <t>в/к</t>
  </si>
  <si>
    <t>возрастная группа</t>
  </si>
  <si>
    <t>T1</t>
  </si>
  <si>
    <t>O</t>
  </si>
  <si>
    <t>T3</t>
  </si>
  <si>
    <t>J</t>
  </si>
  <si>
    <t>M6</t>
  </si>
  <si>
    <t>T2</t>
  </si>
  <si>
    <t>M1</t>
  </si>
  <si>
    <t xml:space="preserve">Жим </t>
  </si>
  <si>
    <t xml:space="preserve"> тяга</t>
  </si>
  <si>
    <t>Тяга</t>
  </si>
  <si>
    <t>рожд</t>
  </si>
  <si>
    <t>M4</t>
  </si>
  <si>
    <t>тяга</t>
  </si>
  <si>
    <t>M3</t>
  </si>
  <si>
    <t>M5</t>
  </si>
  <si>
    <t>M2</t>
  </si>
  <si>
    <t xml:space="preserve">тяга </t>
  </si>
  <si>
    <t>итог</t>
  </si>
  <si>
    <t>жим</t>
  </si>
  <si>
    <t xml:space="preserve"> Анискевич Андрей</t>
  </si>
  <si>
    <t>M8</t>
  </si>
  <si>
    <t>M9</t>
  </si>
  <si>
    <t>Холмск</t>
  </si>
  <si>
    <t>Владивосток</t>
  </si>
  <si>
    <t>Уссурийск</t>
  </si>
  <si>
    <t>Находка</t>
  </si>
  <si>
    <t>Артём</t>
  </si>
  <si>
    <t>Благовещенск</t>
  </si>
  <si>
    <t>Южно-Сахалинск</t>
  </si>
  <si>
    <t>Арсеньев</t>
  </si>
  <si>
    <t>Большой Камень</t>
  </si>
  <si>
    <t>Дальнереченск</t>
  </si>
  <si>
    <t>Кавалерово</t>
  </si>
  <si>
    <t>Тында</t>
  </si>
  <si>
    <t>04.12.2006</t>
  </si>
  <si>
    <t>16.09.1982</t>
  </si>
  <si>
    <t>25.01.1996</t>
  </si>
  <si>
    <t>21.06.2001</t>
  </si>
  <si>
    <t>07.07.1999</t>
  </si>
  <si>
    <t>03.05.1999</t>
  </si>
  <si>
    <t>21.06.1953</t>
  </si>
  <si>
    <t>07.08.2000</t>
  </si>
  <si>
    <t>17.05.2002</t>
  </si>
  <si>
    <t>07.01.2004</t>
  </si>
  <si>
    <t>09.02.1988</t>
  </si>
  <si>
    <t>29.08.1977</t>
  </si>
  <si>
    <t>27.04.2000</t>
  </si>
  <si>
    <t>24.04.1986</t>
  </si>
  <si>
    <t>26.03.1963</t>
  </si>
  <si>
    <t>06.11.1978</t>
  </si>
  <si>
    <t>09.04.1983</t>
  </si>
  <si>
    <t>26.02.1992</t>
  </si>
  <si>
    <t>08.09.1966</t>
  </si>
  <si>
    <t>24.04.1964</t>
  </si>
  <si>
    <t>28.05.1958</t>
  </si>
  <si>
    <t>31.10.1975</t>
  </si>
  <si>
    <t>18.01.1995</t>
  </si>
  <si>
    <t>19.04.1982</t>
  </si>
  <si>
    <t>16.01.1982</t>
  </si>
  <si>
    <t>27.10.2007</t>
  </si>
  <si>
    <t>10.06.1987</t>
  </si>
  <si>
    <t>02.08.1984</t>
  </si>
  <si>
    <t>04.11.1992</t>
  </si>
  <si>
    <t>08.01.1980</t>
  </si>
  <si>
    <t>14.11.1997</t>
  </si>
  <si>
    <t>02.07.1987</t>
  </si>
  <si>
    <t>18.04.2007</t>
  </si>
  <si>
    <t>31.10.2001</t>
  </si>
  <si>
    <t>11.06.1999</t>
  </si>
  <si>
    <t>14.01.1979</t>
  </si>
  <si>
    <t>03.02.1987</t>
  </si>
  <si>
    <t>22.11.1996</t>
  </si>
  <si>
    <t>11.08.1987</t>
  </si>
  <si>
    <t>31.07.1982</t>
  </si>
  <si>
    <t>02.07.2006</t>
  </si>
  <si>
    <t>16.02.2000</t>
  </si>
  <si>
    <t>12.10.1982</t>
  </si>
  <si>
    <t>19.09.1987</t>
  </si>
  <si>
    <t>26.01.1989</t>
  </si>
  <si>
    <t>15.06.1995</t>
  </si>
  <si>
    <t>25.05.1957</t>
  </si>
  <si>
    <t>29.03.2002</t>
  </si>
  <si>
    <t>02.06.2001</t>
  </si>
  <si>
    <t>06.01.1996</t>
  </si>
  <si>
    <t>07.11.1974</t>
  </si>
  <si>
    <t>24.07.1986</t>
  </si>
  <si>
    <t>30.05.1973</t>
  </si>
  <si>
    <t>02.08.2001</t>
  </si>
  <si>
    <t>12.02.1991</t>
  </si>
  <si>
    <t>29.05.1996</t>
  </si>
  <si>
    <t>07.03.1995</t>
  </si>
  <si>
    <t>28.07.1972</t>
  </si>
  <si>
    <t>14.10.1973</t>
  </si>
  <si>
    <t>17.01.1995</t>
  </si>
  <si>
    <t>22.01.1988</t>
  </si>
  <si>
    <t>24.01.1986</t>
  </si>
  <si>
    <t>07.01.1982</t>
  </si>
  <si>
    <t>26.05.1990</t>
  </si>
  <si>
    <t>06.12.1982</t>
  </si>
  <si>
    <t>18.11.1986</t>
  </si>
  <si>
    <t>29.01.1978</t>
  </si>
  <si>
    <t>22.09.1976</t>
  </si>
  <si>
    <t>11.11.1979</t>
  </si>
  <si>
    <t>10.10.1983</t>
  </si>
  <si>
    <t>04.06.1973</t>
  </si>
  <si>
    <t>09.09.1981</t>
  </si>
  <si>
    <t>17.10.1994</t>
  </si>
  <si>
    <t>04.11.1985</t>
  </si>
  <si>
    <t>04.08.1984</t>
  </si>
  <si>
    <t>06.06.1987</t>
  </si>
  <si>
    <t>05.06.1984</t>
  </si>
  <si>
    <t>13.04.1982</t>
  </si>
  <si>
    <t>03.08.1982</t>
  </si>
  <si>
    <t>20.11.1970</t>
  </si>
  <si>
    <t>10.08.1986</t>
  </si>
  <si>
    <t>23.08.1988</t>
  </si>
  <si>
    <t>19.04.1997</t>
  </si>
  <si>
    <t>28.03.1988</t>
  </si>
  <si>
    <t>11.10.1980</t>
  </si>
  <si>
    <t>04.04.2001</t>
  </si>
  <si>
    <t>16.11.1992</t>
  </si>
  <si>
    <t>21.07.1965</t>
  </si>
  <si>
    <t>30.11.1984</t>
  </si>
  <si>
    <t>15.09.2009</t>
  </si>
  <si>
    <t>15.10.1976</t>
  </si>
  <si>
    <t>22.11.1992</t>
  </si>
  <si>
    <t>23.03.1978</t>
  </si>
  <si>
    <t>08.09.2006</t>
  </si>
  <si>
    <t>05.02.1998</t>
  </si>
  <si>
    <t>18.01.1993</t>
  </si>
  <si>
    <t>10.01.1985</t>
  </si>
  <si>
    <t>10.09.1989</t>
  </si>
  <si>
    <t>29.09.1990</t>
  </si>
  <si>
    <t>03.12.1992</t>
  </si>
  <si>
    <t>11.08.1995</t>
  </si>
  <si>
    <t>28.08.1991</t>
  </si>
  <si>
    <t>24.06.1988</t>
  </si>
  <si>
    <t>09.06.2002</t>
  </si>
  <si>
    <t>16.12.1985</t>
  </si>
  <si>
    <t>12.09.1987</t>
  </si>
  <si>
    <t>03.04.1992</t>
  </si>
  <si>
    <t>10.08.1993</t>
  </si>
  <si>
    <t>11.01.1974</t>
  </si>
  <si>
    <t>18.01.1942</t>
  </si>
  <si>
    <t>19.06.1939</t>
  </si>
  <si>
    <t>03.10.2007</t>
  </si>
  <si>
    <t>23.02.2000</t>
  </si>
  <si>
    <t>24.02.1996</t>
  </si>
  <si>
    <t>01.03.1991</t>
  </si>
  <si>
    <t>18.04.1989</t>
  </si>
  <si>
    <t>21.02.1987</t>
  </si>
  <si>
    <t>18.08.1990</t>
  </si>
  <si>
    <t>07.03.1967</t>
  </si>
  <si>
    <t>25.10.1960</t>
  </si>
  <si>
    <t>25.06.1999</t>
  </si>
  <si>
    <t>29.03.1999</t>
  </si>
  <si>
    <t>13.08.1997</t>
  </si>
  <si>
    <t>19.12.1986</t>
  </si>
  <si>
    <t>26.04.1977</t>
  </si>
  <si>
    <t>31.01.1987</t>
  </si>
  <si>
    <t>12.07.1986</t>
  </si>
  <si>
    <t>02.09.1980</t>
  </si>
  <si>
    <t>13.03.1988</t>
  </si>
  <si>
    <t>23.06.2006</t>
  </si>
  <si>
    <t>30.11.1993</t>
  </si>
  <si>
    <t>30.04.1956</t>
  </si>
  <si>
    <t>17.07.1998</t>
  </si>
  <si>
    <t>24.07.2002</t>
  </si>
  <si>
    <t>14.10.1994</t>
  </si>
  <si>
    <t>31.12.1990</t>
  </si>
  <si>
    <t>30.04.1982</t>
  </si>
  <si>
    <t>24.11.1958</t>
  </si>
  <si>
    <t>22.01.1991</t>
  </si>
  <si>
    <t>12.02.1965</t>
  </si>
  <si>
    <t>25.06.1992</t>
  </si>
  <si>
    <t>19.06.1941</t>
  </si>
  <si>
    <t>13.04.1974</t>
  </si>
  <si>
    <t>06.09.1994</t>
  </si>
  <si>
    <t>29.04.1996</t>
  </si>
  <si>
    <t>12.10.1975</t>
  </si>
  <si>
    <t>28.10.1998</t>
  </si>
  <si>
    <t>01.06.1999</t>
  </si>
  <si>
    <t>04.10.2000</t>
  </si>
  <si>
    <t>06.05.1989</t>
  </si>
  <si>
    <t>05.08.1995</t>
  </si>
  <si>
    <t>14.08.1988</t>
  </si>
  <si>
    <t>07.08.1968</t>
  </si>
  <si>
    <t>03.04.1985</t>
  </si>
  <si>
    <t>21.06.1969</t>
  </si>
  <si>
    <t>05.01.1971</t>
  </si>
  <si>
    <t>21.07.1991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</si>
</sst>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yr"/>
      <charset val="204"/>
    </font>
    <font>
      <b/>
      <sz val="10"/>
      <name val="Arial Cyr"/>
      <charset val="204"/>
    </font>
    <font>
      <strike/>
      <sz val="10"/>
      <name val="Arial Cyr"/>
      <charset val="204"/>
    </font>
    <font>
      <b/>
      <i/>
      <sz val="10"/>
      <name val="Arial Cyr"/>
    </font>
    <font>
      <sz val="8"/>
      <name val="Arial Cyr"/>
      <charset val="204"/>
    </font>
    <font>
      <sz val="10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/>
    <xf numFmtId="49" fontId="0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49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4"/>
  <sheetViews>
    <sheetView tabSelected="1" workbookViewId="0">
      <selection activeCell="F7" sqref="F7"/>
    </sheetView>
  </sheetViews>
  <sheetFormatPr defaultRowHeight="12.75" customHeight="1"/>
  <cols>
    <col min="1" max="1" width="22.140625" style="3" customWidth="1"/>
    <col min="2" max="2" width="6" style="3" customWidth="1"/>
    <col min="3" max="3" width="10.140625" style="3" bestFit="1" customWidth="1"/>
    <col min="4" max="4" width="12" style="3" bestFit="1" customWidth="1"/>
    <col min="5" max="5" width="9.5703125" style="3" bestFit="1" customWidth="1"/>
    <col min="6" max="7" width="6.85546875" style="2" customWidth="1"/>
    <col min="8" max="8" width="19.5703125" style="2" customWidth="1"/>
    <col min="9" max="11" width="5.5703125" style="2" customWidth="1"/>
    <col min="12" max="12" width="4.85546875" style="2" customWidth="1"/>
    <col min="13" max="15" width="5.5703125" style="2" customWidth="1"/>
    <col min="16" max="16" width="4.85546875" style="2" customWidth="1"/>
    <col min="17" max="19" width="5.5703125" style="2" customWidth="1"/>
    <col min="20" max="20" width="4.85546875" style="2" customWidth="1"/>
    <col min="21" max="21" width="7.85546875" style="4" bestFit="1" customWidth="1"/>
    <col min="22" max="22" width="8.5703125" style="1" bestFit="1" customWidth="1"/>
    <col min="23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1" t="s">
        <v>266</v>
      </c>
      <c r="F1" s="27" t="s">
        <v>436</v>
      </c>
      <c r="G1" s="27" t="s">
        <v>269</v>
      </c>
      <c r="H1" s="27" t="s">
        <v>437</v>
      </c>
      <c r="I1" s="28" t="s">
        <v>3</v>
      </c>
      <c r="J1" s="28"/>
      <c r="K1" s="28"/>
      <c r="L1" s="18"/>
      <c r="M1" s="28" t="s">
        <v>445</v>
      </c>
      <c r="N1" s="28"/>
      <c r="O1" s="28"/>
      <c r="P1" s="18"/>
      <c r="Q1" s="28" t="s">
        <v>446</v>
      </c>
      <c r="R1" s="28"/>
      <c r="S1" s="28"/>
      <c r="T1" s="18"/>
      <c r="U1" s="18" t="s">
        <v>0</v>
      </c>
      <c r="V1" s="18" t="s">
        <v>1</v>
      </c>
    </row>
    <row r="2" spans="1:22" s="10" customFormat="1" ht="12.75" customHeight="1">
      <c r="A2" s="18"/>
      <c r="B2" s="18"/>
      <c r="C2" s="18"/>
      <c r="D2" s="18"/>
      <c r="E2" s="18"/>
      <c r="F2" s="11"/>
      <c r="G2" s="11"/>
      <c r="H2" s="11"/>
      <c r="I2" s="18">
        <v>1</v>
      </c>
      <c r="J2" s="11">
        <v>2</v>
      </c>
      <c r="K2" s="11">
        <v>3</v>
      </c>
      <c r="L2" s="11" t="s">
        <v>2</v>
      </c>
      <c r="M2" s="11">
        <v>1</v>
      </c>
      <c r="N2" s="11">
        <v>2</v>
      </c>
      <c r="O2" s="11">
        <v>3</v>
      </c>
      <c r="P2" s="11" t="s">
        <v>2</v>
      </c>
      <c r="Q2" s="11">
        <v>1</v>
      </c>
      <c r="R2" s="11">
        <v>2</v>
      </c>
      <c r="S2" s="11">
        <v>3</v>
      </c>
      <c r="T2" s="11" t="s">
        <v>2</v>
      </c>
      <c r="U2" s="18"/>
      <c r="V2" s="18"/>
    </row>
    <row r="3" spans="1:22" ht="12.75" customHeight="1">
      <c r="A3" s="5" t="s">
        <v>274</v>
      </c>
      <c r="B3" s="5" t="s">
        <v>270</v>
      </c>
      <c r="C3" s="5" t="s">
        <v>472</v>
      </c>
      <c r="D3" s="5" t="s">
        <v>460</v>
      </c>
      <c r="E3" s="5" t="s">
        <v>112</v>
      </c>
      <c r="F3" s="6" t="s">
        <v>143</v>
      </c>
      <c r="G3" s="6" t="s">
        <v>272</v>
      </c>
      <c r="H3" s="6" t="s">
        <v>438</v>
      </c>
      <c r="I3" s="6" t="s">
        <v>113</v>
      </c>
      <c r="J3" s="6" t="s">
        <v>114</v>
      </c>
      <c r="K3" s="6" t="s">
        <v>115</v>
      </c>
      <c r="L3" s="7"/>
      <c r="M3" s="7" t="s">
        <v>116</v>
      </c>
      <c r="N3" s="7" t="s">
        <v>116</v>
      </c>
      <c r="O3" s="6" t="s">
        <v>116</v>
      </c>
      <c r="P3" s="7"/>
      <c r="Q3" s="6" t="s">
        <v>117</v>
      </c>
      <c r="R3" s="6" t="s">
        <v>118</v>
      </c>
      <c r="S3" s="7" t="s">
        <v>84</v>
      </c>
      <c r="T3" s="7"/>
      <c r="U3" s="8" t="str">
        <f>"252,5"</f>
        <v>252,5</v>
      </c>
      <c r="V3" s="29" t="str">
        <f>"263,5848"</f>
        <v>263,5848</v>
      </c>
    </row>
    <row r="4" spans="1:22" ht="12.75" customHeight="1">
      <c r="A4" s="5" t="s">
        <v>275</v>
      </c>
      <c r="B4" s="5" t="s">
        <v>270</v>
      </c>
      <c r="C4" s="5" t="s">
        <v>473</v>
      </c>
      <c r="D4" s="5" t="s">
        <v>461</v>
      </c>
      <c r="E4" s="5" t="s">
        <v>119</v>
      </c>
      <c r="F4" s="6" t="s">
        <v>62</v>
      </c>
      <c r="G4" s="6" t="s">
        <v>272</v>
      </c>
      <c r="H4" s="6" t="s">
        <v>439</v>
      </c>
      <c r="I4" s="6" t="s">
        <v>83</v>
      </c>
      <c r="J4" s="6" t="s">
        <v>51</v>
      </c>
      <c r="K4" s="7" t="s">
        <v>84</v>
      </c>
      <c r="L4" s="7"/>
      <c r="M4" s="6" t="s">
        <v>120</v>
      </c>
      <c r="N4" s="7" t="s">
        <v>52</v>
      </c>
      <c r="O4" s="6" t="s">
        <v>52</v>
      </c>
      <c r="P4" s="7"/>
      <c r="Q4" s="6" t="s">
        <v>83</v>
      </c>
      <c r="R4" s="6" t="s">
        <v>51</v>
      </c>
      <c r="S4" s="6" t="s">
        <v>37</v>
      </c>
      <c r="T4" s="7"/>
      <c r="U4" s="8" t="str">
        <f>"300,0"</f>
        <v>300,0</v>
      </c>
      <c r="V4" s="29" t="str">
        <f>"275,6550"</f>
        <v>275,6550</v>
      </c>
    </row>
    <row r="5" spans="1:22" ht="12.75" customHeight="1">
      <c r="A5" s="5" t="s">
        <v>284</v>
      </c>
      <c r="B5" s="5" t="s">
        <v>270</v>
      </c>
      <c r="C5" s="5" t="s">
        <v>474</v>
      </c>
      <c r="D5" s="5" t="s">
        <v>461</v>
      </c>
      <c r="E5" s="5" t="s">
        <v>121</v>
      </c>
      <c r="F5" s="6" t="s">
        <v>62</v>
      </c>
      <c r="G5" s="6" t="s">
        <v>273</v>
      </c>
      <c r="H5" s="6" t="s">
        <v>439</v>
      </c>
      <c r="I5" s="6" t="s">
        <v>48</v>
      </c>
      <c r="J5" s="6" t="s">
        <v>122</v>
      </c>
      <c r="K5" s="7" t="s">
        <v>123</v>
      </c>
      <c r="L5" s="7"/>
      <c r="M5" s="6" t="s">
        <v>124</v>
      </c>
      <c r="N5" s="6" t="s">
        <v>125</v>
      </c>
      <c r="O5" s="6" t="s">
        <v>72</v>
      </c>
      <c r="P5" s="7"/>
      <c r="Q5" s="6" t="s">
        <v>122</v>
      </c>
      <c r="R5" s="7" t="s">
        <v>123</v>
      </c>
      <c r="S5" s="6" t="s">
        <v>123</v>
      </c>
      <c r="T5" s="7"/>
      <c r="U5" s="8" t="str">
        <f>"210,0"</f>
        <v>210,0</v>
      </c>
      <c r="V5" s="29" t="str">
        <f>"204,4035"</f>
        <v>204,4035</v>
      </c>
    </row>
    <row r="6" spans="1:22" ht="12.75" customHeight="1">
      <c r="A6" s="5" t="s">
        <v>276</v>
      </c>
      <c r="B6" s="5" t="s">
        <v>271</v>
      </c>
      <c r="C6" s="5" t="s">
        <v>475</v>
      </c>
      <c r="D6" s="5" t="s">
        <v>462</v>
      </c>
      <c r="E6" s="5" t="s">
        <v>126</v>
      </c>
      <c r="F6" s="6" t="s">
        <v>43</v>
      </c>
      <c r="G6" s="6" t="s">
        <v>272</v>
      </c>
      <c r="H6" s="6" t="s">
        <v>440</v>
      </c>
      <c r="I6" s="6" t="s">
        <v>31</v>
      </c>
      <c r="J6" s="6" t="s">
        <v>32</v>
      </c>
      <c r="K6" s="6" t="s">
        <v>10</v>
      </c>
      <c r="L6" s="7"/>
      <c r="M6" s="6" t="s">
        <v>83</v>
      </c>
      <c r="N6" s="6" t="s">
        <v>51</v>
      </c>
      <c r="O6" s="6" t="s">
        <v>37</v>
      </c>
      <c r="P6" s="7"/>
      <c r="Q6" s="6" t="s">
        <v>18</v>
      </c>
      <c r="R6" s="6" t="s">
        <v>86</v>
      </c>
      <c r="S6" s="6" t="s">
        <v>127</v>
      </c>
      <c r="T6" s="7"/>
      <c r="U6" s="8" t="str">
        <f>"515,0"</f>
        <v>515,0</v>
      </c>
      <c r="V6" s="29" t="str">
        <f>"360,3713"</f>
        <v>360,3713</v>
      </c>
    </row>
    <row r="7" spans="1:22" ht="12.75" customHeight="1">
      <c r="A7" s="5" t="s">
        <v>277</v>
      </c>
      <c r="B7" s="5" t="s">
        <v>271</v>
      </c>
      <c r="C7" s="5" t="s">
        <v>476</v>
      </c>
      <c r="D7" s="5" t="s">
        <v>462</v>
      </c>
      <c r="E7" s="5" t="s">
        <v>128</v>
      </c>
      <c r="F7" s="6" t="s">
        <v>43</v>
      </c>
      <c r="G7" s="6" t="s">
        <v>272</v>
      </c>
      <c r="H7" s="6" t="s">
        <v>441</v>
      </c>
      <c r="I7" s="6" t="s">
        <v>13</v>
      </c>
      <c r="J7" s="6" t="s">
        <v>93</v>
      </c>
      <c r="K7" s="7" t="s">
        <v>297</v>
      </c>
      <c r="L7" s="7"/>
      <c r="M7" s="6" t="s">
        <v>84</v>
      </c>
      <c r="N7" s="6" t="s">
        <v>38</v>
      </c>
      <c r="O7" s="7" t="s">
        <v>5</v>
      </c>
      <c r="P7" s="7"/>
      <c r="Q7" s="6" t="s">
        <v>54</v>
      </c>
      <c r="R7" s="7" t="s">
        <v>16</v>
      </c>
      <c r="S7" s="6" t="s">
        <v>18</v>
      </c>
      <c r="T7" s="7"/>
      <c r="U7" s="8" t="str">
        <f>"490,0"</f>
        <v>490,0</v>
      </c>
      <c r="V7" s="29" t="str">
        <f>"348,3655"</f>
        <v>348,3655</v>
      </c>
    </row>
    <row r="8" spans="1:22" ht="12.75" customHeight="1">
      <c r="A8" s="5" t="s">
        <v>278</v>
      </c>
      <c r="B8" s="5" t="s">
        <v>271</v>
      </c>
      <c r="C8" s="5" t="s">
        <v>477</v>
      </c>
      <c r="D8" s="5" t="s">
        <v>462</v>
      </c>
      <c r="E8" s="5" t="s">
        <v>129</v>
      </c>
      <c r="F8" s="6" t="s">
        <v>45</v>
      </c>
      <c r="G8" s="6" t="s">
        <v>272</v>
      </c>
      <c r="H8" s="6" t="s">
        <v>441</v>
      </c>
      <c r="I8" s="6" t="s">
        <v>18</v>
      </c>
      <c r="J8" s="7" t="s">
        <v>86</v>
      </c>
      <c r="K8" s="7" t="s">
        <v>86</v>
      </c>
      <c r="L8" s="7"/>
      <c r="M8" s="6" t="s">
        <v>37</v>
      </c>
      <c r="N8" s="6" t="s">
        <v>130</v>
      </c>
      <c r="O8" s="6" t="s">
        <v>5</v>
      </c>
      <c r="P8" s="7"/>
      <c r="Q8" s="6" t="s">
        <v>20</v>
      </c>
      <c r="R8" s="6" t="s">
        <v>27</v>
      </c>
      <c r="S8" s="6" t="s">
        <v>131</v>
      </c>
      <c r="T8" s="7"/>
      <c r="U8" s="8" t="str">
        <f>"567,5"</f>
        <v>567,5</v>
      </c>
      <c r="V8" s="29" t="str">
        <f>"368,7331"</f>
        <v>368,7331</v>
      </c>
    </row>
    <row r="9" spans="1:22" ht="12.75" customHeight="1">
      <c r="A9" s="5" t="s">
        <v>279</v>
      </c>
      <c r="B9" s="5" t="s">
        <v>271</v>
      </c>
      <c r="C9" s="5" t="s">
        <v>478</v>
      </c>
      <c r="D9" s="5" t="s">
        <v>461</v>
      </c>
      <c r="E9" s="5" t="s">
        <v>132</v>
      </c>
      <c r="F9" s="6" t="s">
        <v>45</v>
      </c>
      <c r="G9" s="6" t="s">
        <v>272</v>
      </c>
      <c r="H9" s="6" t="s">
        <v>442</v>
      </c>
      <c r="I9" s="6" t="s">
        <v>83</v>
      </c>
      <c r="J9" s="7" t="s">
        <v>37</v>
      </c>
      <c r="K9" s="6" t="s">
        <v>37</v>
      </c>
      <c r="L9" s="7"/>
      <c r="M9" s="6" t="s">
        <v>47</v>
      </c>
      <c r="N9" s="6" t="s">
        <v>122</v>
      </c>
      <c r="O9" s="7" t="s">
        <v>297</v>
      </c>
      <c r="P9" s="7"/>
      <c r="Q9" s="7" t="s">
        <v>12</v>
      </c>
      <c r="R9" s="6" t="s">
        <v>12</v>
      </c>
      <c r="S9" s="7" t="s">
        <v>9</v>
      </c>
      <c r="T9" s="7"/>
      <c r="U9" s="8" t="str">
        <f>"350,0"</f>
        <v>350,0</v>
      </c>
      <c r="V9" s="29" t="str">
        <f>"370,3663"</f>
        <v>370,3663</v>
      </c>
    </row>
    <row r="10" spans="1:22" ht="12.75" customHeight="1">
      <c r="A10" s="5" t="s">
        <v>280</v>
      </c>
      <c r="B10" s="5" t="s">
        <v>271</v>
      </c>
      <c r="C10" s="5" t="s">
        <v>479</v>
      </c>
      <c r="D10" s="5" t="s">
        <v>462</v>
      </c>
      <c r="E10" s="5" t="s">
        <v>133</v>
      </c>
      <c r="F10" s="6" t="s">
        <v>44</v>
      </c>
      <c r="G10" s="6" t="s">
        <v>272</v>
      </c>
      <c r="H10" s="6" t="s">
        <v>441</v>
      </c>
      <c r="I10" s="6" t="s">
        <v>114</v>
      </c>
      <c r="J10" s="6" t="s">
        <v>7</v>
      </c>
      <c r="K10" s="6" t="s">
        <v>83</v>
      </c>
      <c r="L10" s="7"/>
      <c r="M10" s="6" t="s">
        <v>122</v>
      </c>
      <c r="N10" s="6" t="s">
        <v>123</v>
      </c>
      <c r="O10" s="7" t="s">
        <v>114</v>
      </c>
      <c r="P10" s="7"/>
      <c r="Q10" s="6" t="s">
        <v>21</v>
      </c>
      <c r="R10" s="6" t="s">
        <v>8</v>
      </c>
      <c r="S10" s="6" t="s">
        <v>134</v>
      </c>
      <c r="T10" s="7"/>
      <c r="U10" s="8" t="str">
        <f>"347,5"</f>
        <v>347,5</v>
      </c>
      <c r="V10" s="29" t="str">
        <f>"220,9579"</f>
        <v>220,9579</v>
      </c>
    </row>
    <row r="11" spans="1:22" ht="12.75" customHeight="1">
      <c r="A11" s="5" t="s">
        <v>281</v>
      </c>
      <c r="B11" s="5" t="s">
        <v>271</v>
      </c>
      <c r="C11" s="5" t="s">
        <v>480</v>
      </c>
      <c r="D11" s="5" t="s">
        <v>463</v>
      </c>
      <c r="E11" s="5" t="s">
        <v>135</v>
      </c>
      <c r="F11" s="6" t="s">
        <v>102</v>
      </c>
      <c r="G11" s="6" t="s">
        <v>272</v>
      </c>
      <c r="H11" s="6" t="s">
        <v>440</v>
      </c>
      <c r="I11" s="7" t="s">
        <v>12</v>
      </c>
      <c r="J11" s="6" t="s">
        <v>9</v>
      </c>
      <c r="K11" s="6" t="s">
        <v>31</v>
      </c>
      <c r="L11" s="7"/>
      <c r="M11" s="6" t="s">
        <v>122</v>
      </c>
      <c r="N11" s="6" t="s">
        <v>123</v>
      </c>
      <c r="O11" s="7" t="s">
        <v>114</v>
      </c>
      <c r="P11" s="7"/>
      <c r="Q11" s="6" t="s">
        <v>31</v>
      </c>
      <c r="R11" s="6" t="s">
        <v>10</v>
      </c>
      <c r="S11" s="6" t="s">
        <v>15</v>
      </c>
      <c r="T11" s="7"/>
      <c r="U11" s="8" t="str">
        <f>"445,0"</f>
        <v>445,0</v>
      </c>
      <c r="V11" s="29" t="str">
        <f>"252,9269"</f>
        <v>252,9269</v>
      </c>
    </row>
    <row r="12" spans="1:22" ht="12.75" customHeight="1">
      <c r="A12" s="5" t="s">
        <v>282</v>
      </c>
      <c r="B12" s="5" t="s">
        <v>271</v>
      </c>
      <c r="C12" s="5" t="s">
        <v>481</v>
      </c>
      <c r="D12" s="5" t="s">
        <v>462</v>
      </c>
      <c r="E12" s="5" t="s">
        <v>136</v>
      </c>
      <c r="F12" s="6" t="s">
        <v>42</v>
      </c>
      <c r="G12" s="6" t="s">
        <v>272</v>
      </c>
      <c r="H12" s="6" t="s">
        <v>443</v>
      </c>
      <c r="I12" s="6" t="s">
        <v>93</v>
      </c>
      <c r="J12" s="6" t="s">
        <v>137</v>
      </c>
      <c r="K12" s="7" t="s">
        <v>138</v>
      </c>
      <c r="L12" s="7"/>
      <c r="M12" s="6" t="s">
        <v>139</v>
      </c>
      <c r="N12" s="6" t="s">
        <v>140</v>
      </c>
      <c r="O12" s="6" t="s">
        <v>117</v>
      </c>
      <c r="P12" s="7"/>
      <c r="Q12" s="6" t="s">
        <v>8</v>
      </c>
      <c r="R12" s="6" t="s">
        <v>13</v>
      </c>
      <c r="S12" s="6" t="s">
        <v>9</v>
      </c>
      <c r="T12" s="7"/>
      <c r="U12" s="8" t="str">
        <f>"437,5"</f>
        <v>437,5</v>
      </c>
      <c r="V12" s="29" t="str">
        <f>"240,7344"</f>
        <v>240,7344</v>
      </c>
    </row>
    <row r="13" spans="1:22" ht="12.75" customHeight="1">
      <c r="A13" s="5" t="s">
        <v>283</v>
      </c>
      <c r="B13" s="5" t="s">
        <v>271</v>
      </c>
      <c r="C13" s="5" t="s">
        <v>482</v>
      </c>
      <c r="D13" s="5" t="s">
        <v>464</v>
      </c>
      <c r="E13" s="5" t="s">
        <v>141</v>
      </c>
      <c r="F13" s="6" t="s">
        <v>42</v>
      </c>
      <c r="G13" s="6" t="s">
        <v>272</v>
      </c>
      <c r="H13" s="6" t="s">
        <v>439</v>
      </c>
      <c r="I13" s="6" t="s">
        <v>18</v>
      </c>
      <c r="J13" s="6" t="s">
        <v>86</v>
      </c>
      <c r="K13" s="7" t="s">
        <v>297</v>
      </c>
      <c r="L13" s="7"/>
      <c r="M13" s="6" t="s">
        <v>8</v>
      </c>
      <c r="N13" s="6" t="s">
        <v>13</v>
      </c>
      <c r="O13" s="6" t="s">
        <v>30</v>
      </c>
      <c r="P13" s="7"/>
      <c r="Q13" s="6" t="s">
        <v>28</v>
      </c>
      <c r="R13" s="6" t="s">
        <v>33</v>
      </c>
      <c r="S13" s="6" t="s">
        <v>25</v>
      </c>
      <c r="T13" s="7"/>
      <c r="U13" s="8" t="str">
        <f>"637,5"</f>
        <v>637,5</v>
      </c>
      <c r="V13" s="29" t="str">
        <f>"358,0519"</f>
        <v>358,0519</v>
      </c>
    </row>
    <row r="14" spans="1:22" ht="12.75" customHeight="1">
      <c r="A14" s="5" t="s">
        <v>285</v>
      </c>
      <c r="B14" s="5" t="s">
        <v>271</v>
      </c>
      <c r="C14" s="5" t="s">
        <v>483</v>
      </c>
      <c r="D14" s="5" t="s">
        <v>461</v>
      </c>
      <c r="E14" s="5" t="s">
        <v>142</v>
      </c>
      <c r="F14" s="6" t="s">
        <v>42</v>
      </c>
      <c r="G14" s="6"/>
      <c r="H14" s="6" t="s">
        <v>444</v>
      </c>
      <c r="I14" s="6" t="s">
        <v>15</v>
      </c>
      <c r="J14" s="6" t="s">
        <v>18</v>
      </c>
      <c r="K14" s="7" t="s">
        <v>297</v>
      </c>
      <c r="L14" s="7"/>
      <c r="M14" s="7" t="s">
        <v>6</v>
      </c>
      <c r="N14" s="6" t="s">
        <v>8</v>
      </c>
      <c r="O14" s="7" t="s">
        <v>12</v>
      </c>
      <c r="P14" s="7"/>
      <c r="Q14" s="7" t="s">
        <v>28</v>
      </c>
      <c r="R14" s="7" t="s">
        <v>23</v>
      </c>
      <c r="S14" s="7" t="s">
        <v>23</v>
      </c>
      <c r="T14" s="7"/>
      <c r="U14" s="8" t="str">
        <f>"0.00"</f>
        <v>0.00</v>
      </c>
      <c r="V14" s="9"/>
    </row>
  </sheetData>
  <mergeCells count="3">
    <mergeCell ref="I1:K1"/>
    <mergeCell ref="M1:O1"/>
    <mergeCell ref="Q1:S1"/>
  </mergeCells>
  <pageMargins left="0.7" right="0.7" top="0.75" bottom="0.75" header="0.3" footer="0.3"/>
  <pageSetup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16"/>
  <sheetViews>
    <sheetView workbookViewId="0">
      <selection activeCell="A2" sqref="A2"/>
    </sheetView>
  </sheetViews>
  <sheetFormatPr defaultRowHeight="12.75" customHeight="1"/>
  <cols>
    <col min="1" max="1" width="22.7109375" style="3" customWidth="1"/>
    <col min="2" max="2" width="6" style="3" customWidth="1"/>
    <col min="3" max="3" width="10.140625" style="3" bestFit="1" customWidth="1"/>
    <col min="4" max="4" width="12" style="3" bestFit="1" customWidth="1"/>
    <col min="5" max="5" width="10" style="3" customWidth="1"/>
    <col min="6" max="6" width="4.5703125" style="3" bestFit="1" customWidth="1"/>
    <col min="7" max="7" width="6.85546875" style="2" customWidth="1"/>
    <col min="8" max="8" width="19.5703125" style="2" customWidth="1"/>
    <col min="9" max="11" width="5.5703125" style="2" customWidth="1"/>
    <col min="12" max="12" width="4.85546875" style="2" customWidth="1"/>
    <col min="13" max="13" width="7.85546875" style="4" bestFit="1" customWidth="1"/>
    <col min="14" max="14" width="8.5703125" style="1" bestFit="1" customWidth="1"/>
    <col min="15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1" t="s">
        <v>266</v>
      </c>
      <c r="F1" s="21" t="s">
        <v>436</v>
      </c>
      <c r="G1" s="27" t="s">
        <v>269</v>
      </c>
      <c r="H1" s="18" t="s">
        <v>437</v>
      </c>
      <c r="I1" s="28" t="s">
        <v>456</v>
      </c>
      <c r="J1" s="28"/>
      <c r="K1" s="28"/>
      <c r="L1" s="18"/>
      <c r="M1" s="18" t="s">
        <v>455</v>
      </c>
      <c r="N1" s="18" t="s">
        <v>1</v>
      </c>
      <c r="O1" s="13"/>
      <c r="P1" s="13"/>
      <c r="Q1" s="13"/>
      <c r="R1" s="13"/>
      <c r="S1" s="13"/>
      <c r="T1" s="13"/>
      <c r="U1" s="13"/>
      <c r="V1" s="13"/>
    </row>
    <row r="2" spans="1:22" s="10" customFormat="1" ht="12.75" customHeight="1">
      <c r="A2" s="18"/>
      <c r="B2" s="18"/>
      <c r="C2" s="18"/>
      <c r="D2" s="18"/>
      <c r="E2" s="18"/>
      <c r="F2" s="18"/>
      <c r="G2" s="11"/>
      <c r="H2" s="18"/>
      <c r="I2" s="18">
        <v>1</v>
      </c>
      <c r="J2" s="11">
        <v>2</v>
      </c>
      <c r="K2" s="11">
        <v>3</v>
      </c>
      <c r="L2" s="11" t="s">
        <v>2</v>
      </c>
      <c r="M2" s="11"/>
      <c r="N2" s="11"/>
      <c r="T2" s="13"/>
      <c r="U2" s="13"/>
      <c r="V2" s="13"/>
    </row>
    <row r="3" spans="1:22" ht="12.75" customHeight="1">
      <c r="A3" s="5" t="s">
        <v>361</v>
      </c>
      <c r="B3" s="5" t="s">
        <v>271</v>
      </c>
      <c r="C3" s="5" t="s">
        <v>605</v>
      </c>
      <c r="D3" s="5" t="s">
        <v>467</v>
      </c>
      <c r="E3" s="5" t="s">
        <v>104</v>
      </c>
      <c r="F3" s="5" t="s">
        <v>62</v>
      </c>
      <c r="G3" s="6" t="s">
        <v>272</v>
      </c>
      <c r="H3" s="6" t="s">
        <v>440</v>
      </c>
      <c r="I3" s="7" t="s">
        <v>13</v>
      </c>
      <c r="J3" s="7" t="s">
        <v>13</v>
      </c>
      <c r="K3" s="6" t="s">
        <v>89</v>
      </c>
      <c r="L3" s="7"/>
      <c r="M3" s="8" t="str">
        <f>"167,5"</f>
        <v>167,5</v>
      </c>
      <c r="N3" s="29" t="str">
        <f>"130,3234"</f>
        <v>130,3234</v>
      </c>
    </row>
    <row r="4" spans="1:22" ht="12.75" customHeight="1">
      <c r="A4" s="5" t="s">
        <v>362</v>
      </c>
      <c r="B4" s="5" t="s">
        <v>271</v>
      </c>
      <c r="C4" s="5" t="s">
        <v>606</v>
      </c>
      <c r="D4" s="5" t="s">
        <v>467</v>
      </c>
      <c r="E4" s="5" t="s">
        <v>105</v>
      </c>
      <c r="F4" s="5" t="s">
        <v>44</v>
      </c>
      <c r="G4" s="6" t="s">
        <v>272</v>
      </c>
      <c r="H4" s="6" t="s">
        <v>439</v>
      </c>
      <c r="I4" s="6" t="s">
        <v>24</v>
      </c>
      <c r="J4" s="7" t="s">
        <v>36</v>
      </c>
      <c r="K4" s="7" t="s">
        <v>36</v>
      </c>
      <c r="L4" s="7"/>
      <c r="M4" s="8" t="str">
        <f>"260,0"</f>
        <v>260,0</v>
      </c>
      <c r="N4" s="29" t="str">
        <f>"159,4255"</f>
        <v>159,4255</v>
      </c>
    </row>
    <row r="5" spans="1:22" ht="12.75" customHeight="1">
      <c r="A5" s="5" t="s">
        <v>359</v>
      </c>
      <c r="B5" s="5" t="s">
        <v>271</v>
      </c>
      <c r="C5" s="5" t="s">
        <v>607</v>
      </c>
      <c r="D5" s="5" t="s">
        <v>461</v>
      </c>
      <c r="E5" s="5" t="s">
        <v>106</v>
      </c>
      <c r="F5" s="5" t="s">
        <v>44</v>
      </c>
      <c r="G5" s="6"/>
      <c r="H5" s="6" t="s">
        <v>439</v>
      </c>
      <c r="I5" s="7" t="s">
        <v>107</v>
      </c>
      <c r="J5" s="7" t="s">
        <v>107</v>
      </c>
      <c r="K5" s="7" t="s">
        <v>107</v>
      </c>
      <c r="L5" s="7"/>
      <c r="M5" s="8" t="str">
        <f>"0.00"</f>
        <v>0.00</v>
      </c>
      <c r="N5" s="29"/>
    </row>
    <row r="6" spans="1:22" ht="12.75" customHeight="1">
      <c r="A6" s="5" t="s">
        <v>337</v>
      </c>
      <c r="B6" s="5" t="s">
        <v>271</v>
      </c>
      <c r="C6" s="5" t="s">
        <v>537</v>
      </c>
      <c r="D6" s="5" t="s">
        <v>461</v>
      </c>
      <c r="E6" s="5" t="s">
        <v>108</v>
      </c>
      <c r="F6" s="5" t="s">
        <v>41</v>
      </c>
      <c r="G6" s="6" t="s">
        <v>272</v>
      </c>
      <c r="H6" s="6" t="s">
        <v>439</v>
      </c>
      <c r="I6" s="6" t="s">
        <v>36</v>
      </c>
      <c r="J6" s="6" t="s">
        <v>107</v>
      </c>
      <c r="K6" s="7" t="s">
        <v>109</v>
      </c>
      <c r="L6" s="7"/>
      <c r="M6" s="8" t="str">
        <f>"290,0"</f>
        <v>290,0</v>
      </c>
      <c r="N6" s="29" t="str">
        <f>"169,6645"</f>
        <v>169,6645</v>
      </c>
    </row>
    <row r="7" spans="1:22" ht="12.75" customHeight="1">
      <c r="A7" s="5" t="s">
        <v>360</v>
      </c>
      <c r="B7" s="5" t="s">
        <v>271</v>
      </c>
      <c r="C7" s="5" t="s">
        <v>608</v>
      </c>
      <c r="D7" s="5" t="s">
        <v>461</v>
      </c>
      <c r="E7" s="5" t="s">
        <v>110</v>
      </c>
      <c r="F7" s="5" t="s">
        <v>41</v>
      </c>
      <c r="G7" s="6" t="s">
        <v>273</v>
      </c>
      <c r="H7" s="6" t="s">
        <v>439</v>
      </c>
      <c r="I7" s="6" t="s">
        <v>28</v>
      </c>
      <c r="J7" s="6" t="s">
        <v>24</v>
      </c>
      <c r="K7" s="6" t="s">
        <v>36</v>
      </c>
      <c r="L7" s="7"/>
      <c r="M7" s="8" t="str">
        <f>"270,0"</f>
        <v>270,0</v>
      </c>
      <c r="N7" s="29" t="str">
        <f>"157,3560"</f>
        <v>157,3560</v>
      </c>
    </row>
    <row r="8" spans="1:22" ht="12.75" customHeight="1">
      <c r="A8" s="5" t="s">
        <v>363</v>
      </c>
      <c r="B8" s="5" t="s">
        <v>271</v>
      </c>
      <c r="C8" s="5" t="s">
        <v>609</v>
      </c>
      <c r="D8" s="5" t="s">
        <v>463</v>
      </c>
      <c r="E8" s="5" t="s">
        <v>111</v>
      </c>
      <c r="F8" s="5" t="s">
        <v>41</v>
      </c>
      <c r="G8" s="6" t="s">
        <v>272</v>
      </c>
      <c r="H8" s="6" t="s">
        <v>452</v>
      </c>
      <c r="I8" s="6" t="s">
        <v>8</v>
      </c>
      <c r="J8" s="6" t="s">
        <v>13</v>
      </c>
      <c r="K8" s="6" t="s">
        <v>31</v>
      </c>
      <c r="L8" s="7"/>
      <c r="M8" s="8" t="str">
        <f>"170,0"</f>
        <v>170,0</v>
      </c>
      <c r="N8" s="29" t="str">
        <f>"140,7007"</f>
        <v>140,7007</v>
      </c>
    </row>
    <row r="9" spans="1:22" ht="12.75" customHeight="1">
      <c r="A9" s="14"/>
      <c r="B9" s="14"/>
      <c r="C9" s="14"/>
      <c r="D9" s="14"/>
      <c r="E9" s="14"/>
      <c r="F9" s="14"/>
      <c r="H9" s="14"/>
      <c r="I9" s="14"/>
      <c r="J9" s="14"/>
      <c r="K9" s="14"/>
      <c r="L9" s="14"/>
      <c r="M9" s="12"/>
      <c r="N9" s="12"/>
      <c r="O9" s="14"/>
      <c r="P9" s="14"/>
      <c r="Q9" s="14"/>
      <c r="R9" s="14"/>
      <c r="S9" s="14"/>
    </row>
    <row r="13" spans="1:22" ht="12.75" customHeight="1">
      <c r="A13" s="14"/>
      <c r="B13" s="14"/>
      <c r="C13" s="14"/>
      <c r="D13" s="14"/>
      <c r="E13" s="14"/>
      <c r="F13" s="14"/>
      <c r="H13" s="14"/>
      <c r="I13" s="14"/>
      <c r="J13" s="14"/>
      <c r="K13" s="14"/>
      <c r="L13" s="14"/>
      <c r="M13" s="12"/>
      <c r="N13" s="12"/>
      <c r="O13" s="14"/>
      <c r="P13" s="14"/>
      <c r="Q13" s="14"/>
      <c r="R13" s="14"/>
      <c r="S13" s="14"/>
    </row>
    <row r="16" spans="1:22" ht="12.75" customHeight="1">
      <c r="A16" s="14"/>
      <c r="B16" s="14"/>
      <c r="C16" s="14"/>
      <c r="D16" s="14"/>
      <c r="E16" s="14"/>
      <c r="F16" s="14"/>
      <c r="H16" s="14"/>
      <c r="I16" s="14"/>
      <c r="J16" s="14"/>
      <c r="K16" s="14"/>
      <c r="L16" s="14"/>
      <c r="M16" s="12"/>
      <c r="N16" s="12"/>
      <c r="O16" s="14"/>
      <c r="P16" s="14"/>
      <c r="Q16" s="14"/>
      <c r="R16" s="14"/>
      <c r="S16" s="14"/>
    </row>
  </sheetData>
  <mergeCells count="1">
    <mergeCell ref="I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2"/>
  <sheetViews>
    <sheetView workbookViewId="0"/>
  </sheetViews>
  <sheetFormatPr defaultRowHeight="12.75" customHeight="1"/>
  <cols>
    <col min="1" max="1" width="26" style="3" bestFit="1" customWidth="1"/>
    <col min="2" max="2" width="6" style="3" customWidth="1"/>
    <col min="3" max="3" width="10.140625" style="3" bestFit="1" customWidth="1"/>
    <col min="4" max="4" width="16" style="3" bestFit="1" customWidth="1"/>
    <col min="5" max="5" width="8" style="3" customWidth="1"/>
    <col min="6" max="6" width="5.85546875" style="2" customWidth="1"/>
    <col min="7" max="7" width="6.85546875" style="2" customWidth="1"/>
    <col min="8" max="8" width="19.5703125" style="2" customWidth="1"/>
    <col min="9" max="12" width="5.5703125" style="2" customWidth="1"/>
    <col min="13" max="13" width="7.85546875" style="4" bestFit="1" customWidth="1"/>
    <col min="14" max="14" width="8.5703125" style="1" bestFit="1" customWidth="1"/>
    <col min="15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1" t="s">
        <v>266</v>
      </c>
      <c r="F1" s="22" t="s">
        <v>436</v>
      </c>
      <c r="G1" s="27" t="s">
        <v>269</v>
      </c>
      <c r="H1" s="11" t="s">
        <v>437</v>
      </c>
      <c r="I1" s="28" t="s">
        <v>454</v>
      </c>
      <c r="J1" s="28"/>
      <c r="K1" s="28"/>
      <c r="L1" s="18"/>
      <c r="M1" s="18" t="s">
        <v>455</v>
      </c>
      <c r="N1" s="18" t="s">
        <v>1</v>
      </c>
      <c r="O1" s="13"/>
      <c r="P1" s="13"/>
      <c r="Q1" s="13"/>
      <c r="R1" s="13"/>
      <c r="S1" s="13"/>
      <c r="T1" s="13"/>
      <c r="U1" s="13"/>
      <c r="V1" s="13"/>
    </row>
    <row r="2" spans="1:22" s="10" customFormat="1" ht="12.75" customHeight="1">
      <c r="A2" s="18"/>
      <c r="B2" s="18"/>
      <c r="C2" s="18"/>
      <c r="D2" s="18"/>
      <c r="E2" s="18"/>
      <c r="F2" s="11"/>
      <c r="G2" s="11"/>
      <c r="H2" s="11"/>
      <c r="I2" s="18">
        <v>1</v>
      </c>
      <c r="J2" s="11">
        <v>2</v>
      </c>
      <c r="K2" s="11">
        <v>3</v>
      </c>
      <c r="L2" s="11" t="s">
        <v>2</v>
      </c>
      <c r="M2" s="11"/>
      <c r="N2" s="11"/>
      <c r="T2" s="13"/>
      <c r="U2" s="13"/>
      <c r="V2" s="13"/>
    </row>
    <row r="3" spans="1:22" ht="12.75" customHeight="1">
      <c r="A3" s="5" t="s">
        <v>302</v>
      </c>
      <c r="B3" s="5" t="s">
        <v>270</v>
      </c>
      <c r="C3" s="5" t="s">
        <v>496</v>
      </c>
      <c r="D3" s="5" t="s">
        <v>461</v>
      </c>
      <c r="E3" s="5" t="s">
        <v>236</v>
      </c>
      <c r="F3" s="20">
        <v>48</v>
      </c>
      <c r="G3" s="20">
        <v>1</v>
      </c>
      <c r="H3" s="6" t="s">
        <v>439</v>
      </c>
      <c r="I3" s="6" t="s">
        <v>114</v>
      </c>
      <c r="J3" s="6" t="s">
        <v>7</v>
      </c>
      <c r="K3" s="7" t="s">
        <v>117</v>
      </c>
      <c r="L3" s="7"/>
      <c r="M3" s="8" t="str">
        <f>"100,0"</f>
        <v>100,0</v>
      </c>
      <c r="N3" s="29" t="str">
        <f>"119,2200"</f>
        <v>119,2200</v>
      </c>
    </row>
    <row r="4" spans="1:22" ht="12.75" customHeight="1">
      <c r="A4" s="5" t="s">
        <v>303</v>
      </c>
      <c r="B4" s="5" t="s">
        <v>270</v>
      </c>
      <c r="C4" s="5" t="s">
        <v>497</v>
      </c>
      <c r="D4" s="5" t="s">
        <v>467</v>
      </c>
      <c r="E4" s="5" t="s">
        <v>146</v>
      </c>
      <c r="F4" s="20">
        <v>52</v>
      </c>
      <c r="G4" s="20">
        <v>1</v>
      </c>
      <c r="H4" s="6" t="s">
        <v>438</v>
      </c>
      <c r="I4" s="6" t="s">
        <v>164</v>
      </c>
      <c r="J4" s="7" t="s">
        <v>7</v>
      </c>
      <c r="K4" s="7" t="s">
        <v>297</v>
      </c>
      <c r="L4" s="7"/>
      <c r="M4" s="8" t="str">
        <f>"95,0"</f>
        <v>95,0</v>
      </c>
      <c r="N4" s="29" t="str">
        <f>"107,6730"</f>
        <v>107,6730</v>
      </c>
    </row>
    <row r="5" spans="1:22" ht="12.75" customHeight="1">
      <c r="A5" s="15" t="s">
        <v>304</v>
      </c>
      <c r="B5" s="5" t="s">
        <v>270</v>
      </c>
      <c r="C5" s="15" t="s">
        <v>498</v>
      </c>
      <c r="D5" s="15" t="s">
        <v>461</v>
      </c>
      <c r="E5" s="15" t="s">
        <v>237</v>
      </c>
      <c r="F5" s="20">
        <v>56</v>
      </c>
      <c r="G5" s="20">
        <v>1</v>
      </c>
      <c r="H5" s="6" t="s">
        <v>439</v>
      </c>
      <c r="I5" s="15" t="s">
        <v>238</v>
      </c>
      <c r="J5" s="15" t="s">
        <v>21</v>
      </c>
      <c r="K5" s="15" t="s">
        <v>6</v>
      </c>
      <c r="L5" s="16"/>
      <c r="M5" s="17" t="str">
        <f>"140,0"</f>
        <v>140,0</v>
      </c>
      <c r="N5" s="32" t="str">
        <f>"149,1420"</f>
        <v>149,1420</v>
      </c>
      <c r="O5" s="14"/>
      <c r="P5" s="14"/>
      <c r="Q5" s="14"/>
      <c r="R5" s="14"/>
      <c r="S5" s="14"/>
    </row>
    <row r="6" spans="1:22" ht="12.75" customHeight="1">
      <c r="A6" s="5" t="s">
        <v>327</v>
      </c>
      <c r="B6" s="5" t="s">
        <v>270</v>
      </c>
      <c r="C6" s="5" t="s">
        <v>499</v>
      </c>
      <c r="D6" s="5" t="s">
        <v>461</v>
      </c>
      <c r="E6" s="5" t="s">
        <v>239</v>
      </c>
      <c r="F6" s="20">
        <v>56</v>
      </c>
      <c r="G6" s="20">
        <v>2</v>
      </c>
      <c r="H6" s="6" t="s">
        <v>439</v>
      </c>
      <c r="I6" s="6" t="s">
        <v>122</v>
      </c>
      <c r="J6" s="6" t="s">
        <v>123</v>
      </c>
      <c r="K6" s="6" t="s">
        <v>164</v>
      </c>
      <c r="L6" s="7"/>
      <c r="M6" s="8" t="str">
        <f>"95,0"</f>
        <v>95,0</v>
      </c>
      <c r="N6" s="29" t="str">
        <f>"102,1060"</f>
        <v>102,1060</v>
      </c>
    </row>
    <row r="7" spans="1:22" ht="12.75" customHeight="1">
      <c r="A7" s="5" t="s">
        <v>240</v>
      </c>
      <c r="B7" s="5" t="s">
        <v>270</v>
      </c>
      <c r="C7" s="5" t="s">
        <v>500</v>
      </c>
      <c r="D7" s="5" t="s">
        <v>461</v>
      </c>
      <c r="E7" s="5" t="s">
        <v>148</v>
      </c>
      <c r="F7" s="20">
        <v>56</v>
      </c>
      <c r="G7" s="6"/>
      <c r="H7" s="6" t="s">
        <v>439</v>
      </c>
      <c r="I7" s="7" t="s">
        <v>122</v>
      </c>
      <c r="J7" s="7" t="s">
        <v>297</v>
      </c>
      <c r="K7" s="7" t="s">
        <v>297</v>
      </c>
      <c r="L7" s="7"/>
      <c r="M7" s="8" t="str">
        <f>"0.00"</f>
        <v>0.00</v>
      </c>
      <c r="N7" s="29"/>
    </row>
    <row r="8" spans="1:22" ht="12.75" customHeight="1">
      <c r="A8" s="5" t="s">
        <v>305</v>
      </c>
      <c r="B8" s="5" t="s">
        <v>270</v>
      </c>
      <c r="C8" s="5" t="s">
        <v>501</v>
      </c>
      <c r="D8" s="5" t="s">
        <v>461</v>
      </c>
      <c r="E8" s="5" t="s">
        <v>152</v>
      </c>
      <c r="F8" s="20">
        <v>56</v>
      </c>
      <c r="G8" s="20">
        <v>1</v>
      </c>
      <c r="H8" s="6" t="s">
        <v>444</v>
      </c>
      <c r="I8" s="6" t="s">
        <v>117</v>
      </c>
      <c r="J8" s="6" t="s">
        <v>241</v>
      </c>
      <c r="K8" s="6" t="s">
        <v>83</v>
      </c>
      <c r="L8" s="7"/>
      <c r="M8" s="8" t="str">
        <f>"110,0"</f>
        <v>110,0</v>
      </c>
      <c r="N8" s="29" t="str">
        <f>"117,4883"</f>
        <v>117,4883</v>
      </c>
    </row>
    <row r="9" spans="1:22" ht="12.75" customHeight="1">
      <c r="A9" s="5" t="s">
        <v>306</v>
      </c>
      <c r="B9" s="5" t="s">
        <v>270</v>
      </c>
      <c r="C9" s="5" t="s">
        <v>502</v>
      </c>
      <c r="D9" s="5" t="s">
        <v>461</v>
      </c>
      <c r="E9" s="5" t="s">
        <v>153</v>
      </c>
      <c r="F9" s="6" t="s">
        <v>213</v>
      </c>
      <c r="G9" s="20">
        <v>1</v>
      </c>
      <c r="H9" s="6" t="s">
        <v>441</v>
      </c>
      <c r="I9" s="6" t="s">
        <v>114</v>
      </c>
      <c r="J9" s="6" t="s">
        <v>7</v>
      </c>
      <c r="K9" s="7" t="s">
        <v>83</v>
      </c>
      <c r="L9" s="7"/>
      <c r="M9" s="8" t="str">
        <f>"100,0"</f>
        <v>100,0</v>
      </c>
      <c r="N9" s="29" t="str">
        <f>"99,5600"</f>
        <v>99,5600</v>
      </c>
    </row>
    <row r="10" spans="1:22" ht="12.75" customHeight="1">
      <c r="A10" s="5" t="s">
        <v>307</v>
      </c>
      <c r="B10" s="5" t="s">
        <v>270</v>
      </c>
      <c r="C10" s="5" t="s">
        <v>503</v>
      </c>
      <c r="D10" s="5" t="s">
        <v>461</v>
      </c>
      <c r="E10" s="5" t="s">
        <v>242</v>
      </c>
      <c r="F10" s="6" t="s">
        <v>213</v>
      </c>
      <c r="G10" s="20">
        <v>1</v>
      </c>
      <c r="H10" s="6" t="s">
        <v>439</v>
      </c>
      <c r="I10" s="6" t="s">
        <v>117</v>
      </c>
      <c r="J10" s="6" t="s">
        <v>83</v>
      </c>
      <c r="K10" s="7" t="s">
        <v>51</v>
      </c>
      <c r="L10" s="7"/>
      <c r="M10" s="8" t="str">
        <f>"110,0"</f>
        <v>110,0</v>
      </c>
      <c r="N10" s="29" t="str">
        <f>"113,7620"</f>
        <v>113,7620</v>
      </c>
    </row>
    <row r="11" spans="1:22" ht="12.75" customHeight="1">
      <c r="A11" s="5" t="s">
        <v>308</v>
      </c>
      <c r="B11" s="5" t="s">
        <v>270</v>
      </c>
      <c r="C11" s="5" t="s">
        <v>504</v>
      </c>
      <c r="D11" s="5" t="s">
        <v>461</v>
      </c>
      <c r="E11" s="5" t="s">
        <v>243</v>
      </c>
      <c r="F11" s="6" t="s">
        <v>62</v>
      </c>
      <c r="G11" s="20">
        <v>1</v>
      </c>
      <c r="H11" s="6" t="s">
        <v>438</v>
      </c>
      <c r="I11" s="6" t="s">
        <v>52</v>
      </c>
      <c r="J11" s="6" t="s">
        <v>47</v>
      </c>
      <c r="K11" s="6" t="s">
        <v>48</v>
      </c>
      <c r="L11" s="7"/>
      <c r="M11" s="8" t="str">
        <f>"75,0"</f>
        <v>75,0</v>
      </c>
      <c r="N11" s="29" t="str">
        <f>"70,3537"</f>
        <v>70,3537</v>
      </c>
    </row>
    <row r="12" spans="1:22" ht="12.75" customHeight="1">
      <c r="A12" s="15" t="s">
        <v>309</v>
      </c>
      <c r="B12" s="5" t="s">
        <v>270</v>
      </c>
      <c r="C12" s="15" t="s">
        <v>505</v>
      </c>
      <c r="D12" s="15" t="s">
        <v>461</v>
      </c>
      <c r="E12" s="15" t="s">
        <v>119</v>
      </c>
      <c r="F12" s="6" t="s">
        <v>62</v>
      </c>
      <c r="G12" s="20">
        <v>1</v>
      </c>
      <c r="H12" s="6" t="s">
        <v>440</v>
      </c>
      <c r="I12" s="15" t="s">
        <v>123</v>
      </c>
      <c r="J12" s="15" t="s">
        <v>164</v>
      </c>
      <c r="K12" s="15" t="s">
        <v>140</v>
      </c>
      <c r="L12" s="16"/>
      <c r="M12" s="17" t="str">
        <f>"102,5"</f>
        <v>102,5</v>
      </c>
      <c r="N12" s="32" t="str">
        <f>"94,1821"</f>
        <v>94,1821</v>
      </c>
      <c r="O12" s="14"/>
      <c r="P12" s="14"/>
      <c r="Q12" s="14"/>
      <c r="R12" s="14"/>
      <c r="S12" s="14"/>
    </row>
    <row r="13" spans="1:22" ht="12.75" customHeight="1">
      <c r="A13" s="5" t="s">
        <v>310</v>
      </c>
      <c r="B13" s="5" t="s">
        <v>270</v>
      </c>
      <c r="C13" s="5" t="s">
        <v>506</v>
      </c>
      <c r="D13" s="5" t="s">
        <v>461</v>
      </c>
      <c r="E13" s="5" t="s">
        <v>244</v>
      </c>
      <c r="F13" s="6" t="s">
        <v>62</v>
      </c>
      <c r="G13" s="20">
        <v>1</v>
      </c>
      <c r="H13" s="6" t="s">
        <v>441</v>
      </c>
      <c r="I13" s="6" t="s">
        <v>114</v>
      </c>
      <c r="J13" s="6" t="s">
        <v>7</v>
      </c>
      <c r="K13" s="7" t="s">
        <v>117</v>
      </c>
      <c r="L13" s="7"/>
      <c r="M13" s="8" t="str">
        <f>"100,0"</f>
        <v>100,0</v>
      </c>
      <c r="N13" s="29" t="str">
        <f>"91,4500"</f>
        <v>91,4500</v>
      </c>
    </row>
    <row r="14" spans="1:22" ht="12.75" customHeight="1">
      <c r="A14" s="5" t="s">
        <v>275</v>
      </c>
      <c r="B14" s="5" t="s">
        <v>270</v>
      </c>
      <c r="C14" s="5" t="s">
        <v>473</v>
      </c>
      <c r="D14" s="5" t="s">
        <v>461</v>
      </c>
      <c r="E14" s="5" t="s">
        <v>245</v>
      </c>
      <c r="F14" s="6" t="s">
        <v>62</v>
      </c>
      <c r="G14" s="20">
        <v>1</v>
      </c>
      <c r="H14" s="6" t="s">
        <v>439</v>
      </c>
      <c r="I14" s="6" t="s">
        <v>83</v>
      </c>
      <c r="J14" s="6" t="s">
        <v>84</v>
      </c>
      <c r="K14" s="7" t="s">
        <v>297</v>
      </c>
      <c r="L14" s="7"/>
      <c r="M14" s="8" t="str">
        <f>"117,5"</f>
        <v>117,5</v>
      </c>
      <c r="N14" s="29" t="str">
        <f>"105,7441"</f>
        <v>105,7441</v>
      </c>
    </row>
    <row r="15" spans="1:22" ht="12.75" customHeight="1">
      <c r="A15" s="15" t="s">
        <v>311</v>
      </c>
      <c r="B15" s="5" t="s">
        <v>270</v>
      </c>
      <c r="C15" s="15" t="s">
        <v>507</v>
      </c>
      <c r="D15" s="15" t="s">
        <v>461</v>
      </c>
      <c r="E15" s="15" t="s">
        <v>246</v>
      </c>
      <c r="F15" s="6" t="s">
        <v>62</v>
      </c>
      <c r="G15" s="20">
        <v>1</v>
      </c>
      <c r="H15" s="6" t="s">
        <v>444</v>
      </c>
      <c r="I15" s="15" t="s">
        <v>76</v>
      </c>
      <c r="J15" s="15" t="s">
        <v>47</v>
      </c>
      <c r="K15" s="15" t="s">
        <v>122</v>
      </c>
      <c r="L15" s="16"/>
      <c r="M15" s="17" t="str">
        <f>"80,0"</f>
        <v>80,0</v>
      </c>
      <c r="N15" s="32" t="str">
        <f>"74,4478"</f>
        <v>74,4478</v>
      </c>
      <c r="O15" s="14"/>
      <c r="P15" s="14"/>
      <c r="Q15" s="14"/>
      <c r="R15" s="14"/>
      <c r="S15" s="14"/>
    </row>
    <row r="16" spans="1:22" ht="12.75" customHeight="1">
      <c r="A16" s="5" t="s">
        <v>312</v>
      </c>
      <c r="B16" s="5" t="s">
        <v>270</v>
      </c>
      <c r="C16" s="5" t="s">
        <v>508</v>
      </c>
      <c r="D16" s="5" t="s">
        <v>468</v>
      </c>
      <c r="E16" s="5" t="s">
        <v>247</v>
      </c>
      <c r="F16" s="6" t="s">
        <v>43</v>
      </c>
      <c r="G16" s="20">
        <v>1</v>
      </c>
      <c r="H16" s="6" t="s">
        <v>439</v>
      </c>
      <c r="I16" s="6" t="s">
        <v>164</v>
      </c>
      <c r="J16" s="7" t="s">
        <v>117</v>
      </c>
      <c r="K16" s="7" t="s">
        <v>117</v>
      </c>
      <c r="L16" s="7"/>
      <c r="M16" s="8" t="str">
        <f>"95,0"</f>
        <v>95,0</v>
      </c>
      <c r="N16" s="29" t="str">
        <f>"81,2345"</f>
        <v>81,2345</v>
      </c>
    </row>
    <row r="17" spans="1:14" ht="12.75" customHeight="1">
      <c r="A17" s="5" t="s">
        <v>313</v>
      </c>
      <c r="B17" s="5" t="s">
        <v>271</v>
      </c>
      <c r="C17" s="5" t="s">
        <v>509</v>
      </c>
      <c r="D17" s="5" t="s">
        <v>468</v>
      </c>
      <c r="E17" s="5" t="s">
        <v>161</v>
      </c>
      <c r="F17" s="6" t="s">
        <v>143</v>
      </c>
      <c r="G17" s="20">
        <v>1</v>
      </c>
      <c r="H17" s="6" t="s">
        <v>439</v>
      </c>
      <c r="I17" s="6" t="s">
        <v>5</v>
      </c>
      <c r="J17" s="6" t="s">
        <v>6</v>
      </c>
      <c r="K17" s="7" t="s">
        <v>8</v>
      </c>
      <c r="L17" s="7"/>
      <c r="M17" s="8" t="str">
        <f>"140,0"</f>
        <v>140,0</v>
      </c>
      <c r="N17" s="29" t="str">
        <f>"126,6090"</f>
        <v>126,6090</v>
      </c>
    </row>
    <row r="18" spans="1:14" ht="12.75" customHeight="1">
      <c r="A18" s="5" t="s">
        <v>314</v>
      </c>
      <c r="B18" s="5" t="s">
        <v>271</v>
      </c>
      <c r="C18" s="5" t="s">
        <v>510</v>
      </c>
      <c r="D18" s="5" t="s">
        <v>468</v>
      </c>
      <c r="E18" s="5" t="s">
        <v>248</v>
      </c>
      <c r="F18" s="6" t="s">
        <v>213</v>
      </c>
      <c r="G18" s="20">
        <v>1</v>
      </c>
      <c r="H18" s="6" t="s">
        <v>439</v>
      </c>
      <c r="I18" s="6" t="s">
        <v>31</v>
      </c>
      <c r="J18" s="7" t="s">
        <v>32</v>
      </c>
      <c r="K18" s="6" t="s">
        <v>32</v>
      </c>
      <c r="L18" s="7"/>
      <c r="M18" s="8" t="str">
        <f>"175,0"</f>
        <v>175,0</v>
      </c>
      <c r="N18" s="29" t="str">
        <f>"147,6913"</f>
        <v>147,6913</v>
      </c>
    </row>
    <row r="19" spans="1:14" ht="12.75" customHeight="1">
      <c r="A19" s="5" t="s">
        <v>328</v>
      </c>
      <c r="B19" s="5" t="s">
        <v>271</v>
      </c>
      <c r="C19" s="5" t="s">
        <v>511</v>
      </c>
      <c r="D19" s="5" t="s">
        <v>461</v>
      </c>
      <c r="E19" s="5" t="s">
        <v>249</v>
      </c>
      <c r="F19" s="6" t="s">
        <v>213</v>
      </c>
      <c r="G19" s="20">
        <v>2</v>
      </c>
      <c r="H19" s="6" t="s">
        <v>439</v>
      </c>
      <c r="I19" s="6" t="s">
        <v>93</v>
      </c>
      <c r="J19" s="6" t="s">
        <v>137</v>
      </c>
      <c r="K19" s="7" t="s">
        <v>32</v>
      </c>
      <c r="L19" s="7"/>
      <c r="M19" s="8" t="str">
        <f>"172,5"</f>
        <v>172,5</v>
      </c>
      <c r="N19" s="29" t="str">
        <f>"151,4636"</f>
        <v>151,4636</v>
      </c>
    </row>
    <row r="20" spans="1:14" ht="12.75" customHeight="1">
      <c r="A20" s="5" t="s">
        <v>315</v>
      </c>
      <c r="B20" s="5" t="s">
        <v>271</v>
      </c>
      <c r="C20" s="5" t="s">
        <v>512</v>
      </c>
      <c r="D20" s="5" t="s">
        <v>461</v>
      </c>
      <c r="E20" s="5" t="s">
        <v>156</v>
      </c>
      <c r="F20" s="6" t="s">
        <v>62</v>
      </c>
      <c r="G20" s="20">
        <v>1</v>
      </c>
      <c r="H20" s="6" t="s">
        <v>438</v>
      </c>
      <c r="I20" s="6" t="s">
        <v>241</v>
      </c>
      <c r="J20" s="6" t="s">
        <v>51</v>
      </c>
      <c r="K20" s="6" t="s">
        <v>37</v>
      </c>
      <c r="L20" s="7"/>
      <c r="M20" s="8" t="str">
        <f>"120,0"</f>
        <v>120,0</v>
      </c>
      <c r="N20" s="29" t="str">
        <f>"95,8620"</f>
        <v>95,8620</v>
      </c>
    </row>
    <row r="21" spans="1:14" ht="12.75" customHeight="1">
      <c r="A21" s="5" t="s">
        <v>316</v>
      </c>
      <c r="B21" s="5" t="s">
        <v>271</v>
      </c>
      <c r="C21" s="5" t="s">
        <v>513</v>
      </c>
      <c r="D21" s="5" t="s">
        <v>461</v>
      </c>
      <c r="E21" s="5" t="s">
        <v>250</v>
      </c>
      <c r="F21" s="6" t="s">
        <v>62</v>
      </c>
      <c r="G21" s="20">
        <v>1</v>
      </c>
      <c r="H21" s="7" t="s">
        <v>441</v>
      </c>
      <c r="I21" s="7" t="s">
        <v>15</v>
      </c>
      <c r="J21" s="6" t="s">
        <v>15</v>
      </c>
      <c r="K21" s="6" t="s">
        <v>18</v>
      </c>
      <c r="L21" s="7"/>
      <c r="M21" s="8" t="str">
        <f>"200,0"</f>
        <v>200,0</v>
      </c>
      <c r="N21" s="29" t="str">
        <f>"151,0200"</f>
        <v>151,0200</v>
      </c>
    </row>
    <row r="22" spans="1:14" ht="12.75" customHeight="1">
      <c r="A22" s="5" t="s">
        <v>317</v>
      </c>
      <c r="B22" s="5" t="s">
        <v>271</v>
      </c>
      <c r="C22" s="5" t="s">
        <v>514</v>
      </c>
      <c r="D22" s="5" t="s">
        <v>461</v>
      </c>
      <c r="E22" s="5" t="s">
        <v>166</v>
      </c>
      <c r="F22" s="6" t="s">
        <v>62</v>
      </c>
      <c r="G22" s="20">
        <v>1</v>
      </c>
      <c r="H22" s="6" t="s">
        <v>439</v>
      </c>
      <c r="I22" s="6" t="s">
        <v>83</v>
      </c>
      <c r="J22" s="7" t="s">
        <v>51</v>
      </c>
      <c r="K22" s="6" t="s">
        <v>51</v>
      </c>
      <c r="L22" s="7"/>
      <c r="M22" s="8" t="str">
        <f>"115,0"</f>
        <v>115,0</v>
      </c>
      <c r="N22" s="29" t="str">
        <f>"87,0055"</f>
        <v>87,0055</v>
      </c>
    </row>
    <row r="23" spans="1:14" ht="12.75" customHeight="1">
      <c r="A23" s="5" t="s">
        <v>318</v>
      </c>
      <c r="B23" s="5" t="s">
        <v>271</v>
      </c>
      <c r="C23" s="5" t="s">
        <v>515</v>
      </c>
      <c r="D23" s="5" t="s">
        <v>461</v>
      </c>
      <c r="E23" s="5" t="s">
        <v>176</v>
      </c>
      <c r="F23" s="6" t="s">
        <v>43</v>
      </c>
      <c r="G23" s="20">
        <v>1</v>
      </c>
      <c r="H23" s="6" t="s">
        <v>439</v>
      </c>
      <c r="I23" s="6" t="s">
        <v>86</v>
      </c>
      <c r="J23" s="6" t="s">
        <v>20</v>
      </c>
      <c r="K23" s="7" t="s">
        <v>251</v>
      </c>
      <c r="L23" s="7"/>
      <c r="M23" s="8" t="str">
        <f>"220,0"</f>
        <v>220,0</v>
      </c>
      <c r="N23" s="29" t="str">
        <f>"151,4810"</f>
        <v>151,4810</v>
      </c>
    </row>
    <row r="24" spans="1:14" ht="12.75" customHeight="1">
      <c r="A24" s="5" t="s">
        <v>329</v>
      </c>
      <c r="B24" s="5" t="s">
        <v>271</v>
      </c>
      <c r="C24" s="5" t="s">
        <v>516</v>
      </c>
      <c r="D24" s="5" t="s">
        <v>462</v>
      </c>
      <c r="E24" s="5" t="s">
        <v>252</v>
      </c>
      <c r="F24" s="6" t="s">
        <v>43</v>
      </c>
      <c r="G24" s="20">
        <v>2</v>
      </c>
      <c r="H24" s="6" t="s">
        <v>439</v>
      </c>
      <c r="I24" s="6" t="s">
        <v>137</v>
      </c>
      <c r="J24" s="6" t="s">
        <v>205</v>
      </c>
      <c r="K24" s="7" t="s">
        <v>79</v>
      </c>
      <c r="L24" s="7"/>
      <c r="M24" s="8" t="str">
        <f>"182,5"</f>
        <v>182,5</v>
      </c>
      <c r="N24" s="29" t="str">
        <f>"126,4086"</f>
        <v>126,4086</v>
      </c>
    </row>
    <row r="25" spans="1:14" ht="12.75" customHeight="1">
      <c r="A25" s="5" t="s">
        <v>334</v>
      </c>
      <c r="B25" s="5" t="s">
        <v>271</v>
      </c>
      <c r="C25" s="5" t="s">
        <v>517</v>
      </c>
      <c r="D25" s="5" t="s">
        <v>468</v>
      </c>
      <c r="E25" s="5" t="s">
        <v>167</v>
      </c>
      <c r="F25" s="6" t="s">
        <v>43</v>
      </c>
      <c r="G25" s="20">
        <v>3</v>
      </c>
      <c r="H25" s="6" t="s">
        <v>439</v>
      </c>
      <c r="I25" s="6" t="s">
        <v>6</v>
      </c>
      <c r="J25" s="6" t="s">
        <v>170</v>
      </c>
      <c r="K25" s="7" t="s">
        <v>134</v>
      </c>
      <c r="L25" s="7"/>
      <c r="M25" s="8" t="str">
        <f>"147,5"</f>
        <v>147,5</v>
      </c>
      <c r="N25" s="29" t="str">
        <f>"103,4196"</f>
        <v>103,4196</v>
      </c>
    </row>
    <row r="26" spans="1:14" ht="12.75" customHeight="1">
      <c r="A26" s="5" t="s">
        <v>319</v>
      </c>
      <c r="B26" s="5" t="s">
        <v>271</v>
      </c>
      <c r="C26" s="5" t="s">
        <v>518</v>
      </c>
      <c r="D26" s="5" t="s">
        <v>464</v>
      </c>
      <c r="E26" s="5" t="s">
        <v>177</v>
      </c>
      <c r="F26" s="6" t="s">
        <v>43</v>
      </c>
      <c r="G26" s="20">
        <v>1</v>
      </c>
      <c r="H26" s="6" t="s">
        <v>452</v>
      </c>
      <c r="I26" s="6" t="s">
        <v>37</v>
      </c>
      <c r="J26" s="6" t="s">
        <v>6</v>
      </c>
      <c r="K26" s="7" t="s">
        <v>297</v>
      </c>
      <c r="L26" s="7"/>
      <c r="M26" s="8" t="str">
        <f>"140,0"</f>
        <v>140,0</v>
      </c>
      <c r="N26" s="29" t="str">
        <f>"138,0644"</f>
        <v>138,0644</v>
      </c>
    </row>
    <row r="27" spans="1:14" ht="12.75" customHeight="1">
      <c r="A27" s="5" t="s">
        <v>320</v>
      </c>
      <c r="B27" s="5" t="s">
        <v>271</v>
      </c>
      <c r="C27" s="5" t="s">
        <v>519</v>
      </c>
      <c r="D27" s="5" t="s">
        <v>461</v>
      </c>
      <c r="E27" s="5" t="s">
        <v>253</v>
      </c>
      <c r="F27" s="6" t="s">
        <v>45</v>
      </c>
      <c r="G27" s="20">
        <v>1</v>
      </c>
      <c r="H27" s="6" t="s">
        <v>440</v>
      </c>
      <c r="I27" s="6" t="s">
        <v>32</v>
      </c>
      <c r="J27" s="6" t="s">
        <v>54</v>
      </c>
      <c r="K27" s="6" t="s">
        <v>210</v>
      </c>
      <c r="L27" s="7"/>
      <c r="M27" s="8" t="str">
        <f>"202,5"</f>
        <v>202,5</v>
      </c>
      <c r="N27" s="29" t="str">
        <f>"133,4374"</f>
        <v>133,4374</v>
      </c>
    </row>
    <row r="28" spans="1:14" ht="12.75" customHeight="1">
      <c r="A28" s="5" t="s">
        <v>330</v>
      </c>
      <c r="B28" s="5" t="s">
        <v>271</v>
      </c>
      <c r="C28" s="5" t="s">
        <v>520</v>
      </c>
      <c r="D28" s="5" t="s">
        <v>461</v>
      </c>
      <c r="E28" s="5" t="s">
        <v>129</v>
      </c>
      <c r="F28" s="6" t="s">
        <v>45</v>
      </c>
      <c r="G28" s="20">
        <v>2</v>
      </c>
      <c r="H28" s="6" t="s">
        <v>440</v>
      </c>
      <c r="I28" s="6" t="s">
        <v>10</v>
      </c>
      <c r="J28" s="6" t="s">
        <v>15</v>
      </c>
      <c r="K28" s="6" t="s">
        <v>18</v>
      </c>
      <c r="L28" s="7"/>
      <c r="M28" s="8" t="str">
        <f>"200,0"</f>
        <v>200,0</v>
      </c>
      <c r="N28" s="29" t="str">
        <f>"129,9500"</f>
        <v>129,9500</v>
      </c>
    </row>
    <row r="29" spans="1:14" ht="12.75" customHeight="1">
      <c r="A29" s="5" t="s">
        <v>321</v>
      </c>
      <c r="B29" s="5" t="s">
        <v>271</v>
      </c>
      <c r="C29" s="5" t="s">
        <v>521</v>
      </c>
      <c r="D29" s="5" t="s">
        <v>468</v>
      </c>
      <c r="E29" s="5" t="s">
        <v>254</v>
      </c>
      <c r="F29" s="6" t="s">
        <v>45</v>
      </c>
      <c r="G29" s="20">
        <v>1</v>
      </c>
      <c r="H29" s="6" t="s">
        <v>439</v>
      </c>
      <c r="I29" s="6" t="s">
        <v>83</v>
      </c>
      <c r="J29" s="6" t="s">
        <v>5</v>
      </c>
      <c r="K29" s="6" t="s">
        <v>6</v>
      </c>
      <c r="L29" s="7"/>
      <c r="M29" s="8" t="str">
        <f>"140,0"</f>
        <v>140,0</v>
      </c>
      <c r="N29" s="29" t="str">
        <f>"94,0940"</f>
        <v>94,0940</v>
      </c>
    </row>
    <row r="30" spans="1:14" ht="12.75" customHeight="1">
      <c r="A30" s="5" t="s">
        <v>279</v>
      </c>
      <c r="B30" s="5" t="s">
        <v>271</v>
      </c>
      <c r="C30" s="5" t="s">
        <v>478</v>
      </c>
      <c r="D30" s="5" t="s">
        <v>461</v>
      </c>
      <c r="E30" s="5" t="s">
        <v>132</v>
      </c>
      <c r="F30" s="6" t="s">
        <v>45</v>
      </c>
      <c r="G30" s="20">
        <v>1</v>
      </c>
      <c r="H30" s="6" t="s">
        <v>442</v>
      </c>
      <c r="I30" s="6" t="s">
        <v>6</v>
      </c>
      <c r="J30" s="6" t="s">
        <v>12</v>
      </c>
      <c r="K30" s="7" t="s">
        <v>9</v>
      </c>
      <c r="L30" s="7"/>
      <c r="M30" s="8" t="str">
        <f>"150,0"</f>
        <v>150,0</v>
      </c>
      <c r="N30" s="29" t="str">
        <f>"158,7284"</f>
        <v>158,7284</v>
      </c>
    </row>
    <row r="31" spans="1:14" ht="12.75" customHeight="1">
      <c r="A31" s="5" t="s">
        <v>322</v>
      </c>
      <c r="B31" s="5" t="s">
        <v>271</v>
      </c>
      <c r="C31" s="5" t="s">
        <v>522</v>
      </c>
      <c r="D31" s="5" t="s">
        <v>461</v>
      </c>
      <c r="E31" s="5" t="s">
        <v>255</v>
      </c>
      <c r="F31" s="6" t="s">
        <v>44</v>
      </c>
      <c r="G31" s="6" t="s">
        <v>272</v>
      </c>
      <c r="H31" s="6" t="s">
        <v>439</v>
      </c>
      <c r="I31" s="6" t="s">
        <v>20</v>
      </c>
      <c r="J31" s="7" t="s">
        <v>27</v>
      </c>
      <c r="K31" s="7" t="s">
        <v>100</v>
      </c>
      <c r="L31" s="7"/>
      <c r="M31" s="8" t="str">
        <f>"220,0"</f>
        <v>220,0</v>
      </c>
      <c r="N31" s="29" t="str">
        <f>"135,7070"</f>
        <v>135,7070</v>
      </c>
    </row>
    <row r="32" spans="1:14" ht="12.75" customHeight="1">
      <c r="A32" s="5" t="s">
        <v>331</v>
      </c>
      <c r="B32" s="5" t="s">
        <v>271</v>
      </c>
      <c r="C32" s="5" t="s">
        <v>523</v>
      </c>
      <c r="D32" s="5" t="s">
        <v>461</v>
      </c>
      <c r="E32" s="5" t="s">
        <v>188</v>
      </c>
      <c r="F32" s="6" t="s">
        <v>44</v>
      </c>
      <c r="G32" s="6" t="s">
        <v>273</v>
      </c>
      <c r="H32" s="6" t="s">
        <v>439</v>
      </c>
      <c r="I32" s="6" t="s">
        <v>86</v>
      </c>
      <c r="J32" s="6" t="s">
        <v>20</v>
      </c>
      <c r="K32" s="7" t="s">
        <v>65</v>
      </c>
      <c r="L32" s="7"/>
      <c r="M32" s="8" t="str">
        <f>"220,0"</f>
        <v>220,0</v>
      </c>
      <c r="N32" s="29" t="str">
        <f>"135,1130"</f>
        <v>135,1130</v>
      </c>
    </row>
    <row r="33" spans="1:14" ht="12.75" customHeight="1">
      <c r="A33" s="5" t="s">
        <v>322</v>
      </c>
      <c r="B33" s="5" t="s">
        <v>271</v>
      </c>
      <c r="C33" s="5" t="s">
        <v>522</v>
      </c>
      <c r="D33" s="5" t="s">
        <v>461</v>
      </c>
      <c r="E33" s="5" t="s">
        <v>255</v>
      </c>
      <c r="F33" s="6" t="s">
        <v>44</v>
      </c>
      <c r="G33" s="6" t="s">
        <v>272</v>
      </c>
      <c r="H33" s="6" t="s">
        <v>453</v>
      </c>
      <c r="I33" s="6" t="s">
        <v>20</v>
      </c>
      <c r="J33" s="7" t="s">
        <v>27</v>
      </c>
      <c r="K33" s="7" t="s">
        <v>100</v>
      </c>
      <c r="L33" s="7"/>
      <c r="M33" s="8" t="str">
        <f>"220,0"</f>
        <v>220,0</v>
      </c>
      <c r="N33" s="29" t="str">
        <f>"144,9351"</f>
        <v>144,9351</v>
      </c>
    </row>
    <row r="34" spans="1:14" ht="12.75" customHeight="1">
      <c r="A34" s="5" t="s">
        <v>332</v>
      </c>
      <c r="B34" s="5" t="s">
        <v>271</v>
      </c>
      <c r="C34" s="5" t="s">
        <v>524</v>
      </c>
      <c r="D34" s="5" t="s">
        <v>461</v>
      </c>
      <c r="E34" s="5" t="s">
        <v>193</v>
      </c>
      <c r="F34" s="6" t="s">
        <v>44</v>
      </c>
      <c r="G34" s="6" t="s">
        <v>273</v>
      </c>
      <c r="H34" s="6" t="s">
        <v>453</v>
      </c>
      <c r="I34" s="6" t="s">
        <v>38</v>
      </c>
      <c r="J34" s="6" t="s">
        <v>21</v>
      </c>
      <c r="K34" s="6" t="s">
        <v>6</v>
      </c>
      <c r="L34" s="7"/>
      <c r="M34" s="8" t="str">
        <f>"140,0"</f>
        <v>140,0</v>
      </c>
      <c r="N34" s="29" t="str">
        <f>"94,6902"</f>
        <v>94,6902</v>
      </c>
    </row>
    <row r="35" spans="1:14" ht="12.75" customHeight="1">
      <c r="A35" s="5" t="s">
        <v>323</v>
      </c>
      <c r="B35" s="5" t="s">
        <v>271</v>
      </c>
      <c r="C35" s="5" t="s">
        <v>525</v>
      </c>
      <c r="D35" s="5" t="s">
        <v>461</v>
      </c>
      <c r="E35" s="5" t="s">
        <v>196</v>
      </c>
      <c r="F35" s="6" t="s">
        <v>41</v>
      </c>
      <c r="G35" s="6" t="s">
        <v>272</v>
      </c>
      <c r="H35" s="6" t="s">
        <v>440</v>
      </c>
      <c r="I35" s="6" t="s">
        <v>256</v>
      </c>
      <c r="J35" s="7" t="s">
        <v>40</v>
      </c>
      <c r="K35" s="6" t="s">
        <v>40</v>
      </c>
      <c r="L35" s="6" t="s">
        <v>222</v>
      </c>
      <c r="M35" s="8" t="str">
        <f>"275,0"</f>
        <v>275,0</v>
      </c>
      <c r="N35" s="29" t="str">
        <f>"161,2463"</f>
        <v>161,2463</v>
      </c>
    </row>
    <row r="36" spans="1:14" ht="12.75" customHeight="1">
      <c r="A36" s="5" t="s">
        <v>323</v>
      </c>
      <c r="B36" s="5" t="s">
        <v>271</v>
      </c>
      <c r="C36" s="5" t="s">
        <v>525</v>
      </c>
      <c r="D36" s="5" t="s">
        <v>461</v>
      </c>
      <c r="E36" s="5" t="s">
        <v>196</v>
      </c>
      <c r="F36" s="6" t="s">
        <v>41</v>
      </c>
      <c r="G36" s="6" t="s">
        <v>272</v>
      </c>
      <c r="H36" s="6" t="s">
        <v>439</v>
      </c>
      <c r="I36" s="6" t="s">
        <v>256</v>
      </c>
      <c r="J36" s="7" t="s">
        <v>40</v>
      </c>
      <c r="K36" s="6" t="s">
        <v>40</v>
      </c>
      <c r="L36" s="6" t="s">
        <v>222</v>
      </c>
      <c r="M36" s="8" t="str">
        <f>"275,0"</f>
        <v>275,0</v>
      </c>
      <c r="N36" s="29" t="str">
        <f>"161,2463"</f>
        <v>161,2463</v>
      </c>
    </row>
    <row r="37" spans="1:14" ht="12.75" customHeight="1">
      <c r="A37" s="5" t="s">
        <v>333</v>
      </c>
      <c r="B37" s="5" t="s">
        <v>271</v>
      </c>
      <c r="C37" s="5" t="s">
        <v>526</v>
      </c>
      <c r="D37" s="5" t="s">
        <v>461</v>
      </c>
      <c r="E37" s="5" t="s">
        <v>257</v>
      </c>
      <c r="F37" s="6" t="s">
        <v>41</v>
      </c>
      <c r="G37" s="6" t="s">
        <v>273</v>
      </c>
      <c r="H37" s="6" t="s">
        <v>439</v>
      </c>
      <c r="I37" s="6" t="s">
        <v>27</v>
      </c>
      <c r="J37" s="6" t="s">
        <v>23</v>
      </c>
      <c r="K37" s="6" t="s">
        <v>35</v>
      </c>
      <c r="L37" s="7"/>
      <c r="M37" s="8" t="str">
        <f>"250,0"</f>
        <v>250,0</v>
      </c>
      <c r="N37" s="29" t="str">
        <f>"151,0000"</f>
        <v>151,0000</v>
      </c>
    </row>
    <row r="38" spans="1:14" ht="12.75" customHeight="1">
      <c r="A38" s="5" t="s">
        <v>335</v>
      </c>
      <c r="B38" s="5" t="s">
        <v>271</v>
      </c>
      <c r="C38" s="5" t="s">
        <v>527</v>
      </c>
      <c r="D38" s="5" t="s">
        <v>468</v>
      </c>
      <c r="E38" s="5" t="s">
        <v>258</v>
      </c>
      <c r="F38" s="6" t="s">
        <v>41</v>
      </c>
      <c r="G38" s="6" t="s">
        <v>298</v>
      </c>
      <c r="H38" s="6" t="s">
        <v>439</v>
      </c>
      <c r="I38" s="6" t="s">
        <v>20</v>
      </c>
      <c r="J38" s="6" t="s">
        <v>100</v>
      </c>
      <c r="K38" s="6" t="s">
        <v>35</v>
      </c>
      <c r="L38" s="7"/>
      <c r="M38" s="8" t="str">
        <f>"250,0"</f>
        <v>250,0</v>
      </c>
      <c r="N38" s="29" t="str">
        <f>"149,1875"</f>
        <v>149,1875</v>
      </c>
    </row>
    <row r="39" spans="1:14" ht="12.75" customHeight="1">
      <c r="A39" s="5" t="s">
        <v>301</v>
      </c>
      <c r="B39" s="5" t="s">
        <v>271</v>
      </c>
      <c r="C39" s="5" t="s">
        <v>528</v>
      </c>
      <c r="D39" s="5" t="s">
        <v>461</v>
      </c>
      <c r="E39" s="5" t="s">
        <v>259</v>
      </c>
      <c r="F39" s="6" t="s">
        <v>41</v>
      </c>
      <c r="G39" s="6"/>
      <c r="H39" s="6" t="s">
        <v>439</v>
      </c>
      <c r="I39" s="7" t="s">
        <v>15</v>
      </c>
      <c r="J39" s="7" t="s">
        <v>210</v>
      </c>
      <c r="K39" s="7" t="s">
        <v>210</v>
      </c>
      <c r="L39" s="7"/>
      <c r="M39" s="8" t="str">
        <f>"0.00"</f>
        <v>0.00</v>
      </c>
      <c r="N39" s="29"/>
    </row>
    <row r="40" spans="1:14" ht="12.75" customHeight="1">
      <c r="A40" s="5" t="s">
        <v>324</v>
      </c>
      <c r="B40" s="5" t="s">
        <v>271</v>
      </c>
      <c r="C40" s="5" t="s">
        <v>529</v>
      </c>
      <c r="D40" s="5" t="s">
        <v>468</v>
      </c>
      <c r="E40" s="5" t="s">
        <v>200</v>
      </c>
      <c r="F40" s="6" t="s">
        <v>41</v>
      </c>
      <c r="G40" s="6" t="s">
        <v>272</v>
      </c>
      <c r="H40" s="6" t="s">
        <v>453</v>
      </c>
      <c r="I40" s="6" t="s">
        <v>18</v>
      </c>
      <c r="J40" s="6" t="s">
        <v>127</v>
      </c>
      <c r="K40" s="6" t="s">
        <v>27</v>
      </c>
      <c r="L40" s="7"/>
      <c r="M40" s="8" t="str">
        <f>"230,0"</f>
        <v>230,0</v>
      </c>
      <c r="N40" s="29" t="str">
        <f>"146,7940"</f>
        <v>146,7940</v>
      </c>
    </row>
    <row r="41" spans="1:14" ht="12.75" customHeight="1">
      <c r="A41" s="5" t="s">
        <v>325</v>
      </c>
      <c r="B41" s="5" t="s">
        <v>271</v>
      </c>
      <c r="C41" s="5" t="s">
        <v>530</v>
      </c>
      <c r="D41" s="5" t="s">
        <v>463</v>
      </c>
      <c r="E41" s="5" t="s">
        <v>206</v>
      </c>
      <c r="F41" s="6" t="s">
        <v>102</v>
      </c>
      <c r="G41" s="6" t="s">
        <v>272</v>
      </c>
      <c r="H41" s="6" t="s">
        <v>453</v>
      </c>
      <c r="I41" s="6" t="s">
        <v>18</v>
      </c>
      <c r="J41" s="6" t="s">
        <v>86</v>
      </c>
      <c r="K41" s="7" t="s">
        <v>20</v>
      </c>
      <c r="L41" s="7"/>
      <c r="M41" s="8" t="str">
        <f>"210,0"</f>
        <v>210,0</v>
      </c>
      <c r="N41" s="29" t="str">
        <f>"131,6854"</f>
        <v>131,6854</v>
      </c>
    </row>
    <row r="42" spans="1:14" ht="12.75" customHeight="1">
      <c r="A42" s="5" t="s">
        <v>326</v>
      </c>
      <c r="B42" s="5" t="s">
        <v>271</v>
      </c>
      <c r="C42" s="5" t="s">
        <v>531</v>
      </c>
      <c r="D42" s="5" t="s">
        <v>467</v>
      </c>
      <c r="E42" s="5" t="s">
        <v>260</v>
      </c>
      <c r="F42" s="6" t="s">
        <v>42</v>
      </c>
      <c r="G42" s="6" t="s">
        <v>272</v>
      </c>
      <c r="H42" s="6" t="s">
        <v>439</v>
      </c>
      <c r="I42" s="6" t="s">
        <v>15</v>
      </c>
      <c r="J42" s="6" t="s">
        <v>55</v>
      </c>
      <c r="K42" s="7" t="s">
        <v>297</v>
      </c>
      <c r="L42" s="7"/>
      <c r="M42" s="8" t="str">
        <f>"205,0"</f>
        <v>205,0</v>
      </c>
      <c r="N42" s="29" t="str">
        <f>"113,4572"</f>
        <v>113,4572</v>
      </c>
    </row>
  </sheetData>
  <mergeCells count="1">
    <mergeCell ref="I1:K1"/>
  </mergeCells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3"/>
  <sheetViews>
    <sheetView workbookViewId="0">
      <selection activeCell="H5" sqref="H5"/>
    </sheetView>
  </sheetViews>
  <sheetFormatPr defaultRowHeight="12.75" customHeight="1"/>
  <cols>
    <col min="1" max="1" width="26" style="3" bestFit="1" customWidth="1"/>
    <col min="2" max="2" width="6" style="3" customWidth="1"/>
    <col min="3" max="3" width="10.140625" style="3" bestFit="1" customWidth="1"/>
    <col min="4" max="4" width="12" style="3" bestFit="1" customWidth="1"/>
    <col min="5" max="5" width="10" style="3" customWidth="1"/>
    <col min="6" max="6" width="7.42578125" style="3" customWidth="1"/>
    <col min="7" max="7" width="6.85546875" style="2" customWidth="1"/>
    <col min="8" max="8" width="19.5703125" style="2" customWidth="1"/>
    <col min="9" max="10" width="5.5703125" style="2" customWidth="1"/>
    <col min="11" max="11" width="4.5703125" style="2" customWidth="1"/>
    <col min="12" max="12" width="4.85546875" style="2" customWidth="1"/>
    <col min="13" max="13" width="7.85546875" style="4" bestFit="1" customWidth="1"/>
    <col min="14" max="14" width="8.5703125" style="1" bestFit="1" customWidth="1"/>
    <col min="15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1" t="s">
        <v>266</v>
      </c>
      <c r="F1" s="21" t="s">
        <v>436</v>
      </c>
      <c r="G1" s="27" t="s">
        <v>269</v>
      </c>
      <c r="H1" s="18" t="s">
        <v>437</v>
      </c>
      <c r="I1" s="28" t="s">
        <v>447</v>
      </c>
      <c r="J1" s="28"/>
      <c r="K1" s="28"/>
      <c r="L1" s="18"/>
      <c r="M1" s="18" t="s">
        <v>455</v>
      </c>
      <c r="N1" s="18" t="s">
        <v>1</v>
      </c>
      <c r="O1" s="13"/>
      <c r="P1" s="13"/>
      <c r="Q1" s="13"/>
      <c r="R1" s="13"/>
      <c r="S1" s="13"/>
      <c r="T1" s="13"/>
      <c r="U1" s="13"/>
      <c r="V1" s="13"/>
    </row>
    <row r="2" spans="1:22" s="10" customFormat="1" ht="12.75" customHeight="1">
      <c r="A2" s="18"/>
      <c r="B2" s="18"/>
      <c r="C2" s="18"/>
      <c r="D2" s="18"/>
      <c r="E2" s="18"/>
      <c r="F2" s="18"/>
      <c r="G2" s="11"/>
      <c r="H2" s="18"/>
      <c r="I2" s="18">
        <v>1</v>
      </c>
      <c r="J2" s="11">
        <v>2</v>
      </c>
      <c r="K2" s="11">
        <v>3</v>
      </c>
      <c r="L2" s="11" t="s">
        <v>2</v>
      </c>
      <c r="M2" s="11"/>
      <c r="N2" s="11"/>
      <c r="T2" s="13"/>
      <c r="U2" s="13"/>
      <c r="V2" s="13"/>
    </row>
    <row r="3" spans="1:22" ht="12.75" customHeight="1">
      <c r="A3" s="5" t="s">
        <v>336</v>
      </c>
      <c r="B3" s="5" t="s">
        <v>271</v>
      </c>
      <c r="C3" s="5" t="s">
        <v>532</v>
      </c>
      <c r="D3" s="5" t="s">
        <v>461</v>
      </c>
      <c r="E3" s="5" t="s">
        <v>235</v>
      </c>
      <c r="F3" s="5" t="s">
        <v>41</v>
      </c>
      <c r="G3" s="6" t="s">
        <v>272</v>
      </c>
      <c r="H3" s="6" t="s">
        <v>439</v>
      </c>
      <c r="I3" s="6" t="s">
        <v>28</v>
      </c>
      <c r="J3" s="6" t="s">
        <v>24</v>
      </c>
      <c r="K3" s="7" t="s">
        <v>297</v>
      </c>
      <c r="L3" s="7"/>
      <c r="M3" s="8" t="str">
        <f>"260,0"</f>
        <v>260,0</v>
      </c>
      <c r="N3" s="9" t="str">
        <f>"154,8300"</f>
        <v>154,8300</v>
      </c>
    </row>
    <row r="5" spans="1:22" ht="12.75" customHeight="1">
      <c r="A5" s="14"/>
      <c r="B5" s="14"/>
      <c r="C5" s="14"/>
      <c r="D5" s="14"/>
      <c r="E5" s="14"/>
      <c r="F5" s="14"/>
      <c r="H5" s="14"/>
      <c r="I5" s="14"/>
      <c r="J5" s="14"/>
      <c r="K5" s="14"/>
      <c r="L5" s="14"/>
      <c r="M5" s="12"/>
      <c r="N5" s="12"/>
      <c r="O5" s="14"/>
      <c r="P5" s="14"/>
      <c r="Q5" s="14"/>
      <c r="R5" s="14"/>
      <c r="S5" s="14"/>
    </row>
    <row r="9" spans="1:22" ht="12.75" customHeight="1">
      <c r="A9" s="14"/>
      <c r="B9" s="14"/>
      <c r="C9" s="14"/>
      <c r="D9" s="14"/>
      <c r="E9" s="14"/>
      <c r="F9" s="14"/>
      <c r="H9" s="14"/>
      <c r="I9" s="14"/>
      <c r="J9" s="14"/>
      <c r="K9" s="14"/>
      <c r="L9" s="14"/>
      <c r="M9" s="12"/>
      <c r="N9" s="12"/>
      <c r="O9" s="14"/>
      <c r="P9" s="14"/>
      <c r="Q9" s="14"/>
      <c r="R9" s="14"/>
      <c r="S9" s="14"/>
    </row>
    <row r="13" spans="1:22" ht="12.75" customHeight="1">
      <c r="A13" s="14"/>
      <c r="B13" s="14"/>
      <c r="C13" s="14"/>
      <c r="D13" s="14"/>
      <c r="E13" s="14"/>
      <c r="F13" s="14"/>
      <c r="H13" s="14"/>
      <c r="I13" s="14"/>
      <c r="J13" s="14"/>
      <c r="K13" s="14"/>
      <c r="L13" s="14"/>
      <c r="M13" s="12"/>
      <c r="N13" s="12"/>
      <c r="O13" s="14"/>
      <c r="P13" s="14"/>
      <c r="Q13" s="14"/>
      <c r="R13" s="14"/>
      <c r="S13" s="14"/>
    </row>
  </sheetData>
  <mergeCells count="1">
    <mergeCell ref="I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"/>
  <sheetViews>
    <sheetView workbookViewId="0"/>
  </sheetViews>
  <sheetFormatPr defaultRowHeight="12.75" customHeight="1"/>
  <cols>
    <col min="1" max="1" width="26" style="3" bestFit="1" customWidth="1"/>
    <col min="2" max="2" width="6" style="3" customWidth="1"/>
    <col min="3" max="3" width="10.140625" style="3" bestFit="1" customWidth="1"/>
    <col min="4" max="4" width="12" style="3" bestFit="1" customWidth="1"/>
    <col min="5" max="6" width="6.42578125" style="3" customWidth="1"/>
    <col min="7" max="7" width="6.85546875" style="2" customWidth="1"/>
    <col min="8" max="8" width="19.5703125" style="2" customWidth="1"/>
    <col min="9" max="11" width="5.5703125" style="2" customWidth="1"/>
    <col min="12" max="12" width="4.85546875" style="2" customWidth="1"/>
    <col min="13" max="13" width="7.85546875" style="4" bestFit="1" customWidth="1"/>
    <col min="14" max="14" width="8.5703125" style="1" bestFit="1" customWidth="1"/>
    <col min="15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1" t="s">
        <v>266</v>
      </c>
      <c r="F1" s="21" t="s">
        <v>436</v>
      </c>
      <c r="G1" s="27" t="s">
        <v>269</v>
      </c>
      <c r="H1" s="11" t="s">
        <v>437</v>
      </c>
      <c r="I1" s="28" t="s">
        <v>447</v>
      </c>
      <c r="J1" s="28"/>
      <c r="K1" s="28"/>
      <c r="L1" s="18"/>
      <c r="M1" s="18" t="s">
        <v>455</v>
      </c>
      <c r="N1" s="18" t="s">
        <v>1</v>
      </c>
      <c r="O1" s="13"/>
      <c r="P1" s="13"/>
      <c r="Q1" s="13"/>
      <c r="R1" s="13"/>
      <c r="S1" s="13"/>
      <c r="T1" s="13"/>
      <c r="U1" s="13"/>
      <c r="V1" s="13"/>
    </row>
    <row r="2" spans="1:22" s="10" customFormat="1" ht="12.75" customHeight="1">
      <c r="A2" s="18"/>
      <c r="B2" s="18"/>
      <c r="C2" s="18"/>
      <c r="D2" s="18"/>
      <c r="E2" s="18"/>
      <c r="F2" s="18"/>
      <c r="G2" s="11"/>
      <c r="H2" s="11"/>
      <c r="I2" s="18">
        <v>1</v>
      </c>
      <c r="J2" s="11">
        <v>2</v>
      </c>
      <c r="K2" s="11">
        <v>3</v>
      </c>
      <c r="L2" s="11" t="s">
        <v>2</v>
      </c>
      <c r="M2" s="11"/>
      <c r="N2" s="11"/>
      <c r="T2" s="13"/>
      <c r="U2" s="13"/>
      <c r="V2" s="13"/>
    </row>
    <row r="3" spans="1:22" ht="12.75" customHeight="1">
      <c r="A3" s="5" t="s">
        <v>338</v>
      </c>
      <c r="B3" s="5" t="s">
        <v>270</v>
      </c>
      <c r="C3" s="5" t="s">
        <v>533</v>
      </c>
      <c r="D3" s="5" t="s">
        <v>461</v>
      </c>
      <c r="E3" s="5" t="s">
        <v>161</v>
      </c>
      <c r="F3" s="5" t="s">
        <v>143</v>
      </c>
      <c r="G3" s="6" t="s">
        <v>272</v>
      </c>
      <c r="H3" s="6" t="s">
        <v>439</v>
      </c>
      <c r="I3" s="6" t="s">
        <v>48</v>
      </c>
      <c r="J3" s="6" t="s">
        <v>123</v>
      </c>
      <c r="K3" s="7" t="s">
        <v>7</v>
      </c>
      <c r="L3" s="7"/>
      <c r="M3" s="8" t="str">
        <f>"85,0"</f>
        <v>85,0</v>
      </c>
      <c r="N3" s="29" t="str">
        <f>"89,6325"</f>
        <v>89,6325</v>
      </c>
    </row>
    <row r="4" spans="1:22" ht="12.75" customHeight="1">
      <c r="A4" s="5" t="s">
        <v>339</v>
      </c>
      <c r="B4" s="5" t="s">
        <v>271</v>
      </c>
      <c r="C4" s="5" t="s">
        <v>534</v>
      </c>
      <c r="D4" s="5" t="s">
        <v>461</v>
      </c>
      <c r="E4" s="5" t="s">
        <v>230</v>
      </c>
      <c r="F4" s="5" t="s">
        <v>45</v>
      </c>
      <c r="G4" s="6" t="s">
        <v>272</v>
      </c>
      <c r="H4" s="7" t="s">
        <v>439</v>
      </c>
      <c r="I4" s="7" t="s">
        <v>10</v>
      </c>
      <c r="J4" s="6" t="s">
        <v>10</v>
      </c>
      <c r="K4" s="6" t="s">
        <v>18</v>
      </c>
      <c r="L4" s="7"/>
      <c r="M4" s="8" t="str">
        <f>"200,0"</f>
        <v>200,0</v>
      </c>
      <c r="N4" s="29" t="str">
        <f>"136,5000"</f>
        <v>136,5000</v>
      </c>
    </row>
    <row r="5" spans="1:22" ht="12.75" customHeight="1">
      <c r="A5" s="15" t="s">
        <v>340</v>
      </c>
      <c r="B5" s="5" t="s">
        <v>271</v>
      </c>
      <c r="C5" s="15" t="s">
        <v>535</v>
      </c>
      <c r="D5" s="15" t="s">
        <v>464</v>
      </c>
      <c r="E5" s="15" t="s">
        <v>231</v>
      </c>
      <c r="F5" s="15" t="s">
        <v>44</v>
      </c>
      <c r="G5" s="6" t="s">
        <v>272</v>
      </c>
      <c r="H5" s="6" t="s">
        <v>439</v>
      </c>
      <c r="I5" s="15" t="s">
        <v>36</v>
      </c>
      <c r="J5" s="15" t="s">
        <v>107</v>
      </c>
      <c r="K5" s="16" t="s">
        <v>232</v>
      </c>
      <c r="L5" s="16"/>
      <c r="M5" s="17" t="str">
        <f>"290,0"</f>
        <v>290,0</v>
      </c>
      <c r="N5" s="32" t="str">
        <f>"177,9875"</f>
        <v>177,9875</v>
      </c>
      <c r="O5" s="14"/>
      <c r="P5" s="14"/>
      <c r="Q5" s="14"/>
      <c r="R5" s="14"/>
      <c r="S5" s="14"/>
    </row>
    <row r="6" spans="1:22" ht="12.75" customHeight="1">
      <c r="A6" s="5" t="s">
        <v>341</v>
      </c>
      <c r="B6" s="5" t="s">
        <v>271</v>
      </c>
      <c r="C6" s="5" t="s">
        <v>536</v>
      </c>
      <c r="D6" s="5" t="s">
        <v>461</v>
      </c>
      <c r="E6" s="5" t="s">
        <v>233</v>
      </c>
      <c r="F6" s="5" t="s">
        <v>41</v>
      </c>
      <c r="G6" s="6" t="s">
        <v>272</v>
      </c>
      <c r="H6" s="6" t="s">
        <v>439</v>
      </c>
      <c r="I6" s="6" t="s">
        <v>20</v>
      </c>
      <c r="J6" s="6" t="s">
        <v>27</v>
      </c>
      <c r="K6" s="6" t="s">
        <v>28</v>
      </c>
      <c r="L6" s="7"/>
      <c r="M6" s="8" t="str">
        <f>"240,0"</f>
        <v>240,0</v>
      </c>
      <c r="N6" s="29" t="str">
        <f>"145,9680"</f>
        <v>145,9680</v>
      </c>
    </row>
    <row r="7" spans="1:22" ht="12.75" customHeight="1">
      <c r="A7" s="15" t="s">
        <v>337</v>
      </c>
      <c r="B7" s="5" t="s">
        <v>271</v>
      </c>
      <c r="C7" s="15" t="s">
        <v>537</v>
      </c>
      <c r="D7" s="15" t="s">
        <v>461</v>
      </c>
      <c r="E7" s="15" t="s">
        <v>108</v>
      </c>
      <c r="F7" s="15" t="s">
        <v>41</v>
      </c>
      <c r="G7" s="6"/>
      <c r="H7" s="7" t="s">
        <v>439</v>
      </c>
      <c r="I7" s="16" t="s">
        <v>24</v>
      </c>
      <c r="J7" s="16" t="s">
        <v>234</v>
      </c>
      <c r="K7" s="16" t="s">
        <v>234</v>
      </c>
      <c r="L7" s="16"/>
      <c r="M7" s="17" t="str">
        <f>"0.00"</f>
        <v>0.00</v>
      </c>
      <c r="N7" s="32"/>
      <c r="O7" s="14"/>
      <c r="P7" s="14"/>
      <c r="Q7" s="14"/>
      <c r="R7" s="14"/>
      <c r="S7" s="14"/>
    </row>
    <row r="8" spans="1:22" ht="12.75" customHeight="1">
      <c r="A8" s="5" t="s">
        <v>342</v>
      </c>
      <c r="B8" s="5" t="s">
        <v>271</v>
      </c>
      <c r="C8" s="5" t="s">
        <v>538</v>
      </c>
      <c r="D8" s="5" t="s">
        <v>461</v>
      </c>
      <c r="E8" s="5" t="s">
        <v>94</v>
      </c>
      <c r="F8" s="5" t="s">
        <v>41</v>
      </c>
      <c r="G8" s="6" t="s">
        <v>272</v>
      </c>
      <c r="H8" s="6" t="s">
        <v>444</v>
      </c>
      <c r="I8" s="6" t="s">
        <v>28</v>
      </c>
      <c r="J8" s="6" t="s">
        <v>35</v>
      </c>
      <c r="K8" s="7" t="s">
        <v>33</v>
      </c>
      <c r="L8" s="7"/>
      <c r="M8" s="8" t="str">
        <f>"250,0"</f>
        <v>250,0</v>
      </c>
      <c r="N8" s="29" t="str">
        <f>"150,8740"</f>
        <v>150,8740</v>
      </c>
    </row>
    <row r="11" spans="1:22" ht="12.75" customHeight="1">
      <c r="A11" s="14"/>
      <c r="B11" s="14"/>
      <c r="C11" s="14"/>
      <c r="D11" s="14"/>
      <c r="E11" s="14"/>
      <c r="F11" s="14"/>
      <c r="I11" s="14"/>
      <c r="J11" s="14"/>
      <c r="K11" s="14"/>
      <c r="L11" s="14"/>
      <c r="M11" s="12"/>
      <c r="N11" s="12"/>
      <c r="O11" s="14"/>
      <c r="P11" s="14"/>
      <c r="Q11" s="14"/>
      <c r="R11" s="14"/>
      <c r="S11" s="14"/>
    </row>
  </sheetData>
  <mergeCells count="1"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2"/>
  <sheetViews>
    <sheetView workbookViewId="0"/>
  </sheetViews>
  <sheetFormatPr defaultRowHeight="12.75" customHeight="1"/>
  <cols>
    <col min="1" max="1" width="20.5703125" style="3" customWidth="1"/>
    <col min="2" max="2" width="6" style="3" customWidth="1"/>
    <col min="3" max="3" width="10.140625" style="3" bestFit="1" customWidth="1"/>
    <col min="4" max="4" width="13.7109375" style="3" bestFit="1" customWidth="1"/>
    <col min="5" max="5" width="10" style="3" customWidth="1"/>
    <col min="6" max="6" width="6.42578125" style="3" customWidth="1"/>
    <col min="7" max="7" width="6.85546875" style="2" customWidth="1"/>
    <col min="8" max="8" width="19.5703125" style="2" customWidth="1"/>
    <col min="9" max="9" width="8.85546875" style="2" customWidth="1"/>
    <col min="10" max="11" width="5.5703125" style="2" customWidth="1"/>
    <col min="12" max="12" width="4.85546875" style="2" customWidth="1"/>
    <col min="13" max="15" width="5.5703125" style="2" customWidth="1"/>
    <col min="16" max="16" width="4.85546875" style="2" customWidth="1"/>
    <col min="17" max="18" width="5.5703125" style="2" customWidth="1"/>
    <col min="19" max="19" width="7.85546875" style="2" customWidth="1"/>
    <col min="20" max="20" width="4.85546875" style="2" customWidth="1"/>
    <col min="21" max="21" width="7.85546875" style="4" bestFit="1" customWidth="1"/>
    <col min="22" max="22" width="8.5703125" style="1" bestFit="1" customWidth="1"/>
    <col min="23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1" t="s">
        <v>266</v>
      </c>
      <c r="F1" s="21" t="s">
        <v>436</v>
      </c>
      <c r="G1" s="27" t="s">
        <v>269</v>
      </c>
      <c r="H1" s="18" t="s">
        <v>437</v>
      </c>
      <c r="I1" s="28" t="s">
        <v>3</v>
      </c>
      <c r="J1" s="28"/>
      <c r="K1" s="28"/>
      <c r="L1" s="18"/>
      <c r="M1" s="28" t="s">
        <v>445</v>
      </c>
      <c r="N1" s="28"/>
      <c r="O1" s="28"/>
      <c r="P1" s="18"/>
      <c r="Q1" s="28" t="s">
        <v>447</v>
      </c>
      <c r="R1" s="28"/>
      <c r="S1" s="28"/>
      <c r="T1" s="18"/>
      <c r="U1" s="18" t="s">
        <v>0</v>
      </c>
      <c r="V1" s="18" t="s">
        <v>1</v>
      </c>
    </row>
    <row r="2" spans="1:22" s="10" customFormat="1" ht="12.75" customHeight="1">
      <c r="A2" s="18"/>
      <c r="B2" s="18"/>
      <c r="C2" s="18"/>
      <c r="D2" s="18"/>
      <c r="E2" s="18"/>
      <c r="F2" s="18"/>
      <c r="G2" s="11"/>
      <c r="H2" s="18"/>
      <c r="I2" s="18">
        <v>1</v>
      </c>
      <c r="J2" s="11">
        <v>2</v>
      </c>
      <c r="K2" s="11">
        <v>3</v>
      </c>
      <c r="L2" s="11" t="s">
        <v>2</v>
      </c>
      <c r="M2" s="11">
        <v>1</v>
      </c>
      <c r="N2" s="11">
        <v>2</v>
      </c>
      <c r="O2" s="11">
        <v>3</v>
      </c>
      <c r="P2" s="11" t="s">
        <v>2</v>
      </c>
      <c r="Q2" s="11">
        <v>1</v>
      </c>
      <c r="R2" s="11">
        <v>2</v>
      </c>
      <c r="S2" s="11">
        <v>3</v>
      </c>
      <c r="T2" s="11" t="s">
        <v>2</v>
      </c>
      <c r="U2" s="18"/>
      <c r="V2" s="18"/>
    </row>
    <row r="3" spans="1:22" ht="12.75" customHeight="1">
      <c r="A3" s="5" t="s">
        <v>286</v>
      </c>
      <c r="B3" s="5" t="s">
        <v>270</v>
      </c>
      <c r="C3" s="5" t="s">
        <v>484</v>
      </c>
      <c r="D3" s="5" t="s">
        <v>465</v>
      </c>
      <c r="E3" s="5" t="s">
        <v>144</v>
      </c>
      <c r="F3" s="5" t="s">
        <v>102</v>
      </c>
      <c r="G3" s="6" t="s">
        <v>272</v>
      </c>
      <c r="H3" s="6" t="s">
        <v>441</v>
      </c>
      <c r="I3" s="6" t="s">
        <v>31</v>
      </c>
      <c r="J3" s="6" t="s">
        <v>15</v>
      </c>
      <c r="K3" s="6" t="s">
        <v>18</v>
      </c>
      <c r="L3" s="7"/>
      <c r="M3" s="6" t="s">
        <v>39</v>
      </c>
      <c r="N3" s="6" t="s">
        <v>145</v>
      </c>
      <c r="O3" s="6" t="s">
        <v>22</v>
      </c>
      <c r="P3" s="7"/>
      <c r="Q3" s="6" t="s">
        <v>32</v>
      </c>
      <c r="R3" s="7" t="s">
        <v>54</v>
      </c>
      <c r="S3" s="7"/>
      <c r="T3" s="7"/>
      <c r="U3" s="8" t="str">
        <f>"517,5"</f>
        <v>517,5</v>
      </c>
      <c r="V3" s="9" t="str">
        <f>"300,5899"</f>
        <v>300,5899</v>
      </c>
    </row>
    <row r="5" spans="1:22" ht="12.75" customHeight="1">
      <c r="A5" s="14"/>
      <c r="B5" s="14"/>
      <c r="C5" s="14"/>
      <c r="D5" s="14"/>
      <c r="E5" s="14"/>
      <c r="F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9" spans="1:22" ht="12.75" customHeight="1">
      <c r="A9" s="14"/>
      <c r="B9" s="14"/>
      <c r="C9" s="14"/>
      <c r="D9" s="14"/>
      <c r="E9" s="14"/>
      <c r="F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2" spans="1:22" ht="12.75" customHeight="1">
      <c r="A12" s="14"/>
      <c r="B12" s="14"/>
      <c r="C12" s="14"/>
      <c r="D12" s="14"/>
      <c r="E12" s="14"/>
      <c r="F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</sheetData>
  <mergeCells count="3">
    <mergeCell ref="Q1:S1"/>
    <mergeCell ref="I1:K1"/>
    <mergeCell ref="M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12"/>
  <sheetViews>
    <sheetView workbookViewId="0">
      <selection activeCell="F8" sqref="F8"/>
    </sheetView>
  </sheetViews>
  <sheetFormatPr defaultRowHeight="12.75" customHeight="1"/>
  <cols>
    <col min="1" max="1" width="26" style="3" bestFit="1" customWidth="1"/>
    <col min="2" max="2" width="6" style="3" customWidth="1"/>
    <col min="3" max="3" width="10.140625" style="3" bestFit="1" customWidth="1"/>
    <col min="4" max="4" width="16" style="3" bestFit="1" customWidth="1"/>
    <col min="5" max="5" width="10" style="3" customWidth="1"/>
    <col min="6" max="6" width="6.42578125" style="3" customWidth="1"/>
    <col min="7" max="7" width="6.85546875" style="2" customWidth="1"/>
    <col min="8" max="8" width="19.5703125" style="2" customWidth="1"/>
    <col min="9" max="11" width="5.5703125" style="2" customWidth="1"/>
    <col min="12" max="12" width="4.85546875" style="2" customWidth="1"/>
    <col min="13" max="15" width="5.5703125" style="2" customWidth="1"/>
    <col min="16" max="16" width="4.85546875" style="2" customWidth="1"/>
    <col min="17" max="19" width="5.5703125" style="2" customWidth="1"/>
    <col min="20" max="20" width="4.85546875" style="2" customWidth="1"/>
    <col min="21" max="21" width="7.85546875" style="4" bestFit="1" customWidth="1"/>
    <col min="22" max="22" width="8.5703125" style="1" bestFit="1" customWidth="1"/>
    <col min="23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1" t="s">
        <v>266</v>
      </c>
      <c r="F1" s="21" t="s">
        <v>436</v>
      </c>
      <c r="G1" s="27" t="s">
        <v>269</v>
      </c>
      <c r="H1" s="11" t="s">
        <v>437</v>
      </c>
      <c r="I1" s="28" t="s">
        <v>3</v>
      </c>
      <c r="J1" s="28"/>
      <c r="K1" s="28"/>
      <c r="L1" s="18"/>
      <c r="M1" s="28" t="s">
        <v>445</v>
      </c>
      <c r="N1" s="28"/>
      <c r="O1" s="28"/>
      <c r="P1" s="18"/>
      <c r="Q1" s="28" t="s">
        <v>450</v>
      </c>
      <c r="R1" s="28"/>
      <c r="S1" s="28"/>
      <c r="T1" s="18"/>
      <c r="U1" s="18" t="s">
        <v>0</v>
      </c>
      <c r="V1" s="18" t="s">
        <v>1</v>
      </c>
    </row>
    <row r="2" spans="1:22" s="10" customFormat="1" ht="12.75" customHeight="1">
      <c r="A2" s="18"/>
      <c r="B2" s="18"/>
      <c r="C2" s="18"/>
      <c r="D2" s="18"/>
      <c r="E2" s="18"/>
      <c r="F2" s="18"/>
      <c r="G2" s="11"/>
      <c r="H2" s="11"/>
      <c r="I2" s="18">
        <v>1</v>
      </c>
      <c r="J2" s="11">
        <v>2</v>
      </c>
      <c r="K2" s="11">
        <v>3</v>
      </c>
      <c r="L2" s="11" t="s">
        <v>2</v>
      </c>
      <c r="M2" s="11">
        <v>1</v>
      </c>
      <c r="N2" s="11">
        <v>2</v>
      </c>
      <c r="O2" s="11">
        <v>3</v>
      </c>
      <c r="P2" s="11" t="s">
        <v>2</v>
      </c>
      <c r="Q2" s="11">
        <v>1</v>
      </c>
      <c r="R2" s="11">
        <v>2</v>
      </c>
      <c r="S2" s="11">
        <v>3</v>
      </c>
      <c r="T2" s="11" t="s">
        <v>2</v>
      </c>
      <c r="U2" s="18"/>
      <c r="V2" s="18"/>
    </row>
    <row r="3" spans="1:22" ht="12.75" customHeight="1">
      <c r="A3" s="5" t="s">
        <v>287</v>
      </c>
      <c r="B3" s="5" t="s">
        <v>271</v>
      </c>
      <c r="C3" s="5" t="s">
        <v>485</v>
      </c>
      <c r="D3" s="5" t="s">
        <v>461</v>
      </c>
      <c r="E3" s="5" t="s">
        <v>4</v>
      </c>
      <c r="F3" s="5" t="s">
        <v>43</v>
      </c>
      <c r="G3" s="6" t="s">
        <v>272</v>
      </c>
      <c r="H3" s="6" t="s">
        <v>439</v>
      </c>
      <c r="I3" s="6" t="s">
        <v>5</v>
      </c>
      <c r="J3" s="6" t="s">
        <v>6</v>
      </c>
      <c r="K3" s="7" t="s">
        <v>297</v>
      </c>
      <c r="L3" s="7"/>
      <c r="M3" s="6" t="s">
        <v>7</v>
      </c>
      <c r="N3" s="7" t="s">
        <v>297</v>
      </c>
      <c r="O3" s="7" t="s">
        <v>297</v>
      </c>
      <c r="P3" s="7"/>
      <c r="Q3" s="6" t="s">
        <v>8</v>
      </c>
      <c r="R3" s="6" t="s">
        <v>9</v>
      </c>
      <c r="S3" s="6" t="s">
        <v>10</v>
      </c>
      <c r="T3" s="7"/>
      <c r="U3" s="8" t="str">
        <f>"420,0"</f>
        <v>420,0</v>
      </c>
      <c r="V3" s="29" t="str">
        <f>"298,1244"</f>
        <v>298,1244</v>
      </c>
    </row>
    <row r="4" spans="1:22" ht="12.75" customHeight="1">
      <c r="A4" s="5" t="s">
        <v>288</v>
      </c>
      <c r="B4" s="5" t="s">
        <v>271</v>
      </c>
      <c r="C4" s="5" t="s">
        <v>486</v>
      </c>
      <c r="D4" s="5" t="s">
        <v>462</v>
      </c>
      <c r="E4" s="5" t="s">
        <v>11</v>
      </c>
      <c r="F4" s="5" t="s">
        <v>45</v>
      </c>
      <c r="G4" s="6" t="s">
        <v>272</v>
      </c>
      <c r="H4" s="6" t="s">
        <v>449</v>
      </c>
      <c r="I4" s="6" t="s">
        <v>12</v>
      </c>
      <c r="J4" s="6" t="s">
        <v>13</v>
      </c>
      <c r="K4" s="7" t="s">
        <v>297</v>
      </c>
      <c r="L4" s="7"/>
      <c r="M4" s="6" t="s">
        <v>14</v>
      </c>
      <c r="N4" s="7" t="s">
        <v>297</v>
      </c>
      <c r="O4" s="7" t="s">
        <v>297</v>
      </c>
      <c r="P4" s="7"/>
      <c r="Q4" s="6" t="s">
        <v>10</v>
      </c>
      <c r="R4" s="6" t="s">
        <v>15</v>
      </c>
      <c r="S4" s="7" t="s">
        <v>16</v>
      </c>
      <c r="T4" s="7"/>
      <c r="U4" s="8" t="str">
        <f>"395,0"</f>
        <v>395,0</v>
      </c>
      <c r="V4" s="29" t="str">
        <f>"330,9416"</f>
        <v>330,9416</v>
      </c>
    </row>
    <row r="5" spans="1:22" ht="12.75" customHeight="1">
      <c r="A5" s="15" t="s">
        <v>289</v>
      </c>
      <c r="B5" s="5" t="s">
        <v>271</v>
      </c>
      <c r="C5" s="15" t="s">
        <v>487</v>
      </c>
      <c r="D5" s="15" t="s">
        <v>466</v>
      </c>
      <c r="E5" s="15" t="s">
        <v>17</v>
      </c>
      <c r="F5" s="15" t="s">
        <v>44</v>
      </c>
      <c r="G5" s="6" t="s">
        <v>272</v>
      </c>
      <c r="H5" s="6" t="s">
        <v>444</v>
      </c>
      <c r="I5" s="15" t="s">
        <v>18</v>
      </c>
      <c r="J5" s="15" t="s">
        <v>19</v>
      </c>
      <c r="K5" s="16" t="s">
        <v>20</v>
      </c>
      <c r="L5" s="16"/>
      <c r="M5" s="15" t="s">
        <v>21</v>
      </c>
      <c r="N5" s="16" t="s">
        <v>22</v>
      </c>
      <c r="O5" s="16" t="s">
        <v>22</v>
      </c>
      <c r="P5" s="16"/>
      <c r="Q5" s="15" t="s">
        <v>23</v>
      </c>
      <c r="R5" s="15" t="s">
        <v>24</v>
      </c>
      <c r="S5" s="16" t="s">
        <v>25</v>
      </c>
      <c r="T5" s="16"/>
      <c r="U5" s="8" t="str">
        <f>"607,5"</f>
        <v>607,5</v>
      </c>
      <c r="V5" s="29" t="str">
        <f>"382,7578"</f>
        <v>382,7578</v>
      </c>
    </row>
    <row r="6" spans="1:22" ht="12.75" customHeight="1">
      <c r="A6" s="5" t="s">
        <v>290</v>
      </c>
      <c r="B6" s="5" t="s">
        <v>271</v>
      </c>
      <c r="C6" s="5" t="s">
        <v>488</v>
      </c>
      <c r="D6" s="5" t="s">
        <v>461</v>
      </c>
      <c r="E6" s="5" t="s">
        <v>26</v>
      </c>
      <c r="F6" s="5" t="s">
        <v>41</v>
      </c>
      <c r="G6" s="6" t="s">
        <v>272</v>
      </c>
      <c r="H6" s="6" t="s">
        <v>439</v>
      </c>
      <c r="I6" s="6" t="s">
        <v>27</v>
      </c>
      <c r="J6" s="6" t="s">
        <v>28</v>
      </c>
      <c r="K6" s="6" t="s">
        <v>29</v>
      </c>
      <c r="L6" s="7"/>
      <c r="M6" s="6" t="s">
        <v>30</v>
      </c>
      <c r="N6" s="6" t="s">
        <v>31</v>
      </c>
      <c r="O6" s="7" t="s">
        <v>32</v>
      </c>
      <c r="P6" s="7"/>
      <c r="Q6" s="6" t="s">
        <v>28</v>
      </c>
      <c r="R6" s="6" t="s">
        <v>33</v>
      </c>
      <c r="S6" s="6" t="s">
        <v>25</v>
      </c>
      <c r="T6" s="7"/>
      <c r="U6" s="8" t="str">
        <f>"682,5"</f>
        <v>682,5</v>
      </c>
      <c r="V6" s="29" t="str">
        <f>"398,2729"</f>
        <v>398,2729</v>
      </c>
    </row>
    <row r="7" spans="1:22" ht="12.75" customHeight="1">
      <c r="A7" s="5" t="s">
        <v>291</v>
      </c>
      <c r="B7" s="5" t="s">
        <v>271</v>
      </c>
      <c r="C7" s="5" t="s">
        <v>489</v>
      </c>
      <c r="D7" s="5" t="s">
        <v>461</v>
      </c>
      <c r="E7" s="5" t="s">
        <v>34</v>
      </c>
      <c r="F7" s="5" t="s">
        <v>42</v>
      </c>
      <c r="G7" s="6" t="s">
        <v>272</v>
      </c>
      <c r="H7" s="6" t="s">
        <v>439</v>
      </c>
      <c r="I7" s="6" t="s">
        <v>35</v>
      </c>
      <c r="J7" s="6" t="s">
        <v>24</v>
      </c>
      <c r="K7" s="7" t="s">
        <v>36</v>
      </c>
      <c r="L7" s="7"/>
      <c r="M7" s="6" t="s">
        <v>37</v>
      </c>
      <c r="N7" s="6" t="s">
        <v>38</v>
      </c>
      <c r="O7" s="6" t="s">
        <v>39</v>
      </c>
      <c r="P7" s="7"/>
      <c r="Q7" s="6" t="s">
        <v>35</v>
      </c>
      <c r="R7" s="6" t="s">
        <v>25</v>
      </c>
      <c r="S7" s="7" t="s">
        <v>40</v>
      </c>
      <c r="T7" s="7"/>
      <c r="U7" s="8" t="str">
        <f>"657,5"</f>
        <v>657,5</v>
      </c>
      <c r="V7" s="29" t="str">
        <f>"360,6059"</f>
        <v>360,6059</v>
      </c>
    </row>
    <row r="9" spans="1:22" ht="12.75" customHeight="1">
      <c r="A9" s="14"/>
      <c r="B9" s="14"/>
      <c r="C9" s="14"/>
      <c r="D9" s="14"/>
      <c r="E9" s="14"/>
      <c r="F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2" spans="1:22" ht="12.75" customHeight="1">
      <c r="A12" s="14"/>
      <c r="B12" s="14"/>
      <c r="C12" s="14"/>
      <c r="D12" s="14"/>
      <c r="E12" s="14"/>
      <c r="F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</sheetData>
  <mergeCells count="3">
    <mergeCell ref="I1:K1"/>
    <mergeCell ref="M1:O1"/>
    <mergeCell ref="Q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14"/>
  <sheetViews>
    <sheetView workbookViewId="0">
      <selection activeCell="E5" sqref="E5"/>
    </sheetView>
  </sheetViews>
  <sheetFormatPr defaultRowHeight="12.75" customHeight="1"/>
  <cols>
    <col min="1" max="1" width="26" style="3" bestFit="1" customWidth="1"/>
    <col min="2" max="2" width="6" style="3" customWidth="1"/>
    <col min="3" max="3" width="10.140625" style="3" bestFit="1" customWidth="1"/>
    <col min="4" max="4" width="12" style="3" bestFit="1" customWidth="1"/>
    <col min="5" max="5" width="8.28515625" style="3" customWidth="1"/>
    <col min="6" max="6" width="6.28515625" style="3" customWidth="1"/>
    <col min="7" max="7" width="6.85546875" style="2" customWidth="1"/>
    <col min="8" max="8" width="19.5703125" style="2" customWidth="1"/>
    <col min="9" max="11" width="5.5703125" style="2" customWidth="1"/>
    <col min="12" max="12" width="4.85546875" style="2" customWidth="1"/>
    <col min="13" max="15" width="5.5703125" style="2" customWidth="1"/>
    <col min="16" max="16" width="4.85546875" style="2" customWidth="1"/>
    <col min="17" max="19" width="5.5703125" style="2" customWidth="1"/>
    <col min="20" max="20" width="4.85546875" style="2" customWidth="1"/>
    <col min="21" max="21" width="7.85546875" style="4" bestFit="1" customWidth="1"/>
    <col min="22" max="22" width="8.5703125" style="1" bestFit="1" customWidth="1"/>
    <col min="23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1" t="s">
        <v>266</v>
      </c>
      <c r="F1" s="21" t="s">
        <v>436</v>
      </c>
      <c r="G1" s="27" t="s">
        <v>269</v>
      </c>
      <c r="H1" s="18" t="s">
        <v>437</v>
      </c>
      <c r="I1" s="28" t="s">
        <v>3</v>
      </c>
      <c r="J1" s="28"/>
      <c r="K1" s="28"/>
      <c r="L1" s="18"/>
      <c r="M1" s="28" t="s">
        <v>445</v>
      </c>
      <c r="N1" s="28"/>
      <c r="O1" s="28"/>
      <c r="P1" s="18"/>
      <c r="Q1" s="28" t="s">
        <v>447</v>
      </c>
      <c r="R1" s="28"/>
      <c r="S1" s="28"/>
      <c r="T1" s="18"/>
      <c r="U1" s="18" t="s">
        <v>0</v>
      </c>
      <c r="V1" s="18" t="s">
        <v>1</v>
      </c>
    </row>
    <row r="2" spans="1:22" s="10" customFormat="1" ht="12.75" customHeight="1">
      <c r="A2" s="18"/>
      <c r="B2" s="18"/>
      <c r="C2" s="18"/>
      <c r="D2" s="18"/>
      <c r="E2" s="18"/>
      <c r="F2" s="18"/>
      <c r="G2" s="11"/>
      <c r="H2" s="18"/>
      <c r="I2" s="18">
        <v>1</v>
      </c>
      <c r="J2" s="11">
        <v>2</v>
      </c>
      <c r="K2" s="11">
        <v>3</v>
      </c>
      <c r="L2" s="11" t="s">
        <v>2</v>
      </c>
      <c r="M2" s="11">
        <v>1</v>
      </c>
      <c r="N2" s="11">
        <v>2</v>
      </c>
      <c r="O2" s="11">
        <v>3</v>
      </c>
      <c r="P2" s="11" t="s">
        <v>2</v>
      </c>
      <c r="Q2" s="11">
        <v>1</v>
      </c>
      <c r="R2" s="11">
        <v>2</v>
      </c>
      <c r="S2" s="11">
        <v>3</v>
      </c>
      <c r="T2" s="11" t="s">
        <v>2</v>
      </c>
      <c r="U2" s="18"/>
      <c r="V2" s="18"/>
    </row>
    <row r="3" spans="1:22" ht="12.75" customHeight="1">
      <c r="A3" s="5" t="s">
        <v>292</v>
      </c>
      <c r="B3" s="5" t="s">
        <v>271</v>
      </c>
      <c r="C3" s="5" t="s">
        <v>490</v>
      </c>
      <c r="D3" s="5" t="s">
        <v>462</v>
      </c>
      <c r="E3" s="5" t="s">
        <v>46</v>
      </c>
      <c r="F3" s="5" t="s">
        <v>62</v>
      </c>
      <c r="G3" s="6" t="s">
        <v>272</v>
      </c>
      <c r="H3" s="6" t="s">
        <v>451</v>
      </c>
      <c r="I3" s="6" t="s">
        <v>6</v>
      </c>
      <c r="J3" s="6" t="s">
        <v>12</v>
      </c>
      <c r="K3" s="6" t="s">
        <v>13</v>
      </c>
      <c r="L3" s="7"/>
      <c r="M3" s="6" t="s">
        <v>47</v>
      </c>
      <c r="N3" s="6" t="s">
        <v>48</v>
      </c>
      <c r="O3" s="7" t="s">
        <v>49</v>
      </c>
      <c r="P3" s="7"/>
      <c r="Q3" s="6" t="s">
        <v>6</v>
      </c>
      <c r="R3" s="6" t="s">
        <v>12</v>
      </c>
      <c r="S3" s="6" t="s">
        <v>13</v>
      </c>
      <c r="T3" s="7"/>
      <c r="U3" s="8" t="str">
        <f>"385,0"</f>
        <v>385,0</v>
      </c>
      <c r="V3" s="29" t="str">
        <f>"363,9484"</f>
        <v>363,9484</v>
      </c>
    </row>
    <row r="4" spans="1:22" ht="12.75" customHeight="1">
      <c r="A4" s="5" t="s">
        <v>293</v>
      </c>
      <c r="B4" s="5" t="s">
        <v>271</v>
      </c>
      <c r="C4" s="5" t="s">
        <v>491</v>
      </c>
      <c r="D4" s="5" t="s">
        <v>462</v>
      </c>
      <c r="E4" s="5" t="s">
        <v>50</v>
      </c>
      <c r="F4" s="5" t="s">
        <v>43</v>
      </c>
      <c r="G4" s="6" t="s">
        <v>272</v>
      </c>
      <c r="H4" s="6" t="s">
        <v>449</v>
      </c>
      <c r="I4" s="6" t="s">
        <v>51</v>
      </c>
      <c r="J4" s="6" t="s">
        <v>38</v>
      </c>
      <c r="K4" s="6" t="s">
        <v>5</v>
      </c>
      <c r="L4" s="7"/>
      <c r="M4" s="6" t="s">
        <v>52</v>
      </c>
      <c r="N4" s="6" t="s">
        <v>47</v>
      </c>
      <c r="O4" s="7" t="s">
        <v>48</v>
      </c>
      <c r="P4" s="7"/>
      <c r="Q4" s="6" t="s">
        <v>38</v>
      </c>
      <c r="R4" s="6" t="s">
        <v>21</v>
      </c>
      <c r="S4" s="6" t="s">
        <v>12</v>
      </c>
      <c r="T4" s="7"/>
      <c r="U4" s="8" t="str">
        <f>"350,0"</f>
        <v>350,0</v>
      </c>
      <c r="V4" s="29" t="str">
        <f>"316,3717"</f>
        <v>316,3717</v>
      </c>
    </row>
    <row r="5" spans="1:22" ht="12.75" customHeight="1">
      <c r="A5" s="15" t="s">
        <v>294</v>
      </c>
      <c r="B5" s="5" t="s">
        <v>271</v>
      </c>
      <c r="C5" s="15" t="s">
        <v>492</v>
      </c>
      <c r="D5" s="15" t="s">
        <v>467</v>
      </c>
      <c r="E5" s="15" t="s">
        <v>53</v>
      </c>
      <c r="F5" s="15" t="s">
        <v>44</v>
      </c>
      <c r="G5" s="6" t="s">
        <v>272</v>
      </c>
      <c r="H5" s="6" t="s">
        <v>452</v>
      </c>
      <c r="I5" s="15" t="s">
        <v>54</v>
      </c>
      <c r="J5" s="15" t="s">
        <v>16</v>
      </c>
      <c r="K5" s="15" t="s">
        <v>55</v>
      </c>
      <c r="L5" s="16"/>
      <c r="M5" s="15" t="s">
        <v>51</v>
      </c>
      <c r="N5" s="15" t="s">
        <v>38</v>
      </c>
      <c r="O5" s="15" t="s">
        <v>5</v>
      </c>
      <c r="P5" s="16"/>
      <c r="Q5" s="15" t="s">
        <v>54</v>
      </c>
      <c r="R5" s="15" t="s">
        <v>16</v>
      </c>
      <c r="S5" s="15" t="s">
        <v>55</v>
      </c>
      <c r="T5" s="16"/>
      <c r="U5" s="8" t="str">
        <f>"540,0"</f>
        <v>540,0</v>
      </c>
      <c r="V5" s="29" t="str">
        <f>"460,9604"</f>
        <v>460,9604</v>
      </c>
    </row>
    <row r="6" spans="1:22" ht="12.75" customHeight="1">
      <c r="A6" s="5" t="s">
        <v>295</v>
      </c>
      <c r="B6" s="5" t="s">
        <v>271</v>
      </c>
      <c r="C6" s="5" t="s">
        <v>493</v>
      </c>
      <c r="D6" s="5" t="s">
        <v>461</v>
      </c>
      <c r="E6" s="5" t="s">
        <v>56</v>
      </c>
      <c r="F6" s="5" t="s">
        <v>61</v>
      </c>
      <c r="G6" s="6" t="s">
        <v>272</v>
      </c>
      <c r="H6" s="6" t="s">
        <v>453</v>
      </c>
      <c r="I6" s="6" t="s">
        <v>57</v>
      </c>
      <c r="J6" s="6" t="s">
        <v>58</v>
      </c>
      <c r="K6" s="7" t="s">
        <v>59</v>
      </c>
      <c r="L6" s="7"/>
      <c r="M6" s="6" t="s">
        <v>15</v>
      </c>
      <c r="N6" s="6" t="s">
        <v>18</v>
      </c>
      <c r="O6" s="7" t="s">
        <v>55</v>
      </c>
      <c r="P6" s="7"/>
      <c r="Q6" s="6" t="s">
        <v>60</v>
      </c>
      <c r="R6" s="7"/>
      <c r="S6" s="7"/>
      <c r="T6" s="7"/>
      <c r="U6" s="8" t="str">
        <f>"805,0"</f>
        <v>805,0</v>
      </c>
      <c r="V6" s="29" t="str">
        <f>"452,6424"</f>
        <v>452,6424</v>
      </c>
    </row>
    <row r="7" spans="1:22" ht="12.75" customHeight="1">
      <c r="A7" s="14"/>
      <c r="B7" s="14"/>
      <c r="C7" s="14"/>
      <c r="D7" s="14"/>
      <c r="E7" s="14"/>
      <c r="F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V7" s="30"/>
    </row>
    <row r="11" spans="1:22" ht="12.75" customHeight="1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4" spans="1:22" ht="12.75" customHeight="1">
      <c r="A14" s="14"/>
      <c r="B14" s="14"/>
      <c r="C14" s="14"/>
      <c r="D14" s="14"/>
      <c r="E14" s="14"/>
      <c r="F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</sheetData>
  <mergeCells count="3">
    <mergeCell ref="I1:K1"/>
    <mergeCell ref="M1:O1"/>
    <mergeCell ref="Q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15"/>
  <sheetViews>
    <sheetView workbookViewId="0">
      <selection activeCell="D7" sqref="D7"/>
    </sheetView>
  </sheetViews>
  <sheetFormatPr defaultRowHeight="12.75" customHeight="1"/>
  <cols>
    <col min="1" max="1" width="19.7109375" style="3" bestFit="1" customWidth="1"/>
    <col min="2" max="2" width="6" style="3" customWidth="1"/>
    <col min="3" max="3" width="10.140625" style="3" bestFit="1" customWidth="1"/>
    <col min="4" max="4" width="9.28515625" style="3" bestFit="1" customWidth="1"/>
    <col min="5" max="5" width="8.42578125" style="3" customWidth="1"/>
    <col min="6" max="6" width="4.28515625" style="3" customWidth="1"/>
    <col min="7" max="7" width="6.85546875" style="2" customWidth="1"/>
    <col min="8" max="8" width="19.5703125" style="2" customWidth="1"/>
    <col min="9" max="11" width="5.5703125" style="2" customWidth="1"/>
    <col min="12" max="12" width="4.85546875" style="2" customWidth="1"/>
    <col min="13" max="14" width="5.5703125" style="2" customWidth="1"/>
    <col min="15" max="15" width="5.42578125" style="2" customWidth="1"/>
    <col min="16" max="16" width="4.85546875" style="2" customWidth="1"/>
    <col min="17" max="19" width="5.5703125" style="2" customWidth="1"/>
    <col min="20" max="20" width="4.85546875" style="2" customWidth="1"/>
    <col min="21" max="21" width="7.85546875" style="4" bestFit="1" customWidth="1"/>
    <col min="22" max="22" width="8.5703125" style="1" bestFit="1" customWidth="1"/>
    <col min="23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1" t="s">
        <v>266</v>
      </c>
      <c r="F1" s="21" t="s">
        <v>436</v>
      </c>
      <c r="G1" s="27" t="s">
        <v>269</v>
      </c>
      <c r="H1" s="18" t="s">
        <v>437</v>
      </c>
      <c r="I1" s="28" t="s">
        <v>3</v>
      </c>
      <c r="J1" s="28"/>
      <c r="K1" s="28"/>
      <c r="L1" s="18"/>
      <c r="M1" s="28" t="s">
        <v>456</v>
      </c>
      <c r="N1" s="28"/>
      <c r="O1" s="28"/>
      <c r="P1" s="18"/>
      <c r="Q1" s="28" t="s">
        <v>450</v>
      </c>
      <c r="R1" s="28"/>
      <c r="S1" s="28"/>
      <c r="T1" s="18"/>
      <c r="U1" s="18" t="s">
        <v>0</v>
      </c>
      <c r="V1" s="18" t="s">
        <v>1</v>
      </c>
    </row>
    <row r="2" spans="1:22" s="10" customFormat="1" ht="12.75" customHeight="1">
      <c r="A2" s="18"/>
      <c r="B2" s="18"/>
      <c r="C2" s="18"/>
      <c r="D2" s="18"/>
      <c r="E2" s="18"/>
      <c r="F2" s="18"/>
      <c r="G2" s="11"/>
      <c r="H2" s="18"/>
      <c r="I2" s="18">
        <v>1</v>
      </c>
      <c r="J2" s="11">
        <v>2</v>
      </c>
      <c r="K2" s="11">
        <v>3</v>
      </c>
      <c r="L2" s="11" t="s">
        <v>2</v>
      </c>
      <c r="M2" s="11">
        <v>1</v>
      </c>
      <c r="N2" s="11">
        <v>2</v>
      </c>
      <c r="O2" s="11">
        <v>3</v>
      </c>
      <c r="P2" s="11" t="s">
        <v>2</v>
      </c>
      <c r="Q2" s="11">
        <v>1</v>
      </c>
      <c r="R2" s="11">
        <v>2</v>
      </c>
      <c r="S2" s="11">
        <v>3</v>
      </c>
      <c r="T2" s="11" t="s">
        <v>2</v>
      </c>
      <c r="U2" s="18"/>
      <c r="V2" s="18"/>
    </row>
    <row r="3" spans="1:22" ht="12.75" customHeight="1">
      <c r="A3" s="5" t="s">
        <v>63</v>
      </c>
      <c r="B3" s="5" t="s">
        <v>271</v>
      </c>
      <c r="C3" s="5" t="s">
        <v>494</v>
      </c>
      <c r="D3" s="5" t="s">
        <v>467</v>
      </c>
      <c r="E3" s="5" t="s">
        <v>64</v>
      </c>
      <c r="F3" s="19">
        <v>90</v>
      </c>
      <c r="G3" s="20">
        <v>1</v>
      </c>
      <c r="H3" s="6" t="s">
        <v>439</v>
      </c>
      <c r="I3" s="7" t="s">
        <v>28</v>
      </c>
      <c r="J3" s="6" t="s">
        <v>28</v>
      </c>
      <c r="K3" s="31">
        <v>0</v>
      </c>
      <c r="L3" s="7"/>
      <c r="M3" s="6" t="s">
        <v>10</v>
      </c>
      <c r="N3" s="7" t="s">
        <v>18</v>
      </c>
      <c r="O3" s="31">
        <v>0</v>
      </c>
      <c r="P3" s="7"/>
      <c r="Q3" s="6" t="s">
        <v>65</v>
      </c>
      <c r="R3" s="6" t="s">
        <v>23</v>
      </c>
      <c r="S3" s="7" t="s">
        <v>25</v>
      </c>
      <c r="T3" s="7"/>
      <c r="U3" s="8" t="str">
        <f>"665,0"</f>
        <v>665,0</v>
      </c>
      <c r="V3" s="29" t="str">
        <f>"414,9933"</f>
        <v>414,9933</v>
      </c>
    </row>
    <row r="4" spans="1:22" ht="12.75" customHeight="1">
      <c r="A4" s="5" t="s">
        <v>296</v>
      </c>
      <c r="B4" s="5" t="s">
        <v>271</v>
      </c>
      <c r="C4" s="5" t="s">
        <v>495</v>
      </c>
      <c r="D4" s="5" t="s">
        <v>467</v>
      </c>
      <c r="E4" s="5" t="s">
        <v>66</v>
      </c>
      <c r="F4" s="19">
        <v>125</v>
      </c>
      <c r="G4" s="6"/>
      <c r="H4" s="6" t="s">
        <v>439</v>
      </c>
      <c r="I4" s="7" t="s">
        <v>60</v>
      </c>
      <c r="J4" s="7" t="s">
        <v>60</v>
      </c>
      <c r="K4" s="7" t="s">
        <v>67</v>
      </c>
      <c r="L4" s="7"/>
      <c r="M4" s="7" t="s">
        <v>10</v>
      </c>
      <c r="N4" s="20">
        <v>0</v>
      </c>
      <c r="O4" s="20">
        <v>0</v>
      </c>
      <c r="P4" s="6"/>
      <c r="Q4" s="20">
        <v>0</v>
      </c>
      <c r="R4" s="20">
        <v>0</v>
      </c>
      <c r="S4" s="20">
        <v>0</v>
      </c>
      <c r="T4" s="7"/>
      <c r="U4" s="8" t="str">
        <f>"0.00"</f>
        <v>0.00</v>
      </c>
      <c r="V4" s="9"/>
    </row>
    <row r="7" spans="1:22" ht="12.75" customHeight="1">
      <c r="A7" s="14"/>
      <c r="B7" s="14"/>
      <c r="C7" s="14"/>
      <c r="D7" s="14"/>
      <c r="E7" s="14"/>
      <c r="F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11" spans="1:22" ht="12.75" customHeight="1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5" spans="1:22" ht="12.75" customHeight="1">
      <c r="A15" s="14"/>
      <c r="B15" s="14"/>
      <c r="C15" s="14"/>
      <c r="D15" s="14"/>
      <c r="E15" s="14"/>
      <c r="F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</sheetData>
  <mergeCells count="3">
    <mergeCell ref="I1:K1"/>
    <mergeCell ref="M1:O1"/>
    <mergeCell ref="Q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68"/>
  <sheetViews>
    <sheetView workbookViewId="0">
      <selection activeCell="N1" sqref="N1"/>
    </sheetView>
  </sheetViews>
  <sheetFormatPr defaultRowHeight="12.75" customHeight="1"/>
  <cols>
    <col min="1" max="1" width="26" style="3" bestFit="1" customWidth="1"/>
    <col min="2" max="2" width="6" style="3" customWidth="1"/>
    <col min="3" max="3" width="10.140625" style="3" bestFit="1" customWidth="1"/>
    <col min="4" max="4" width="16" style="3" bestFit="1" customWidth="1"/>
    <col min="5" max="5" width="8.7109375" style="2" customWidth="1"/>
    <col min="6" max="6" width="7.140625" style="2" customWidth="1"/>
    <col min="7" max="7" width="6.85546875" style="2" customWidth="1"/>
    <col min="8" max="8" width="19.5703125" style="2" customWidth="1"/>
    <col min="9" max="11" width="5.5703125" style="2" customWidth="1"/>
    <col min="12" max="12" width="4.85546875" style="2" customWidth="1"/>
    <col min="13" max="13" width="10.5703125" style="4" bestFit="1" customWidth="1"/>
    <col min="14" max="14" width="8.5703125" style="30" bestFit="1" customWidth="1"/>
    <col min="15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2" t="s">
        <v>266</v>
      </c>
      <c r="F1" s="22" t="s">
        <v>436</v>
      </c>
      <c r="G1" s="21" t="s">
        <v>269</v>
      </c>
      <c r="H1" s="11" t="s">
        <v>437</v>
      </c>
      <c r="I1" s="23"/>
      <c r="J1" s="24" t="s">
        <v>456</v>
      </c>
      <c r="K1" s="24"/>
      <c r="L1" s="24"/>
      <c r="M1" s="18" t="s">
        <v>455</v>
      </c>
      <c r="N1" s="34" t="s">
        <v>1</v>
      </c>
      <c r="O1" s="13"/>
      <c r="P1" s="13"/>
      <c r="Q1" s="13"/>
      <c r="R1" s="13"/>
      <c r="S1" s="13"/>
      <c r="T1" s="13"/>
      <c r="U1" s="13"/>
      <c r="V1" s="13"/>
    </row>
    <row r="2" spans="1:22" s="10" customFormat="1" ht="12.75" customHeight="1">
      <c r="A2" s="18"/>
      <c r="B2" s="18"/>
      <c r="C2" s="18"/>
      <c r="D2" s="18"/>
      <c r="E2" s="11"/>
      <c r="F2" s="11"/>
      <c r="G2" s="18"/>
      <c r="H2" s="11"/>
      <c r="I2" s="25">
        <v>1</v>
      </c>
      <c r="J2" s="26">
        <v>1</v>
      </c>
      <c r="K2" s="25">
        <v>2</v>
      </c>
      <c r="L2" s="11" t="s">
        <v>2</v>
      </c>
      <c r="M2" s="11"/>
      <c r="N2" s="33"/>
      <c r="T2" s="13"/>
      <c r="U2" s="13"/>
      <c r="V2" s="13"/>
    </row>
    <row r="3" spans="1:22" ht="12.75" customHeight="1">
      <c r="A3" s="5" t="s">
        <v>303</v>
      </c>
      <c r="B3" s="5" t="s">
        <v>270</v>
      </c>
      <c r="C3" s="5" t="s">
        <v>497</v>
      </c>
      <c r="D3" s="5" t="s">
        <v>467</v>
      </c>
      <c r="E3" s="6" t="s">
        <v>146</v>
      </c>
      <c r="F3" s="6" t="s">
        <v>212</v>
      </c>
      <c r="G3" s="6"/>
      <c r="H3" s="6" t="s">
        <v>438</v>
      </c>
      <c r="I3" s="7" t="s">
        <v>116</v>
      </c>
      <c r="J3" s="7" t="s">
        <v>116</v>
      </c>
      <c r="K3" s="7" t="s">
        <v>116</v>
      </c>
      <c r="L3" s="7"/>
      <c r="M3" s="8" t="str">
        <f>"0.00"</f>
        <v>0.00</v>
      </c>
      <c r="N3" s="29"/>
    </row>
    <row r="4" spans="1:22" ht="12.75" customHeight="1">
      <c r="A4" s="5" t="s">
        <v>364</v>
      </c>
      <c r="B4" s="5" t="s">
        <v>270</v>
      </c>
      <c r="C4" s="5" t="s">
        <v>553</v>
      </c>
      <c r="D4" s="5" t="s">
        <v>461</v>
      </c>
      <c r="E4" s="6" t="s">
        <v>147</v>
      </c>
      <c r="F4" s="6" t="s">
        <v>212</v>
      </c>
      <c r="G4" s="6" t="s">
        <v>272</v>
      </c>
      <c r="H4" s="6" t="s">
        <v>439</v>
      </c>
      <c r="I4" s="6" t="s">
        <v>69</v>
      </c>
      <c r="J4" s="7" t="s">
        <v>70</v>
      </c>
      <c r="K4" s="6" t="s">
        <v>70</v>
      </c>
      <c r="L4" s="7"/>
      <c r="M4" s="8" t="str">
        <f>"57,5"</f>
        <v>57,5</v>
      </c>
      <c r="N4" s="29" t="str">
        <f>"64,1240"</f>
        <v>64,1240</v>
      </c>
    </row>
    <row r="5" spans="1:22" ht="12.75" customHeight="1">
      <c r="A5" s="5" t="s">
        <v>365</v>
      </c>
      <c r="B5" s="5" t="s">
        <v>270</v>
      </c>
      <c r="C5" s="5" t="s">
        <v>500</v>
      </c>
      <c r="D5" s="5" t="s">
        <v>461</v>
      </c>
      <c r="E5" s="6" t="s">
        <v>148</v>
      </c>
      <c r="F5" s="6" t="s">
        <v>143</v>
      </c>
      <c r="G5" s="6" t="s">
        <v>272</v>
      </c>
      <c r="H5" s="6" t="s">
        <v>439</v>
      </c>
      <c r="I5" s="7" t="s">
        <v>69</v>
      </c>
      <c r="J5" s="6" t="s">
        <v>69</v>
      </c>
      <c r="K5" s="6" t="s">
        <v>76</v>
      </c>
      <c r="L5" s="7"/>
      <c r="M5" s="8" t="str">
        <f>"60,0"</f>
        <v>60,0</v>
      </c>
      <c r="N5" s="29" t="str">
        <f>"64,5840"</f>
        <v>64,5840</v>
      </c>
    </row>
    <row r="6" spans="1:22" ht="12.75" customHeight="1">
      <c r="A6" s="5" t="s">
        <v>395</v>
      </c>
      <c r="B6" s="5" t="s">
        <v>270</v>
      </c>
      <c r="C6" s="5" t="s">
        <v>554</v>
      </c>
      <c r="D6" s="5" t="s">
        <v>461</v>
      </c>
      <c r="E6" s="6" t="s">
        <v>149</v>
      </c>
      <c r="F6" s="6" t="s">
        <v>143</v>
      </c>
      <c r="G6" s="6" t="s">
        <v>273</v>
      </c>
      <c r="H6" s="6" t="s">
        <v>439</v>
      </c>
      <c r="I6" s="6" t="s">
        <v>150</v>
      </c>
      <c r="J6" s="6" t="s">
        <v>151</v>
      </c>
      <c r="K6" s="7" t="s">
        <v>124</v>
      </c>
      <c r="L6" s="7"/>
      <c r="M6" s="8" t="str">
        <f>"37,5"</f>
        <v>37,5</v>
      </c>
      <c r="N6" s="29" t="str">
        <f>"39,7725"</f>
        <v>39,7725</v>
      </c>
    </row>
    <row r="7" spans="1:22" ht="12.75" customHeight="1">
      <c r="A7" s="15" t="s">
        <v>305</v>
      </c>
      <c r="B7" s="5" t="s">
        <v>270</v>
      </c>
      <c r="C7" s="15" t="s">
        <v>501</v>
      </c>
      <c r="D7" s="15" t="s">
        <v>461</v>
      </c>
      <c r="E7" s="6" t="s">
        <v>152</v>
      </c>
      <c r="F7" s="6" t="s">
        <v>143</v>
      </c>
      <c r="G7" s="6" t="s">
        <v>272</v>
      </c>
      <c r="H7" s="6" t="s">
        <v>444</v>
      </c>
      <c r="I7" s="15" t="s">
        <v>70</v>
      </c>
      <c r="J7" s="16" t="s">
        <v>76</v>
      </c>
      <c r="K7" s="15" t="s">
        <v>120</v>
      </c>
      <c r="L7" s="16"/>
      <c r="M7" s="17" t="str">
        <f>"62,5"</f>
        <v>62,5</v>
      </c>
      <c r="N7" s="32" t="str">
        <f>"66,7547"</f>
        <v>66,7547</v>
      </c>
      <c r="O7" s="14"/>
      <c r="P7" s="14"/>
      <c r="Q7" s="14"/>
      <c r="R7" s="14"/>
    </row>
    <row r="8" spans="1:22" ht="12.75" customHeight="1">
      <c r="A8" s="5" t="s">
        <v>356</v>
      </c>
      <c r="B8" s="5" t="s">
        <v>270</v>
      </c>
      <c r="C8" s="5" t="s">
        <v>555</v>
      </c>
      <c r="D8" s="5" t="s">
        <v>461</v>
      </c>
      <c r="E8" s="6" t="s">
        <v>153</v>
      </c>
      <c r="F8" s="6" t="s">
        <v>213</v>
      </c>
      <c r="G8" s="6"/>
      <c r="H8" s="6" t="s">
        <v>439</v>
      </c>
      <c r="I8" s="7" t="s">
        <v>69</v>
      </c>
      <c r="J8" s="7" t="s">
        <v>69</v>
      </c>
      <c r="K8" s="7" t="s">
        <v>69</v>
      </c>
      <c r="L8" s="7"/>
      <c r="M8" s="8" t="str">
        <f>"0.00"</f>
        <v>0.00</v>
      </c>
      <c r="N8" s="29"/>
    </row>
    <row r="9" spans="1:22" ht="12.75" customHeight="1">
      <c r="A9" s="15" t="s">
        <v>366</v>
      </c>
      <c r="B9" s="5" t="s">
        <v>270</v>
      </c>
      <c r="C9" s="15" t="s">
        <v>556</v>
      </c>
      <c r="D9" s="15" t="s">
        <v>461</v>
      </c>
      <c r="E9" s="6" t="s">
        <v>154</v>
      </c>
      <c r="F9" s="6" t="s">
        <v>213</v>
      </c>
      <c r="G9" s="6" t="s">
        <v>272</v>
      </c>
      <c r="H9" s="6" t="s">
        <v>444</v>
      </c>
      <c r="I9" s="15" t="s">
        <v>69</v>
      </c>
      <c r="J9" s="16" t="s">
        <v>70</v>
      </c>
      <c r="K9" s="16" t="s">
        <v>70</v>
      </c>
      <c r="L9" s="16"/>
      <c r="M9" s="17" t="str">
        <f>"55,0"</f>
        <v>55,0</v>
      </c>
      <c r="N9" s="32" t="str">
        <f>"55,2805"</f>
        <v>55,2805</v>
      </c>
      <c r="O9" s="14"/>
      <c r="P9" s="14"/>
      <c r="Q9" s="14"/>
      <c r="R9" s="14"/>
    </row>
    <row r="10" spans="1:22" ht="12.75" customHeight="1">
      <c r="A10" s="5" t="s">
        <v>367</v>
      </c>
      <c r="B10" s="5" t="s">
        <v>270</v>
      </c>
      <c r="C10" s="5" t="s">
        <v>557</v>
      </c>
      <c r="D10" s="5" t="s">
        <v>461</v>
      </c>
      <c r="E10" s="6" t="s">
        <v>155</v>
      </c>
      <c r="F10" s="6" t="s">
        <v>62</v>
      </c>
      <c r="G10" s="6" t="s">
        <v>272</v>
      </c>
      <c r="H10" s="6" t="s">
        <v>441</v>
      </c>
      <c r="I10" s="6" t="s">
        <v>76</v>
      </c>
      <c r="J10" s="6" t="s">
        <v>52</v>
      </c>
      <c r="K10" s="7" t="s">
        <v>47</v>
      </c>
      <c r="L10" s="7"/>
      <c r="M10" s="8" t="str">
        <f>"65,0"</f>
        <v>65,0</v>
      </c>
      <c r="N10" s="29" t="str">
        <f>"60,7490"</f>
        <v>60,7490</v>
      </c>
    </row>
    <row r="11" spans="1:22" ht="12.75" customHeight="1">
      <c r="A11" s="15" t="s">
        <v>368</v>
      </c>
      <c r="B11" s="5" t="s">
        <v>270</v>
      </c>
      <c r="C11" s="15" t="s">
        <v>558</v>
      </c>
      <c r="D11" s="15" t="s">
        <v>461</v>
      </c>
      <c r="E11" s="6" t="s">
        <v>156</v>
      </c>
      <c r="F11" s="6" t="s">
        <v>62</v>
      </c>
      <c r="G11" s="6" t="s">
        <v>272</v>
      </c>
      <c r="H11" s="6" t="s">
        <v>439</v>
      </c>
      <c r="I11" s="16" t="s">
        <v>14</v>
      </c>
      <c r="J11" s="15" t="s">
        <v>14</v>
      </c>
      <c r="K11" s="16" t="s">
        <v>52</v>
      </c>
      <c r="L11" s="16"/>
      <c r="M11" s="17" t="str">
        <f>"50,0"</f>
        <v>50,0</v>
      </c>
      <c r="N11" s="32" t="str">
        <f>"47,6750"</f>
        <v>47,6750</v>
      </c>
      <c r="O11" s="14"/>
      <c r="P11" s="14"/>
      <c r="Q11" s="14"/>
      <c r="R11" s="14"/>
    </row>
    <row r="12" spans="1:22" ht="12.75" customHeight="1">
      <c r="A12" s="5" t="s">
        <v>369</v>
      </c>
      <c r="B12" s="5" t="s">
        <v>270</v>
      </c>
      <c r="C12" s="5" t="s">
        <v>559</v>
      </c>
      <c r="D12" s="5" t="s">
        <v>464</v>
      </c>
      <c r="E12" s="6" t="s">
        <v>157</v>
      </c>
      <c r="F12" s="6" t="s">
        <v>62</v>
      </c>
      <c r="G12" s="6" t="s">
        <v>272</v>
      </c>
      <c r="H12" s="6" t="s">
        <v>449</v>
      </c>
      <c r="I12" s="6" t="s">
        <v>124</v>
      </c>
      <c r="J12" s="6" t="s">
        <v>125</v>
      </c>
      <c r="K12" s="6" t="s">
        <v>72</v>
      </c>
      <c r="L12" s="7"/>
      <c r="M12" s="8" t="str">
        <f>"45,0"</f>
        <v>45,0</v>
      </c>
      <c r="N12" s="29" t="str">
        <f>"52,2282"</f>
        <v>52,2282</v>
      </c>
    </row>
    <row r="13" spans="1:22" ht="12.75" customHeight="1">
      <c r="A13" s="5" t="s">
        <v>370</v>
      </c>
      <c r="B13" s="5" t="s">
        <v>270</v>
      </c>
      <c r="C13" s="5" t="s">
        <v>560</v>
      </c>
      <c r="D13" s="5" t="s">
        <v>461</v>
      </c>
      <c r="E13" s="6" t="s">
        <v>158</v>
      </c>
      <c r="F13" s="6" t="s">
        <v>44</v>
      </c>
      <c r="G13" s="6" t="s">
        <v>272</v>
      </c>
      <c r="H13" s="6" t="s">
        <v>439</v>
      </c>
      <c r="I13" s="6" t="s">
        <v>47</v>
      </c>
      <c r="J13" s="7" t="s">
        <v>49</v>
      </c>
      <c r="K13" s="7" t="s">
        <v>49</v>
      </c>
      <c r="L13" s="7"/>
      <c r="M13" s="8" t="str">
        <f>"70,0"</f>
        <v>70,0</v>
      </c>
      <c r="N13" s="29" t="str">
        <f>"52,5455"</f>
        <v>52,5455</v>
      </c>
    </row>
    <row r="14" spans="1:22" ht="12.75" customHeight="1">
      <c r="A14" s="5" t="s">
        <v>371</v>
      </c>
      <c r="B14" s="5" t="s">
        <v>271</v>
      </c>
      <c r="C14" s="5" t="s">
        <v>561</v>
      </c>
      <c r="D14" s="5" t="s">
        <v>461</v>
      </c>
      <c r="E14" s="6" t="s">
        <v>159</v>
      </c>
      <c r="F14" s="6" t="s">
        <v>212</v>
      </c>
      <c r="G14" s="6" t="s">
        <v>272</v>
      </c>
      <c r="H14" s="6" t="s">
        <v>438</v>
      </c>
      <c r="I14" s="6" t="s">
        <v>124</v>
      </c>
      <c r="J14" s="7" t="s">
        <v>72</v>
      </c>
      <c r="K14" s="7" t="s">
        <v>72</v>
      </c>
      <c r="L14" s="7"/>
      <c r="M14" s="8" t="str">
        <f>"40,0"</f>
        <v>40,0</v>
      </c>
      <c r="N14" s="29" t="str">
        <f>"52,9740"</f>
        <v>52,9740</v>
      </c>
    </row>
    <row r="15" spans="1:22" ht="12.75" customHeight="1">
      <c r="A15" s="5" t="s">
        <v>372</v>
      </c>
      <c r="B15" s="5" t="s">
        <v>271</v>
      </c>
      <c r="C15" s="5" t="s">
        <v>562</v>
      </c>
      <c r="D15" s="5" t="s">
        <v>461</v>
      </c>
      <c r="E15" s="6" t="s">
        <v>160</v>
      </c>
      <c r="F15" s="6" t="s">
        <v>212</v>
      </c>
      <c r="G15" s="6" t="s">
        <v>272</v>
      </c>
      <c r="H15" s="6" t="s">
        <v>444</v>
      </c>
      <c r="I15" s="6" t="s">
        <v>52</v>
      </c>
      <c r="J15" s="6" t="s">
        <v>47</v>
      </c>
      <c r="K15" s="6" t="s">
        <v>48</v>
      </c>
      <c r="L15" s="7"/>
      <c r="M15" s="8" t="str">
        <f>"75,0"</f>
        <v>75,0</v>
      </c>
      <c r="N15" s="29" t="str">
        <f>"76,2459"</f>
        <v>76,2459</v>
      </c>
    </row>
    <row r="16" spans="1:22" ht="12.75" customHeight="1">
      <c r="A16" s="5" t="s">
        <v>313</v>
      </c>
      <c r="B16" s="5" t="s">
        <v>271</v>
      </c>
      <c r="C16" s="5" t="s">
        <v>509</v>
      </c>
      <c r="D16" s="5" t="s">
        <v>468</v>
      </c>
      <c r="E16" s="6" t="s">
        <v>161</v>
      </c>
      <c r="F16" s="6" t="s">
        <v>143</v>
      </c>
      <c r="G16" s="6" t="s">
        <v>272</v>
      </c>
      <c r="H16" s="6" t="s">
        <v>439</v>
      </c>
      <c r="I16" s="6" t="s">
        <v>48</v>
      </c>
      <c r="J16" s="6" t="s">
        <v>162</v>
      </c>
      <c r="K16" s="6" t="s">
        <v>123</v>
      </c>
      <c r="L16" s="7"/>
      <c r="M16" s="8" t="str">
        <f>"85,0"</f>
        <v>85,0</v>
      </c>
      <c r="N16" s="29" t="str">
        <f>"76,8697"</f>
        <v>76,8697</v>
      </c>
    </row>
    <row r="17" spans="1:14" ht="12.75" customHeight="1">
      <c r="A17" s="5" t="s">
        <v>373</v>
      </c>
      <c r="B17" s="5" t="s">
        <v>271</v>
      </c>
      <c r="C17" s="5" t="s">
        <v>563</v>
      </c>
      <c r="D17" s="5" t="s">
        <v>461</v>
      </c>
      <c r="E17" s="6" t="s">
        <v>163</v>
      </c>
      <c r="F17" s="6" t="s">
        <v>213</v>
      </c>
      <c r="G17" s="6" t="s">
        <v>272</v>
      </c>
      <c r="H17" s="6" t="s">
        <v>439</v>
      </c>
      <c r="I17" s="6" t="s">
        <v>114</v>
      </c>
      <c r="J17" s="6" t="s">
        <v>164</v>
      </c>
      <c r="K17" s="6" t="s">
        <v>7</v>
      </c>
      <c r="L17" s="7"/>
      <c r="M17" s="8" t="str">
        <f>"100,0"</f>
        <v>100,0</v>
      </c>
      <c r="N17" s="29" t="str">
        <f>"87,4900"</f>
        <v>87,4900</v>
      </c>
    </row>
    <row r="18" spans="1:14" ht="12.75" customHeight="1">
      <c r="A18" s="5" t="s">
        <v>374</v>
      </c>
      <c r="B18" s="5" t="s">
        <v>271</v>
      </c>
      <c r="C18" s="5" t="s">
        <v>564</v>
      </c>
      <c r="D18" s="5" t="s">
        <v>461</v>
      </c>
      <c r="E18" s="6" t="s">
        <v>154</v>
      </c>
      <c r="F18" s="6" t="s">
        <v>213</v>
      </c>
      <c r="G18" s="6" t="s">
        <v>272</v>
      </c>
      <c r="H18" s="6" t="s">
        <v>444</v>
      </c>
      <c r="I18" s="7" t="s">
        <v>76</v>
      </c>
      <c r="J18" s="6" t="s">
        <v>76</v>
      </c>
      <c r="K18" s="6" t="s">
        <v>52</v>
      </c>
      <c r="L18" s="7"/>
      <c r="M18" s="8" t="str">
        <f>"65,0"</f>
        <v>65,0</v>
      </c>
      <c r="N18" s="29" t="str">
        <f>"57,0264"</f>
        <v>57,0264</v>
      </c>
    </row>
    <row r="19" spans="1:14" ht="12.75" customHeight="1">
      <c r="A19" s="5" t="s">
        <v>375</v>
      </c>
      <c r="B19" s="5" t="s">
        <v>271</v>
      </c>
      <c r="C19" s="5" t="s">
        <v>565</v>
      </c>
      <c r="D19" s="5" t="s">
        <v>464</v>
      </c>
      <c r="E19" s="6" t="s">
        <v>165</v>
      </c>
      <c r="F19" s="6" t="s">
        <v>62</v>
      </c>
      <c r="G19" s="6" t="s">
        <v>272</v>
      </c>
      <c r="H19" s="6" t="s">
        <v>438</v>
      </c>
      <c r="I19" s="6" t="s">
        <v>14</v>
      </c>
      <c r="J19" s="6" t="s">
        <v>69</v>
      </c>
      <c r="K19" s="6" t="s">
        <v>120</v>
      </c>
      <c r="L19" s="7"/>
      <c r="M19" s="8" t="str">
        <f>"62,5"</f>
        <v>62,5</v>
      </c>
      <c r="N19" s="29" t="str">
        <f>"51,9687"</f>
        <v>51,9687</v>
      </c>
    </row>
    <row r="20" spans="1:14" ht="12.75" customHeight="1">
      <c r="A20" s="5" t="s">
        <v>317</v>
      </c>
      <c r="B20" s="5" t="s">
        <v>271</v>
      </c>
      <c r="C20" s="5" t="s">
        <v>514</v>
      </c>
      <c r="D20" s="5" t="s">
        <v>461</v>
      </c>
      <c r="E20" s="6" t="s">
        <v>166</v>
      </c>
      <c r="F20" s="6" t="s">
        <v>62</v>
      </c>
      <c r="G20" s="6" t="s">
        <v>272</v>
      </c>
      <c r="H20" s="6" t="s">
        <v>439</v>
      </c>
      <c r="I20" s="6" t="s">
        <v>72</v>
      </c>
      <c r="J20" s="6" t="s">
        <v>14</v>
      </c>
      <c r="K20" s="6" t="s">
        <v>69</v>
      </c>
      <c r="L20" s="7"/>
      <c r="M20" s="8" t="str">
        <f>"55,0"</f>
        <v>55,0</v>
      </c>
      <c r="N20" s="29" t="str">
        <f>"41,6113"</f>
        <v>41,6113</v>
      </c>
    </row>
    <row r="21" spans="1:14" ht="12.75" customHeight="1">
      <c r="A21" s="5" t="s">
        <v>376</v>
      </c>
      <c r="B21" s="5" t="s">
        <v>271</v>
      </c>
      <c r="C21" s="5" t="s">
        <v>566</v>
      </c>
      <c r="D21" s="5" t="s">
        <v>464</v>
      </c>
      <c r="E21" s="6" t="s">
        <v>167</v>
      </c>
      <c r="F21" s="6" t="s">
        <v>43</v>
      </c>
      <c r="G21" s="6" t="s">
        <v>272</v>
      </c>
      <c r="H21" s="6" t="s">
        <v>441</v>
      </c>
      <c r="I21" s="6" t="s">
        <v>37</v>
      </c>
      <c r="J21" s="7" t="s">
        <v>5</v>
      </c>
      <c r="K21" s="7" t="s">
        <v>5</v>
      </c>
      <c r="L21" s="7"/>
      <c r="M21" s="8" t="str">
        <f>"120,0"</f>
        <v>120,0</v>
      </c>
      <c r="N21" s="29" t="str">
        <f>"84,1380"</f>
        <v>84,1380</v>
      </c>
    </row>
    <row r="22" spans="1:14" ht="12.75" customHeight="1">
      <c r="A22" s="5" t="s">
        <v>377</v>
      </c>
      <c r="B22" s="5" t="s">
        <v>271</v>
      </c>
      <c r="C22" s="5" t="s">
        <v>567</v>
      </c>
      <c r="D22" s="5" t="s">
        <v>461</v>
      </c>
      <c r="E22" s="6" t="s">
        <v>168</v>
      </c>
      <c r="F22" s="6" t="s">
        <v>43</v>
      </c>
      <c r="G22" s="6" t="s">
        <v>273</v>
      </c>
      <c r="H22" s="6" t="s">
        <v>439</v>
      </c>
      <c r="I22" s="6" t="s">
        <v>8</v>
      </c>
      <c r="J22" s="6" t="s">
        <v>12</v>
      </c>
      <c r="K22" s="7" t="s">
        <v>134</v>
      </c>
      <c r="L22" s="7"/>
      <c r="M22" s="8" t="str">
        <f>"150,0"</f>
        <v>150,0</v>
      </c>
      <c r="N22" s="29" t="str">
        <f>"109,0650"</f>
        <v>109,0650</v>
      </c>
    </row>
    <row r="23" spans="1:14" ht="12.75" customHeight="1">
      <c r="A23" s="5" t="s">
        <v>396</v>
      </c>
      <c r="B23" s="5" t="s">
        <v>271</v>
      </c>
      <c r="C23" s="5" t="s">
        <v>568</v>
      </c>
      <c r="D23" s="5" t="s">
        <v>468</v>
      </c>
      <c r="E23" s="6" t="s">
        <v>169</v>
      </c>
      <c r="F23" s="6" t="s">
        <v>43</v>
      </c>
      <c r="G23" s="6" t="s">
        <v>272</v>
      </c>
      <c r="H23" s="6" t="s">
        <v>439</v>
      </c>
      <c r="I23" s="6" t="s">
        <v>6</v>
      </c>
      <c r="J23" s="6" t="s">
        <v>8</v>
      </c>
      <c r="K23" s="6" t="s">
        <v>170</v>
      </c>
      <c r="L23" s="7"/>
      <c r="M23" s="8" t="str">
        <f>"147,5"</f>
        <v>147,5</v>
      </c>
      <c r="N23" s="29" t="str">
        <f>"104,1940"</f>
        <v>104,1940</v>
      </c>
    </row>
    <row r="24" spans="1:14" ht="12.75" customHeight="1">
      <c r="A24" s="5" t="s">
        <v>402</v>
      </c>
      <c r="B24" s="5" t="s">
        <v>271</v>
      </c>
      <c r="C24" s="5" t="s">
        <v>569</v>
      </c>
      <c r="D24" s="5" t="s">
        <v>461</v>
      </c>
      <c r="E24" s="6" t="s">
        <v>171</v>
      </c>
      <c r="F24" s="6" t="s">
        <v>43</v>
      </c>
      <c r="G24" s="6" t="s">
        <v>273</v>
      </c>
      <c r="H24" s="6" t="s">
        <v>439</v>
      </c>
      <c r="I24" s="6" t="s">
        <v>21</v>
      </c>
      <c r="J24" s="7" t="s">
        <v>6</v>
      </c>
      <c r="K24" s="7" t="s">
        <v>6</v>
      </c>
      <c r="L24" s="7"/>
      <c r="M24" s="8" t="str">
        <f>"135,0"</f>
        <v>135,0</v>
      </c>
      <c r="N24" s="29" t="str">
        <f>"94,7565"</f>
        <v>94,7565</v>
      </c>
    </row>
    <row r="25" spans="1:14" ht="12.75" customHeight="1">
      <c r="A25" s="5" t="s">
        <v>405</v>
      </c>
      <c r="B25" s="5" t="s">
        <v>271</v>
      </c>
      <c r="C25" s="5" t="s">
        <v>570</v>
      </c>
      <c r="D25" s="5" t="s">
        <v>461</v>
      </c>
      <c r="E25" s="6" t="s">
        <v>172</v>
      </c>
      <c r="F25" s="6" t="s">
        <v>43</v>
      </c>
      <c r="G25" s="6" t="s">
        <v>298</v>
      </c>
      <c r="H25" s="6" t="s">
        <v>439</v>
      </c>
      <c r="I25" s="6" t="s">
        <v>38</v>
      </c>
      <c r="J25" s="6" t="s">
        <v>130</v>
      </c>
      <c r="K25" s="7" t="s">
        <v>21</v>
      </c>
      <c r="L25" s="7"/>
      <c r="M25" s="8" t="str">
        <f>"127,5"</f>
        <v>127,5</v>
      </c>
      <c r="N25" s="29" t="str">
        <f>"88,5743"</f>
        <v>88,5743</v>
      </c>
    </row>
    <row r="26" spans="1:14" ht="12.75" customHeight="1">
      <c r="A26" s="5" t="s">
        <v>409</v>
      </c>
      <c r="B26" s="5" t="s">
        <v>271</v>
      </c>
      <c r="C26" s="5" t="s">
        <v>571</v>
      </c>
      <c r="D26" s="5" t="s">
        <v>461</v>
      </c>
      <c r="E26" s="6" t="s">
        <v>173</v>
      </c>
      <c r="F26" s="6" t="s">
        <v>43</v>
      </c>
      <c r="G26" s="6" t="s">
        <v>299</v>
      </c>
      <c r="H26" s="6" t="s">
        <v>439</v>
      </c>
      <c r="I26" s="6" t="s">
        <v>51</v>
      </c>
      <c r="J26" s="6" t="s">
        <v>84</v>
      </c>
      <c r="K26" s="6" t="s">
        <v>37</v>
      </c>
      <c r="L26" s="7"/>
      <c r="M26" s="8" t="str">
        <f>"120,0"</f>
        <v>120,0</v>
      </c>
      <c r="N26" s="29" t="str">
        <f>"83,7960"</f>
        <v>83,7960</v>
      </c>
    </row>
    <row r="27" spans="1:14" ht="12.75" customHeight="1">
      <c r="A27" s="5" t="s">
        <v>411</v>
      </c>
      <c r="B27" s="5" t="s">
        <v>271</v>
      </c>
      <c r="C27" s="5" t="s">
        <v>572</v>
      </c>
      <c r="D27" s="5" t="s">
        <v>461</v>
      </c>
      <c r="E27" s="6" t="s">
        <v>174</v>
      </c>
      <c r="F27" s="6" t="s">
        <v>43</v>
      </c>
      <c r="G27" s="6" t="s">
        <v>300</v>
      </c>
      <c r="H27" s="6" t="s">
        <v>439</v>
      </c>
      <c r="I27" s="6" t="s">
        <v>83</v>
      </c>
      <c r="J27" s="6" t="s">
        <v>37</v>
      </c>
      <c r="K27" s="7" t="s">
        <v>5</v>
      </c>
      <c r="L27" s="7"/>
      <c r="M27" s="8" t="str">
        <f>"120,0"</f>
        <v>120,0</v>
      </c>
      <c r="N27" s="29" t="str">
        <f>"83,6220"</f>
        <v>83,6220</v>
      </c>
    </row>
    <row r="28" spans="1:14" ht="12.75" customHeight="1">
      <c r="A28" s="5" t="s">
        <v>415</v>
      </c>
      <c r="B28" s="5" t="s">
        <v>271</v>
      </c>
      <c r="C28" s="5" t="s">
        <v>573</v>
      </c>
      <c r="D28" s="5" t="s">
        <v>461</v>
      </c>
      <c r="E28" s="6" t="s">
        <v>175</v>
      </c>
      <c r="F28" s="6" t="s">
        <v>43</v>
      </c>
      <c r="G28" s="6" t="s">
        <v>413</v>
      </c>
      <c r="H28" s="6" t="s">
        <v>439</v>
      </c>
      <c r="I28" s="6" t="s">
        <v>140</v>
      </c>
      <c r="J28" s="6" t="s">
        <v>83</v>
      </c>
      <c r="K28" s="7" t="s">
        <v>118</v>
      </c>
      <c r="L28" s="7"/>
      <c r="M28" s="8" t="str">
        <f>"110,0"</f>
        <v>110,0</v>
      </c>
      <c r="N28" s="29" t="str">
        <f>"77,4565"</f>
        <v>77,4565</v>
      </c>
    </row>
    <row r="29" spans="1:14" ht="12.75" customHeight="1">
      <c r="A29" s="5" t="s">
        <v>416</v>
      </c>
      <c r="B29" s="5" t="s">
        <v>271</v>
      </c>
      <c r="C29" s="5" t="s">
        <v>574</v>
      </c>
      <c r="D29" s="5" t="s">
        <v>461</v>
      </c>
      <c r="E29" s="6" t="s">
        <v>171</v>
      </c>
      <c r="F29" s="6" t="s">
        <v>43</v>
      </c>
      <c r="G29" s="6" t="s">
        <v>414</v>
      </c>
      <c r="H29" s="6" t="s">
        <v>439</v>
      </c>
      <c r="I29" s="6" t="s">
        <v>122</v>
      </c>
      <c r="J29" s="6" t="s">
        <v>123</v>
      </c>
      <c r="K29" s="7" t="s">
        <v>114</v>
      </c>
      <c r="L29" s="7"/>
      <c r="M29" s="8" t="str">
        <f>"85,0"</f>
        <v>85,0</v>
      </c>
      <c r="N29" s="29" t="str">
        <f>"59,6615"</f>
        <v>59,6615</v>
      </c>
    </row>
    <row r="30" spans="1:14" ht="12.75" customHeight="1">
      <c r="A30" s="5" t="s">
        <v>319</v>
      </c>
      <c r="B30" s="5" t="s">
        <v>271</v>
      </c>
      <c r="C30" s="5" t="s">
        <v>518</v>
      </c>
      <c r="D30" s="5" t="s">
        <v>464</v>
      </c>
      <c r="E30" s="6" t="s">
        <v>177</v>
      </c>
      <c r="F30" s="6" t="s">
        <v>43</v>
      </c>
      <c r="G30" s="6" t="s">
        <v>272</v>
      </c>
      <c r="H30" s="6" t="s">
        <v>452</v>
      </c>
      <c r="I30" s="6" t="s">
        <v>122</v>
      </c>
      <c r="J30" s="6" t="s">
        <v>123</v>
      </c>
      <c r="K30" s="6" t="s">
        <v>114</v>
      </c>
      <c r="L30" s="7"/>
      <c r="M30" s="8" t="str">
        <f>"90,0"</f>
        <v>90,0</v>
      </c>
      <c r="N30" s="29" t="str">
        <f>"88,7557"</f>
        <v>88,7557</v>
      </c>
    </row>
    <row r="31" spans="1:14" ht="12.75" customHeight="1">
      <c r="A31" s="5" t="s">
        <v>378</v>
      </c>
      <c r="B31" s="5" t="s">
        <v>271</v>
      </c>
      <c r="C31" s="5" t="s">
        <v>575</v>
      </c>
      <c r="D31" s="5" t="s">
        <v>468</v>
      </c>
      <c r="E31" s="6" t="s">
        <v>178</v>
      </c>
      <c r="F31" s="6" t="s">
        <v>45</v>
      </c>
      <c r="G31" s="6" t="s">
        <v>272</v>
      </c>
      <c r="H31" s="6" t="s">
        <v>440</v>
      </c>
      <c r="I31" s="6" t="s">
        <v>83</v>
      </c>
      <c r="J31" s="6" t="s">
        <v>51</v>
      </c>
      <c r="K31" s="7" t="s">
        <v>37</v>
      </c>
      <c r="L31" s="7"/>
      <c r="M31" s="8" t="str">
        <f>"115,0"</f>
        <v>115,0</v>
      </c>
      <c r="N31" s="29" t="str">
        <f>"75,3998"</f>
        <v>75,3998</v>
      </c>
    </row>
    <row r="32" spans="1:14" ht="12.75" customHeight="1">
      <c r="A32" s="5" t="s">
        <v>379</v>
      </c>
      <c r="B32" s="5" t="s">
        <v>271</v>
      </c>
      <c r="C32" s="5" t="s">
        <v>576</v>
      </c>
      <c r="D32" s="5" t="s">
        <v>468</v>
      </c>
      <c r="E32" s="6" t="s">
        <v>179</v>
      </c>
      <c r="F32" s="6" t="s">
        <v>45</v>
      </c>
      <c r="G32" s="6" t="s">
        <v>272</v>
      </c>
      <c r="H32" s="6" t="s">
        <v>439</v>
      </c>
      <c r="I32" s="6" t="s">
        <v>170</v>
      </c>
      <c r="J32" s="6" t="s">
        <v>134</v>
      </c>
      <c r="K32" s="6" t="s">
        <v>13</v>
      </c>
      <c r="L32" s="7"/>
      <c r="M32" s="8" t="str">
        <f>"155,0"</f>
        <v>155,0</v>
      </c>
      <c r="N32" s="29" t="str">
        <f>"100,3082"</f>
        <v>100,3082</v>
      </c>
    </row>
    <row r="33" spans="1:14" ht="12.75" customHeight="1">
      <c r="A33" s="5" t="s">
        <v>397</v>
      </c>
      <c r="B33" s="5" t="s">
        <v>271</v>
      </c>
      <c r="C33" s="5" t="s">
        <v>577</v>
      </c>
      <c r="D33" s="5" t="s">
        <v>461</v>
      </c>
      <c r="E33" s="6" t="s">
        <v>180</v>
      </c>
      <c r="F33" s="6" t="s">
        <v>45</v>
      </c>
      <c r="G33" s="6" t="s">
        <v>273</v>
      </c>
      <c r="H33" s="6" t="s">
        <v>439</v>
      </c>
      <c r="I33" s="6" t="s">
        <v>8</v>
      </c>
      <c r="J33" s="6" t="s">
        <v>134</v>
      </c>
      <c r="K33" s="7" t="s">
        <v>13</v>
      </c>
      <c r="L33" s="7"/>
      <c r="M33" s="8" t="str">
        <f>"152,5"</f>
        <v>152,5</v>
      </c>
      <c r="N33" s="29" t="str">
        <f>"98,8505"</f>
        <v>98,8505</v>
      </c>
    </row>
    <row r="34" spans="1:14" ht="12.75" customHeight="1">
      <c r="A34" s="5" t="s">
        <v>403</v>
      </c>
      <c r="B34" s="5" t="s">
        <v>271</v>
      </c>
      <c r="C34" s="5" t="s">
        <v>578</v>
      </c>
      <c r="D34" s="5" t="s">
        <v>468</v>
      </c>
      <c r="E34" s="6" t="s">
        <v>77</v>
      </c>
      <c r="F34" s="6" t="s">
        <v>45</v>
      </c>
      <c r="G34" s="6" t="s">
        <v>298</v>
      </c>
      <c r="H34" s="6" t="s">
        <v>439</v>
      </c>
      <c r="I34" s="6" t="s">
        <v>21</v>
      </c>
      <c r="J34" s="6" t="s">
        <v>6</v>
      </c>
      <c r="K34" s="7" t="s">
        <v>8</v>
      </c>
      <c r="L34" s="7"/>
      <c r="M34" s="8" t="str">
        <f>"140,0"</f>
        <v>140,0</v>
      </c>
      <c r="N34" s="29" t="str">
        <f>"92,0920"</f>
        <v>92,0920</v>
      </c>
    </row>
    <row r="35" spans="1:14" ht="12.75" customHeight="1">
      <c r="A35" s="5" t="s">
        <v>406</v>
      </c>
      <c r="B35" s="5" t="s">
        <v>271</v>
      </c>
      <c r="C35" s="5" t="s">
        <v>579</v>
      </c>
      <c r="D35" s="5" t="s">
        <v>461</v>
      </c>
      <c r="E35" s="6" t="s">
        <v>181</v>
      </c>
      <c r="F35" s="6" t="s">
        <v>45</v>
      </c>
      <c r="G35" s="6" t="s">
        <v>299</v>
      </c>
      <c r="H35" s="6" t="s">
        <v>439</v>
      </c>
      <c r="I35" s="6" t="s">
        <v>37</v>
      </c>
      <c r="J35" s="7" t="s">
        <v>130</v>
      </c>
      <c r="K35" s="7" t="s">
        <v>130</v>
      </c>
      <c r="L35" s="7"/>
      <c r="M35" s="8" t="str">
        <f>"120,0"</f>
        <v>120,0</v>
      </c>
      <c r="N35" s="29" t="str">
        <f>"77,9100"</f>
        <v>77,9100</v>
      </c>
    </row>
    <row r="36" spans="1:14" ht="12.75" customHeight="1">
      <c r="A36" s="5" t="s">
        <v>380</v>
      </c>
      <c r="B36" s="5" t="s">
        <v>271</v>
      </c>
      <c r="C36" s="5" t="s">
        <v>580</v>
      </c>
      <c r="D36" s="5" t="s">
        <v>468</v>
      </c>
      <c r="E36" s="6" t="s">
        <v>182</v>
      </c>
      <c r="F36" s="6" t="s">
        <v>45</v>
      </c>
      <c r="G36" s="6" t="s">
        <v>272</v>
      </c>
      <c r="H36" s="6" t="s">
        <v>453</v>
      </c>
      <c r="I36" s="6" t="s">
        <v>164</v>
      </c>
      <c r="J36" s="6" t="s">
        <v>7</v>
      </c>
      <c r="K36" s="6" t="s">
        <v>117</v>
      </c>
      <c r="L36" s="7"/>
      <c r="M36" s="8" t="str">
        <f>"105,0"</f>
        <v>105,0</v>
      </c>
      <c r="N36" s="29" t="str">
        <f>"73,2614"</f>
        <v>73,2614</v>
      </c>
    </row>
    <row r="37" spans="1:14" ht="12.75" customHeight="1">
      <c r="A37" s="5" t="s">
        <v>381</v>
      </c>
      <c r="B37" s="5" t="s">
        <v>271</v>
      </c>
      <c r="C37" s="5" t="s">
        <v>581</v>
      </c>
      <c r="D37" s="5" t="s">
        <v>463</v>
      </c>
      <c r="E37" s="6" t="s">
        <v>183</v>
      </c>
      <c r="F37" s="6" t="s">
        <v>45</v>
      </c>
      <c r="G37" s="6" t="s">
        <v>272</v>
      </c>
      <c r="H37" s="6" t="s">
        <v>458</v>
      </c>
      <c r="I37" s="6" t="s">
        <v>14</v>
      </c>
      <c r="J37" s="7" t="s">
        <v>76</v>
      </c>
      <c r="K37" s="6" t="s">
        <v>76</v>
      </c>
      <c r="L37" s="7"/>
      <c r="M37" s="8" t="str">
        <f>"60,0"</f>
        <v>60,0</v>
      </c>
      <c r="N37" s="29" t="str">
        <f>"79,1033"</f>
        <v>79,1033</v>
      </c>
    </row>
    <row r="38" spans="1:14" ht="12.75" customHeight="1">
      <c r="A38" s="5" t="s">
        <v>382</v>
      </c>
      <c r="B38" s="5" t="s">
        <v>271</v>
      </c>
      <c r="C38" s="5" t="s">
        <v>582</v>
      </c>
      <c r="D38" s="5" t="s">
        <v>461</v>
      </c>
      <c r="E38" s="6" t="s">
        <v>184</v>
      </c>
      <c r="F38" s="6" t="s">
        <v>45</v>
      </c>
      <c r="G38" s="6" t="s">
        <v>272</v>
      </c>
      <c r="H38" s="6" t="s">
        <v>459</v>
      </c>
      <c r="I38" s="7" t="s">
        <v>48</v>
      </c>
      <c r="J38" s="7" t="s">
        <v>48</v>
      </c>
      <c r="K38" s="6" t="s">
        <v>48</v>
      </c>
      <c r="L38" s="7"/>
      <c r="M38" s="8" t="str">
        <f>"75,0"</f>
        <v>75,0</v>
      </c>
      <c r="N38" s="29" t="str">
        <f>"103,9504"</f>
        <v>103,9504</v>
      </c>
    </row>
    <row r="39" spans="1:14" ht="12.75" customHeight="1">
      <c r="A39" s="5" t="s">
        <v>383</v>
      </c>
      <c r="B39" s="5" t="s">
        <v>271</v>
      </c>
      <c r="C39" s="5" t="s">
        <v>583</v>
      </c>
      <c r="D39" s="5" t="s">
        <v>461</v>
      </c>
      <c r="E39" s="6" t="s">
        <v>185</v>
      </c>
      <c r="F39" s="6" t="s">
        <v>44</v>
      </c>
      <c r="G39" s="6" t="s">
        <v>272</v>
      </c>
      <c r="H39" s="6" t="s">
        <v>438</v>
      </c>
      <c r="I39" s="6" t="s">
        <v>48</v>
      </c>
      <c r="J39" s="6" t="s">
        <v>122</v>
      </c>
      <c r="K39" s="7" t="s">
        <v>162</v>
      </c>
      <c r="L39" s="7"/>
      <c r="M39" s="8" t="str">
        <f>"80,0"</f>
        <v>80,0</v>
      </c>
      <c r="N39" s="29" t="str">
        <f>"49,2560"</f>
        <v>49,2560</v>
      </c>
    </row>
    <row r="40" spans="1:14" ht="12.75" customHeight="1">
      <c r="A40" s="5" t="s">
        <v>384</v>
      </c>
      <c r="B40" s="5" t="s">
        <v>271</v>
      </c>
      <c r="C40" s="5" t="s">
        <v>584</v>
      </c>
      <c r="D40" s="5" t="s">
        <v>462</v>
      </c>
      <c r="E40" s="6" t="s">
        <v>186</v>
      </c>
      <c r="F40" s="6" t="s">
        <v>44</v>
      </c>
      <c r="G40" s="6" t="s">
        <v>272</v>
      </c>
      <c r="H40" s="6" t="s">
        <v>441</v>
      </c>
      <c r="I40" s="6" t="s">
        <v>22</v>
      </c>
      <c r="J40" s="6" t="s">
        <v>170</v>
      </c>
      <c r="K40" s="6" t="s">
        <v>12</v>
      </c>
      <c r="L40" s="7"/>
      <c r="M40" s="8" t="str">
        <f>"150,0"</f>
        <v>150,0</v>
      </c>
      <c r="N40" s="29" t="str">
        <f>"94,0875"</f>
        <v>94,0875</v>
      </c>
    </row>
    <row r="41" spans="1:14" ht="12.75" customHeight="1">
      <c r="A41" s="5" t="s">
        <v>385</v>
      </c>
      <c r="B41" s="5" t="s">
        <v>271</v>
      </c>
      <c r="C41" s="5" t="s">
        <v>585</v>
      </c>
      <c r="D41" s="5" t="s">
        <v>464</v>
      </c>
      <c r="E41" s="6" t="s">
        <v>17</v>
      </c>
      <c r="F41" s="6" t="s">
        <v>44</v>
      </c>
      <c r="G41" s="6" t="s">
        <v>272</v>
      </c>
      <c r="H41" s="6" t="s">
        <v>439</v>
      </c>
      <c r="I41" s="6" t="s">
        <v>13</v>
      </c>
      <c r="J41" s="6" t="s">
        <v>9</v>
      </c>
      <c r="K41" s="6" t="s">
        <v>93</v>
      </c>
      <c r="L41" s="7"/>
      <c r="M41" s="8" t="str">
        <f>"165,0"</f>
        <v>165,0</v>
      </c>
      <c r="N41" s="29" t="str">
        <f>"101,9205"</f>
        <v>101,9205</v>
      </c>
    </row>
    <row r="42" spans="1:14" ht="12.75" customHeight="1">
      <c r="A42" s="5" t="s">
        <v>398</v>
      </c>
      <c r="B42" s="5" t="s">
        <v>271</v>
      </c>
      <c r="C42" s="5" t="s">
        <v>586</v>
      </c>
      <c r="D42" s="5" t="s">
        <v>461</v>
      </c>
      <c r="E42" s="6" t="s">
        <v>187</v>
      </c>
      <c r="F42" s="6" t="s">
        <v>44</v>
      </c>
      <c r="G42" s="6" t="s">
        <v>273</v>
      </c>
      <c r="H42" s="6" t="s">
        <v>439</v>
      </c>
      <c r="I42" s="7" t="s">
        <v>13</v>
      </c>
      <c r="J42" s="6" t="s">
        <v>30</v>
      </c>
      <c r="K42" s="7" t="s">
        <v>93</v>
      </c>
      <c r="L42" s="7"/>
      <c r="M42" s="8" t="str">
        <f>"162,5"</f>
        <v>162,5</v>
      </c>
      <c r="N42" s="29" t="str">
        <f>"100,4412"</f>
        <v>100,4412</v>
      </c>
    </row>
    <row r="43" spans="1:14" ht="12.75" customHeight="1">
      <c r="A43" s="5" t="s">
        <v>331</v>
      </c>
      <c r="B43" s="5" t="s">
        <v>271</v>
      </c>
      <c r="C43" s="5" t="s">
        <v>523</v>
      </c>
      <c r="D43" s="5" t="s">
        <v>461</v>
      </c>
      <c r="E43" s="6" t="s">
        <v>188</v>
      </c>
      <c r="F43" s="6" t="s">
        <v>44</v>
      </c>
      <c r="G43" s="6" t="s">
        <v>298</v>
      </c>
      <c r="H43" s="6" t="s">
        <v>439</v>
      </c>
      <c r="I43" s="6" t="s">
        <v>13</v>
      </c>
      <c r="J43" s="6" t="s">
        <v>9</v>
      </c>
      <c r="K43" s="7" t="s">
        <v>30</v>
      </c>
      <c r="L43" s="7"/>
      <c r="M43" s="8" t="str">
        <f>"160,0"</f>
        <v>160,0</v>
      </c>
      <c r="N43" s="29" t="str">
        <f>"98,2640"</f>
        <v>98,2640</v>
      </c>
    </row>
    <row r="44" spans="1:14" ht="12.75" customHeight="1">
      <c r="A44" s="5" t="s">
        <v>407</v>
      </c>
      <c r="B44" s="5" t="s">
        <v>271</v>
      </c>
      <c r="C44" s="5" t="s">
        <v>555</v>
      </c>
      <c r="D44" s="5" t="s">
        <v>468</v>
      </c>
      <c r="E44" s="6" t="s">
        <v>187</v>
      </c>
      <c r="F44" s="6" t="s">
        <v>44</v>
      </c>
      <c r="G44" s="6" t="s">
        <v>299</v>
      </c>
      <c r="H44" s="6" t="s">
        <v>439</v>
      </c>
      <c r="I44" s="6" t="s">
        <v>12</v>
      </c>
      <c r="J44" s="6" t="s">
        <v>189</v>
      </c>
      <c r="K44" s="7" t="s">
        <v>30</v>
      </c>
      <c r="L44" s="7"/>
      <c r="M44" s="8" t="str">
        <f>"157,5"</f>
        <v>157,5</v>
      </c>
      <c r="N44" s="29" t="str">
        <f>"97,3507"</f>
        <v>97,3507</v>
      </c>
    </row>
    <row r="45" spans="1:14" ht="12.75" customHeight="1">
      <c r="A45" s="5" t="s">
        <v>410</v>
      </c>
      <c r="B45" s="5" t="s">
        <v>271</v>
      </c>
      <c r="C45" s="5" t="s">
        <v>587</v>
      </c>
      <c r="D45" s="5" t="s">
        <v>464</v>
      </c>
      <c r="E45" s="6" t="s">
        <v>190</v>
      </c>
      <c r="F45" s="6" t="s">
        <v>44</v>
      </c>
      <c r="G45" s="6" t="s">
        <v>300</v>
      </c>
      <c r="H45" s="6" t="s">
        <v>439</v>
      </c>
      <c r="I45" s="6" t="s">
        <v>8</v>
      </c>
      <c r="J45" s="6" t="s">
        <v>134</v>
      </c>
      <c r="K45" s="7" t="s">
        <v>13</v>
      </c>
      <c r="L45" s="7"/>
      <c r="M45" s="8" t="str">
        <f>"152,5"</f>
        <v>152,5</v>
      </c>
      <c r="N45" s="29" t="str">
        <f>"93,7722"</f>
        <v>93,7722</v>
      </c>
    </row>
    <row r="46" spans="1:14" ht="12.75" customHeight="1">
      <c r="A46" s="5" t="s">
        <v>412</v>
      </c>
      <c r="B46" s="5" t="s">
        <v>271</v>
      </c>
      <c r="C46" s="5" t="s">
        <v>588</v>
      </c>
      <c r="D46" s="5" t="s">
        <v>461</v>
      </c>
      <c r="E46" s="6" t="s">
        <v>191</v>
      </c>
      <c r="F46" s="6" t="s">
        <v>44</v>
      </c>
      <c r="G46" s="6" t="s">
        <v>413</v>
      </c>
      <c r="H46" s="6" t="s">
        <v>439</v>
      </c>
      <c r="I46" s="6" t="s">
        <v>83</v>
      </c>
      <c r="J46" s="6" t="s">
        <v>37</v>
      </c>
      <c r="K46" s="6" t="s">
        <v>5</v>
      </c>
      <c r="L46" s="7"/>
      <c r="M46" s="8" t="str">
        <f>"130,0"</f>
        <v>130,0</v>
      </c>
      <c r="N46" s="29" t="str">
        <f>"80,2490"</f>
        <v>80,2490</v>
      </c>
    </row>
    <row r="47" spans="1:14" ht="12.75" customHeight="1">
      <c r="A47" s="5" t="s">
        <v>357</v>
      </c>
      <c r="B47" s="5" t="s">
        <v>271</v>
      </c>
      <c r="C47" s="5" t="s">
        <v>589</v>
      </c>
      <c r="D47" s="5" t="s">
        <v>461</v>
      </c>
      <c r="E47" s="6" t="s">
        <v>192</v>
      </c>
      <c r="F47" s="6" t="s">
        <v>44</v>
      </c>
      <c r="G47" s="6"/>
      <c r="H47" s="6"/>
      <c r="I47" s="7" t="s">
        <v>8</v>
      </c>
      <c r="J47" s="7" t="s">
        <v>134</v>
      </c>
      <c r="K47" s="7" t="s">
        <v>297</v>
      </c>
      <c r="L47" s="7"/>
      <c r="M47" s="8" t="str">
        <f>"0.00"</f>
        <v>0.00</v>
      </c>
      <c r="N47" s="29"/>
    </row>
    <row r="48" spans="1:14" ht="12.75" customHeight="1">
      <c r="A48" s="5" t="s">
        <v>332</v>
      </c>
      <c r="B48" s="5" t="s">
        <v>271</v>
      </c>
      <c r="C48" s="5" t="s">
        <v>524</v>
      </c>
      <c r="D48" s="5" t="s">
        <v>461</v>
      </c>
      <c r="E48" s="6" t="s">
        <v>193</v>
      </c>
      <c r="F48" s="6" t="s">
        <v>44</v>
      </c>
      <c r="G48" s="6" t="s">
        <v>272</v>
      </c>
      <c r="H48" s="6" t="s">
        <v>453</v>
      </c>
      <c r="I48" s="6" t="s">
        <v>48</v>
      </c>
      <c r="J48" s="7" t="s">
        <v>122</v>
      </c>
      <c r="K48" s="7" t="s">
        <v>122</v>
      </c>
      <c r="L48" s="7"/>
      <c r="M48" s="8" t="str">
        <f>"75,0"</f>
        <v>75,0</v>
      </c>
      <c r="N48" s="29" t="str">
        <f>"50,7269"</f>
        <v>50,7269</v>
      </c>
    </row>
    <row r="49" spans="1:14" ht="12.75" customHeight="1">
      <c r="A49" s="5" t="s">
        <v>386</v>
      </c>
      <c r="B49" s="5" t="s">
        <v>271</v>
      </c>
      <c r="C49" s="5" t="s">
        <v>590</v>
      </c>
      <c r="D49" s="5" t="s">
        <v>461</v>
      </c>
      <c r="E49" s="6" t="s">
        <v>194</v>
      </c>
      <c r="F49" s="6" t="s">
        <v>44</v>
      </c>
      <c r="G49" s="6" t="s">
        <v>272</v>
      </c>
      <c r="H49" s="6" t="s">
        <v>451</v>
      </c>
      <c r="I49" s="6" t="s">
        <v>32</v>
      </c>
      <c r="J49" s="7" t="s">
        <v>54</v>
      </c>
      <c r="K49" s="7" t="s">
        <v>54</v>
      </c>
      <c r="L49" s="7"/>
      <c r="M49" s="8" t="str">
        <f>"175,0"</f>
        <v>175,0</v>
      </c>
      <c r="N49" s="29" t="str">
        <f>"130,7394"</f>
        <v>130,7394</v>
      </c>
    </row>
    <row r="50" spans="1:14" ht="12.75" customHeight="1">
      <c r="A50" s="5" t="s">
        <v>387</v>
      </c>
      <c r="B50" s="5" t="s">
        <v>271</v>
      </c>
      <c r="C50" s="5" t="s">
        <v>591</v>
      </c>
      <c r="D50" s="5" t="s">
        <v>461</v>
      </c>
      <c r="E50" s="6" t="s">
        <v>195</v>
      </c>
      <c r="F50" s="6" t="s">
        <v>44</v>
      </c>
      <c r="G50" s="6" t="s">
        <v>272</v>
      </c>
      <c r="H50" s="6" t="s">
        <v>452</v>
      </c>
      <c r="I50" s="7" t="s">
        <v>51</v>
      </c>
      <c r="J50" s="6" t="s">
        <v>51</v>
      </c>
      <c r="K50" s="7" t="s">
        <v>37</v>
      </c>
      <c r="L50" s="7"/>
      <c r="M50" s="8" t="str">
        <f>"115,0"</f>
        <v>115,0</v>
      </c>
      <c r="N50" s="29" t="str">
        <f>"94,9641"</f>
        <v>94,9641</v>
      </c>
    </row>
    <row r="51" spans="1:14" ht="12.75" customHeight="1">
      <c r="A51" s="5" t="s">
        <v>323</v>
      </c>
      <c r="B51" s="5" t="s">
        <v>271</v>
      </c>
      <c r="C51" s="5" t="s">
        <v>525</v>
      </c>
      <c r="D51" s="5" t="s">
        <v>461</v>
      </c>
      <c r="E51" s="6" t="s">
        <v>196</v>
      </c>
      <c r="F51" s="6" t="s">
        <v>41</v>
      </c>
      <c r="G51" s="6" t="s">
        <v>272</v>
      </c>
      <c r="H51" s="6" t="s">
        <v>440</v>
      </c>
      <c r="I51" s="6" t="s">
        <v>22</v>
      </c>
      <c r="J51" s="7" t="s">
        <v>12</v>
      </c>
      <c r="K51" s="6" t="s">
        <v>12</v>
      </c>
      <c r="L51" s="7"/>
      <c r="M51" s="8" t="str">
        <f>"150,0"</f>
        <v>150,0</v>
      </c>
      <c r="N51" s="29" t="str">
        <f>"87,9525"</f>
        <v>87,9525</v>
      </c>
    </row>
    <row r="52" spans="1:14" ht="12.75" customHeight="1">
      <c r="A52" s="5" t="s">
        <v>388</v>
      </c>
      <c r="B52" s="5" t="s">
        <v>271</v>
      </c>
      <c r="C52" s="5" t="s">
        <v>592</v>
      </c>
      <c r="D52" s="5" t="s">
        <v>461</v>
      </c>
      <c r="E52" s="6" t="s">
        <v>197</v>
      </c>
      <c r="F52" s="6" t="s">
        <v>41</v>
      </c>
      <c r="G52" s="6" t="s">
        <v>272</v>
      </c>
      <c r="H52" s="6" t="s">
        <v>441</v>
      </c>
      <c r="I52" s="6" t="s">
        <v>93</v>
      </c>
      <c r="J52" s="6" t="s">
        <v>31</v>
      </c>
      <c r="K52" s="6" t="s">
        <v>137</v>
      </c>
      <c r="L52" s="7"/>
      <c r="M52" s="8" t="str">
        <f>"172,5"</f>
        <v>172,5</v>
      </c>
      <c r="N52" s="29" t="str">
        <f>"101,6198"</f>
        <v>101,6198</v>
      </c>
    </row>
    <row r="53" spans="1:14" ht="12.75" customHeight="1">
      <c r="A53" s="5" t="s">
        <v>399</v>
      </c>
      <c r="B53" s="5" t="s">
        <v>271</v>
      </c>
      <c r="C53" s="5" t="s">
        <v>593</v>
      </c>
      <c r="D53" s="5" t="s">
        <v>468</v>
      </c>
      <c r="E53" s="6" t="s">
        <v>110</v>
      </c>
      <c r="F53" s="6" t="s">
        <v>41</v>
      </c>
      <c r="G53" s="6" t="s">
        <v>273</v>
      </c>
      <c r="H53" s="6" t="s">
        <v>441</v>
      </c>
      <c r="I53" s="6" t="s">
        <v>9</v>
      </c>
      <c r="J53" s="6" t="s">
        <v>89</v>
      </c>
      <c r="K53" s="6" t="s">
        <v>137</v>
      </c>
      <c r="L53" s="7"/>
      <c r="M53" s="8" t="str">
        <f>"172,5"</f>
        <v>172,5</v>
      </c>
      <c r="N53" s="29" t="str">
        <f>"100,5330"</f>
        <v>100,5330</v>
      </c>
    </row>
    <row r="54" spans="1:14" ht="12.75" customHeight="1">
      <c r="A54" s="5" t="s">
        <v>358</v>
      </c>
      <c r="B54" s="5" t="s">
        <v>271</v>
      </c>
      <c r="C54" s="5" t="s">
        <v>594</v>
      </c>
      <c r="D54" s="5" t="s">
        <v>461</v>
      </c>
      <c r="E54" s="6" t="s">
        <v>198</v>
      </c>
      <c r="F54" s="6" t="s">
        <v>41</v>
      </c>
      <c r="G54" s="6"/>
      <c r="H54" s="6" t="s">
        <v>441</v>
      </c>
      <c r="I54" s="7" t="s">
        <v>93</v>
      </c>
      <c r="J54" s="7" t="s">
        <v>93</v>
      </c>
      <c r="K54" s="7" t="s">
        <v>93</v>
      </c>
      <c r="L54" s="7"/>
      <c r="M54" s="8" t="str">
        <f>"0.00"</f>
        <v>0.00</v>
      </c>
      <c r="N54" s="29"/>
    </row>
    <row r="55" spans="1:14" ht="12.75" customHeight="1">
      <c r="A55" s="5" t="s">
        <v>389</v>
      </c>
      <c r="B55" s="5" t="s">
        <v>271</v>
      </c>
      <c r="C55" s="5" t="s">
        <v>595</v>
      </c>
      <c r="D55" s="5" t="s">
        <v>461</v>
      </c>
      <c r="E55" s="6" t="s">
        <v>196</v>
      </c>
      <c r="F55" s="6" t="s">
        <v>41</v>
      </c>
      <c r="G55" s="6" t="s">
        <v>272</v>
      </c>
      <c r="H55" s="6" t="s">
        <v>439</v>
      </c>
      <c r="I55" s="6" t="s">
        <v>32</v>
      </c>
      <c r="J55" s="7" t="s">
        <v>54</v>
      </c>
      <c r="K55" s="7" t="s">
        <v>54</v>
      </c>
      <c r="L55" s="7"/>
      <c r="M55" s="8" t="str">
        <f>"175,0"</f>
        <v>175,0</v>
      </c>
      <c r="N55" s="29" t="str">
        <f>"102,6113"</f>
        <v>102,6113</v>
      </c>
    </row>
    <row r="56" spans="1:14" ht="12.75" customHeight="1">
      <c r="A56" s="5" t="s">
        <v>323</v>
      </c>
      <c r="B56" s="5" t="s">
        <v>271</v>
      </c>
      <c r="C56" s="5" t="s">
        <v>525</v>
      </c>
      <c r="D56" s="5" t="s">
        <v>461</v>
      </c>
      <c r="E56" s="6" t="s">
        <v>196</v>
      </c>
      <c r="F56" s="6" t="s">
        <v>41</v>
      </c>
      <c r="G56" s="6" t="s">
        <v>272</v>
      </c>
      <c r="H56" s="6" t="s">
        <v>439</v>
      </c>
      <c r="I56" s="6" t="s">
        <v>22</v>
      </c>
      <c r="J56" s="7" t="s">
        <v>12</v>
      </c>
      <c r="K56" s="6" t="s">
        <v>12</v>
      </c>
      <c r="L56" s="7"/>
      <c r="M56" s="8" t="str">
        <f>"150,0"</f>
        <v>150,0</v>
      </c>
      <c r="N56" s="29" t="str">
        <f>"87,9525"</f>
        <v>87,9525</v>
      </c>
    </row>
    <row r="57" spans="1:14" ht="12.75" customHeight="1">
      <c r="A57" s="5" t="s">
        <v>390</v>
      </c>
      <c r="B57" s="5" t="s">
        <v>271</v>
      </c>
      <c r="C57" s="5" t="s">
        <v>596</v>
      </c>
      <c r="D57" s="5" t="s">
        <v>461</v>
      </c>
      <c r="E57" s="6" t="s">
        <v>199</v>
      </c>
      <c r="F57" s="6" t="s">
        <v>41</v>
      </c>
      <c r="G57" s="6" t="s">
        <v>272</v>
      </c>
      <c r="H57" s="6" t="s">
        <v>444</v>
      </c>
      <c r="I57" s="6" t="s">
        <v>8</v>
      </c>
      <c r="J57" s="7" t="s">
        <v>12</v>
      </c>
      <c r="K57" s="7" t="s">
        <v>12</v>
      </c>
      <c r="L57" s="7"/>
      <c r="M57" s="8" t="str">
        <f>"145,0"</f>
        <v>145,0</v>
      </c>
      <c r="N57" s="29" t="str">
        <f>"88,4422"</f>
        <v>88,4422</v>
      </c>
    </row>
    <row r="58" spans="1:14" ht="12.75" customHeight="1">
      <c r="A58" s="5" t="s">
        <v>324</v>
      </c>
      <c r="B58" s="5" t="s">
        <v>271</v>
      </c>
      <c r="C58" s="5" t="s">
        <v>529</v>
      </c>
      <c r="D58" s="5" t="s">
        <v>468</v>
      </c>
      <c r="E58" s="6" t="s">
        <v>200</v>
      </c>
      <c r="F58" s="6" t="s">
        <v>41</v>
      </c>
      <c r="G58" s="6" t="s">
        <v>272</v>
      </c>
      <c r="H58" s="6" t="s">
        <v>453</v>
      </c>
      <c r="I58" s="6" t="s">
        <v>8</v>
      </c>
      <c r="J58" s="6" t="s">
        <v>13</v>
      </c>
      <c r="K58" s="6" t="s">
        <v>9</v>
      </c>
      <c r="L58" s="7"/>
      <c r="M58" s="8" t="str">
        <f>"160,0"</f>
        <v>160,0</v>
      </c>
      <c r="N58" s="29" t="str">
        <f>"102,1175"</f>
        <v>102,1175</v>
      </c>
    </row>
    <row r="59" spans="1:14" ht="12.75" customHeight="1">
      <c r="A59" s="5" t="s">
        <v>391</v>
      </c>
      <c r="B59" s="5" t="s">
        <v>271</v>
      </c>
      <c r="C59" s="5" t="s">
        <v>597</v>
      </c>
      <c r="D59" s="5" t="s">
        <v>464</v>
      </c>
      <c r="E59" s="6" t="s">
        <v>201</v>
      </c>
      <c r="F59" s="6" t="s">
        <v>102</v>
      </c>
      <c r="G59" s="6" t="s">
        <v>272</v>
      </c>
      <c r="H59" s="6" t="s">
        <v>439</v>
      </c>
      <c r="I59" s="6" t="s">
        <v>31</v>
      </c>
      <c r="J59" s="6" t="s">
        <v>10</v>
      </c>
      <c r="K59" s="6" t="s">
        <v>54</v>
      </c>
      <c r="L59" s="7"/>
      <c r="M59" s="8" t="str">
        <f>"185,0"</f>
        <v>185,0</v>
      </c>
      <c r="N59" s="29" t="str">
        <f>"104,7007"</f>
        <v>104,7007</v>
      </c>
    </row>
    <row r="60" spans="1:14" ht="12.75" customHeight="1">
      <c r="A60" s="5" t="s">
        <v>400</v>
      </c>
      <c r="B60" s="5" t="s">
        <v>271</v>
      </c>
      <c r="C60" s="5" t="s">
        <v>598</v>
      </c>
      <c r="D60" s="5" t="s">
        <v>469</v>
      </c>
      <c r="E60" s="6" t="s">
        <v>202</v>
      </c>
      <c r="F60" s="6" t="s">
        <v>102</v>
      </c>
      <c r="G60" s="6" t="s">
        <v>273</v>
      </c>
      <c r="H60" s="6" t="s">
        <v>439</v>
      </c>
      <c r="I60" s="6" t="s">
        <v>89</v>
      </c>
      <c r="J60" s="6" t="s">
        <v>32</v>
      </c>
      <c r="K60" s="6" t="s">
        <v>10</v>
      </c>
      <c r="L60" s="7"/>
      <c r="M60" s="8" t="str">
        <f>"180,0"</f>
        <v>180,0</v>
      </c>
      <c r="N60" s="29" t="str">
        <f>"101,2770"</f>
        <v>101,2770</v>
      </c>
    </row>
    <row r="61" spans="1:14" ht="12.75" customHeight="1">
      <c r="A61" s="5" t="s">
        <v>404</v>
      </c>
      <c r="B61" s="5" t="s">
        <v>271</v>
      </c>
      <c r="C61" s="5" t="s">
        <v>599</v>
      </c>
      <c r="D61" s="5" t="s">
        <v>461</v>
      </c>
      <c r="E61" s="6" t="s">
        <v>203</v>
      </c>
      <c r="F61" s="6" t="s">
        <v>102</v>
      </c>
      <c r="G61" s="6" t="s">
        <v>298</v>
      </c>
      <c r="H61" s="6" t="s">
        <v>439</v>
      </c>
      <c r="I61" s="6" t="s">
        <v>93</v>
      </c>
      <c r="J61" s="6" t="s">
        <v>31</v>
      </c>
      <c r="K61" s="7" t="s">
        <v>137</v>
      </c>
      <c r="L61" s="7"/>
      <c r="M61" s="8" t="str">
        <f>"170,0"</f>
        <v>170,0</v>
      </c>
      <c r="N61" s="29" t="str">
        <f>"97,8265"</f>
        <v>97,8265</v>
      </c>
    </row>
    <row r="62" spans="1:14" ht="12.75" customHeight="1">
      <c r="A62" s="5" t="s">
        <v>408</v>
      </c>
      <c r="B62" s="5" t="s">
        <v>271</v>
      </c>
      <c r="C62" s="5" t="s">
        <v>600</v>
      </c>
      <c r="D62" s="5" t="s">
        <v>461</v>
      </c>
      <c r="E62" s="6" t="s">
        <v>204</v>
      </c>
      <c r="F62" s="6" t="s">
        <v>102</v>
      </c>
      <c r="G62" s="6" t="s">
        <v>299</v>
      </c>
      <c r="H62" s="6" t="s">
        <v>439</v>
      </c>
      <c r="I62" s="6" t="s">
        <v>31</v>
      </c>
      <c r="J62" s="7" t="s">
        <v>10</v>
      </c>
      <c r="K62" s="7" t="s">
        <v>205</v>
      </c>
      <c r="L62" s="7"/>
      <c r="M62" s="8" t="str">
        <f>"170,0"</f>
        <v>170,0</v>
      </c>
      <c r="N62" s="29" t="str">
        <f>"96,0500"</f>
        <v>96,0500</v>
      </c>
    </row>
    <row r="63" spans="1:14" ht="12.75" customHeight="1">
      <c r="A63" s="5" t="s">
        <v>325</v>
      </c>
      <c r="B63" s="5" t="s">
        <v>271</v>
      </c>
      <c r="C63" s="5" t="s">
        <v>530</v>
      </c>
      <c r="D63" s="5" t="s">
        <v>463</v>
      </c>
      <c r="E63" s="6" t="s">
        <v>206</v>
      </c>
      <c r="F63" s="6" t="s">
        <v>102</v>
      </c>
      <c r="G63" s="6" t="s">
        <v>272</v>
      </c>
      <c r="H63" s="6" t="s">
        <v>453</v>
      </c>
      <c r="I63" s="6" t="s">
        <v>6</v>
      </c>
      <c r="J63" s="6" t="s">
        <v>12</v>
      </c>
      <c r="K63" s="7" t="s">
        <v>9</v>
      </c>
      <c r="L63" s="7"/>
      <c r="M63" s="8" t="str">
        <f>"150,0"</f>
        <v>150,0</v>
      </c>
      <c r="N63" s="29" t="str">
        <f>"94,0610"</f>
        <v>94,0610</v>
      </c>
    </row>
    <row r="64" spans="1:14" ht="12.75" customHeight="1">
      <c r="A64" s="5" t="s">
        <v>392</v>
      </c>
      <c r="B64" s="5" t="s">
        <v>271</v>
      </c>
      <c r="C64" s="5" t="s">
        <v>601</v>
      </c>
      <c r="D64" s="5" t="s">
        <v>464</v>
      </c>
      <c r="E64" s="6" t="s">
        <v>207</v>
      </c>
      <c r="F64" s="6" t="s">
        <v>42</v>
      </c>
      <c r="G64" s="6" t="s">
        <v>272</v>
      </c>
      <c r="H64" s="6" t="s">
        <v>438</v>
      </c>
      <c r="I64" s="6" t="s">
        <v>122</v>
      </c>
      <c r="J64" s="6" t="s">
        <v>113</v>
      </c>
      <c r="K64" s="6" t="s">
        <v>115</v>
      </c>
      <c r="L64" s="7"/>
      <c r="M64" s="8" t="str">
        <f>"92,5"</f>
        <v>92,5</v>
      </c>
      <c r="N64" s="29" t="str">
        <f>"51,3468"</f>
        <v>51,3468</v>
      </c>
    </row>
    <row r="65" spans="1:14" ht="12.75" customHeight="1">
      <c r="A65" s="5" t="s">
        <v>351</v>
      </c>
      <c r="B65" s="5" t="s">
        <v>271</v>
      </c>
      <c r="C65" s="5" t="s">
        <v>552</v>
      </c>
      <c r="D65" s="5" t="s">
        <v>461</v>
      </c>
      <c r="E65" s="6" t="s">
        <v>208</v>
      </c>
      <c r="F65" s="6" t="s">
        <v>42</v>
      </c>
      <c r="G65" s="6" t="s">
        <v>272</v>
      </c>
      <c r="H65" s="6" t="s">
        <v>439</v>
      </c>
      <c r="I65" s="7" t="s">
        <v>127</v>
      </c>
      <c r="J65" s="6" t="s">
        <v>127</v>
      </c>
      <c r="K65" s="6" t="s">
        <v>65</v>
      </c>
      <c r="L65" s="7"/>
      <c r="M65" s="8" t="str">
        <f>"225,0"</f>
        <v>225,0</v>
      </c>
      <c r="N65" s="29" t="str">
        <f>"122,7375"</f>
        <v>122,7375</v>
      </c>
    </row>
    <row r="66" spans="1:14" ht="12.75" customHeight="1">
      <c r="A66" s="5" t="s">
        <v>401</v>
      </c>
      <c r="B66" s="5" t="s">
        <v>271</v>
      </c>
      <c r="C66" s="5" t="s">
        <v>602</v>
      </c>
      <c r="D66" s="5" t="s">
        <v>468</v>
      </c>
      <c r="E66" s="6" t="s">
        <v>209</v>
      </c>
      <c r="F66" s="6" t="s">
        <v>42</v>
      </c>
      <c r="G66" s="6" t="s">
        <v>273</v>
      </c>
      <c r="H66" s="6" t="s">
        <v>439</v>
      </c>
      <c r="I66" s="6" t="s">
        <v>54</v>
      </c>
      <c r="J66" s="7" t="s">
        <v>210</v>
      </c>
      <c r="K66" s="7" t="s">
        <v>210</v>
      </c>
      <c r="L66" s="7"/>
      <c r="M66" s="8" t="str">
        <f>"185,0"</f>
        <v>185,0</v>
      </c>
      <c r="N66" s="29" t="str">
        <f>"101,3337"</f>
        <v>101,3337</v>
      </c>
    </row>
    <row r="67" spans="1:14" ht="12.75" customHeight="1">
      <c r="A67" s="5" t="s">
        <v>393</v>
      </c>
      <c r="B67" s="5" t="s">
        <v>271</v>
      </c>
      <c r="C67" s="5" t="s">
        <v>603</v>
      </c>
      <c r="D67" s="5" t="s">
        <v>461</v>
      </c>
      <c r="E67" s="6" t="s">
        <v>96</v>
      </c>
      <c r="F67" s="6" t="s">
        <v>42</v>
      </c>
      <c r="G67" s="6" t="s">
        <v>272</v>
      </c>
      <c r="H67" s="6" t="s">
        <v>442</v>
      </c>
      <c r="I67" s="6" t="s">
        <v>122</v>
      </c>
      <c r="J67" s="6" t="s">
        <v>114</v>
      </c>
      <c r="K67" s="7" t="s">
        <v>7</v>
      </c>
      <c r="L67" s="7"/>
      <c r="M67" s="8" t="str">
        <f>"90,0"</f>
        <v>90,0</v>
      </c>
      <c r="N67" s="29" t="str">
        <f>"72,6473"</f>
        <v>72,6473</v>
      </c>
    </row>
    <row r="68" spans="1:14" ht="12.75" customHeight="1">
      <c r="A68" s="5" t="s">
        <v>394</v>
      </c>
      <c r="B68" s="5" t="s">
        <v>271</v>
      </c>
      <c r="C68" s="5" t="s">
        <v>604</v>
      </c>
      <c r="D68" s="5" t="s">
        <v>461</v>
      </c>
      <c r="E68" s="6" t="s">
        <v>211</v>
      </c>
      <c r="F68" s="6" t="s">
        <v>61</v>
      </c>
      <c r="G68" s="6" t="s">
        <v>272</v>
      </c>
      <c r="H68" s="6" t="s">
        <v>441</v>
      </c>
      <c r="I68" s="7" t="s">
        <v>93</v>
      </c>
      <c r="J68" s="6" t="s">
        <v>93</v>
      </c>
      <c r="K68" s="7" t="s">
        <v>205</v>
      </c>
      <c r="L68" s="7"/>
      <c r="M68" s="8" t="str">
        <f>"165,0"</f>
        <v>165,0</v>
      </c>
      <c r="N68" s="29" t="str">
        <f>"88,4994"</f>
        <v>88,4994</v>
      </c>
    </row>
  </sheetData>
  <mergeCells count="1">
    <mergeCell ref="J1:L1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6"/>
  <sheetViews>
    <sheetView workbookViewId="0">
      <selection activeCell="F10" sqref="F10"/>
    </sheetView>
  </sheetViews>
  <sheetFormatPr defaultRowHeight="12.75" customHeight="1"/>
  <cols>
    <col min="1" max="1" width="26" style="3" bestFit="1" customWidth="1"/>
    <col min="2" max="2" width="6" style="3" customWidth="1"/>
    <col min="3" max="3" width="10.140625" style="3" bestFit="1" customWidth="1"/>
    <col min="4" max="4" width="12" style="3" bestFit="1" customWidth="1"/>
    <col min="5" max="6" width="8.28515625" style="3" customWidth="1"/>
    <col min="7" max="7" width="6.85546875" style="2" customWidth="1"/>
    <col min="8" max="8" width="19.5703125" style="2" customWidth="1"/>
    <col min="9" max="11" width="5.5703125" style="2" customWidth="1"/>
    <col min="12" max="12" width="4.85546875" style="2" customWidth="1"/>
    <col min="13" max="13" width="7.85546875" style="4" bestFit="1" customWidth="1"/>
    <col min="14" max="14" width="8.5703125" style="1" bestFit="1" customWidth="1"/>
    <col min="15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1" t="s">
        <v>266</v>
      </c>
      <c r="F1" s="21" t="s">
        <v>436</v>
      </c>
      <c r="G1" s="27" t="s">
        <v>269</v>
      </c>
      <c r="H1" s="18" t="s">
        <v>437</v>
      </c>
      <c r="I1" s="28" t="s">
        <v>456</v>
      </c>
      <c r="J1" s="28"/>
      <c r="K1" s="28"/>
      <c r="L1" s="18"/>
      <c r="M1" s="18" t="s">
        <v>103</v>
      </c>
      <c r="N1" s="18" t="s">
        <v>1</v>
      </c>
      <c r="O1" s="13"/>
      <c r="P1" s="13"/>
      <c r="Q1" s="13"/>
      <c r="R1" s="13"/>
      <c r="S1" s="13"/>
      <c r="T1" s="13"/>
      <c r="U1" s="13"/>
      <c r="V1" s="13"/>
    </row>
    <row r="2" spans="1:22" s="10" customFormat="1" ht="12.75" customHeight="1">
      <c r="A2" s="18"/>
      <c r="B2" s="18"/>
      <c r="C2" s="18"/>
      <c r="D2" s="18"/>
      <c r="E2" s="18"/>
      <c r="F2" s="18"/>
      <c r="G2" s="11"/>
      <c r="H2" s="18"/>
      <c r="I2" s="18">
        <v>1</v>
      </c>
      <c r="J2" s="11">
        <v>2</v>
      </c>
      <c r="K2" s="11">
        <v>3</v>
      </c>
      <c r="L2" s="11" t="s">
        <v>2</v>
      </c>
      <c r="M2" s="11"/>
      <c r="N2" s="11"/>
      <c r="T2" s="13"/>
      <c r="U2" s="13"/>
      <c r="V2" s="13"/>
    </row>
    <row r="3" spans="1:22" ht="12.75" customHeight="1">
      <c r="A3" s="5" t="s">
        <v>274</v>
      </c>
      <c r="B3" s="5" t="s">
        <v>270</v>
      </c>
      <c r="C3" s="5" t="s">
        <v>472</v>
      </c>
      <c r="D3" s="5" t="s">
        <v>460</v>
      </c>
      <c r="E3" s="5" t="s">
        <v>112</v>
      </c>
      <c r="F3" s="5" t="s">
        <v>143</v>
      </c>
      <c r="G3" s="6" t="s">
        <v>272</v>
      </c>
      <c r="H3" s="6" t="s">
        <v>438</v>
      </c>
      <c r="I3" s="6" t="s">
        <v>47</v>
      </c>
      <c r="J3" s="7" t="s">
        <v>48</v>
      </c>
      <c r="K3" s="6" t="s">
        <v>48</v>
      </c>
      <c r="L3" s="7"/>
      <c r="M3" s="8" t="str">
        <f>"75,0"</f>
        <v>75,0</v>
      </c>
      <c r="N3" s="29" t="str">
        <f>"78,2925"</f>
        <v>78,2925</v>
      </c>
    </row>
    <row r="4" spans="1:22" ht="12.75" customHeight="1">
      <c r="A4" s="5" t="s">
        <v>346</v>
      </c>
      <c r="B4" s="5" t="s">
        <v>270</v>
      </c>
      <c r="C4" s="5" t="s">
        <v>541</v>
      </c>
      <c r="D4" s="5" t="s">
        <v>460</v>
      </c>
      <c r="E4" s="5" t="s">
        <v>214</v>
      </c>
      <c r="F4" s="5" t="s">
        <v>213</v>
      </c>
      <c r="G4" s="6" t="s">
        <v>272</v>
      </c>
      <c r="H4" s="6" t="s">
        <v>439</v>
      </c>
      <c r="I4" s="6" t="s">
        <v>47</v>
      </c>
      <c r="J4" s="6" t="s">
        <v>122</v>
      </c>
      <c r="K4" s="7" t="s">
        <v>297</v>
      </c>
      <c r="L4" s="7"/>
      <c r="M4" s="8" t="str">
        <f>"80,0"</f>
        <v>80,0</v>
      </c>
      <c r="N4" s="29" t="str">
        <f>"80,0800"</f>
        <v>80,0800</v>
      </c>
    </row>
    <row r="5" spans="1:22" ht="12.75" customHeight="1">
      <c r="A5" s="15" t="s">
        <v>347</v>
      </c>
      <c r="B5" s="15" t="s">
        <v>271</v>
      </c>
      <c r="C5" s="15" t="s">
        <v>542</v>
      </c>
      <c r="D5" s="15" t="s">
        <v>461</v>
      </c>
      <c r="E5" s="15" t="s">
        <v>215</v>
      </c>
      <c r="F5" s="15" t="s">
        <v>45</v>
      </c>
      <c r="G5" s="6" t="s">
        <v>272</v>
      </c>
      <c r="H5" s="6" t="s">
        <v>439</v>
      </c>
      <c r="I5" s="15" t="s">
        <v>27</v>
      </c>
      <c r="J5" s="15" t="s">
        <v>28</v>
      </c>
      <c r="K5" s="15" t="s">
        <v>35</v>
      </c>
      <c r="L5" s="16"/>
      <c r="M5" s="17" t="str">
        <f>"250,0"</f>
        <v>250,0</v>
      </c>
      <c r="N5" s="32" t="str">
        <f>"164,5187"</f>
        <v>164,5187</v>
      </c>
      <c r="O5" s="14"/>
      <c r="P5" s="14"/>
      <c r="Q5" s="14"/>
      <c r="R5" s="14"/>
      <c r="S5" s="14"/>
    </row>
    <row r="6" spans="1:22" ht="12.75" customHeight="1">
      <c r="A6" s="5" t="s">
        <v>352</v>
      </c>
      <c r="B6" s="15" t="s">
        <v>271</v>
      </c>
      <c r="C6" s="5" t="s">
        <v>543</v>
      </c>
      <c r="D6" s="5" t="s">
        <v>460</v>
      </c>
      <c r="E6" s="5" t="s">
        <v>216</v>
      </c>
      <c r="F6" s="5" t="s">
        <v>45</v>
      </c>
      <c r="G6" s="6" t="s">
        <v>273</v>
      </c>
      <c r="H6" s="6" t="s">
        <v>439</v>
      </c>
      <c r="I6" s="7" t="s">
        <v>54</v>
      </c>
      <c r="J6" s="6" t="s">
        <v>54</v>
      </c>
      <c r="K6" s="7" t="s">
        <v>18</v>
      </c>
      <c r="L6" s="7"/>
      <c r="M6" s="8" t="str">
        <f>"185,0"</f>
        <v>185,0</v>
      </c>
      <c r="N6" s="29" t="str">
        <f>"120,5922"</f>
        <v>120,5922</v>
      </c>
    </row>
    <row r="7" spans="1:22" ht="12.75" customHeight="1">
      <c r="A7" s="5" t="s">
        <v>355</v>
      </c>
      <c r="B7" s="15" t="s">
        <v>271</v>
      </c>
      <c r="C7" s="5" t="s">
        <v>544</v>
      </c>
      <c r="D7" s="5" t="s">
        <v>460</v>
      </c>
      <c r="E7" s="5" t="s">
        <v>217</v>
      </c>
      <c r="F7" s="5" t="s">
        <v>45</v>
      </c>
      <c r="G7" s="6" t="s">
        <v>298</v>
      </c>
      <c r="H7" s="6" t="s">
        <v>439</v>
      </c>
      <c r="I7" s="6" t="s">
        <v>137</v>
      </c>
      <c r="J7" s="7" t="s">
        <v>54</v>
      </c>
      <c r="K7" s="7" t="s">
        <v>15</v>
      </c>
      <c r="L7" s="7"/>
      <c r="M7" s="8" t="str">
        <f>"172,5"</f>
        <v>172,5</v>
      </c>
      <c r="N7" s="29" t="str">
        <f>"112,9961"</f>
        <v>112,9961</v>
      </c>
    </row>
    <row r="8" spans="1:22" ht="12.75" customHeight="1">
      <c r="A8" s="5" t="s">
        <v>347</v>
      </c>
      <c r="B8" s="15" t="s">
        <v>271</v>
      </c>
      <c r="C8" s="5" t="s">
        <v>542</v>
      </c>
      <c r="D8" s="5" t="s">
        <v>461</v>
      </c>
      <c r="E8" s="5" t="s">
        <v>215</v>
      </c>
      <c r="F8" s="5" t="s">
        <v>45</v>
      </c>
      <c r="G8" s="6" t="s">
        <v>272</v>
      </c>
      <c r="H8" s="6" t="s">
        <v>453</v>
      </c>
      <c r="I8" s="6" t="s">
        <v>27</v>
      </c>
      <c r="J8" s="6" t="s">
        <v>28</v>
      </c>
      <c r="K8" s="6" t="s">
        <v>35</v>
      </c>
      <c r="L8" s="7"/>
      <c r="M8" s="8" t="str">
        <f>"250,0"</f>
        <v>250,0</v>
      </c>
      <c r="N8" s="29" t="str">
        <f>"178,0093"</f>
        <v>178,0093</v>
      </c>
    </row>
    <row r="9" spans="1:22" ht="12.75" customHeight="1">
      <c r="A9" s="5" t="s">
        <v>348</v>
      </c>
      <c r="B9" s="15" t="s">
        <v>271</v>
      </c>
      <c r="C9" s="5" t="s">
        <v>545</v>
      </c>
      <c r="D9" s="5" t="s">
        <v>462</v>
      </c>
      <c r="E9" s="5" t="s">
        <v>218</v>
      </c>
      <c r="F9" s="5" t="s">
        <v>44</v>
      </c>
      <c r="G9" s="6" t="s">
        <v>272</v>
      </c>
      <c r="H9" s="6" t="s">
        <v>439</v>
      </c>
      <c r="I9" s="6" t="s">
        <v>24</v>
      </c>
      <c r="J9" s="6" t="s">
        <v>60</v>
      </c>
      <c r="K9" s="7" t="s">
        <v>107</v>
      </c>
      <c r="L9" s="7"/>
      <c r="M9" s="8" t="str">
        <f>"280,0"</f>
        <v>280,0</v>
      </c>
      <c r="N9" s="29" t="str">
        <f>"172,2840"</f>
        <v>172,2840</v>
      </c>
    </row>
    <row r="10" spans="1:22" ht="12.75" customHeight="1">
      <c r="A10" s="5" t="s">
        <v>353</v>
      </c>
      <c r="B10" s="15" t="s">
        <v>271</v>
      </c>
      <c r="C10" s="5" t="s">
        <v>546</v>
      </c>
      <c r="D10" s="5" t="s">
        <v>461</v>
      </c>
      <c r="E10" s="5" t="s">
        <v>219</v>
      </c>
      <c r="F10" s="5" t="s">
        <v>44</v>
      </c>
      <c r="G10" s="6" t="s">
        <v>273</v>
      </c>
      <c r="H10" s="6" t="s">
        <v>439</v>
      </c>
      <c r="I10" s="6" t="s">
        <v>27</v>
      </c>
      <c r="J10" s="6" t="s">
        <v>28</v>
      </c>
      <c r="K10" s="7" t="s">
        <v>35</v>
      </c>
      <c r="L10" s="7"/>
      <c r="M10" s="8" t="str">
        <f>"240,0"</f>
        <v>240,0</v>
      </c>
      <c r="N10" s="29" t="str">
        <f>"153,7560"</f>
        <v>153,7560</v>
      </c>
    </row>
    <row r="11" spans="1:22" ht="12.75" customHeight="1">
      <c r="A11" s="5" t="s">
        <v>344</v>
      </c>
      <c r="B11" s="15" t="s">
        <v>271</v>
      </c>
      <c r="C11" s="5" t="s">
        <v>547</v>
      </c>
      <c r="D11" s="5" t="s">
        <v>461</v>
      </c>
      <c r="E11" s="5" t="s">
        <v>220</v>
      </c>
      <c r="F11" s="5" t="s">
        <v>41</v>
      </c>
      <c r="G11" s="6"/>
      <c r="H11" s="6" t="s">
        <v>439</v>
      </c>
      <c r="I11" s="7" t="s">
        <v>28</v>
      </c>
      <c r="J11" s="7" t="s">
        <v>33</v>
      </c>
      <c r="K11" s="7" t="s">
        <v>221</v>
      </c>
      <c r="L11" s="7"/>
      <c r="M11" s="8" t="str">
        <f>"0.00"</f>
        <v>0.00</v>
      </c>
      <c r="N11" s="29"/>
    </row>
    <row r="12" spans="1:22" ht="12.75" customHeight="1">
      <c r="A12" s="5" t="s">
        <v>349</v>
      </c>
      <c r="B12" s="15" t="s">
        <v>271</v>
      </c>
      <c r="C12" s="5" t="s">
        <v>548</v>
      </c>
      <c r="D12" s="5" t="s">
        <v>461</v>
      </c>
      <c r="E12" s="5" t="s">
        <v>202</v>
      </c>
      <c r="F12" s="5" t="s">
        <v>102</v>
      </c>
      <c r="G12" s="6" t="s">
        <v>272</v>
      </c>
      <c r="H12" s="6" t="s">
        <v>439</v>
      </c>
      <c r="I12" s="6" t="s">
        <v>24</v>
      </c>
      <c r="J12" s="6" t="s">
        <v>222</v>
      </c>
      <c r="K12" s="7" t="s">
        <v>107</v>
      </c>
      <c r="L12" s="7"/>
      <c r="M12" s="8" t="str">
        <f>"282,5"</f>
        <v>282,5</v>
      </c>
      <c r="N12" s="29" t="str">
        <f>"158,9486"</f>
        <v>158,9486</v>
      </c>
    </row>
    <row r="13" spans="1:22" ht="12.75" customHeight="1">
      <c r="A13" s="15" t="s">
        <v>354</v>
      </c>
      <c r="B13" s="15" t="s">
        <v>271</v>
      </c>
      <c r="C13" s="15" t="s">
        <v>549</v>
      </c>
      <c r="D13" s="15" t="s">
        <v>463</v>
      </c>
      <c r="E13" s="15" t="s">
        <v>223</v>
      </c>
      <c r="F13" s="15" t="s">
        <v>102</v>
      </c>
      <c r="G13" s="6" t="s">
        <v>273</v>
      </c>
      <c r="H13" s="6" t="s">
        <v>439</v>
      </c>
      <c r="I13" s="15" t="s">
        <v>28</v>
      </c>
      <c r="J13" s="15" t="s">
        <v>33</v>
      </c>
      <c r="K13" s="16" t="s">
        <v>36</v>
      </c>
      <c r="L13" s="16"/>
      <c r="M13" s="17" t="str">
        <f>"255,0"</f>
        <v>255,0</v>
      </c>
      <c r="N13" s="32" t="str">
        <f>"144,5723"</f>
        <v>144,5723</v>
      </c>
      <c r="O13" s="14"/>
      <c r="P13" s="14"/>
      <c r="Q13" s="14"/>
      <c r="R13" s="14"/>
      <c r="S13" s="14"/>
    </row>
    <row r="14" spans="1:22" ht="12.75" customHeight="1">
      <c r="A14" s="5" t="s">
        <v>345</v>
      </c>
      <c r="B14" s="15" t="s">
        <v>271</v>
      </c>
      <c r="C14" s="5" t="s">
        <v>550</v>
      </c>
      <c r="D14" s="5" t="s">
        <v>461</v>
      </c>
      <c r="E14" s="5" t="s">
        <v>224</v>
      </c>
      <c r="F14" s="5" t="s">
        <v>102</v>
      </c>
      <c r="G14" s="6"/>
      <c r="H14" s="6" t="s">
        <v>439</v>
      </c>
      <c r="I14" s="7" t="s">
        <v>24</v>
      </c>
      <c r="J14" s="7" t="s">
        <v>24</v>
      </c>
      <c r="K14" s="7" t="s">
        <v>222</v>
      </c>
      <c r="L14" s="7"/>
      <c r="M14" s="8" t="str">
        <f>"0.00"</f>
        <v>0.00</v>
      </c>
      <c r="N14" s="29"/>
    </row>
    <row r="15" spans="1:22" ht="12.75" customHeight="1">
      <c r="A15" s="5" t="s">
        <v>350</v>
      </c>
      <c r="B15" s="15" t="s">
        <v>271</v>
      </c>
      <c r="C15" s="5" t="s">
        <v>551</v>
      </c>
      <c r="D15" s="5" t="s">
        <v>464</v>
      </c>
      <c r="E15" s="5" t="s">
        <v>225</v>
      </c>
      <c r="F15" s="5" t="s">
        <v>102</v>
      </c>
      <c r="G15" s="6" t="s">
        <v>272</v>
      </c>
      <c r="H15" s="6" t="s">
        <v>451</v>
      </c>
      <c r="I15" s="6" t="s">
        <v>10</v>
      </c>
      <c r="J15" s="6" t="s">
        <v>18</v>
      </c>
      <c r="K15" s="6" t="s">
        <v>55</v>
      </c>
      <c r="L15" s="7"/>
      <c r="M15" s="8" t="str">
        <f>"205,0"</f>
        <v>205,0</v>
      </c>
      <c r="N15" s="29" t="str">
        <f>"133,5925"</f>
        <v>133,5925</v>
      </c>
    </row>
    <row r="16" spans="1:22" ht="12.75" customHeight="1">
      <c r="A16" s="5" t="s">
        <v>351</v>
      </c>
      <c r="B16" s="15" t="s">
        <v>271</v>
      </c>
      <c r="C16" s="5" t="s">
        <v>552</v>
      </c>
      <c r="D16" s="5" t="s">
        <v>461</v>
      </c>
      <c r="E16" s="5" t="s">
        <v>208</v>
      </c>
      <c r="F16" s="5" t="s">
        <v>42</v>
      </c>
      <c r="G16" s="6" t="s">
        <v>272</v>
      </c>
      <c r="H16" s="6" t="s">
        <v>439</v>
      </c>
      <c r="I16" s="6" t="s">
        <v>107</v>
      </c>
      <c r="J16" s="6" t="s">
        <v>226</v>
      </c>
      <c r="K16" s="6" t="s">
        <v>59</v>
      </c>
      <c r="L16" s="7"/>
      <c r="M16" s="8" t="str">
        <f>"330,0"</f>
        <v>330,0</v>
      </c>
      <c r="N16" s="29" t="str">
        <f>"180,0150"</f>
        <v>180,0150</v>
      </c>
    </row>
  </sheetData>
  <mergeCells count="1">
    <mergeCell ref="I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1"/>
  <sheetViews>
    <sheetView workbookViewId="0">
      <selection activeCell="H10" sqref="H10"/>
    </sheetView>
  </sheetViews>
  <sheetFormatPr defaultRowHeight="12.75" customHeight="1"/>
  <cols>
    <col min="1" max="1" width="26" style="3" bestFit="1" customWidth="1"/>
    <col min="2" max="2" width="6" style="3" customWidth="1"/>
    <col min="3" max="3" width="10.140625" style="3" bestFit="1" customWidth="1"/>
    <col min="4" max="4" width="6.5703125" style="3" bestFit="1" customWidth="1"/>
    <col min="5" max="6" width="10" style="3" customWidth="1"/>
    <col min="7" max="7" width="6.85546875" style="2" customWidth="1"/>
    <col min="8" max="8" width="19.5703125" style="2" customWidth="1"/>
    <col min="9" max="11" width="5.5703125" style="2" customWidth="1"/>
    <col min="12" max="12" width="4.85546875" style="2" customWidth="1"/>
    <col min="13" max="13" width="7.85546875" style="4" bestFit="1" customWidth="1"/>
    <col min="14" max="14" width="8.5703125" style="1" bestFit="1" customWidth="1"/>
    <col min="15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1" t="s">
        <v>266</v>
      </c>
      <c r="F1" s="21" t="s">
        <v>436</v>
      </c>
      <c r="G1" s="27" t="s">
        <v>269</v>
      </c>
      <c r="H1" s="18" t="s">
        <v>437</v>
      </c>
      <c r="I1" s="28" t="s">
        <v>456</v>
      </c>
      <c r="J1" s="28"/>
      <c r="K1" s="28"/>
      <c r="L1" s="18"/>
      <c r="M1" s="18" t="s">
        <v>103</v>
      </c>
      <c r="N1" s="18" t="s">
        <v>1</v>
      </c>
      <c r="O1" s="13"/>
      <c r="P1" s="13"/>
      <c r="Q1" s="13"/>
      <c r="R1" s="13"/>
      <c r="S1" s="13"/>
      <c r="T1" s="13"/>
      <c r="U1" s="13"/>
      <c r="V1" s="13"/>
    </row>
    <row r="2" spans="1:22" s="10" customFormat="1" ht="12.75" customHeight="1">
      <c r="A2" s="18"/>
      <c r="B2" s="18"/>
      <c r="C2" s="18"/>
      <c r="D2" s="18"/>
      <c r="E2" s="18"/>
      <c r="F2" s="18"/>
      <c r="G2" s="11"/>
      <c r="H2" s="18"/>
      <c r="I2" s="18">
        <v>1</v>
      </c>
      <c r="J2" s="11">
        <v>2</v>
      </c>
      <c r="K2" s="11">
        <v>3</v>
      </c>
      <c r="L2" s="11" t="s">
        <v>2</v>
      </c>
      <c r="M2" s="11"/>
      <c r="N2" s="11"/>
      <c r="T2" s="13"/>
      <c r="U2" s="13"/>
      <c r="V2" s="13"/>
    </row>
    <row r="3" spans="1:22" ht="12.75" customHeight="1">
      <c r="A3" s="5" t="s">
        <v>343</v>
      </c>
      <c r="B3" s="5" t="s">
        <v>271</v>
      </c>
      <c r="C3" s="5" t="s">
        <v>539</v>
      </c>
      <c r="D3" s="5" t="s">
        <v>464</v>
      </c>
      <c r="E3" s="5" t="s">
        <v>227</v>
      </c>
      <c r="F3" s="5" t="s">
        <v>41</v>
      </c>
      <c r="G3" s="6"/>
      <c r="H3" s="6" t="s">
        <v>444</v>
      </c>
      <c r="I3" s="7" t="s">
        <v>10</v>
      </c>
      <c r="J3" s="7" t="s">
        <v>10</v>
      </c>
      <c r="K3" s="7" t="s">
        <v>10</v>
      </c>
      <c r="L3" s="7"/>
      <c r="M3" s="8" t="str">
        <f>"0.00"</f>
        <v>0.00</v>
      </c>
      <c r="N3" s="9"/>
    </row>
    <row r="4" spans="1:22" ht="12.75" customHeight="1">
      <c r="A4" s="5" t="s">
        <v>457</v>
      </c>
      <c r="B4" s="5" t="s">
        <v>271</v>
      </c>
      <c r="C4" s="5" t="s">
        <v>540</v>
      </c>
      <c r="D4" s="5" t="s">
        <v>464</v>
      </c>
      <c r="E4" s="5" t="s">
        <v>228</v>
      </c>
      <c r="F4" s="5" t="s">
        <v>102</v>
      </c>
      <c r="G4" s="6" t="s">
        <v>272</v>
      </c>
      <c r="H4" s="6" t="s">
        <v>439</v>
      </c>
      <c r="I4" s="7" t="s">
        <v>229</v>
      </c>
      <c r="J4" s="7" t="s">
        <v>229</v>
      </c>
      <c r="K4" s="6" t="s">
        <v>229</v>
      </c>
      <c r="L4" s="7"/>
      <c r="M4" s="8" t="str">
        <f>"242,5"</f>
        <v>242,5</v>
      </c>
      <c r="N4" s="29" t="str">
        <f>"138,8919"</f>
        <v>138,8919</v>
      </c>
    </row>
    <row r="5" spans="1:22" ht="12.75" customHeight="1">
      <c r="A5" s="5" t="s">
        <v>457</v>
      </c>
      <c r="B5" s="5" t="s">
        <v>271</v>
      </c>
      <c r="C5" s="5" t="s">
        <v>540</v>
      </c>
      <c r="D5" s="5" t="s">
        <v>464</v>
      </c>
      <c r="E5" s="5" t="s">
        <v>228</v>
      </c>
      <c r="F5" s="5" t="s">
        <v>102</v>
      </c>
      <c r="G5" s="6" t="s">
        <v>272</v>
      </c>
      <c r="H5" s="6" t="s">
        <v>444</v>
      </c>
      <c r="I5" s="7" t="s">
        <v>229</v>
      </c>
      <c r="J5" s="7" t="s">
        <v>229</v>
      </c>
      <c r="K5" s="6" t="s">
        <v>229</v>
      </c>
      <c r="L5" s="7"/>
      <c r="M5" s="8" t="str">
        <f>"242,5"</f>
        <v>242,5</v>
      </c>
      <c r="N5" s="29" t="str">
        <f>"140,2808"</f>
        <v>140,2808</v>
      </c>
    </row>
    <row r="7" spans="1:22" ht="12.75" customHeight="1">
      <c r="A7" s="14"/>
      <c r="B7" s="14"/>
      <c r="C7" s="14"/>
      <c r="D7" s="14"/>
      <c r="E7" s="14"/>
      <c r="F7" s="14"/>
      <c r="H7" s="14"/>
      <c r="I7" s="14"/>
      <c r="J7" s="14"/>
      <c r="K7" s="14"/>
      <c r="L7" s="14"/>
      <c r="M7" s="12"/>
      <c r="N7" s="12"/>
      <c r="O7" s="14"/>
      <c r="P7" s="14"/>
      <c r="Q7" s="14"/>
      <c r="R7" s="14"/>
      <c r="S7" s="14"/>
    </row>
    <row r="11" spans="1:22" ht="12.75" customHeight="1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2"/>
      <c r="N11" s="12"/>
      <c r="O11" s="14"/>
      <c r="P11" s="14"/>
      <c r="Q11" s="14"/>
      <c r="R11" s="14"/>
      <c r="S11" s="14"/>
    </row>
  </sheetData>
  <mergeCells count="1">
    <mergeCell ref="I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25"/>
  <sheetViews>
    <sheetView workbookViewId="0">
      <selection activeCell="F8" sqref="F8"/>
    </sheetView>
  </sheetViews>
  <sheetFormatPr defaultRowHeight="12.75" customHeight="1"/>
  <cols>
    <col min="1" max="1" width="24" style="3" customWidth="1"/>
    <col min="2" max="2" width="6" style="3" customWidth="1"/>
    <col min="3" max="3" width="10.140625" style="3" bestFit="1" customWidth="1"/>
    <col min="4" max="4" width="16" style="3" bestFit="1" customWidth="1"/>
    <col min="5" max="6" width="8" style="3" customWidth="1"/>
    <col min="7" max="7" width="6.85546875" style="2" customWidth="1"/>
    <col min="8" max="8" width="19.5703125" style="2" customWidth="1"/>
    <col min="9" max="11" width="5.5703125" style="2" customWidth="1"/>
    <col min="12" max="12" width="4.85546875" style="2" customWidth="1"/>
    <col min="13" max="13" width="7.85546875" style="4" bestFit="1" customWidth="1"/>
    <col min="14" max="14" width="8.5703125" style="1" bestFit="1" customWidth="1"/>
    <col min="15" max="16384" width="9.140625" style="2"/>
  </cols>
  <sheetData>
    <row r="1" spans="1:22" s="10" customFormat="1" ht="12.75" customHeight="1">
      <c r="A1" s="18" t="s">
        <v>268</v>
      </c>
      <c r="B1" s="18" t="s">
        <v>267</v>
      </c>
      <c r="C1" s="21" t="s">
        <v>448</v>
      </c>
      <c r="D1" s="18" t="s">
        <v>265</v>
      </c>
      <c r="E1" s="21" t="s">
        <v>266</v>
      </c>
      <c r="F1" s="21" t="s">
        <v>436</v>
      </c>
      <c r="G1" s="27" t="s">
        <v>269</v>
      </c>
      <c r="H1" s="18" t="s">
        <v>437</v>
      </c>
      <c r="I1" s="28" t="s">
        <v>456</v>
      </c>
      <c r="J1" s="28"/>
      <c r="K1" s="28"/>
      <c r="L1" s="18"/>
      <c r="M1" s="18" t="s">
        <v>455</v>
      </c>
      <c r="N1" s="18" t="s">
        <v>1</v>
      </c>
      <c r="O1" s="13"/>
      <c r="P1" s="13"/>
      <c r="Q1" s="13"/>
      <c r="R1" s="13"/>
      <c r="S1" s="13"/>
      <c r="T1" s="13"/>
      <c r="U1" s="13"/>
      <c r="V1" s="13"/>
    </row>
    <row r="2" spans="1:22" s="10" customFormat="1" ht="12.75" customHeight="1">
      <c r="A2" s="18"/>
      <c r="B2" s="18"/>
      <c r="C2" s="18"/>
      <c r="D2" s="18"/>
      <c r="E2" s="18"/>
      <c r="F2" s="18"/>
      <c r="G2" s="11"/>
      <c r="H2" s="18"/>
      <c r="I2" s="18">
        <v>1</v>
      </c>
      <c r="J2" s="11">
        <v>2</v>
      </c>
      <c r="K2" s="11">
        <v>3</v>
      </c>
      <c r="L2" s="11" t="s">
        <v>2</v>
      </c>
      <c r="M2" s="11"/>
      <c r="N2" s="11"/>
      <c r="T2" s="13"/>
      <c r="U2" s="13"/>
      <c r="V2" s="13"/>
    </row>
    <row r="3" spans="1:22" ht="12.75" customHeight="1">
      <c r="A3" s="5" t="s">
        <v>419</v>
      </c>
      <c r="B3" s="5" t="s">
        <v>270</v>
      </c>
      <c r="C3" s="5" t="s">
        <v>610</v>
      </c>
      <c r="D3" s="5" t="s">
        <v>461</v>
      </c>
      <c r="E3" s="5" t="s">
        <v>68</v>
      </c>
      <c r="F3" s="5" t="s">
        <v>62</v>
      </c>
      <c r="G3" s="6" t="s">
        <v>272</v>
      </c>
      <c r="H3" s="6" t="s">
        <v>439</v>
      </c>
      <c r="I3" s="6" t="s">
        <v>14</v>
      </c>
      <c r="J3" s="6" t="s">
        <v>69</v>
      </c>
      <c r="K3" s="7" t="s">
        <v>70</v>
      </c>
      <c r="L3" s="7"/>
      <c r="M3" s="8" t="str">
        <f>"55,0"</f>
        <v>55,0</v>
      </c>
      <c r="N3" s="29" t="str">
        <f>"51,2133"</f>
        <v>51,2133</v>
      </c>
    </row>
    <row r="4" spans="1:22" ht="12.75" customHeight="1">
      <c r="A4" s="5" t="s">
        <v>420</v>
      </c>
      <c r="B4" s="5" t="s">
        <v>270</v>
      </c>
      <c r="C4" s="5" t="s">
        <v>611</v>
      </c>
      <c r="D4" s="5" t="s">
        <v>461</v>
      </c>
      <c r="E4" s="5" t="s">
        <v>71</v>
      </c>
      <c r="F4" s="5" t="s">
        <v>62</v>
      </c>
      <c r="G4" s="6" t="s">
        <v>272</v>
      </c>
      <c r="H4" s="6" t="s">
        <v>449</v>
      </c>
      <c r="I4" s="6" t="s">
        <v>72</v>
      </c>
      <c r="J4" s="6" t="s">
        <v>14</v>
      </c>
      <c r="K4" s="6" t="s">
        <v>73</v>
      </c>
      <c r="L4" s="7"/>
      <c r="M4" s="8" t="str">
        <f>"52,5"</f>
        <v>52,5</v>
      </c>
      <c r="N4" s="29" t="str">
        <f>"61,6307"</f>
        <v>61,6307</v>
      </c>
    </row>
    <row r="5" spans="1:22" ht="12.75" customHeight="1">
      <c r="A5" s="5" t="s">
        <v>287</v>
      </c>
      <c r="B5" s="5" t="s">
        <v>271</v>
      </c>
      <c r="C5" s="5" t="s">
        <v>485</v>
      </c>
      <c r="D5" s="5" t="s">
        <v>461</v>
      </c>
      <c r="E5" s="5" t="s">
        <v>4</v>
      </c>
      <c r="F5" s="5" t="s">
        <v>43</v>
      </c>
      <c r="G5" s="6" t="s">
        <v>272</v>
      </c>
      <c r="H5" s="6" t="s">
        <v>439</v>
      </c>
      <c r="I5" s="6" t="s">
        <v>5</v>
      </c>
      <c r="J5" s="6" t="s">
        <v>6</v>
      </c>
      <c r="K5" s="6" t="s">
        <v>8</v>
      </c>
      <c r="L5" s="7"/>
      <c r="M5" s="8" t="str">
        <f>"145,0"</f>
        <v>145,0</v>
      </c>
      <c r="N5" s="29" t="str">
        <f>"102,9239"</f>
        <v>102,9239</v>
      </c>
    </row>
    <row r="6" spans="1:22" ht="12.75" customHeight="1">
      <c r="A6" s="5" t="s">
        <v>417</v>
      </c>
      <c r="B6" s="5" t="s">
        <v>271</v>
      </c>
      <c r="C6" s="5" t="s">
        <v>612</v>
      </c>
      <c r="D6" s="5" t="s">
        <v>461</v>
      </c>
      <c r="E6" s="5" t="s">
        <v>74</v>
      </c>
      <c r="F6" s="5" t="s">
        <v>43</v>
      </c>
      <c r="G6" s="6"/>
      <c r="H6" s="6" t="s">
        <v>439</v>
      </c>
      <c r="I6" s="7" t="s">
        <v>13</v>
      </c>
      <c r="J6" s="7" t="s">
        <v>13</v>
      </c>
      <c r="K6" s="7" t="s">
        <v>13</v>
      </c>
      <c r="L6" s="7"/>
      <c r="M6" s="8" t="str">
        <f>"0.00"</f>
        <v>0.00</v>
      </c>
      <c r="N6" s="29" t="str">
        <f>"0,0000"</f>
        <v>0,0000</v>
      </c>
    </row>
    <row r="7" spans="1:22" ht="12.75" customHeight="1">
      <c r="A7" s="15" t="s">
        <v>421</v>
      </c>
      <c r="B7" s="5" t="s">
        <v>271</v>
      </c>
      <c r="C7" s="15" t="s">
        <v>613</v>
      </c>
      <c r="D7" s="15" t="s">
        <v>467</v>
      </c>
      <c r="E7" s="15" t="s">
        <v>75</v>
      </c>
      <c r="F7" s="15" t="s">
        <v>43</v>
      </c>
      <c r="G7" s="6" t="s">
        <v>272</v>
      </c>
      <c r="H7" s="6" t="s">
        <v>458</v>
      </c>
      <c r="I7" s="15" t="s">
        <v>14</v>
      </c>
      <c r="J7" s="15" t="s">
        <v>69</v>
      </c>
      <c r="K7" s="16" t="s">
        <v>76</v>
      </c>
      <c r="L7" s="16"/>
      <c r="M7" s="17" t="str">
        <f>"55,0"</f>
        <v>55,0</v>
      </c>
      <c r="N7" s="32" t="str">
        <f>"78,3173"</f>
        <v>78,3173</v>
      </c>
      <c r="O7" s="14"/>
      <c r="P7" s="14"/>
      <c r="Q7" s="14"/>
      <c r="R7" s="14"/>
      <c r="S7" s="14"/>
    </row>
    <row r="8" spans="1:22" ht="12.75" customHeight="1">
      <c r="A8" s="5" t="s">
        <v>422</v>
      </c>
      <c r="B8" s="5" t="s">
        <v>271</v>
      </c>
      <c r="C8" s="5" t="s">
        <v>614</v>
      </c>
      <c r="D8" s="5" t="s">
        <v>463</v>
      </c>
      <c r="E8" s="5" t="s">
        <v>183</v>
      </c>
      <c r="F8" s="5" t="s">
        <v>45</v>
      </c>
      <c r="G8" s="6" t="s">
        <v>272</v>
      </c>
      <c r="H8" s="6" t="s">
        <v>439</v>
      </c>
      <c r="I8" s="6" t="s">
        <v>12</v>
      </c>
      <c r="J8" s="7" t="s">
        <v>263</v>
      </c>
      <c r="K8" s="7" t="s">
        <v>30</v>
      </c>
      <c r="L8" s="7"/>
      <c r="M8" s="8" t="s">
        <v>261</v>
      </c>
      <c r="N8" s="29" t="s">
        <v>262</v>
      </c>
    </row>
    <row r="9" spans="1:22" ht="12.75" customHeight="1">
      <c r="A9" s="15" t="s">
        <v>422</v>
      </c>
      <c r="B9" s="5" t="s">
        <v>271</v>
      </c>
      <c r="C9" s="15" t="s">
        <v>614</v>
      </c>
      <c r="D9" s="15" t="s">
        <v>463</v>
      </c>
      <c r="E9" s="15" t="s">
        <v>183</v>
      </c>
      <c r="F9" s="15" t="s">
        <v>45</v>
      </c>
      <c r="G9" s="6" t="s">
        <v>272</v>
      </c>
      <c r="H9" s="6" t="s">
        <v>453</v>
      </c>
      <c r="I9" s="15" t="s">
        <v>12</v>
      </c>
      <c r="J9" s="16" t="s">
        <v>263</v>
      </c>
      <c r="K9" s="16" t="s">
        <v>30</v>
      </c>
      <c r="L9" s="16"/>
      <c r="M9" s="17" t="s">
        <v>261</v>
      </c>
      <c r="N9" s="32" t="s">
        <v>264</v>
      </c>
      <c r="O9" s="14"/>
      <c r="P9" s="14"/>
      <c r="Q9" s="14"/>
      <c r="R9" s="14"/>
      <c r="S9" s="14"/>
    </row>
    <row r="10" spans="1:22" ht="12.75" customHeight="1">
      <c r="A10" s="5" t="s">
        <v>423</v>
      </c>
      <c r="B10" s="5" t="s">
        <v>271</v>
      </c>
      <c r="C10" s="5" t="s">
        <v>615</v>
      </c>
      <c r="D10" s="5" t="s">
        <v>466</v>
      </c>
      <c r="E10" s="5" t="s">
        <v>78</v>
      </c>
      <c r="F10" s="5" t="s">
        <v>44</v>
      </c>
      <c r="G10" s="6" t="s">
        <v>272</v>
      </c>
      <c r="H10" s="6" t="s">
        <v>439</v>
      </c>
      <c r="I10" s="6" t="s">
        <v>54</v>
      </c>
      <c r="J10" s="6" t="s">
        <v>79</v>
      </c>
      <c r="K10" s="7" t="s">
        <v>80</v>
      </c>
      <c r="L10" s="7"/>
      <c r="M10" s="8" t="str">
        <f>"192,5"</f>
        <v>192,5</v>
      </c>
      <c r="N10" s="29" t="str">
        <f>"119,2489"</f>
        <v>119,2489</v>
      </c>
    </row>
    <row r="11" spans="1:22" ht="12.75" customHeight="1">
      <c r="A11" s="5" t="s">
        <v>432</v>
      </c>
      <c r="B11" s="5" t="s">
        <v>271</v>
      </c>
      <c r="C11" s="5" t="s">
        <v>616</v>
      </c>
      <c r="D11" s="5" t="s">
        <v>461</v>
      </c>
      <c r="E11" s="5" t="s">
        <v>81</v>
      </c>
      <c r="F11" s="5" t="s">
        <v>44</v>
      </c>
      <c r="G11" s="6" t="s">
        <v>273</v>
      </c>
      <c r="H11" s="6" t="s">
        <v>439</v>
      </c>
      <c r="I11" s="6" t="s">
        <v>5</v>
      </c>
      <c r="J11" s="7" t="s">
        <v>6</v>
      </c>
      <c r="K11" s="7" t="s">
        <v>6</v>
      </c>
      <c r="L11" s="7"/>
      <c r="M11" s="8" t="str">
        <f>"130,0"</f>
        <v>130,0</v>
      </c>
      <c r="N11" s="29" t="str">
        <f>"80,6130"</f>
        <v>80,6130</v>
      </c>
    </row>
    <row r="12" spans="1:22" ht="12.75" customHeight="1">
      <c r="A12" s="15" t="s">
        <v>424</v>
      </c>
      <c r="B12" s="5" t="s">
        <v>271</v>
      </c>
      <c r="C12" s="15" t="s">
        <v>617</v>
      </c>
      <c r="D12" s="15" t="s">
        <v>470</v>
      </c>
      <c r="E12" s="15" t="s">
        <v>82</v>
      </c>
      <c r="F12" s="15" t="s">
        <v>44</v>
      </c>
      <c r="G12" s="6" t="s">
        <v>272</v>
      </c>
      <c r="H12" s="6" t="s">
        <v>453</v>
      </c>
      <c r="I12" s="15" t="s">
        <v>83</v>
      </c>
      <c r="J12" s="15" t="s">
        <v>51</v>
      </c>
      <c r="K12" s="16" t="s">
        <v>84</v>
      </c>
      <c r="L12" s="16"/>
      <c r="M12" s="17" t="str">
        <f>"115,0"</f>
        <v>115,0</v>
      </c>
      <c r="N12" s="32" t="str">
        <f>"75,2579"</f>
        <v>75,2579</v>
      </c>
      <c r="O12" s="14"/>
      <c r="P12" s="14"/>
      <c r="Q12" s="14"/>
      <c r="R12" s="14"/>
      <c r="S12" s="14"/>
    </row>
    <row r="13" spans="1:22" ht="12.75" customHeight="1">
      <c r="A13" s="15" t="s">
        <v>425</v>
      </c>
      <c r="B13" s="5" t="s">
        <v>271</v>
      </c>
      <c r="C13" s="15" t="s">
        <v>618</v>
      </c>
      <c r="D13" s="15" t="s">
        <v>461</v>
      </c>
      <c r="E13" s="15" t="s">
        <v>85</v>
      </c>
      <c r="F13" s="15" t="s">
        <v>41</v>
      </c>
      <c r="G13" s="6" t="s">
        <v>272</v>
      </c>
      <c r="H13" s="6" t="s">
        <v>441</v>
      </c>
      <c r="I13" s="15" t="s">
        <v>18</v>
      </c>
      <c r="J13" s="16" t="s">
        <v>86</v>
      </c>
      <c r="K13" s="16" t="s">
        <v>86</v>
      </c>
      <c r="L13" s="16"/>
      <c r="M13" s="17" t="str">
        <f>"200,0"</f>
        <v>200,0</v>
      </c>
      <c r="N13" s="32" t="str">
        <f>"116,7600"</f>
        <v>116,7600</v>
      </c>
      <c r="O13" s="14"/>
      <c r="P13" s="14"/>
      <c r="Q13" s="14"/>
      <c r="R13" s="14"/>
      <c r="S13" s="14"/>
    </row>
    <row r="14" spans="1:22" ht="12.75" customHeight="1">
      <c r="A14" s="5" t="s">
        <v>433</v>
      </c>
      <c r="B14" s="5" t="s">
        <v>271</v>
      </c>
      <c r="C14" s="5" t="s">
        <v>619</v>
      </c>
      <c r="D14" s="5" t="s">
        <v>461</v>
      </c>
      <c r="E14" s="5" t="s">
        <v>87</v>
      </c>
      <c r="F14" s="5" t="s">
        <v>41</v>
      </c>
      <c r="G14" s="6" t="s">
        <v>273</v>
      </c>
      <c r="H14" s="6" t="s">
        <v>441</v>
      </c>
      <c r="I14" s="6" t="s">
        <v>10</v>
      </c>
      <c r="J14" s="6" t="s">
        <v>15</v>
      </c>
      <c r="K14" s="7" t="s">
        <v>16</v>
      </c>
      <c r="L14" s="7"/>
      <c r="M14" s="8" t="str">
        <f>"190,0"</f>
        <v>190,0</v>
      </c>
      <c r="N14" s="29" t="str">
        <f>"111,5205"</f>
        <v>111,5205</v>
      </c>
    </row>
    <row r="15" spans="1:22" ht="12.75" customHeight="1">
      <c r="A15" s="5" t="s">
        <v>435</v>
      </c>
      <c r="B15" s="5" t="s">
        <v>271</v>
      </c>
      <c r="C15" s="5" t="s">
        <v>620</v>
      </c>
      <c r="D15" s="5" t="s">
        <v>471</v>
      </c>
      <c r="E15" s="5" t="s">
        <v>88</v>
      </c>
      <c r="F15" s="15" t="s">
        <v>41</v>
      </c>
      <c r="G15" s="6" t="s">
        <v>298</v>
      </c>
      <c r="H15" s="6" t="s">
        <v>441</v>
      </c>
      <c r="I15" s="6" t="s">
        <v>30</v>
      </c>
      <c r="J15" s="7" t="s">
        <v>89</v>
      </c>
      <c r="K15" s="7" t="s">
        <v>297</v>
      </c>
      <c r="L15" s="7"/>
      <c r="M15" s="8" t="str">
        <f>"162,5"</f>
        <v>162,5</v>
      </c>
      <c r="N15" s="29" t="str">
        <f>"96,4356"</f>
        <v>96,4356</v>
      </c>
    </row>
    <row r="16" spans="1:22" ht="12.75" customHeight="1">
      <c r="A16" s="15" t="s">
        <v>426</v>
      </c>
      <c r="B16" s="5" t="s">
        <v>271</v>
      </c>
      <c r="C16" s="15" t="s">
        <v>621</v>
      </c>
      <c r="D16" s="15" t="s">
        <v>461</v>
      </c>
      <c r="E16" s="15" t="s">
        <v>90</v>
      </c>
      <c r="F16" s="5" t="s">
        <v>41</v>
      </c>
      <c r="G16" s="6" t="s">
        <v>272</v>
      </c>
      <c r="H16" s="6" t="s">
        <v>439</v>
      </c>
      <c r="I16" s="15" t="s">
        <v>83</v>
      </c>
      <c r="J16" s="15" t="s">
        <v>15</v>
      </c>
      <c r="K16" s="15" t="s">
        <v>18</v>
      </c>
      <c r="L16" s="16"/>
      <c r="M16" s="17" t="str">
        <f>"200,0"</f>
        <v>200,0</v>
      </c>
      <c r="N16" s="32" t="str">
        <f>"117,7700"</f>
        <v>117,7700</v>
      </c>
      <c r="O16" s="14"/>
      <c r="P16" s="14"/>
      <c r="Q16" s="14"/>
      <c r="R16" s="14"/>
      <c r="S16" s="14"/>
    </row>
    <row r="17" spans="1:14" ht="12.75" customHeight="1">
      <c r="A17" s="5" t="s">
        <v>434</v>
      </c>
      <c r="B17" s="5" t="s">
        <v>271</v>
      </c>
      <c r="C17" s="5" t="s">
        <v>622</v>
      </c>
      <c r="D17" s="5" t="s">
        <v>461</v>
      </c>
      <c r="E17" s="5" t="s">
        <v>91</v>
      </c>
      <c r="F17" s="15" t="s">
        <v>41</v>
      </c>
      <c r="G17" s="6" t="s">
        <v>273</v>
      </c>
      <c r="H17" s="6" t="s">
        <v>439</v>
      </c>
      <c r="I17" s="6" t="s">
        <v>15</v>
      </c>
      <c r="J17" s="7" t="s">
        <v>79</v>
      </c>
      <c r="K17" s="6" t="s">
        <v>79</v>
      </c>
      <c r="L17" s="7"/>
      <c r="M17" s="8" t="str">
        <f>"192,5"</f>
        <v>192,5</v>
      </c>
      <c r="N17" s="29" t="str">
        <f>"112,9012"</f>
        <v>112,9012</v>
      </c>
    </row>
    <row r="18" spans="1:14" ht="12.75" customHeight="1">
      <c r="A18" s="5" t="s">
        <v>418</v>
      </c>
      <c r="B18" s="5" t="s">
        <v>271</v>
      </c>
      <c r="C18" s="5" t="s">
        <v>623</v>
      </c>
      <c r="D18" s="5" t="s">
        <v>463</v>
      </c>
      <c r="E18" s="5" t="s">
        <v>92</v>
      </c>
      <c r="F18" s="5" t="s">
        <v>41</v>
      </c>
      <c r="G18" s="6"/>
      <c r="H18" s="6" t="s">
        <v>439</v>
      </c>
      <c r="I18" s="7" t="s">
        <v>93</v>
      </c>
      <c r="J18" s="7" t="s">
        <v>93</v>
      </c>
      <c r="K18" s="7" t="s">
        <v>297</v>
      </c>
      <c r="L18" s="7"/>
      <c r="M18" s="8" t="str">
        <f>"0.00"</f>
        <v>0.00</v>
      </c>
      <c r="N18" s="29"/>
    </row>
    <row r="19" spans="1:14" ht="12.75" customHeight="1">
      <c r="A19" s="5" t="s">
        <v>342</v>
      </c>
      <c r="B19" s="5" t="s">
        <v>271</v>
      </c>
      <c r="C19" s="5" t="s">
        <v>538</v>
      </c>
      <c r="D19" s="5" t="s">
        <v>461</v>
      </c>
      <c r="E19" s="5" t="s">
        <v>94</v>
      </c>
      <c r="F19" s="15" t="s">
        <v>41</v>
      </c>
      <c r="G19" s="6" t="s">
        <v>272</v>
      </c>
      <c r="H19" s="6" t="s">
        <v>444</v>
      </c>
      <c r="I19" s="7" t="s">
        <v>6</v>
      </c>
      <c r="J19" s="6" t="s">
        <v>13</v>
      </c>
      <c r="K19" s="7" t="s">
        <v>93</v>
      </c>
      <c r="L19" s="7"/>
      <c r="M19" s="8" t="str">
        <f>"155,0"</f>
        <v>155,0</v>
      </c>
      <c r="N19" s="29" t="str">
        <f>"93,5419"</f>
        <v>93,5419</v>
      </c>
    </row>
    <row r="20" spans="1:14" ht="12.75" customHeight="1">
      <c r="A20" s="5" t="s">
        <v>427</v>
      </c>
      <c r="B20" s="5" t="s">
        <v>271</v>
      </c>
      <c r="C20" s="5" t="s">
        <v>624</v>
      </c>
      <c r="D20" s="5" t="s">
        <v>461</v>
      </c>
      <c r="E20" s="5" t="s">
        <v>95</v>
      </c>
      <c r="F20" s="5" t="s">
        <v>102</v>
      </c>
      <c r="G20" s="6" t="s">
        <v>272</v>
      </c>
      <c r="H20" s="6" t="s">
        <v>451</v>
      </c>
      <c r="I20" s="6" t="s">
        <v>10</v>
      </c>
      <c r="J20" s="6" t="s">
        <v>15</v>
      </c>
      <c r="K20" s="7" t="s">
        <v>16</v>
      </c>
      <c r="L20" s="7"/>
      <c r="M20" s="8" t="str">
        <f>"190,0"</f>
        <v>190,0</v>
      </c>
      <c r="N20" s="29" t="str">
        <f>"128,0233"</f>
        <v>128,0233</v>
      </c>
    </row>
    <row r="21" spans="1:14" ht="12.75" customHeight="1">
      <c r="A21" s="5" t="s">
        <v>428</v>
      </c>
      <c r="B21" s="5" t="s">
        <v>271</v>
      </c>
      <c r="C21" s="5" t="s">
        <v>625</v>
      </c>
      <c r="D21" s="5" t="s">
        <v>461</v>
      </c>
      <c r="E21" s="5" t="s">
        <v>96</v>
      </c>
      <c r="F21" s="5" t="s">
        <v>42</v>
      </c>
      <c r="G21" s="6" t="s">
        <v>272</v>
      </c>
      <c r="H21" s="6" t="s">
        <v>439</v>
      </c>
      <c r="I21" s="6" t="s">
        <v>27</v>
      </c>
      <c r="J21" s="6" t="s">
        <v>28</v>
      </c>
      <c r="K21" s="7" t="s">
        <v>35</v>
      </c>
      <c r="L21" s="7"/>
      <c r="M21" s="8" t="str">
        <f>"240,0"</f>
        <v>240,0</v>
      </c>
      <c r="N21" s="29" t="str">
        <f>"130,8960"</f>
        <v>130,8960</v>
      </c>
    </row>
    <row r="22" spans="1:14" ht="12.75" customHeight="1">
      <c r="A22" s="5" t="s">
        <v>429</v>
      </c>
      <c r="B22" s="5" t="s">
        <v>271</v>
      </c>
      <c r="C22" s="5" t="s">
        <v>626</v>
      </c>
      <c r="D22" s="5" t="s">
        <v>461</v>
      </c>
      <c r="E22" s="5" t="s">
        <v>97</v>
      </c>
      <c r="F22" s="5" t="s">
        <v>42</v>
      </c>
      <c r="G22" s="6" t="s">
        <v>272</v>
      </c>
      <c r="H22" s="6" t="s">
        <v>451</v>
      </c>
      <c r="I22" s="6" t="s">
        <v>54</v>
      </c>
      <c r="J22" s="6" t="s">
        <v>16</v>
      </c>
      <c r="K22" s="7" t="s">
        <v>18</v>
      </c>
      <c r="L22" s="7"/>
      <c r="M22" s="8" t="str">
        <f>"195,0"</f>
        <v>195,0</v>
      </c>
      <c r="N22" s="29" t="str">
        <f>"122,3336"</f>
        <v>122,3336</v>
      </c>
    </row>
    <row r="23" spans="1:14" ht="12.75" customHeight="1">
      <c r="A23" s="5" t="s">
        <v>430</v>
      </c>
      <c r="B23" s="5" t="s">
        <v>271</v>
      </c>
      <c r="C23" s="5" t="s">
        <v>627</v>
      </c>
      <c r="D23" s="5" t="s">
        <v>461</v>
      </c>
      <c r="E23" s="5" t="s">
        <v>98</v>
      </c>
      <c r="F23" s="5" t="s">
        <v>61</v>
      </c>
      <c r="G23" s="6" t="s">
        <v>272</v>
      </c>
      <c r="H23" s="6" t="s">
        <v>439</v>
      </c>
      <c r="I23" s="6" t="s">
        <v>9</v>
      </c>
      <c r="J23" s="6" t="s">
        <v>31</v>
      </c>
      <c r="K23" s="7" t="s">
        <v>10</v>
      </c>
      <c r="L23" s="7"/>
      <c r="M23" s="8" t="str">
        <f>"170,0"</f>
        <v>170,0</v>
      </c>
      <c r="N23" s="29" t="str">
        <f>"91,6657"</f>
        <v>91,6657</v>
      </c>
    </row>
    <row r="24" spans="1:14" ht="12.75" customHeight="1">
      <c r="A24" s="5" t="s">
        <v>430</v>
      </c>
      <c r="B24" s="5" t="s">
        <v>271</v>
      </c>
      <c r="C24" s="5" t="s">
        <v>627</v>
      </c>
      <c r="D24" s="5" t="s">
        <v>461</v>
      </c>
      <c r="E24" s="5" t="s">
        <v>98</v>
      </c>
      <c r="F24" s="5" t="s">
        <v>61</v>
      </c>
      <c r="G24" s="6" t="s">
        <v>272</v>
      </c>
      <c r="H24" s="6" t="s">
        <v>451</v>
      </c>
      <c r="I24" s="6" t="s">
        <v>9</v>
      </c>
      <c r="J24" s="6" t="s">
        <v>31</v>
      </c>
      <c r="K24" s="7" t="s">
        <v>10</v>
      </c>
      <c r="L24" s="7"/>
      <c r="M24" s="8" t="str">
        <f>"170,0"</f>
        <v>170,0</v>
      </c>
      <c r="N24" s="29" t="str">
        <f>"103,5822"</f>
        <v>103,5822</v>
      </c>
    </row>
    <row r="25" spans="1:14" ht="12.75" customHeight="1">
      <c r="A25" s="5" t="s">
        <v>431</v>
      </c>
      <c r="B25" s="5" t="s">
        <v>271</v>
      </c>
      <c r="C25" s="5" t="s">
        <v>628</v>
      </c>
      <c r="D25" s="5" t="s">
        <v>461</v>
      </c>
      <c r="E25" s="5" t="s">
        <v>99</v>
      </c>
      <c r="F25" s="5" t="s">
        <v>101</v>
      </c>
      <c r="G25" s="6" t="s">
        <v>272</v>
      </c>
      <c r="H25" s="6" t="s">
        <v>439</v>
      </c>
      <c r="I25" s="6" t="s">
        <v>20</v>
      </c>
      <c r="J25" s="6" t="s">
        <v>100</v>
      </c>
      <c r="K25" s="7" t="s">
        <v>23</v>
      </c>
      <c r="L25" s="7"/>
      <c r="M25" s="8" t="str">
        <f>"235,0"</f>
        <v>235,0</v>
      </c>
      <c r="N25" s="29" t="str">
        <f>"120,6765"</f>
        <v>120,6765</v>
      </c>
    </row>
  </sheetData>
  <mergeCells count="1">
    <mergeCell ref="I1:K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AWPC б_э ПЛ</vt:lpstr>
      <vt:lpstr>AWPC Класс. ПЛ</vt:lpstr>
      <vt:lpstr>WPC б_э ПЛ</vt:lpstr>
      <vt:lpstr>WPC класс. ПЛ</vt:lpstr>
      <vt:lpstr>WPC 1 слой ПЛ</vt:lpstr>
      <vt:lpstr>AWPC б_э жим</vt:lpstr>
      <vt:lpstr>AWPC ст. софт эк. жим</vt:lpstr>
      <vt:lpstr>AWPC мн. софт эк. жим</vt:lpstr>
      <vt:lpstr>WPC б_э жим</vt:lpstr>
      <vt:lpstr>WPC ст. софт эк. жим</vt:lpstr>
      <vt:lpstr>AWPC б_э тяга</vt:lpstr>
      <vt:lpstr>WPC 1 слой тяга</vt:lpstr>
      <vt:lpstr>WPC б_э тяга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 Kravtsov</cp:lastModifiedBy>
  <cp:lastPrinted>2015-07-16T19:10:53Z</cp:lastPrinted>
  <dcterms:created xsi:type="dcterms:W3CDTF">2002-06-16T13:36:44Z</dcterms:created>
  <dcterms:modified xsi:type="dcterms:W3CDTF">2021-05-05T01:51:31Z</dcterms:modified>
</cp:coreProperties>
</file>