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B598E8EB-002B-094D-8F3B-CDE9D9BDB56B}" xr6:coauthVersionLast="45" xr6:coauthVersionMax="45" xr10:uidLastSave="{00000000-0000-0000-0000-000000000000}"/>
  <bookViews>
    <workbookView xWindow="1160" yWindow="460" windowWidth="28320" windowHeight="16060" firstSheet="3" activeTab="8" xr2:uid="{00000000-000D-0000-FFFF-FFFF00000000}"/>
  </bookViews>
  <sheets>
    <sheet name="Жим без экипировки ДК" sheetId="40" r:id="rId1"/>
    <sheet name="Жим без экипировки" sheetId="39" r:id="rId2"/>
    <sheet name="СПР Жим софт однопетельная ДК" sheetId="46" r:id="rId3"/>
    <sheet name="СПР Жим софт однопетельная" sheetId="45" r:id="rId4"/>
    <sheet name="Тяга без экипировки ДК" sheetId="42" r:id="rId5"/>
    <sheet name="Тяга без экипировки" sheetId="41" r:id="rId6"/>
    <sheet name="СПР Пауэрспорт ДК" sheetId="54" r:id="rId7"/>
    <sheet name="СПР Жим стоя ДК" sheetId="50" r:id="rId8"/>
    <sheet name="СПР Подъем на бицепс ДК" sheetId="52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0" l="1"/>
  <c r="E8" i="40"/>
  <c r="E11" i="40"/>
  <c r="E12" i="40"/>
  <c r="E15" i="40"/>
  <c r="E16" i="40"/>
  <c r="E17" i="40"/>
  <c r="E18" i="40"/>
  <c r="E21" i="40"/>
  <c r="E22" i="40"/>
  <c r="E23" i="40"/>
  <c r="E26" i="40"/>
  <c r="E29" i="40"/>
  <c r="M6" i="40"/>
  <c r="M12" i="45"/>
  <c r="L12" i="45"/>
  <c r="E12" i="45"/>
  <c r="M8" i="50"/>
  <c r="M6" i="50"/>
  <c r="E8" i="50"/>
  <c r="M12" i="39"/>
  <c r="E12" i="39"/>
  <c r="E6" i="39"/>
  <c r="P6" i="54" l="1"/>
  <c r="O6" i="54"/>
  <c r="L12" i="52"/>
  <c r="K12" i="52"/>
  <c r="L9" i="52"/>
  <c r="K9" i="52"/>
  <c r="L6" i="52"/>
  <c r="K6" i="52"/>
  <c r="L6" i="50"/>
  <c r="E6" i="50"/>
  <c r="L12" i="46"/>
  <c r="K12" i="46"/>
  <c r="L9" i="46"/>
  <c r="K9" i="46"/>
  <c r="L6" i="46"/>
  <c r="K6" i="46"/>
  <c r="M13" i="45"/>
  <c r="L13" i="45"/>
  <c r="E13" i="45"/>
  <c r="M9" i="45"/>
  <c r="L9" i="45"/>
  <c r="E9" i="45"/>
  <c r="M6" i="45"/>
  <c r="L6" i="45"/>
  <c r="E6" i="45"/>
  <c r="L13" i="42"/>
  <c r="K13" i="42"/>
  <c r="L10" i="42"/>
  <c r="K10" i="42"/>
  <c r="L9" i="42"/>
  <c r="K9" i="42"/>
  <c r="L6" i="42"/>
  <c r="K6" i="42"/>
  <c r="L6" i="41"/>
  <c r="K6" i="41"/>
  <c r="M29" i="40"/>
  <c r="L29" i="40"/>
  <c r="M26" i="40"/>
  <c r="L26" i="40"/>
  <c r="M22" i="40"/>
  <c r="L22" i="40"/>
  <c r="M21" i="40"/>
  <c r="L21" i="40"/>
  <c r="M18" i="40"/>
  <c r="L18" i="40"/>
  <c r="M17" i="40"/>
  <c r="L17" i="40"/>
  <c r="M16" i="40"/>
  <c r="L16" i="40"/>
  <c r="M15" i="40"/>
  <c r="L15" i="40"/>
  <c r="M12" i="40"/>
  <c r="L12" i="40"/>
  <c r="M11" i="40"/>
  <c r="L11" i="40"/>
  <c r="M8" i="40"/>
  <c r="L8" i="40"/>
  <c r="M21" i="39"/>
  <c r="E21" i="39"/>
  <c r="M18" i="39"/>
  <c r="L18" i="39"/>
  <c r="E18" i="39"/>
  <c r="M17" i="39"/>
  <c r="L17" i="39"/>
  <c r="E17" i="39"/>
  <c r="M14" i="39"/>
  <c r="L14" i="39"/>
  <c r="E14" i="39"/>
  <c r="M11" i="39"/>
  <c r="L11" i="39"/>
  <c r="E11" i="39"/>
  <c r="M8" i="39"/>
  <c r="L8" i="39"/>
  <c r="E8" i="39"/>
</calcChain>
</file>

<file path=xl/sharedStrings.xml><?xml version="1.0" encoding="utf-8"?>
<sst xmlns="http://schemas.openxmlformats.org/spreadsheetml/2006/main" count="561" uniqueCount="259">
  <si>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</si>
  <si>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</si>
  <si>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</si>
  <si>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</si>
  <si>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</si>
  <si>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</si>
  <si>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</si>
  <si>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</si>
  <si>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Результат</t>
  </si>
  <si>
    <t/>
  </si>
  <si>
    <t>Gloss</t>
  </si>
  <si>
    <t>ВЕСОВАЯ КАТЕГОРИЯ   75</t>
  </si>
  <si>
    <t>Сергеева Виктория</t>
  </si>
  <si>
    <t>Открытая (08.12.1982)/38</t>
  </si>
  <si>
    <t>64,00</t>
  </si>
  <si>
    <t xml:space="preserve">Коломыцев М.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</si>
  <si>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</si>
  <si>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</si>
  <si>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</si>
  <si>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</si>
  <si>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 xml:space="preserve">Gloss </t>
  </si>
  <si>
    <t>1</t>
  </si>
  <si>
    <t xml:space="preserve">Москва </t>
  </si>
  <si>
    <t>70,0</t>
  </si>
  <si>
    <t>80,0</t>
  </si>
  <si>
    <t>30,0</t>
  </si>
  <si>
    <t>60,0</t>
  </si>
  <si>
    <t>82,5</t>
  </si>
  <si>
    <t>50,0</t>
  </si>
  <si>
    <t xml:space="preserve">Мужчины </t>
  </si>
  <si>
    <t>Жим лёжа</t>
  </si>
  <si>
    <t>ВЕСОВАЯ КАТЕГОРИЯ   90</t>
  </si>
  <si>
    <t>Аскеров Шамиль</t>
  </si>
  <si>
    <t>Открытая (01.04.1989)/32</t>
  </si>
  <si>
    <t>90,00</t>
  </si>
  <si>
    <t>155,0</t>
  </si>
  <si>
    <t>160,0</t>
  </si>
  <si>
    <t>90</t>
  </si>
  <si>
    <t>Липко Анфиса</t>
  </si>
  <si>
    <t>Юниорки (25.05.2002)/18</t>
  </si>
  <si>
    <t>63,00</t>
  </si>
  <si>
    <t>65,0</t>
  </si>
  <si>
    <t>67,5</t>
  </si>
  <si>
    <t>75,0</t>
  </si>
  <si>
    <t>35,0</t>
  </si>
  <si>
    <t>Терещенков Александр</t>
  </si>
  <si>
    <t>Открытая (17.11.1988)/32</t>
  </si>
  <si>
    <t>89,10</t>
  </si>
  <si>
    <t xml:space="preserve">Обнинск/Калужская область </t>
  </si>
  <si>
    <t>145,0</t>
  </si>
  <si>
    <t>147,5</t>
  </si>
  <si>
    <t>150,0</t>
  </si>
  <si>
    <t>45,0</t>
  </si>
  <si>
    <t>ВЕСОВАЯ КАТЕГОРИЯ   60</t>
  </si>
  <si>
    <t>Еремина Ирина</t>
  </si>
  <si>
    <t>59,20</t>
  </si>
  <si>
    <t xml:space="preserve">Коломна/Московская область </t>
  </si>
  <si>
    <t>52,5</t>
  </si>
  <si>
    <t>57,5</t>
  </si>
  <si>
    <t>Салун Алексей</t>
  </si>
  <si>
    <t>Открытая (13.05.1981)/39</t>
  </si>
  <si>
    <t>86,40</t>
  </si>
  <si>
    <t>115,0</t>
  </si>
  <si>
    <t>125,0</t>
  </si>
  <si>
    <t>97,5</t>
  </si>
  <si>
    <t>-</t>
  </si>
  <si>
    <t>Самитов Александр</t>
  </si>
  <si>
    <t>111,90</t>
  </si>
  <si>
    <t>270,0</t>
  </si>
  <si>
    <t>275,0</t>
  </si>
  <si>
    <t>280,0</t>
  </si>
  <si>
    <t>Жим стоя</t>
  </si>
  <si>
    <t>ВЕСОВАЯ КАТЕГОРИЯ   110</t>
  </si>
  <si>
    <t>Широков Никита</t>
  </si>
  <si>
    <t>Открытая (24.12.1989)/31</t>
  </si>
  <si>
    <t>102,90</t>
  </si>
  <si>
    <t xml:space="preserve">Жуковский/Московская область </t>
  </si>
  <si>
    <t>100,0</t>
  </si>
  <si>
    <t>105,0</t>
  </si>
  <si>
    <t>110,0</t>
  </si>
  <si>
    <t>55,0</t>
  </si>
  <si>
    <t>2</t>
  </si>
  <si>
    <t>ВЕСОВАЯ КАТЕГОРИЯ   82.5</t>
  </si>
  <si>
    <t>82.5</t>
  </si>
  <si>
    <t>165,0</t>
  </si>
  <si>
    <t>Веригин Борис</t>
  </si>
  <si>
    <t>Открытая (15.08.1989)/31</t>
  </si>
  <si>
    <t>74,40</t>
  </si>
  <si>
    <t>225,0</t>
  </si>
  <si>
    <t xml:space="preserve">Люберцы/Московская область </t>
  </si>
  <si>
    <t>85,0</t>
  </si>
  <si>
    <t>157,5</t>
  </si>
  <si>
    <t>140,0</t>
  </si>
  <si>
    <t>Нагоев Заур</t>
  </si>
  <si>
    <t>Открытая (14.08.1988)/32</t>
  </si>
  <si>
    <t>80,50</t>
  </si>
  <si>
    <t>120,0</t>
  </si>
  <si>
    <t>122,5</t>
  </si>
  <si>
    <t>ВЕСОВАЯ КАТЕГОРИЯ   100</t>
  </si>
  <si>
    <t>Янушкевич Иван</t>
  </si>
  <si>
    <t>Открытая (17.04.1986)/35</t>
  </si>
  <si>
    <t>99,60</t>
  </si>
  <si>
    <t>130,0</t>
  </si>
  <si>
    <t>Лисицын Сергей</t>
  </si>
  <si>
    <t>Открытая (26.10.1970)/50</t>
  </si>
  <si>
    <t>108,60</t>
  </si>
  <si>
    <t xml:space="preserve">Нахабино/Московская область </t>
  </si>
  <si>
    <t>197,5</t>
  </si>
  <si>
    <t>202,5</t>
  </si>
  <si>
    <t>207,5</t>
  </si>
  <si>
    <t>Поздняков Александр</t>
  </si>
  <si>
    <t>Открытая (22.04.1982)/39</t>
  </si>
  <si>
    <t>101,70</t>
  </si>
  <si>
    <t xml:space="preserve">Раменское/Московская область </t>
  </si>
  <si>
    <t>180,0</t>
  </si>
  <si>
    <t>190,0</t>
  </si>
  <si>
    <t>200,0</t>
  </si>
  <si>
    <t>ВЕСОВАЯ КАТЕГОРИЯ   125</t>
  </si>
  <si>
    <t>Мынка Эрик</t>
  </si>
  <si>
    <t>Открытая (14.07.1996)/24</t>
  </si>
  <si>
    <t>118,10</t>
  </si>
  <si>
    <t>215,0</t>
  </si>
  <si>
    <t>Кузнецова Галина</t>
  </si>
  <si>
    <t>Открытая (22.06.1982)/38</t>
  </si>
  <si>
    <t>74,30</t>
  </si>
  <si>
    <t>ВЕСОВАЯ КАТЕГОРИЯ   67.5</t>
  </si>
  <si>
    <t>Таиров Наиль</t>
  </si>
  <si>
    <t>Открытая (05.06.1985)/35</t>
  </si>
  <si>
    <t>65,50</t>
  </si>
  <si>
    <t>107,5</t>
  </si>
  <si>
    <t>112,5</t>
  </si>
  <si>
    <t xml:space="preserve">Скрипник Д. </t>
  </si>
  <si>
    <t>Абдуллаев Анвар</t>
  </si>
  <si>
    <t>Открытая (17.04.2002)/19</t>
  </si>
  <si>
    <t>64,50</t>
  </si>
  <si>
    <t>87,5</t>
  </si>
  <si>
    <t>102,5</t>
  </si>
  <si>
    <t xml:space="preserve">Румянцев С. </t>
  </si>
  <si>
    <t>Андреев Дмитрий</t>
  </si>
  <si>
    <t>Открытая (16.11.1980)/40</t>
  </si>
  <si>
    <t>80,60</t>
  </si>
  <si>
    <t xml:space="preserve">Подольск/Московская область </t>
  </si>
  <si>
    <t>Грачев Вадим</t>
  </si>
  <si>
    <t>Открытая (04.05.1993)/28</t>
  </si>
  <si>
    <t>81,40</t>
  </si>
  <si>
    <t>127,5</t>
  </si>
  <si>
    <t>Лошеньков Александр</t>
  </si>
  <si>
    <t>Открытая (21.04.1995)/26</t>
  </si>
  <si>
    <t>82,00</t>
  </si>
  <si>
    <t>Мастера 40-49 (16.11.1980)/40</t>
  </si>
  <si>
    <t>Задков Сергей</t>
  </si>
  <si>
    <t>Открытая (19.11.1987)/33</t>
  </si>
  <si>
    <t>86,10</t>
  </si>
  <si>
    <t xml:space="preserve">Чехов/Московская область </t>
  </si>
  <si>
    <t>152,5</t>
  </si>
  <si>
    <t>Сивцов Антон</t>
  </si>
  <si>
    <t>Открытая (01.06.1988)/32</t>
  </si>
  <si>
    <t>Брюханов Игорь</t>
  </si>
  <si>
    <t>Мастера 50-59 (17.06.1969)/51</t>
  </si>
  <si>
    <t>95,50</t>
  </si>
  <si>
    <t>170,0</t>
  </si>
  <si>
    <t>172,5</t>
  </si>
  <si>
    <t>Ивасик Владимир</t>
  </si>
  <si>
    <t>Мастера 40-49 (30.06.1975)/45</t>
  </si>
  <si>
    <t>104,50</t>
  </si>
  <si>
    <t xml:space="preserve">Фрязино/Московская область </t>
  </si>
  <si>
    <t>137,5</t>
  </si>
  <si>
    <t xml:space="preserve">Князев Ю. </t>
  </si>
  <si>
    <t>98,8627</t>
  </si>
  <si>
    <t>98,1750</t>
  </si>
  <si>
    <t>67.5</t>
  </si>
  <si>
    <t>88,3258</t>
  </si>
  <si>
    <t>3</t>
  </si>
  <si>
    <t>Становая тяга</t>
  </si>
  <si>
    <t>Ачилова Мария</t>
  </si>
  <si>
    <t>Открытая (24.05.1996)/24</t>
  </si>
  <si>
    <t>58,50</t>
  </si>
  <si>
    <t xml:space="preserve">Минаев А. </t>
  </si>
  <si>
    <t>Масолбасов Алексей</t>
  </si>
  <si>
    <t>Открытая (29.03.2002)/19</t>
  </si>
  <si>
    <t>66,70</t>
  </si>
  <si>
    <t>Чупов Руслан</t>
  </si>
  <si>
    <t>Открытая (14.11.1991)/29</t>
  </si>
  <si>
    <t>72,90</t>
  </si>
  <si>
    <t xml:space="preserve">Мисайлово/Московская область </t>
  </si>
  <si>
    <t>182,5</t>
  </si>
  <si>
    <t>Чаптыков Андрей</t>
  </si>
  <si>
    <t>Открытая (29.11.1995)/25</t>
  </si>
  <si>
    <t>73,40</t>
  </si>
  <si>
    <t xml:space="preserve">Октябрьский/Московская область </t>
  </si>
  <si>
    <t>Фурсов Роман</t>
  </si>
  <si>
    <t>Открытая (14.03.1991)/30</t>
  </si>
  <si>
    <t>87,30</t>
  </si>
  <si>
    <t>162,5</t>
  </si>
  <si>
    <t>177,5</t>
  </si>
  <si>
    <t>Илюшин Руслан</t>
  </si>
  <si>
    <t>Открытая (25.02.1991)/30</t>
  </si>
  <si>
    <t>92,20</t>
  </si>
  <si>
    <t>265,0</t>
  </si>
  <si>
    <t>Быков Дмитрий</t>
  </si>
  <si>
    <t>Открытая (17.09.1987)/33</t>
  </si>
  <si>
    <t xml:space="preserve">Орехово-Зуево/Московская область </t>
  </si>
  <si>
    <t>205,0</t>
  </si>
  <si>
    <t>Черствов Алексей</t>
  </si>
  <si>
    <t>290,0</t>
  </si>
  <si>
    <t>295,0</t>
  </si>
  <si>
    <t>300,0</t>
  </si>
  <si>
    <t>Матвеев Александр</t>
  </si>
  <si>
    <t>Открытая (14.03.1974)/47</t>
  </si>
  <si>
    <t>74,90</t>
  </si>
  <si>
    <t>212,5</t>
  </si>
  <si>
    <t>Щеглов Евгений</t>
  </si>
  <si>
    <t>Открытая (28.03.1991)/30</t>
  </si>
  <si>
    <t>88,80</t>
  </si>
  <si>
    <t xml:space="preserve">Челябинск/Челябинская область </t>
  </si>
  <si>
    <t xml:space="preserve">Емельянов Н. </t>
  </si>
  <si>
    <t>Филинович Сергей</t>
  </si>
  <si>
    <t>Мастера 60+ (05.04.1961)/60</t>
  </si>
  <si>
    <t>107,70</t>
  </si>
  <si>
    <t>220,0</t>
  </si>
  <si>
    <t>230,0</t>
  </si>
  <si>
    <t>235,0</t>
  </si>
  <si>
    <t>Петров Андрей</t>
  </si>
  <si>
    <t>Открытая (17.06.1982)/38</t>
  </si>
  <si>
    <t>95,60</t>
  </si>
  <si>
    <t xml:space="preserve">Петрозаводск/Карелия </t>
  </si>
  <si>
    <t>72,5</t>
  </si>
  <si>
    <t>Подъем на бицепс</t>
  </si>
  <si>
    <t>27,5</t>
  </si>
  <si>
    <t>32,5</t>
  </si>
  <si>
    <t>Мастера 40-49 (16.04.1981)/40</t>
  </si>
  <si>
    <t>Мастера 40-44 (01.01.1980)/41</t>
  </si>
  <si>
    <t>Мастера 40-44 (19.02.1978)/43</t>
  </si>
  <si>
    <t xml:space="preserve">Петрозаводск/Республика Карелия </t>
  </si>
  <si>
    <t>Надым/ЯМАО</t>
  </si>
  <si>
    <t xml:space="preserve">Черноголовка/Московская область </t>
  </si>
  <si>
    <t>Жинкин В.</t>
  </si>
  <si>
    <t>Ушков И.</t>
  </si>
  <si>
    <t>Вербилки/Московская область</t>
  </si>
  <si>
    <t>Весовая категория</t>
  </si>
  <si>
    <t>Калининград/Калининградская область</t>
  </si>
  <si>
    <t>Аскеров Ш.</t>
  </si>
  <si>
    <t>World Class Cup СПР Софт
СПР Жим лежа в однопетельной софт экипировке ДК
Жуковский/Московская область, 8 мая 2021 года</t>
  </si>
  <si>
    <t>World Class Cup СПР Софт
СПР Жим лежа в однопетельной софт экипировке
Жуковский/Московская область, 8 мая 2021 года</t>
  </si>
  <si>
    <t>Кубок Московской области "World Class Cup"
Жим лежа без экипировки ДК
Жуковский/Московская область, 8 мая 2021 года</t>
  </si>
  <si>
    <t>Кубок Московской области "World Class Cup"
Жим лежа без экипировки
Жуковский/Московская область, 8 мая 2021 года</t>
  </si>
  <si>
    <t>Кубок Московской области "World Class Cup"
Становая тяга без экипировки ДК
Жуковский/Московская область, 8 мая 2021 года</t>
  </si>
  <si>
    <t>Кубок Московской области "World Class Cup"
Становая тяга без экипировки
Жуковский/Московская область, 8 мая 2021 года</t>
  </si>
  <si>
    <t>Кубок Московской области "World Class Cup"
СПР Пауэрспорт ДК
Жуковский/Московская область, 8 мая 2021 года</t>
  </si>
  <si>
    <t>Кубок Московской области "World Class Cup"
СПР Жим штанги стоя ДК
Жуковский/Московская область, 8 мая 2021 года</t>
  </si>
  <si>
    <t>Кубок Московской области "World Class Cup"
СПР Строгий подъем штанги на бицепс ДК
Жуковский/Московская область, 8 мая 2021 года</t>
  </si>
  <si>
    <t>№</t>
  </si>
  <si>
    <t xml:space="preserve">
Дата рождения/Возраст</t>
  </si>
  <si>
    <t>Возрастная группа</t>
  </si>
  <si>
    <t>M1</t>
  </si>
  <si>
    <t>O</t>
  </si>
  <si>
    <t>M2</t>
  </si>
  <si>
    <t>J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</si>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</sst>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9BD6-4CB5-4382-884E-BD602E29FAA5}">
  <dimension ref="A1:P39"/>
  <sheetViews>
    <sheetView workbookViewId="0">
      <selection activeCell="F30" sqref="F30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0.5" style="5" customWidth="1"/>
    <col min="7" max="7" width="29.83203125" style="5" bestFit="1" customWidth="1"/>
    <col min="8" max="10" width="5.5" style="6" customWidth="1"/>
    <col min="11" max="11" width="4.83203125" style="6" customWidth="1"/>
    <col min="12" max="12" width="11.33203125" style="6" bestFit="1" customWidth="1"/>
    <col min="13" max="13" width="8.5" style="65" bestFit="1" customWidth="1"/>
    <col min="14" max="14" width="22" style="5" customWidth="1"/>
    <col min="15" max="16384" width="9.1640625" style="3"/>
  </cols>
  <sheetData>
    <row r="1" spans="1:16" s="2" customFormat="1" ht="29" customHeight="1">
      <c r="A1" s="36" t="s">
        <v>244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6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10</v>
      </c>
      <c r="F3" s="49" t="s">
        <v>253</v>
      </c>
      <c r="G3" s="48" t="s">
        <v>5</v>
      </c>
      <c r="H3" s="48" t="s">
        <v>30</v>
      </c>
      <c r="I3" s="48"/>
      <c r="J3" s="48"/>
      <c r="K3" s="48"/>
      <c r="L3" s="48" t="s">
        <v>8</v>
      </c>
      <c r="M3" s="62" t="s">
        <v>3</v>
      </c>
      <c r="N3" s="51" t="s">
        <v>2</v>
      </c>
    </row>
    <row r="4" spans="1:16" s="1" customFormat="1" ht="21" customHeight="1" thickBot="1">
      <c r="A4" s="45"/>
      <c r="B4" s="50"/>
      <c r="C4" s="47"/>
      <c r="D4" s="47"/>
      <c r="E4" s="47"/>
      <c r="F4" s="70"/>
      <c r="G4" s="47"/>
      <c r="H4" s="4">
        <v>1</v>
      </c>
      <c r="I4" s="4">
        <v>2</v>
      </c>
      <c r="J4" s="4">
        <v>3</v>
      </c>
      <c r="K4" s="4" t="s">
        <v>4</v>
      </c>
      <c r="L4" s="47"/>
      <c r="M4" s="63"/>
      <c r="N4" s="52"/>
    </row>
    <row r="5" spans="1:16" s="57" customFormat="1" ht="16">
      <c r="A5" s="35" t="s">
        <v>53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5"/>
      <c r="O5" s="55"/>
      <c r="P5" s="56"/>
    </row>
    <row r="6" spans="1:16" s="57" customFormat="1" ht="14" thickBot="1">
      <c r="A6" s="58" t="s">
        <v>21</v>
      </c>
      <c r="B6" s="59" t="s">
        <v>54</v>
      </c>
      <c r="C6" s="59" t="s">
        <v>232</v>
      </c>
      <c r="D6" s="59" t="s">
        <v>55</v>
      </c>
      <c r="E6" s="59" t="str">
        <f>"1,1266"</f>
        <v>1,1266</v>
      </c>
      <c r="F6" s="59" t="s">
        <v>254</v>
      </c>
      <c r="G6" s="59" t="s">
        <v>56</v>
      </c>
      <c r="H6" s="14" t="s">
        <v>57</v>
      </c>
      <c r="I6" s="60" t="s">
        <v>58</v>
      </c>
      <c r="J6" s="14" t="s">
        <v>58</v>
      </c>
      <c r="K6" s="58"/>
      <c r="L6" s="14" t="s">
        <v>58</v>
      </c>
      <c r="M6" s="64">
        <f>E6*D6</f>
        <v>66.694720000000004</v>
      </c>
      <c r="N6" s="58"/>
      <c r="O6" s="58"/>
      <c r="P6" s="59"/>
    </row>
    <row r="7" spans="1:16" ht="16">
      <c r="A7" s="34" t="s">
        <v>11</v>
      </c>
      <c r="B7" s="34"/>
      <c r="C7" s="35"/>
      <c r="D7" s="35"/>
      <c r="E7" s="35"/>
      <c r="F7" s="35"/>
      <c r="G7" s="35"/>
      <c r="H7" s="35"/>
      <c r="I7" s="35"/>
      <c r="J7" s="35"/>
      <c r="K7" s="35"/>
    </row>
    <row r="8" spans="1:16">
      <c r="A8" s="9" t="s">
        <v>21</v>
      </c>
      <c r="B8" s="8" t="s">
        <v>122</v>
      </c>
      <c r="C8" s="8" t="s">
        <v>123</v>
      </c>
      <c r="D8" s="8" t="s">
        <v>124</v>
      </c>
      <c r="E8" s="8" t="str">
        <f>"0,8414"</f>
        <v>0,8414</v>
      </c>
      <c r="F8" s="8" t="s">
        <v>255</v>
      </c>
      <c r="G8" s="8" t="s">
        <v>22</v>
      </c>
      <c r="H8" s="14" t="s">
        <v>43</v>
      </c>
      <c r="I8" s="14" t="s">
        <v>24</v>
      </c>
      <c r="J8" s="14" t="s">
        <v>27</v>
      </c>
      <c r="K8" s="9"/>
      <c r="L8" s="9" t="str">
        <f>"82,5"</f>
        <v>82,5</v>
      </c>
      <c r="M8" s="66" t="str">
        <f>"69,4155"</f>
        <v>69,4155</v>
      </c>
      <c r="N8" s="8"/>
    </row>
    <row r="9" spans="1:16">
      <c r="B9" s="5" t="s">
        <v>9</v>
      </c>
    </row>
    <row r="10" spans="1:16" ht="16">
      <c r="A10" s="32" t="s">
        <v>125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</row>
    <row r="11" spans="1:16">
      <c r="A11" s="16" t="s">
        <v>21</v>
      </c>
      <c r="B11" s="15" t="s">
        <v>126</v>
      </c>
      <c r="C11" s="15" t="s">
        <v>127</v>
      </c>
      <c r="D11" s="15" t="s">
        <v>128</v>
      </c>
      <c r="E11" s="15" t="str">
        <f>"0,7681"</f>
        <v>0,7681</v>
      </c>
      <c r="F11" s="15" t="s">
        <v>255</v>
      </c>
      <c r="G11" s="15" t="s">
        <v>22</v>
      </c>
      <c r="H11" s="20" t="s">
        <v>129</v>
      </c>
      <c r="I11" s="20" t="s">
        <v>130</v>
      </c>
      <c r="J11" s="20" t="s">
        <v>62</v>
      </c>
      <c r="K11" s="16"/>
      <c r="L11" s="16" t="str">
        <f>"115,0"</f>
        <v>115,0</v>
      </c>
      <c r="M11" s="67" t="str">
        <f>"88,3258"</f>
        <v>88,3258</v>
      </c>
      <c r="N11" s="15" t="s">
        <v>131</v>
      </c>
    </row>
    <row r="12" spans="1:16">
      <c r="A12" s="18" t="s">
        <v>81</v>
      </c>
      <c r="B12" s="17" t="s">
        <v>132</v>
      </c>
      <c r="C12" s="17" t="s">
        <v>133</v>
      </c>
      <c r="D12" s="17" t="s">
        <v>134</v>
      </c>
      <c r="E12" s="17" t="str">
        <f>"0,7786"</f>
        <v>0,7786</v>
      </c>
      <c r="F12" s="17" t="s">
        <v>255</v>
      </c>
      <c r="G12" s="17" t="s">
        <v>22</v>
      </c>
      <c r="H12" s="22" t="s">
        <v>135</v>
      </c>
      <c r="I12" s="22" t="s">
        <v>64</v>
      </c>
      <c r="J12" s="23" t="s">
        <v>136</v>
      </c>
      <c r="K12" s="18"/>
      <c r="L12" s="18" t="str">
        <f>"97,5"</f>
        <v>97,5</v>
      </c>
      <c r="M12" s="68" t="str">
        <f>"75,9135"</f>
        <v>75,9135</v>
      </c>
      <c r="N12" s="17" t="s">
        <v>137</v>
      </c>
    </row>
    <row r="13" spans="1:16">
      <c r="B13" s="5" t="s">
        <v>9</v>
      </c>
    </row>
    <row r="14" spans="1:16" ht="16">
      <c r="A14" s="32" t="s">
        <v>82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</row>
    <row r="15" spans="1:16">
      <c r="A15" s="16" t="s">
        <v>21</v>
      </c>
      <c r="B15" s="15" t="s">
        <v>138</v>
      </c>
      <c r="C15" s="15" t="s">
        <v>139</v>
      </c>
      <c r="D15" s="15" t="s">
        <v>140</v>
      </c>
      <c r="E15" s="15" t="str">
        <f>"0,6545"</f>
        <v>0,6545</v>
      </c>
      <c r="F15" s="15" t="s">
        <v>255</v>
      </c>
      <c r="G15" s="15" t="s">
        <v>141</v>
      </c>
      <c r="H15" s="20" t="s">
        <v>49</v>
      </c>
      <c r="I15" s="20" t="s">
        <v>50</v>
      </c>
      <c r="J15" s="20" t="s">
        <v>51</v>
      </c>
      <c r="K15" s="16"/>
      <c r="L15" s="16" t="str">
        <f>"150,0"</f>
        <v>150,0</v>
      </c>
      <c r="M15" s="67" t="str">
        <f>"98,1750"</f>
        <v>98,1750</v>
      </c>
      <c r="N15" s="15"/>
    </row>
    <row r="16" spans="1:16">
      <c r="A16" s="25" t="s">
        <v>81</v>
      </c>
      <c r="B16" s="24" t="s">
        <v>142</v>
      </c>
      <c r="C16" s="24" t="s">
        <v>143</v>
      </c>
      <c r="D16" s="24" t="s">
        <v>144</v>
      </c>
      <c r="E16" s="24" t="str">
        <f>"0,6503"</f>
        <v>0,6503</v>
      </c>
      <c r="F16" s="24" t="s">
        <v>255</v>
      </c>
      <c r="G16" s="24" t="s">
        <v>76</v>
      </c>
      <c r="H16" s="26" t="s">
        <v>96</v>
      </c>
      <c r="I16" s="27" t="s">
        <v>145</v>
      </c>
      <c r="J16" s="26" t="s">
        <v>102</v>
      </c>
      <c r="K16" s="25"/>
      <c r="L16" s="25" t="str">
        <f>"130,0"</f>
        <v>130,0</v>
      </c>
      <c r="M16" s="69" t="str">
        <f>"84,5325"</f>
        <v>84,5325</v>
      </c>
      <c r="N16" s="24"/>
    </row>
    <row r="17" spans="1:16">
      <c r="A17" s="25" t="s">
        <v>172</v>
      </c>
      <c r="B17" s="24" t="s">
        <v>146</v>
      </c>
      <c r="C17" s="24" t="s">
        <v>147</v>
      </c>
      <c r="D17" s="24" t="s">
        <v>148</v>
      </c>
      <c r="E17" s="24" t="str">
        <f>"0,6471"</f>
        <v>0,6471</v>
      </c>
      <c r="F17" s="24" t="s">
        <v>255</v>
      </c>
      <c r="G17" s="24" t="s">
        <v>113</v>
      </c>
      <c r="H17" s="26" t="s">
        <v>79</v>
      </c>
      <c r="I17" s="26" t="s">
        <v>96</v>
      </c>
      <c r="J17" s="26" t="s">
        <v>145</v>
      </c>
      <c r="K17" s="25"/>
      <c r="L17" s="25" t="str">
        <f>"127,5"</f>
        <v>127,5</v>
      </c>
      <c r="M17" s="69" t="str">
        <f>"82,5116"</f>
        <v>82,5116</v>
      </c>
      <c r="N17" s="24"/>
    </row>
    <row r="18" spans="1:16">
      <c r="A18" s="18" t="s">
        <v>21</v>
      </c>
      <c r="B18" s="17" t="s">
        <v>138</v>
      </c>
      <c r="C18" s="17" t="s">
        <v>149</v>
      </c>
      <c r="D18" s="17" t="s">
        <v>140</v>
      </c>
      <c r="E18" s="17" t="str">
        <f>"0,6545"</f>
        <v>0,6545</v>
      </c>
      <c r="F18" s="17" t="s">
        <v>254</v>
      </c>
      <c r="G18" s="17" t="s">
        <v>141</v>
      </c>
      <c r="H18" s="22" t="s">
        <v>49</v>
      </c>
      <c r="I18" s="22" t="s">
        <v>50</v>
      </c>
      <c r="J18" s="22" t="s">
        <v>51</v>
      </c>
      <c r="K18" s="18"/>
      <c r="L18" s="18" t="str">
        <f>"150,0"</f>
        <v>150,0</v>
      </c>
      <c r="M18" s="68" t="str">
        <f>"98,1750"</f>
        <v>98,1750</v>
      </c>
      <c r="N18" s="17"/>
    </row>
    <row r="19" spans="1:16">
      <c r="B19" s="5" t="s">
        <v>9</v>
      </c>
    </row>
    <row r="20" spans="1:16" ht="16">
      <c r="A20" s="32" t="s">
        <v>31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6">
      <c r="A21" s="16" t="s">
        <v>21</v>
      </c>
      <c r="B21" s="15" t="s">
        <v>150</v>
      </c>
      <c r="C21" s="15" t="s">
        <v>151</v>
      </c>
      <c r="D21" s="15" t="s">
        <v>152</v>
      </c>
      <c r="E21" s="15" t="str">
        <f>"0,6277"</f>
        <v>0,6277</v>
      </c>
      <c r="F21" s="15" t="s">
        <v>255</v>
      </c>
      <c r="G21" s="15" t="s">
        <v>153</v>
      </c>
      <c r="H21" s="21" t="s">
        <v>154</v>
      </c>
      <c r="I21" s="20" t="s">
        <v>154</v>
      </c>
      <c r="J21" s="20" t="s">
        <v>91</v>
      </c>
      <c r="K21" s="16"/>
      <c r="L21" s="16" t="str">
        <f>"157,5"</f>
        <v>157,5</v>
      </c>
      <c r="M21" s="67" t="str">
        <f>"98,8627"</f>
        <v>98,8627</v>
      </c>
      <c r="N21" s="15"/>
    </row>
    <row r="22" spans="1:16">
      <c r="A22" s="18" t="s">
        <v>81</v>
      </c>
      <c r="B22" s="17" t="s">
        <v>155</v>
      </c>
      <c r="C22" s="17" t="s">
        <v>156</v>
      </c>
      <c r="D22" s="17" t="s">
        <v>61</v>
      </c>
      <c r="E22" s="17" t="str">
        <f>"0,6263"</f>
        <v>0,6263</v>
      </c>
      <c r="F22" s="17" t="s">
        <v>255</v>
      </c>
      <c r="G22" s="17" t="s">
        <v>141</v>
      </c>
      <c r="H22" s="22" t="s">
        <v>63</v>
      </c>
      <c r="I22" s="23" t="s">
        <v>145</v>
      </c>
      <c r="J22" s="23" t="s">
        <v>145</v>
      </c>
      <c r="K22" s="18"/>
      <c r="L22" s="18" t="str">
        <f>"125,0"</f>
        <v>125,0</v>
      </c>
      <c r="M22" s="68" t="str">
        <f>"78,2937"</f>
        <v>78,2937</v>
      </c>
      <c r="N22" s="17"/>
    </row>
    <row r="23" spans="1:16" s="57" customFormat="1">
      <c r="A23" s="58" t="s">
        <v>21</v>
      </c>
      <c r="B23" s="59" t="s">
        <v>59</v>
      </c>
      <c r="C23" s="59" t="s">
        <v>60</v>
      </c>
      <c r="D23" s="59" t="s">
        <v>61</v>
      </c>
      <c r="E23" s="59" t="str">
        <f>"0,6523"</f>
        <v>0,6523</v>
      </c>
      <c r="F23" s="59" t="s">
        <v>255</v>
      </c>
      <c r="G23" s="59" t="s">
        <v>22</v>
      </c>
      <c r="H23" s="14" t="s">
        <v>62</v>
      </c>
      <c r="I23" s="60" t="s">
        <v>63</v>
      </c>
      <c r="J23" s="60" t="s">
        <v>63</v>
      </c>
      <c r="K23" s="58"/>
      <c r="L23" s="58" t="s">
        <v>52</v>
      </c>
      <c r="M23" s="61">
        <v>49</v>
      </c>
      <c r="N23" s="58"/>
      <c r="O23" s="58"/>
      <c r="P23" s="59"/>
    </row>
    <row r="24" spans="1:16">
      <c r="B24" s="5" t="s">
        <v>9</v>
      </c>
    </row>
    <row r="25" spans="1:16" ht="16">
      <c r="A25" s="32" t="s">
        <v>98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</row>
    <row r="26" spans="1:16">
      <c r="A26" s="9" t="s">
        <v>21</v>
      </c>
      <c r="B26" s="8" t="s">
        <v>157</v>
      </c>
      <c r="C26" s="8" t="s">
        <v>158</v>
      </c>
      <c r="D26" s="8" t="s">
        <v>159</v>
      </c>
      <c r="E26" s="8" t="str">
        <f>"0,5935"</f>
        <v>0,5935</v>
      </c>
      <c r="F26" s="8" t="s">
        <v>256</v>
      </c>
      <c r="G26" s="8" t="s">
        <v>153</v>
      </c>
      <c r="H26" s="14" t="s">
        <v>84</v>
      </c>
      <c r="I26" s="19" t="s">
        <v>160</v>
      </c>
      <c r="J26" s="14" t="s">
        <v>161</v>
      </c>
      <c r="K26" s="9"/>
      <c r="L26" s="9" t="str">
        <f>"172,5"</f>
        <v>172,5</v>
      </c>
      <c r="M26" s="66" t="str">
        <f>"117,4185"</f>
        <v>117,4185</v>
      </c>
      <c r="N26" s="8"/>
    </row>
    <row r="27" spans="1:16">
      <c r="B27" s="5" t="s">
        <v>9</v>
      </c>
    </row>
    <row r="28" spans="1:16" ht="16">
      <c r="A28" s="32" t="s">
        <v>72</v>
      </c>
      <c r="B28" s="32"/>
      <c r="C28" s="33"/>
      <c r="D28" s="33"/>
      <c r="E28" s="33"/>
      <c r="F28" s="33"/>
      <c r="G28" s="33"/>
      <c r="H28" s="33"/>
      <c r="I28" s="33"/>
      <c r="J28" s="33"/>
      <c r="K28" s="33"/>
    </row>
    <row r="29" spans="1:16">
      <c r="A29" s="9" t="s">
        <v>21</v>
      </c>
      <c r="B29" s="8" t="s">
        <v>162</v>
      </c>
      <c r="C29" s="8" t="s">
        <v>163</v>
      </c>
      <c r="D29" s="8" t="s">
        <v>164</v>
      </c>
      <c r="E29" s="8" t="str">
        <f>"0,5716"</f>
        <v>0,5716</v>
      </c>
      <c r="F29" s="8" t="s">
        <v>254</v>
      </c>
      <c r="G29" s="8" t="s">
        <v>165</v>
      </c>
      <c r="H29" s="14" t="s">
        <v>102</v>
      </c>
      <c r="I29" s="14" t="s">
        <v>166</v>
      </c>
      <c r="J29" s="14" t="s">
        <v>92</v>
      </c>
      <c r="K29" s="9"/>
      <c r="L29" s="9" t="str">
        <f>"140,0"</f>
        <v>140,0</v>
      </c>
      <c r="M29" s="66" t="str">
        <f>"84,4253"</f>
        <v>84,4253</v>
      </c>
      <c r="N29" s="8" t="s">
        <v>167</v>
      </c>
    </row>
    <row r="30" spans="1:16">
      <c r="B30" s="5" t="s">
        <v>9</v>
      </c>
    </row>
    <row r="31" spans="1:16">
      <c r="B31" s="5" t="s">
        <v>9</v>
      </c>
    </row>
    <row r="32" spans="1:16">
      <c r="B32" s="5" t="s">
        <v>9</v>
      </c>
    </row>
    <row r="33" spans="2:7" ht="18">
      <c r="B33" s="7" t="s">
        <v>7</v>
      </c>
      <c r="C33" s="7"/>
      <c r="G33" s="3"/>
    </row>
    <row r="34" spans="2:7" ht="16">
      <c r="B34" s="10" t="s">
        <v>29</v>
      </c>
      <c r="C34" s="10"/>
      <c r="G34" s="3"/>
    </row>
    <row r="35" spans="2:7" ht="14">
      <c r="B35" s="11"/>
      <c r="C35" s="12" t="s">
        <v>16</v>
      </c>
      <c r="G35" s="3"/>
    </row>
    <row r="36" spans="2:7" ht="14">
      <c r="B36" s="13" t="s">
        <v>17</v>
      </c>
      <c r="C36" s="13" t="s">
        <v>18</v>
      </c>
      <c r="D36" s="13" t="s">
        <v>239</v>
      </c>
      <c r="E36" s="13" t="s">
        <v>19</v>
      </c>
      <c r="F36" s="13"/>
      <c r="G36" s="13" t="s">
        <v>20</v>
      </c>
    </row>
    <row r="37" spans="2:7">
      <c r="B37" s="5" t="s">
        <v>150</v>
      </c>
      <c r="C37" s="5" t="s">
        <v>16</v>
      </c>
      <c r="D37" s="6" t="s">
        <v>37</v>
      </c>
      <c r="E37" s="6" t="s">
        <v>91</v>
      </c>
      <c r="F37" s="6"/>
      <c r="G37" s="6" t="s">
        <v>168</v>
      </c>
    </row>
    <row r="38" spans="2:7">
      <c r="B38" s="5" t="s">
        <v>138</v>
      </c>
      <c r="C38" s="5" t="s">
        <v>16</v>
      </c>
      <c r="D38" s="6" t="s">
        <v>83</v>
      </c>
      <c r="E38" s="6" t="s">
        <v>51</v>
      </c>
      <c r="F38" s="6"/>
      <c r="G38" s="6" t="s">
        <v>169</v>
      </c>
    </row>
    <row r="39" spans="2:7">
      <c r="B39" s="5" t="s">
        <v>126</v>
      </c>
      <c r="C39" s="5" t="s">
        <v>16</v>
      </c>
      <c r="D39" s="6" t="s">
        <v>170</v>
      </c>
      <c r="E39" s="6" t="s">
        <v>62</v>
      </c>
      <c r="F39" s="6"/>
      <c r="G39" s="6" t="s">
        <v>171</v>
      </c>
    </row>
  </sheetData>
  <mergeCells count="19">
    <mergeCell ref="A5:M5"/>
    <mergeCell ref="F3:F4"/>
    <mergeCell ref="A1:N2"/>
    <mergeCell ref="A3:A4"/>
    <mergeCell ref="C3:C4"/>
    <mergeCell ref="D3:D4"/>
    <mergeCell ref="E3:E4"/>
    <mergeCell ref="G3:G4"/>
    <mergeCell ref="H3:K3"/>
    <mergeCell ref="B3:B4"/>
    <mergeCell ref="L3:L4"/>
    <mergeCell ref="M3:M4"/>
    <mergeCell ref="N3:N4"/>
    <mergeCell ref="A28:K28"/>
    <mergeCell ref="A7:K7"/>
    <mergeCell ref="A10:K10"/>
    <mergeCell ref="A14:K14"/>
    <mergeCell ref="A20:K20"/>
    <mergeCell ref="A25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7B62-3CA8-4DA2-9D58-8D827940390E}">
  <dimension ref="A1:P22"/>
  <sheetViews>
    <sheetView workbookViewId="0">
      <selection activeCell="F21" sqref="F21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0.5" style="5" customWidth="1"/>
    <col min="7" max="7" width="38.83203125" style="5" customWidth="1"/>
    <col min="8" max="10" width="5.5" style="6" customWidth="1"/>
    <col min="11" max="11" width="4.83203125" style="6" customWidth="1"/>
    <col min="12" max="12" width="11.33203125" style="28" bestFit="1" customWidth="1"/>
    <col min="13" max="13" width="8.5" style="6" bestFit="1" customWidth="1"/>
    <col min="14" max="14" width="24.1640625" style="5" customWidth="1"/>
    <col min="15" max="16384" width="9.1640625" style="3"/>
  </cols>
  <sheetData>
    <row r="1" spans="1:16" s="2" customFormat="1" ht="29" customHeight="1">
      <c r="A1" s="36" t="s">
        <v>245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6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10</v>
      </c>
      <c r="F3" s="49" t="s">
        <v>253</v>
      </c>
      <c r="G3" s="48" t="s">
        <v>5</v>
      </c>
      <c r="H3" s="48" t="s">
        <v>30</v>
      </c>
      <c r="I3" s="48"/>
      <c r="J3" s="48"/>
      <c r="K3" s="48"/>
      <c r="L3" s="53" t="s">
        <v>8</v>
      </c>
      <c r="M3" s="48" t="s">
        <v>3</v>
      </c>
      <c r="N3" s="51" t="s">
        <v>2</v>
      </c>
    </row>
    <row r="4" spans="1:16" s="1" customFormat="1" ht="21" customHeight="1" thickBot="1">
      <c r="A4" s="45"/>
      <c r="B4" s="50"/>
      <c r="C4" s="47"/>
      <c r="D4" s="47"/>
      <c r="E4" s="47"/>
      <c r="F4" s="70"/>
      <c r="G4" s="47"/>
      <c r="H4" s="4">
        <v>1</v>
      </c>
      <c r="I4" s="4">
        <v>2</v>
      </c>
      <c r="J4" s="4">
        <v>3</v>
      </c>
      <c r="K4" s="4" t="s">
        <v>4</v>
      </c>
      <c r="L4" s="54"/>
      <c r="M4" s="47"/>
      <c r="N4" s="52"/>
    </row>
    <row r="5" spans="1:16" s="57" customFormat="1" ht="16">
      <c r="A5" s="35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5"/>
      <c r="O5" s="55"/>
      <c r="P5" s="56"/>
    </row>
    <row r="6" spans="1:16" s="57" customFormat="1" ht="14" thickBot="1">
      <c r="A6" s="58" t="s">
        <v>21</v>
      </c>
      <c r="B6" s="59" t="s">
        <v>38</v>
      </c>
      <c r="C6" s="59" t="s">
        <v>39</v>
      </c>
      <c r="D6" s="59" t="s">
        <v>40</v>
      </c>
      <c r="E6" s="59" t="str">
        <f>"1,0740"</f>
        <v>1,0740</v>
      </c>
      <c r="F6" s="59" t="s">
        <v>257</v>
      </c>
      <c r="G6" s="59" t="s">
        <v>22</v>
      </c>
      <c r="H6" s="14" t="s">
        <v>41</v>
      </c>
      <c r="I6" s="14" t="s">
        <v>42</v>
      </c>
      <c r="J6" s="60" t="s">
        <v>43</v>
      </c>
      <c r="K6" s="58"/>
      <c r="L6" s="58" t="s">
        <v>44</v>
      </c>
      <c r="M6" s="61">
        <v>44</v>
      </c>
      <c r="N6" s="58"/>
      <c r="O6" s="58"/>
      <c r="P6" s="59"/>
    </row>
    <row r="7" spans="1:16" ht="16">
      <c r="A7" s="34" t="s">
        <v>82</v>
      </c>
      <c r="B7" s="34"/>
      <c r="C7" s="35"/>
      <c r="D7" s="35"/>
      <c r="E7" s="35"/>
      <c r="F7" s="35"/>
      <c r="G7" s="35"/>
      <c r="H7" s="35"/>
      <c r="I7" s="35"/>
      <c r="J7" s="35"/>
      <c r="K7" s="35"/>
    </row>
    <row r="8" spans="1:16">
      <c r="A8" s="9" t="s">
        <v>21</v>
      </c>
      <c r="B8" s="8" t="s">
        <v>93</v>
      </c>
      <c r="C8" s="8" t="s">
        <v>94</v>
      </c>
      <c r="D8" s="8" t="s">
        <v>95</v>
      </c>
      <c r="E8" s="8" t="str">
        <f>"0,6550"</f>
        <v>0,6550</v>
      </c>
      <c r="F8" s="8" t="s">
        <v>255</v>
      </c>
      <c r="G8" s="8" t="s">
        <v>22</v>
      </c>
      <c r="H8" s="14" t="s">
        <v>96</v>
      </c>
      <c r="I8" s="19" t="s">
        <v>97</v>
      </c>
      <c r="J8" s="19" t="s">
        <v>97</v>
      </c>
      <c r="K8" s="9"/>
      <c r="L8" s="29" t="str">
        <f>"120,0"</f>
        <v>120,0</v>
      </c>
      <c r="M8" s="9" t="str">
        <f>"78,6060"</f>
        <v>78,6060</v>
      </c>
      <c r="N8" s="8" t="s">
        <v>241</v>
      </c>
    </row>
    <row r="9" spans="1:16">
      <c r="B9" s="5" t="s">
        <v>9</v>
      </c>
    </row>
    <row r="10" spans="1:16" ht="16">
      <c r="A10" s="32" t="s">
        <v>31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</row>
    <row r="11" spans="1:16">
      <c r="A11" s="9" t="s">
        <v>21</v>
      </c>
      <c r="B11" s="8" t="s">
        <v>32</v>
      </c>
      <c r="C11" s="8" t="s">
        <v>33</v>
      </c>
      <c r="D11" s="8" t="s">
        <v>34</v>
      </c>
      <c r="E11" s="8" t="str">
        <f>"0,6119"</f>
        <v>0,6119</v>
      </c>
      <c r="F11" s="8" t="s">
        <v>255</v>
      </c>
      <c r="G11" s="8" t="s">
        <v>22</v>
      </c>
      <c r="H11" s="14" t="s">
        <v>35</v>
      </c>
      <c r="I11" s="19" t="s">
        <v>36</v>
      </c>
      <c r="J11" s="19" t="s">
        <v>36</v>
      </c>
      <c r="K11" s="9"/>
      <c r="L11" s="29" t="str">
        <f>"155,0"</f>
        <v>155,0</v>
      </c>
      <c r="M11" s="9" t="str">
        <f>"94,8368"</f>
        <v>94,8368</v>
      </c>
      <c r="N11" s="8"/>
    </row>
    <row r="12" spans="1:16" s="57" customFormat="1">
      <c r="A12" s="58" t="s">
        <v>21</v>
      </c>
      <c r="B12" s="59" t="s">
        <v>45</v>
      </c>
      <c r="C12" s="59" t="s">
        <v>46</v>
      </c>
      <c r="D12" s="59" t="s">
        <v>47</v>
      </c>
      <c r="E12" s="59" t="str">
        <f>"0,6417"</f>
        <v>0,6417</v>
      </c>
      <c r="F12" s="59" t="s">
        <v>255</v>
      </c>
      <c r="G12" s="59" t="s">
        <v>48</v>
      </c>
      <c r="H12" s="14" t="s">
        <v>49</v>
      </c>
      <c r="I12" s="14" t="s">
        <v>50</v>
      </c>
      <c r="J12" s="60" t="s">
        <v>51</v>
      </c>
      <c r="K12" s="58"/>
      <c r="L12" s="58" t="s">
        <v>52</v>
      </c>
      <c r="M12" s="58" t="str">
        <f>"6525,7684"</f>
        <v>6525,7684</v>
      </c>
      <c r="N12" s="58"/>
      <c r="P12" s="59"/>
    </row>
    <row r="13" spans="1:16" ht="16">
      <c r="A13" s="32" t="s">
        <v>98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</row>
    <row r="14" spans="1:16">
      <c r="A14" s="9" t="s">
        <v>21</v>
      </c>
      <c r="B14" s="8" t="s">
        <v>99</v>
      </c>
      <c r="C14" s="8" t="s">
        <v>100</v>
      </c>
      <c r="D14" s="8" t="s">
        <v>101</v>
      </c>
      <c r="E14" s="8" t="str">
        <f>"0,5823"</f>
        <v>0,5823</v>
      </c>
      <c r="F14" s="8" t="s">
        <v>255</v>
      </c>
      <c r="G14" s="8" t="s">
        <v>240</v>
      </c>
      <c r="H14" s="14" t="s">
        <v>96</v>
      </c>
      <c r="I14" s="14" t="s">
        <v>102</v>
      </c>
      <c r="J14" s="14" t="s">
        <v>51</v>
      </c>
      <c r="K14" s="9"/>
      <c r="L14" s="29" t="str">
        <f>"150,0"</f>
        <v>150,0</v>
      </c>
      <c r="M14" s="9" t="str">
        <f>"87,3450"</f>
        <v>87,3450</v>
      </c>
      <c r="N14" s="8"/>
    </row>
    <row r="15" spans="1:16">
      <c r="B15" s="5" t="s">
        <v>9</v>
      </c>
    </row>
    <row r="16" spans="1:16" ht="16">
      <c r="A16" s="32" t="s">
        <v>72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spans="1:14">
      <c r="A17" s="16" t="s">
        <v>21</v>
      </c>
      <c r="B17" s="15" t="s">
        <v>103</v>
      </c>
      <c r="C17" s="15" t="s">
        <v>104</v>
      </c>
      <c r="D17" s="15" t="s">
        <v>105</v>
      </c>
      <c r="E17" s="15" t="str">
        <f>"0,5645"</f>
        <v>0,5645</v>
      </c>
      <c r="F17" s="15" t="s">
        <v>255</v>
      </c>
      <c r="G17" s="15" t="s">
        <v>106</v>
      </c>
      <c r="H17" s="20" t="s">
        <v>107</v>
      </c>
      <c r="I17" s="20" t="s">
        <v>108</v>
      </c>
      <c r="J17" s="20" t="s">
        <v>109</v>
      </c>
      <c r="K17" s="16"/>
      <c r="L17" s="30" t="str">
        <f>"207,5"</f>
        <v>207,5</v>
      </c>
      <c r="M17" s="16" t="str">
        <f>"117,1441"</f>
        <v>117,1441</v>
      </c>
      <c r="N17" s="15"/>
    </row>
    <row r="18" spans="1:14">
      <c r="A18" s="18" t="s">
        <v>81</v>
      </c>
      <c r="B18" s="17" t="s">
        <v>110</v>
      </c>
      <c r="C18" s="17" t="s">
        <v>111</v>
      </c>
      <c r="D18" s="17" t="s">
        <v>112</v>
      </c>
      <c r="E18" s="17" t="str">
        <f>"0,5774"</f>
        <v>0,5774</v>
      </c>
      <c r="F18" s="17" t="s">
        <v>255</v>
      </c>
      <c r="G18" s="17" t="s">
        <v>113</v>
      </c>
      <c r="H18" s="22" t="s">
        <v>114</v>
      </c>
      <c r="I18" s="22" t="s">
        <v>115</v>
      </c>
      <c r="J18" s="22" t="s">
        <v>116</v>
      </c>
      <c r="K18" s="18"/>
      <c r="L18" s="31" t="str">
        <f>"200,0"</f>
        <v>200,0</v>
      </c>
      <c r="M18" s="18" t="str">
        <f>"115,4800"</f>
        <v>115,4800</v>
      </c>
      <c r="N18" s="17"/>
    </row>
    <row r="19" spans="1:14">
      <c r="B19" s="5" t="s">
        <v>9</v>
      </c>
    </row>
    <row r="20" spans="1:14" ht="16">
      <c r="A20" s="32" t="s">
        <v>117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4">
      <c r="A21" s="9" t="s">
        <v>65</v>
      </c>
      <c r="B21" s="8" t="s">
        <v>118</v>
      </c>
      <c r="C21" s="8" t="s">
        <v>119</v>
      </c>
      <c r="D21" s="8" t="s">
        <v>120</v>
      </c>
      <c r="E21" s="8" t="str">
        <f>"0,5529"</f>
        <v>0,5529</v>
      </c>
      <c r="F21" s="8" t="s">
        <v>255</v>
      </c>
      <c r="G21" s="8" t="s">
        <v>89</v>
      </c>
      <c r="H21" s="19" t="s">
        <v>121</v>
      </c>
      <c r="I21" s="19" t="s">
        <v>88</v>
      </c>
      <c r="J21" s="19" t="s">
        <v>88</v>
      </c>
      <c r="K21" s="9"/>
      <c r="L21" s="29">
        <v>0</v>
      </c>
      <c r="M21" s="9" t="str">
        <f>"0,0000"</f>
        <v>0,0000</v>
      </c>
      <c r="N21" s="8"/>
    </row>
    <row r="22" spans="1:14">
      <c r="B22" s="5" t="s">
        <v>9</v>
      </c>
    </row>
  </sheetData>
  <mergeCells count="18">
    <mergeCell ref="L3:L4"/>
    <mergeCell ref="M3:M4"/>
    <mergeCell ref="N3:N4"/>
    <mergeCell ref="A7:K7"/>
    <mergeCell ref="A1:N2"/>
    <mergeCell ref="A3:A4"/>
    <mergeCell ref="C3:C4"/>
    <mergeCell ref="D3:D4"/>
    <mergeCell ref="E3:E4"/>
    <mergeCell ref="G3:G4"/>
    <mergeCell ref="H3:K3"/>
    <mergeCell ref="A5:M5"/>
    <mergeCell ref="F3:F4"/>
    <mergeCell ref="A10:K10"/>
    <mergeCell ref="A13:K13"/>
    <mergeCell ref="A16:K16"/>
    <mergeCell ref="A20:K20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976C-DBE6-4309-9FC9-E0020A30CBE5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36" t="s">
        <v>242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253</v>
      </c>
      <c r="F3" s="48" t="s">
        <v>5</v>
      </c>
      <c r="G3" s="48" t="s">
        <v>30</v>
      </c>
      <c r="H3" s="48"/>
      <c r="I3" s="48"/>
      <c r="J3" s="48"/>
      <c r="K3" s="48" t="s">
        <v>8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34" t="s">
        <v>11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21</v>
      </c>
      <c r="B6" s="8" t="s">
        <v>207</v>
      </c>
      <c r="C6" s="8" t="s">
        <v>208</v>
      </c>
      <c r="D6" s="8" t="s">
        <v>209</v>
      </c>
      <c r="E6" s="8" t="s">
        <v>255</v>
      </c>
      <c r="F6" s="8" t="s">
        <v>22</v>
      </c>
      <c r="G6" s="14" t="s">
        <v>116</v>
      </c>
      <c r="H6" s="19" t="s">
        <v>109</v>
      </c>
      <c r="I6" s="19" t="s">
        <v>210</v>
      </c>
      <c r="J6" s="9"/>
      <c r="K6" s="9" t="str">
        <f>"200,0"</f>
        <v>200,0</v>
      </c>
      <c r="L6" s="9" t="str">
        <f>"137,8400"</f>
        <v>137,8400</v>
      </c>
      <c r="M6" s="8" t="s">
        <v>236</v>
      </c>
    </row>
    <row r="7" spans="1:13">
      <c r="B7" s="5" t="s">
        <v>9</v>
      </c>
    </row>
    <row r="8" spans="1:13" ht="16">
      <c r="A8" s="32" t="s">
        <v>31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9" t="s">
        <v>21</v>
      </c>
      <c r="B9" s="8" t="s">
        <v>211</v>
      </c>
      <c r="C9" s="8" t="s">
        <v>212</v>
      </c>
      <c r="D9" s="8" t="s">
        <v>213</v>
      </c>
      <c r="E9" s="8" t="s">
        <v>255</v>
      </c>
      <c r="F9" s="8" t="s">
        <v>214</v>
      </c>
      <c r="G9" s="14" t="s">
        <v>115</v>
      </c>
      <c r="H9" s="14" t="s">
        <v>202</v>
      </c>
      <c r="I9" s="14" t="s">
        <v>121</v>
      </c>
      <c r="J9" s="9"/>
      <c r="K9" s="9" t="str">
        <f>"215,0"</f>
        <v>215,0</v>
      </c>
      <c r="L9" s="9" t="str">
        <f>"132,5368"</f>
        <v>132,5368</v>
      </c>
      <c r="M9" s="8" t="s">
        <v>215</v>
      </c>
    </row>
    <row r="10" spans="1:13">
      <c r="B10" s="5" t="s">
        <v>9</v>
      </c>
    </row>
    <row r="11" spans="1:13" ht="16">
      <c r="A11" s="32" t="s">
        <v>72</v>
      </c>
      <c r="B11" s="32"/>
      <c r="C11" s="33"/>
      <c r="D11" s="33"/>
      <c r="E11" s="33"/>
      <c r="F11" s="33"/>
      <c r="G11" s="33"/>
      <c r="H11" s="33"/>
      <c r="I11" s="33"/>
      <c r="J11" s="33"/>
    </row>
    <row r="12" spans="1:13">
      <c r="A12" s="9" t="s">
        <v>21</v>
      </c>
      <c r="B12" s="8" t="s">
        <v>216</v>
      </c>
      <c r="C12" s="8" t="s">
        <v>217</v>
      </c>
      <c r="D12" s="8" t="s">
        <v>218</v>
      </c>
      <c r="E12" s="8" t="s">
        <v>258</v>
      </c>
      <c r="F12" s="8" t="s">
        <v>89</v>
      </c>
      <c r="G12" s="14" t="s">
        <v>219</v>
      </c>
      <c r="H12" s="14" t="s">
        <v>220</v>
      </c>
      <c r="I12" s="14" t="s">
        <v>221</v>
      </c>
      <c r="J12" s="9"/>
      <c r="K12" s="9" t="str">
        <f>"235,0"</f>
        <v>235,0</v>
      </c>
      <c r="L12" s="9" t="str">
        <f>"178,2176"</f>
        <v>178,2176</v>
      </c>
      <c r="M12" s="8"/>
    </row>
    <row r="13" spans="1:13">
      <c r="B13" s="5" t="s">
        <v>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CEA5-3CB9-439C-9920-741866470F4A}">
  <dimension ref="A1:N14"/>
  <sheetViews>
    <sheetView workbookViewId="0">
      <selection sqref="A1:N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0.5" style="5" customWidth="1"/>
    <col min="7" max="7" width="33.5" style="5" bestFit="1" customWidth="1"/>
    <col min="8" max="10" width="5.5" style="6" customWidth="1"/>
    <col min="11" max="11" width="4.83203125" style="6" customWidth="1"/>
    <col min="12" max="12" width="11.33203125" style="6" bestFit="1" customWidth="1"/>
    <col min="13" max="13" width="8.5" style="6" bestFit="1" customWidth="1"/>
    <col min="14" max="14" width="20.6640625" style="5" customWidth="1"/>
    <col min="15" max="16384" width="9.1640625" style="3"/>
  </cols>
  <sheetData>
    <row r="1" spans="1:14" s="2" customFormat="1" ht="29" customHeight="1">
      <c r="A1" s="36" t="s">
        <v>243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10</v>
      </c>
      <c r="F3" s="49" t="s">
        <v>253</v>
      </c>
      <c r="G3" s="48" t="s">
        <v>5</v>
      </c>
      <c r="H3" s="48" t="s">
        <v>30</v>
      </c>
      <c r="I3" s="48"/>
      <c r="J3" s="48"/>
      <c r="K3" s="48"/>
      <c r="L3" s="48" t="s">
        <v>8</v>
      </c>
      <c r="M3" s="48" t="s">
        <v>3</v>
      </c>
      <c r="N3" s="51" t="s">
        <v>2</v>
      </c>
    </row>
    <row r="4" spans="1:14" s="1" customFormat="1" ht="21" customHeight="1" thickBot="1">
      <c r="A4" s="45"/>
      <c r="B4" s="50"/>
      <c r="C4" s="47"/>
      <c r="D4" s="47"/>
      <c r="E4" s="47"/>
      <c r="F4" s="70"/>
      <c r="G4" s="47"/>
      <c r="H4" s="4">
        <v>1</v>
      </c>
      <c r="I4" s="4">
        <v>2</v>
      </c>
      <c r="J4" s="4">
        <v>3</v>
      </c>
      <c r="K4" s="4" t="s">
        <v>4</v>
      </c>
      <c r="L4" s="47"/>
      <c r="M4" s="47"/>
      <c r="N4" s="52"/>
    </row>
    <row r="5" spans="1:14" ht="16">
      <c r="A5" s="34" t="s">
        <v>98</v>
      </c>
      <c r="B5" s="34"/>
      <c r="C5" s="35"/>
      <c r="D5" s="35"/>
      <c r="E5" s="35"/>
      <c r="F5" s="35"/>
      <c r="G5" s="35"/>
      <c r="H5" s="35"/>
      <c r="I5" s="35"/>
      <c r="J5" s="35"/>
      <c r="K5" s="35"/>
    </row>
    <row r="6" spans="1:14">
      <c r="A6" s="9" t="s">
        <v>21</v>
      </c>
      <c r="B6" s="8" t="s">
        <v>195</v>
      </c>
      <c r="C6" s="8" t="s">
        <v>196</v>
      </c>
      <c r="D6" s="8" t="s">
        <v>197</v>
      </c>
      <c r="E6" s="8" t="str">
        <f>"0,6040"</f>
        <v>0,6040</v>
      </c>
      <c r="F6" s="8" t="s">
        <v>255</v>
      </c>
      <c r="G6" s="8" t="s">
        <v>201</v>
      </c>
      <c r="H6" s="14" t="s">
        <v>198</v>
      </c>
      <c r="I6" s="19" t="s">
        <v>69</v>
      </c>
      <c r="J6" s="14" t="s">
        <v>69</v>
      </c>
      <c r="K6" s="9"/>
      <c r="L6" s="9" t="str">
        <f>"275,0"</f>
        <v>275,0</v>
      </c>
      <c r="M6" s="9" t="str">
        <f>"166,1000"</f>
        <v>166,1000</v>
      </c>
      <c r="N6" s="8" t="s">
        <v>237</v>
      </c>
    </row>
    <row r="7" spans="1:14">
      <c r="B7" s="5" t="s">
        <v>9</v>
      </c>
    </row>
    <row r="8" spans="1:14" ht="16">
      <c r="A8" s="32" t="s">
        <v>72</v>
      </c>
      <c r="B8" s="32"/>
      <c r="C8" s="33"/>
      <c r="D8" s="33"/>
      <c r="E8" s="33"/>
      <c r="F8" s="33"/>
      <c r="G8" s="33"/>
      <c r="H8" s="33"/>
      <c r="I8" s="33"/>
      <c r="J8" s="33"/>
      <c r="K8" s="33"/>
    </row>
    <row r="9" spans="1:14">
      <c r="A9" s="9" t="s">
        <v>21</v>
      </c>
      <c r="B9" s="8" t="s">
        <v>199</v>
      </c>
      <c r="C9" s="8" t="s">
        <v>200</v>
      </c>
      <c r="D9" s="8" t="s">
        <v>105</v>
      </c>
      <c r="E9" s="8" t="str">
        <f>"0,5645"</f>
        <v>0,5645</v>
      </c>
      <c r="F9" s="8" t="s">
        <v>255</v>
      </c>
      <c r="G9" s="8" t="s">
        <v>201</v>
      </c>
      <c r="H9" s="14" t="s">
        <v>115</v>
      </c>
      <c r="I9" s="14" t="s">
        <v>202</v>
      </c>
      <c r="J9" s="14" t="s">
        <v>121</v>
      </c>
      <c r="K9" s="9"/>
      <c r="L9" s="9" t="str">
        <f>"215,0"</f>
        <v>215,0</v>
      </c>
      <c r="M9" s="9" t="str">
        <f>"121,3782"</f>
        <v>121,3782</v>
      </c>
      <c r="N9" s="8"/>
    </row>
    <row r="10" spans="1:14">
      <c r="B10" s="5" t="s">
        <v>9</v>
      </c>
    </row>
    <row r="11" spans="1:14" ht="16">
      <c r="A11" s="32" t="s">
        <v>117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</row>
    <row r="12" spans="1:14" s="57" customFormat="1">
      <c r="A12" s="58" t="s">
        <v>21</v>
      </c>
      <c r="B12" s="59" t="s">
        <v>66</v>
      </c>
      <c r="C12" s="59" t="s">
        <v>231</v>
      </c>
      <c r="D12" s="59" t="s">
        <v>67</v>
      </c>
      <c r="E12" s="59" t="str">
        <f>"0,5855"</f>
        <v>0,5855</v>
      </c>
      <c r="F12" s="59" t="s">
        <v>254</v>
      </c>
      <c r="G12" s="59" t="s">
        <v>238</v>
      </c>
      <c r="H12" s="14" t="s">
        <v>68</v>
      </c>
      <c r="I12" s="14" t="s">
        <v>69</v>
      </c>
      <c r="J12" s="14" t="s">
        <v>70</v>
      </c>
      <c r="K12" s="58"/>
      <c r="L12" s="58" t="str">
        <f>"280,0"</f>
        <v>280,0</v>
      </c>
      <c r="M12" s="58" t="str">
        <f>"164,7597"</f>
        <v>164,7597</v>
      </c>
      <c r="N12" s="59"/>
    </row>
    <row r="13" spans="1:14">
      <c r="A13" s="9" t="s">
        <v>21</v>
      </c>
      <c r="B13" s="8" t="s">
        <v>203</v>
      </c>
      <c r="C13" s="8" t="s">
        <v>230</v>
      </c>
      <c r="D13" s="8" t="s">
        <v>120</v>
      </c>
      <c r="E13" s="8" t="str">
        <f>"0,5529"</f>
        <v>0,5529</v>
      </c>
      <c r="F13" s="8" t="s">
        <v>256</v>
      </c>
      <c r="G13" s="8" t="s">
        <v>238</v>
      </c>
      <c r="H13" s="14" t="s">
        <v>204</v>
      </c>
      <c r="I13" s="14" t="s">
        <v>205</v>
      </c>
      <c r="J13" s="19" t="s">
        <v>206</v>
      </c>
      <c r="K13" s="9"/>
      <c r="L13" s="9" t="str">
        <f>"295,0"</f>
        <v>295,0</v>
      </c>
      <c r="M13" s="9" t="str">
        <f>"163,1055"</f>
        <v>163,1055</v>
      </c>
      <c r="N13" s="8"/>
    </row>
    <row r="14" spans="1:14">
      <c r="B14" s="5" t="s">
        <v>9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G3:G4"/>
    <mergeCell ref="H3:K3"/>
    <mergeCell ref="F3:F4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21A2-314C-4D41-AA87-D7B2DFBA1D5D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1.33203125" style="6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36" t="s">
        <v>246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253</v>
      </c>
      <c r="F3" s="48" t="s">
        <v>5</v>
      </c>
      <c r="G3" s="48" t="s">
        <v>173</v>
      </c>
      <c r="H3" s="48"/>
      <c r="I3" s="48"/>
      <c r="J3" s="48"/>
      <c r="K3" s="48" t="s">
        <v>8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34" t="s">
        <v>125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21</v>
      </c>
      <c r="B6" s="8" t="s">
        <v>178</v>
      </c>
      <c r="C6" s="8" t="s">
        <v>179</v>
      </c>
      <c r="D6" s="8" t="s">
        <v>180</v>
      </c>
      <c r="E6" s="8" t="s">
        <v>255</v>
      </c>
      <c r="F6" s="8" t="s">
        <v>22</v>
      </c>
      <c r="G6" s="14" t="s">
        <v>36</v>
      </c>
      <c r="H6" s="19" t="s">
        <v>160</v>
      </c>
      <c r="I6" s="19" t="s">
        <v>160</v>
      </c>
      <c r="J6" s="9"/>
      <c r="K6" s="9" t="str">
        <f>"160,0"</f>
        <v>160,0</v>
      </c>
      <c r="L6" s="9" t="str">
        <f>"120,9760"</f>
        <v>120,9760</v>
      </c>
      <c r="M6" s="8" t="s">
        <v>137</v>
      </c>
    </row>
    <row r="7" spans="1:13">
      <c r="B7" s="5" t="s">
        <v>9</v>
      </c>
    </row>
    <row r="8" spans="1:13" ht="16">
      <c r="A8" s="32" t="s">
        <v>11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16" t="s">
        <v>21</v>
      </c>
      <c r="B9" s="15" t="s">
        <v>181</v>
      </c>
      <c r="C9" s="15" t="s">
        <v>182</v>
      </c>
      <c r="D9" s="15" t="s">
        <v>183</v>
      </c>
      <c r="E9" s="15" t="s">
        <v>255</v>
      </c>
      <c r="F9" s="15" t="s">
        <v>184</v>
      </c>
      <c r="G9" s="20" t="s">
        <v>185</v>
      </c>
      <c r="H9" s="20" t="s">
        <v>115</v>
      </c>
      <c r="I9" s="21" t="s">
        <v>116</v>
      </c>
      <c r="J9" s="16"/>
      <c r="K9" s="16" t="str">
        <f>"190,0"</f>
        <v>190,0</v>
      </c>
      <c r="L9" s="16" t="str">
        <f>"133,6460"</f>
        <v>133,6460</v>
      </c>
      <c r="M9" s="15"/>
    </row>
    <row r="10" spans="1:13">
      <c r="A10" s="18" t="s">
        <v>81</v>
      </c>
      <c r="B10" s="17" t="s">
        <v>186</v>
      </c>
      <c r="C10" s="17" t="s">
        <v>187</v>
      </c>
      <c r="D10" s="17" t="s">
        <v>188</v>
      </c>
      <c r="E10" s="17" t="s">
        <v>255</v>
      </c>
      <c r="F10" s="17" t="s">
        <v>189</v>
      </c>
      <c r="G10" s="22" t="s">
        <v>114</v>
      </c>
      <c r="H10" s="23" t="s">
        <v>109</v>
      </c>
      <c r="I10" s="23" t="s">
        <v>109</v>
      </c>
      <c r="J10" s="18"/>
      <c r="K10" s="18" t="str">
        <f>"180,0"</f>
        <v>180,0</v>
      </c>
      <c r="L10" s="18" t="str">
        <f>"125,9550"</f>
        <v>125,9550</v>
      </c>
      <c r="M10" s="17"/>
    </row>
    <row r="11" spans="1:13">
      <c r="B11" s="5" t="s">
        <v>9</v>
      </c>
    </row>
    <row r="12" spans="1:13" ht="16">
      <c r="A12" s="32" t="s">
        <v>31</v>
      </c>
      <c r="B12" s="32"/>
      <c r="C12" s="33"/>
      <c r="D12" s="33"/>
      <c r="E12" s="33"/>
      <c r="F12" s="33"/>
      <c r="G12" s="33"/>
      <c r="H12" s="33"/>
      <c r="I12" s="33"/>
      <c r="J12" s="33"/>
    </row>
    <row r="13" spans="1:13">
      <c r="A13" s="9" t="s">
        <v>21</v>
      </c>
      <c r="B13" s="8" t="s">
        <v>190</v>
      </c>
      <c r="C13" s="8" t="s">
        <v>191</v>
      </c>
      <c r="D13" s="8" t="s">
        <v>192</v>
      </c>
      <c r="E13" s="8" t="s">
        <v>255</v>
      </c>
      <c r="F13" s="8" t="s">
        <v>76</v>
      </c>
      <c r="G13" s="14" t="s">
        <v>193</v>
      </c>
      <c r="H13" s="14" t="s">
        <v>160</v>
      </c>
      <c r="I13" s="14" t="s">
        <v>194</v>
      </c>
      <c r="J13" s="9"/>
      <c r="K13" s="9" t="str">
        <f>"177,5"</f>
        <v>177,5</v>
      </c>
      <c r="L13" s="9" t="str">
        <f>"110,5115"</f>
        <v>110,5115</v>
      </c>
      <c r="M13" s="8"/>
    </row>
    <row r="14" spans="1:13">
      <c r="B14" s="5" t="s">
        <v>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6493-73B8-4DE6-9D1F-62B351F9BFB1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4.5" style="6" customWidth="1"/>
    <col min="10" max="10" width="4.83203125" style="6" customWidth="1"/>
    <col min="11" max="11" width="11.33203125" style="6" bestFit="1" customWidth="1"/>
    <col min="12" max="12" width="7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36" t="s">
        <v>247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253</v>
      </c>
      <c r="F3" s="48" t="s">
        <v>5</v>
      </c>
      <c r="G3" s="48" t="s">
        <v>173</v>
      </c>
      <c r="H3" s="48"/>
      <c r="I3" s="48"/>
      <c r="J3" s="48"/>
      <c r="K3" s="48" t="s">
        <v>8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34" t="s">
        <v>53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21</v>
      </c>
      <c r="B6" s="8" t="s">
        <v>174</v>
      </c>
      <c r="C6" s="8" t="s">
        <v>175</v>
      </c>
      <c r="D6" s="8" t="s">
        <v>176</v>
      </c>
      <c r="E6" s="8" t="s">
        <v>255</v>
      </c>
      <c r="F6" s="8" t="s">
        <v>22</v>
      </c>
      <c r="G6" s="14" t="s">
        <v>80</v>
      </c>
      <c r="H6" s="19" t="s">
        <v>41</v>
      </c>
      <c r="I6" s="14" t="s">
        <v>41</v>
      </c>
      <c r="J6" s="9"/>
      <c r="K6" s="9" t="str">
        <f>"65,0"</f>
        <v>65,0</v>
      </c>
      <c r="L6" s="9" t="str">
        <f>"65,5135"</f>
        <v>65,5135</v>
      </c>
      <c r="M6" s="8" t="s">
        <v>177</v>
      </c>
    </row>
    <row r="7" spans="1:13">
      <c r="B7" s="5" t="s">
        <v>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2DCD-48A1-415D-962A-09BC4941E814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2" style="5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20.33203125" style="5" customWidth="1"/>
    <col min="18" max="16384" width="9.1640625" style="3"/>
  </cols>
  <sheetData>
    <row r="1" spans="1:17" s="2" customFormat="1" ht="29" customHeight="1">
      <c r="A1" s="36" t="s">
        <v>248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253</v>
      </c>
      <c r="F3" s="48" t="s">
        <v>5</v>
      </c>
      <c r="G3" s="48" t="s">
        <v>71</v>
      </c>
      <c r="H3" s="48"/>
      <c r="I3" s="48"/>
      <c r="J3" s="48"/>
      <c r="K3" s="48" t="s">
        <v>227</v>
      </c>
      <c r="L3" s="48"/>
      <c r="M3" s="48"/>
      <c r="N3" s="48"/>
      <c r="O3" s="48" t="s">
        <v>1</v>
      </c>
      <c r="P3" s="48" t="s">
        <v>3</v>
      </c>
      <c r="Q3" s="51" t="s">
        <v>2</v>
      </c>
    </row>
    <row r="4" spans="1:17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52"/>
    </row>
    <row r="5" spans="1:17" ht="16">
      <c r="A5" s="34" t="s">
        <v>98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7">
      <c r="A6" s="9" t="s">
        <v>21</v>
      </c>
      <c r="B6" s="8" t="s">
        <v>222</v>
      </c>
      <c r="C6" s="8" t="s">
        <v>223</v>
      </c>
      <c r="D6" s="8" t="s">
        <v>224</v>
      </c>
      <c r="E6" s="8" t="s">
        <v>255</v>
      </c>
      <c r="F6" s="8" t="s">
        <v>233</v>
      </c>
      <c r="G6" s="19" t="s">
        <v>24</v>
      </c>
      <c r="H6" s="14" t="s">
        <v>24</v>
      </c>
      <c r="I6" s="14" t="s">
        <v>90</v>
      </c>
      <c r="J6" s="9"/>
      <c r="K6" s="14" t="s">
        <v>41</v>
      </c>
      <c r="L6" s="14" t="s">
        <v>23</v>
      </c>
      <c r="M6" s="14" t="s">
        <v>226</v>
      </c>
      <c r="N6" s="9"/>
      <c r="O6" s="9" t="str">
        <f>"157,5"</f>
        <v>157,5</v>
      </c>
      <c r="P6" s="9" t="str">
        <f>"93,4211"</f>
        <v>93,4211</v>
      </c>
      <c r="Q6" s="8"/>
    </row>
    <row r="7" spans="1:17">
      <c r="B7" s="5" t="s">
        <v>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DAA4-02AD-4E51-A0A0-C1BE3A656908}">
  <dimension ref="A1:P8"/>
  <sheetViews>
    <sheetView workbookViewId="0">
      <selection sqref="A1:N2"/>
    </sheetView>
  </sheetViews>
  <sheetFormatPr baseColWidth="10" defaultColWidth="9.1640625" defaultRowHeight="13"/>
  <cols>
    <col min="1" max="1" width="7.5" style="5" bestFit="1" customWidth="1"/>
    <col min="2" max="2" width="18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0.5" style="5" customWidth="1"/>
    <col min="7" max="7" width="21.5" style="5" bestFit="1" customWidth="1"/>
    <col min="8" max="10" width="4.5" style="6" customWidth="1"/>
    <col min="11" max="11" width="4.83203125" style="6" customWidth="1"/>
    <col min="12" max="12" width="11.33203125" style="6" bestFit="1" customWidth="1"/>
    <col min="13" max="13" width="17.5" style="65" customWidth="1"/>
    <col min="14" max="14" width="21.33203125" style="5" customWidth="1"/>
    <col min="15" max="16384" width="9.1640625" style="3"/>
  </cols>
  <sheetData>
    <row r="1" spans="1:16" s="2" customFormat="1" ht="29" customHeight="1">
      <c r="A1" s="36" t="s">
        <v>249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6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10</v>
      </c>
      <c r="F3" s="49" t="s">
        <v>253</v>
      </c>
      <c r="G3" s="48" t="s">
        <v>5</v>
      </c>
      <c r="H3" s="48" t="s">
        <v>71</v>
      </c>
      <c r="I3" s="48"/>
      <c r="J3" s="48"/>
      <c r="K3" s="48"/>
      <c r="L3" s="48" t="s">
        <v>8</v>
      </c>
      <c r="M3" s="62" t="s">
        <v>3</v>
      </c>
      <c r="N3" s="51" t="s">
        <v>2</v>
      </c>
    </row>
    <row r="4" spans="1:16" s="1" customFormat="1" ht="21" customHeight="1" thickBot="1">
      <c r="A4" s="45"/>
      <c r="B4" s="50"/>
      <c r="C4" s="47"/>
      <c r="D4" s="47"/>
      <c r="E4" s="47"/>
      <c r="F4" s="70"/>
      <c r="G4" s="47"/>
      <c r="H4" s="4">
        <v>1</v>
      </c>
      <c r="I4" s="4">
        <v>2</v>
      </c>
      <c r="J4" s="4">
        <v>3</v>
      </c>
      <c r="K4" s="4" t="s">
        <v>4</v>
      </c>
      <c r="L4" s="47"/>
      <c r="M4" s="63"/>
      <c r="N4" s="52"/>
    </row>
    <row r="5" spans="1:16" ht="16">
      <c r="A5" s="34" t="s">
        <v>98</v>
      </c>
      <c r="B5" s="34"/>
      <c r="C5" s="35"/>
      <c r="D5" s="35"/>
      <c r="E5" s="35"/>
      <c r="F5" s="35"/>
      <c r="G5" s="35"/>
      <c r="H5" s="35"/>
      <c r="I5" s="35"/>
      <c r="J5" s="35"/>
      <c r="K5" s="35"/>
    </row>
    <row r="6" spans="1:16" ht="14" thickBot="1">
      <c r="A6" s="9" t="s">
        <v>21</v>
      </c>
      <c r="B6" s="8" t="s">
        <v>222</v>
      </c>
      <c r="C6" s="8" t="s">
        <v>223</v>
      </c>
      <c r="D6" s="8" t="s">
        <v>224</v>
      </c>
      <c r="E6" s="8" t="str">
        <f>"0,5932"</f>
        <v>0,5932</v>
      </c>
      <c r="F6" s="8" t="s">
        <v>255</v>
      </c>
      <c r="G6" s="8" t="s">
        <v>225</v>
      </c>
      <c r="H6" s="19" t="s">
        <v>24</v>
      </c>
      <c r="I6" s="14" t="s">
        <v>24</v>
      </c>
      <c r="J6" s="14" t="s">
        <v>90</v>
      </c>
      <c r="K6" s="9"/>
      <c r="L6" s="9" t="str">
        <f>"85,0"</f>
        <v>85,0</v>
      </c>
      <c r="M6" s="66">
        <f>L6*E6</f>
        <v>50.421999999999997</v>
      </c>
      <c r="N6" s="8"/>
    </row>
    <row r="7" spans="1:16" s="57" customFormat="1" ht="16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55"/>
      <c r="O7" s="55"/>
      <c r="P7" s="56"/>
    </row>
    <row r="8" spans="1:16" s="57" customFormat="1">
      <c r="A8" s="58" t="s">
        <v>21</v>
      </c>
      <c r="B8" s="59" t="s">
        <v>73</v>
      </c>
      <c r="C8" s="59" t="s">
        <v>74</v>
      </c>
      <c r="D8" s="59" t="s">
        <v>75</v>
      </c>
      <c r="E8" s="59" t="str">
        <f>"0,6019"</f>
        <v>0,6019</v>
      </c>
      <c r="F8" s="59" t="s">
        <v>255</v>
      </c>
      <c r="G8" s="59" t="s">
        <v>76</v>
      </c>
      <c r="H8" s="14" t="s">
        <v>77</v>
      </c>
      <c r="I8" s="14" t="s">
        <v>78</v>
      </c>
      <c r="J8" s="14" t="s">
        <v>79</v>
      </c>
      <c r="K8" s="58"/>
      <c r="L8" s="58" t="s">
        <v>80</v>
      </c>
      <c r="M8" s="64">
        <f>L8*E8</f>
        <v>33.104500000000002</v>
      </c>
      <c r="N8" s="58"/>
      <c r="P8" s="59"/>
    </row>
  </sheetData>
  <mergeCells count="14">
    <mergeCell ref="A7:M7"/>
    <mergeCell ref="F3:F4"/>
    <mergeCell ref="A5:K5"/>
    <mergeCell ref="B3:B4"/>
    <mergeCell ref="A1:N2"/>
    <mergeCell ref="A3:A4"/>
    <mergeCell ref="C3:C4"/>
    <mergeCell ref="D3:D4"/>
    <mergeCell ref="E3:E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0E1F-0916-4069-87EE-B5A6A5BF2757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4.5" style="6" customWidth="1"/>
    <col min="10" max="10" width="4.83203125" style="6" customWidth="1"/>
    <col min="11" max="11" width="11.33203125" style="6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6" t="s">
        <v>250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251</v>
      </c>
      <c r="B3" s="49" t="s">
        <v>0</v>
      </c>
      <c r="C3" s="46" t="s">
        <v>252</v>
      </c>
      <c r="D3" s="46" t="s">
        <v>6</v>
      </c>
      <c r="E3" s="48" t="s">
        <v>253</v>
      </c>
      <c r="F3" s="48" t="s">
        <v>5</v>
      </c>
      <c r="G3" s="48" t="s">
        <v>227</v>
      </c>
      <c r="H3" s="48"/>
      <c r="I3" s="48"/>
      <c r="J3" s="48"/>
      <c r="K3" s="48" t="s">
        <v>8</v>
      </c>
      <c r="L3" s="48" t="s">
        <v>3</v>
      </c>
      <c r="M3" s="51" t="s">
        <v>2</v>
      </c>
    </row>
    <row r="4" spans="1:13" s="1" customFormat="1" ht="21" customHeight="1" thickBot="1">
      <c r="A4" s="45"/>
      <c r="B4" s="50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2"/>
    </row>
    <row r="5" spans="1:13" ht="16">
      <c r="A5" s="34" t="s">
        <v>125</v>
      </c>
      <c r="B5" s="34"/>
      <c r="C5" s="35"/>
      <c r="D5" s="35"/>
      <c r="E5" s="35"/>
      <c r="F5" s="35"/>
      <c r="G5" s="35"/>
      <c r="H5" s="35"/>
      <c r="I5" s="35"/>
      <c r="J5" s="35"/>
    </row>
    <row r="6" spans="1:13">
      <c r="A6" s="9" t="s">
        <v>21</v>
      </c>
      <c r="B6" s="8" t="s">
        <v>12</v>
      </c>
      <c r="C6" s="8" t="s">
        <v>13</v>
      </c>
      <c r="D6" s="8" t="s">
        <v>14</v>
      </c>
      <c r="E6" s="8" t="s">
        <v>255</v>
      </c>
      <c r="F6" s="8" t="s">
        <v>234</v>
      </c>
      <c r="G6" s="14" t="s">
        <v>228</v>
      </c>
      <c r="H6" s="14" t="s">
        <v>25</v>
      </c>
      <c r="I6" s="14" t="s">
        <v>229</v>
      </c>
      <c r="J6" s="9"/>
      <c r="K6" s="9" t="str">
        <f>"32,5"</f>
        <v>32,5</v>
      </c>
      <c r="L6" s="9" t="str">
        <f>"30,4866"</f>
        <v>30,4866</v>
      </c>
      <c r="M6" s="8" t="s">
        <v>15</v>
      </c>
    </row>
    <row r="7" spans="1:13">
      <c r="B7" s="5" t="s">
        <v>9</v>
      </c>
    </row>
    <row r="8" spans="1:13" ht="16">
      <c r="A8" s="32" t="s">
        <v>11</v>
      </c>
      <c r="B8" s="32"/>
      <c r="C8" s="33"/>
      <c r="D8" s="33"/>
      <c r="E8" s="33"/>
      <c r="F8" s="33"/>
      <c r="G8" s="33"/>
      <c r="H8" s="33"/>
      <c r="I8" s="33"/>
      <c r="J8" s="33"/>
    </row>
    <row r="9" spans="1:13">
      <c r="A9" s="9" t="s">
        <v>21</v>
      </c>
      <c r="B9" s="8" t="s">
        <v>85</v>
      </c>
      <c r="C9" s="8" t="s">
        <v>86</v>
      </c>
      <c r="D9" s="8" t="s">
        <v>87</v>
      </c>
      <c r="E9" s="8" t="s">
        <v>255</v>
      </c>
      <c r="F9" s="8" t="s">
        <v>235</v>
      </c>
      <c r="G9" s="14" t="s">
        <v>28</v>
      </c>
      <c r="H9" s="14" t="s">
        <v>80</v>
      </c>
      <c r="I9" s="14" t="s">
        <v>26</v>
      </c>
      <c r="J9" s="9"/>
      <c r="K9" s="9" t="str">
        <f>"60,0"</f>
        <v>60,0</v>
      </c>
      <c r="L9" s="9" t="str">
        <f>"41,5590"</f>
        <v>41,5590</v>
      </c>
      <c r="M9" s="8"/>
    </row>
    <row r="10" spans="1:13">
      <c r="B10" s="5" t="s">
        <v>9</v>
      </c>
    </row>
    <row r="11" spans="1:13" ht="16">
      <c r="A11" s="32" t="s">
        <v>98</v>
      </c>
      <c r="B11" s="32"/>
      <c r="C11" s="33"/>
      <c r="D11" s="33"/>
      <c r="E11" s="33"/>
      <c r="F11" s="33"/>
      <c r="G11" s="33"/>
      <c r="H11" s="33"/>
      <c r="I11" s="33"/>
      <c r="J11" s="33"/>
    </row>
    <row r="12" spans="1:13">
      <c r="A12" s="9" t="s">
        <v>21</v>
      </c>
      <c r="B12" s="8" t="s">
        <v>222</v>
      </c>
      <c r="C12" s="8" t="s">
        <v>223</v>
      </c>
      <c r="D12" s="8" t="s">
        <v>224</v>
      </c>
      <c r="E12" s="8" t="s">
        <v>255</v>
      </c>
      <c r="F12" s="8" t="s">
        <v>233</v>
      </c>
      <c r="G12" s="14" t="s">
        <v>41</v>
      </c>
      <c r="H12" s="14" t="s">
        <v>23</v>
      </c>
      <c r="I12" s="14" t="s">
        <v>226</v>
      </c>
      <c r="J12" s="9"/>
      <c r="K12" s="9" t="str">
        <f>"72,5"</f>
        <v>72,5</v>
      </c>
      <c r="L12" s="9" t="str">
        <f>"43,0034"</f>
        <v>43,0034</v>
      </c>
      <c r="M12" s="8"/>
    </row>
    <row r="13" spans="1:13">
      <c r="B13" s="5" t="s">
        <v>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Жим без экипировки ДК</vt:lpstr>
      <vt:lpstr>Жим без экипировки</vt:lpstr>
      <vt:lpstr>СПР Жим софт однопетельная ДК</vt:lpstr>
      <vt:lpstr>СПР Жим софт однопетельная</vt:lpstr>
      <vt:lpstr>Тяга без экипировки ДК</vt:lpstr>
      <vt:lpstr>Тяга без экипировки</vt:lpstr>
      <vt:lpstr>СПР Пауэрспорт ДК</vt:lpstr>
      <vt:lpstr>СПР Жим стоя ДК</vt:lpstr>
      <vt:lpstr>СПР Подъем на бицепс 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2021-05-15T19:26:55Z</dcterms:modified>
</cp:coreProperties>
</file>