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Май/"/>
    </mc:Choice>
  </mc:AlternateContent>
  <xr:revisionPtr revIDLastSave="0" documentId="13_ncr:1_{EBB1E25E-9B27-694E-95A8-ED870E5DF463}" xr6:coauthVersionLast="45" xr6:coauthVersionMax="45" xr10:uidLastSave="{00000000-0000-0000-0000-000000000000}"/>
  <bookViews>
    <workbookView xWindow="480" yWindow="460" windowWidth="27760" windowHeight="15860" tabRatio="762" xr2:uid="{00000000-000D-0000-FFFF-FFFF00000000}"/>
  </bookViews>
  <sheets>
    <sheet name="WRPF ПЛ без экипировки ДК" sheetId="10" r:id="rId1"/>
    <sheet name="WRPF ПЛ без экипировки" sheetId="9" r:id="rId2"/>
    <sheet name="WRPF ПЛ в бинтах ДК" sheetId="6" r:id="rId3"/>
    <sheet name="WRPF ПЛ в бинтах" sheetId="5" r:id="rId4"/>
    <sheet name="WRPF Двоеборье без экип ДК" sheetId="28" r:id="rId5"/>
    <sheet name="WRPF Жим лежа без экип ДК" sheetId="15" r:id="rId6"/>
    <sheet name="WRPF Жим лежа без экип" sheetId="14" r:id="rId7"/>
    <sheet name="WEPF Жим софт однопетельная ДК" sheetId="16" r:id="rId8"/>
    <sheet name="WEPF Жим софт однопетельная" sheetId="13" r:id="rId9"/>
    <sheet name="WEPF Жим софт многопетельная" sheetId="19" r:id="rId10"/>
    <sheet name="WRPF Жим СФО" sheetId="35" r:id="rId11"/>
    <sheet name="WRPF Тяга без экипировки ДК" sheetId="24" r:id="rId12"/>
    <sheet name="WRPF Тяга без экипировки" sheetId="23" r:id="rId13"/>
    <sheet name="WEPF Тяга экип" sheetId="25" r:id="rId14"/>
    <sheet name="WRPF Подъем на бицепс" sheetId="36" r:id="rId15"/>
  </sheets>
  <definedNames>
    <definedName name="_FilterDatabase" localSheetId="3" hidden="1">'WRPF ПЛ в бинтах'!$A$1:$T$3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8" i="36" l="1"/>
  <c r="L28" i="36"/>
  <c r="M27" i="36"/>
  <c r="L27" i="36"/>
  <c r="M24" i="36"/>
  <c r="L24" i="36"/>
  <c r="M21" i="36"/>
  <c r="L21" i="36"/>
  <c r="M18" i="36"/>
  <c r="L18" i="36"/>
  <c r="M17" i="36"/>
  <c r="L17" i="36"/>
  <c r="M14" i="36"/>
  <c r="L14" i="36"/>
  <c r="M13" i="36"/>
  <c r="L13" i="36"/>
  <c r="M12" i="36"/>
  <c r="L12" i="36"/>
  <c r="M9" i="36"/>
  <c r="L9" i="36"/>
  <c r="M6" i="36"/>
  <c r="L6" i="36"/>
  <c r="M26" i="35"/>
  <c r="L26" i="35"/>
  <c r="M25" i="35"/>
  <c r="L25" i="35"/>
  <c r="M24" i="35"/>
  <c r="L24" i="35"/>
  <c r="M23" i="35"/>
  <c r="L23" i="35"/>
  <c r="M22" i="35"/>
  <c r="L22" i="35"/>
  <c r="M21" i="35"/>
  <c r="L21" i="35"/>
  <c r="M18" i="35"/>
  <c r="L18" i="35"/>
  <c r="M17" i="35"/>
  <c r="L17" i="35"/>
  <c r="M14" i="35"/>
  <c r="L14" i="35"/>
  <c r="M13" i="35"/>
  <c r="L13" i="35"/>
  <c r="M12" i="35"/>
  <c r="L12" i="35"/>
  <c r="M9" i="35"/>
  <c r="M6" i="35"/>
  <c r="L6" i="35"/>
  <c r="Q12" i="28"/>
  <c r="P12" i="28"/>
  <c r="Q9" i="28"/>
  <c r="P9" i="28"/>
  <c r="Q6" i="28"/>
  <c r="P6" i="28"/>
  <c r="M6" i="25"/>
  <c r="L6" i="25"/>
  <c r="M32" i="24"/>
  <c r="L32" i="24"/>
  <c r="M29" i="24"/>
  <c r="L29" i="24"/>
  <c r="M26" i="24"/>
  <c r="L26" i="24"/>
  <c r="M25" i="24"/>
  <c r="L25" i="24"/>
  <c r="M24" i="24"/>
  <c r="L24" i="24"/>
  <c r="M21" i="24"/>
  <c r="L21" i="24"/>
  <c r="M18" i="24"/>
  <c r="L18" i="24"/>
  <c r="M17" i="24"/>
  <c r="L17" i="24"/>
  <c r="M14" i="24"/>
  <c r="L14" i="24"/>
  <c r="M11" i="24"/>
  <c r="M10" i="24"/>
  <c r="L10" i="24"/>
  <c r="M9" i="24"/>
  <c r="L9" i="24"/>
  <c r="M6" i="24"/>
  <c r="L6" i="24"/>
  <c r="M42" i="23"/>
  <c r="L42" i="23"/>
  <c r="M39" i="23"/>
  <c r="L39" i="23"/>
  <c r="M38" i="23"/>
  <c r="L38" i="23"/>
  <c r="M37" i="23"/>
  <c r="L37" i="23"/>
  <c r="M34" i="23"/>
  <c r="L34" i="23"/>
  <c r="M33" i="23"/>
  <c r="L33" i="23"/>
  <c r="M32" i="23"/>
  <c r="L32" i="23"/>
  <c r="M29" i="23"/>
  <c r="L29" i="23"/>
  <c r="M28" i="23"/>
  <c r="L28" i="23"/>
  <c r="M25" i="23"/>
  <c r="L25" i="23"/>
  <c r="M24" i="23"/>
  <c r="L24" i="23"/>
  <c r="M23" i="23"/>
  <c r="L23" i="23"/>
  <c r="M20" i="23"/>
  <c r="L20" i="23"/>
  <c r="M17" i="23"/>
  <c r="L17" i="23"/>
  <c r="M16" i="23"/>
  <c r="L16" i="23"/>
  <c r="M13" i="23"/>
  <c r="L13" i="23"/>
  <c r="M10" i="23"/>
  <c r="L10" i="23"/>
  <c r="M7" i="23"/>
  <c r="L7" i="23"/>
  <c r="M6" i="23"/>
  <c r="L6" i="23"/>
  <c r="M9" i="19"/>
  <c r="L9" i="19"/>
  <c r="M6" i="19"/>
  <c r="L6" i="19"/>
  <c r="M25" i="16"/>
  <c r="L25" i="16"/>
  <c r="M22" i="16"/>
  <c r="L22" i="16"/>
  <c r="M21" i="16"/>
  <c r="L21" i="16"/>
  <c r="M20" i="16"/>
  <c r="L20" i="16"/>
  <c r="M19" i="16"/>
  <c r="L19" i="16"/>
  <c r="M16" i="16"/>
  <c r="L16" i="16"/>
  <c r="M13" i="16"/>
  <c r="L13" i="16"/>
  <c r="M12" i="16"/>
  <c r="L12" i="16"/>
  <c r="M9" i="16"/>
  <c r="L9" i="16"/>
  <c r="M6" i="16"/>
  <c r="L6" i="16"/>
  <c r="M77" i="15"/>
  <c r="L77" i="15"/>
  <c r="M74" i="15"/>
  <c r="L74" i="15"/>
  <c r="M71" i="15"/>
  <c r="L71" i="15"/>
  <c r="M70" i="15"/>
  <c r="L70" i="15"/>
  <c r="M69" i="15"/>
  <c r="L69" i="15"/>
  <c r="M66" i="15"/>
  <c r="L66" i="15"/>
  <c r="M65" i="15"/>
  <c r="L65" i="15"/>
  <c r="M64" i="15"/>
  <c r="L64" i="15"/>
  <c r="M63" i="15"/>
  <c r="L63" i="15"/>
  <c r="M62" i="15"/>
  <c r="L62" i="15"/>
  <c r="M61" i="15"/>
  <c r="M58" i="15"/>
  <c r="L58" i="15"/>
  <c r="M57" i="15"/>
  <c r="L57" i="15"/>
  <c r="M56" i="15"/>
  <c r="L56" i="15"/>
  <c r="M55" i="15"/>
  <c r="L55" i="15"/>
  <c r="M54" i="15"/>
  <c r="L54" i="15"/>
  <c r="M53" i="15"/>
  <c r="L53" i="15"/>
  <c r="M52" i="15"/>
  <c r="L52" i="15"/>
  <c r="M49" i="15"/>
  <c r="L49" i="15"/>
  <c r="M48" i="15"/>
  <c r="L48" i="15"/>
  <c r="M47" i="15"/>
  <c r="L47" i="15"/>
  <c r="M46" i="15"/>
  <c r="L46" i="15"/>
  <c r="M43" i="15"/>
  <c r="L43" i="15"/>
  <c r="M42" i="15"/>
  <c r="L42" i="15"/>
  <c r="M41" i="15"/>
  <c r="L41" i="15"/>
  <c r="M40" i="15"/>
  <c r="L40" i="15"/>
  <c r="M39" i="15"/>
  <c r="L39" i="15"/>
  <c r="M38" i="15"/>
  <c r="L38" i="15"/>
  <c r="M37" i="15"/>
  <c r="L37" i="15"/>
  <c r="M36" i="15"/>
  <c r="L36" i="15"/>
  <c r="M33" i="15"/>
  <c r="L33" i="15"/>
  <c r="M32" i="15"/>
  <c r="L32" i="15"/>
  <c r="M29" i="15"/>
  <c r="L29" i="15"/>
  <c r="M26" i="15"/>
  <c r="L26" i="15"/>
  <c r="M23" i="15"/>
  <c r="L23" i="15"/>
  <c r="M20" i="15"/>
  <c r="L20" i="15"/>
  <c r="M17" i="15"/>
  <c r="L17" i="15"/>
  <c r="M16" i="15"/>
  <c r="L16" i="15"/>
  <c r="M13" i="15"/>
  <c r="L13" i="15"/>
  <c r="M12" i="15"/>
  <c r="L12" i="15"/>
  <c r="M9" i="15"/>
  <c r="L9" i="15"/>
  <c r="M6" i="15"/>
  <c r="L6" i="15"/>
  <c r="M68" i="14"/>
  <c r="L68" i="14"/>
  <c r="M65" i="14"/>
  <c r="L65" i="14"/>
  <c r="M62" i="14"/>
  <c r="L62" i="14"/>
  <c r="M61" i="14"/>
  <c r="L61" i="14"/>
  <c r="M60" i="14"/>
  <c r="L60" i="14"/>
  <c r="M59" i="14"/>
  <c r="L59" i="14"/>
  <c r="M58" i="14"/>
  <c r="L58" i="14"/>
  <c r="M55" i="14"/>
  <c r="L55" i="14"/>
  <c r="M54" i="14"/>
  <c r="L54" i="14"/>
  <c r="M53" i="14"/>
  <c r="L53" i="14"/>
  <c r="M52" i="14"/>
  <c r="L52" i="14"/>
  <c r="M51" i="14"/>
  <c r="L51" i="14"/>
  <c r="M50" i="14"/>
  <c r="L50" i="14"/>
  <c r="M47" i="14"/>
  <c r="L47" i="14"/>
  <c r="M46" i="14"/>
  <c r="L46" i="14"/>
  <c r="M45" i="14"/>
  <c r="L45" i="14"/>
  <c r="M44" i="14"/>
  <c r="L44" i="14"/>
  <c r="M43" i="14"/>
  <c r="L43" i="14"/>
  <c r="M42" i="14"/>
  <c r="L42" i="14"/>
  <c r="M41" i="14"/>
  <c r="L41" i="14"/>
  <c r="M38" i="14"/>
  <c r="L38" i="14"/>
  <c r="M37" i="14"/>
  <c r="L37" i="14"/>
  <c r="M36" i="14"/>
  <c r="L36" i="14"/>
  <c r="M35" i="14"/>
  <c r="L35" i="14"/>
  <c r="M34" i="14"/>
  <c r="L34" i="14"/>
  <c r="M33" i="14"/>
  <c r="M30" i="14"/>
  <c r="L30" i="14"/>
  <c r="M29" i="14"/>
  <c r="L29" i="14"/>
  <c r="M28" i="14"/>
  <c r="L28" i="14"/>
  <c r="M25" i="14"/>
  <c r="M24" i="14"/>
  <c r="L24" i="14"/>
  <c r="M21" i="14"/>
  <c r="L21" i="14"/>
  <c r="M20" i="14"/>
  <c r="L20" i="14"/>
  <c r="M19" i="14"/>
  <c r="L19" i="14"/>
  <c r="M16" i="14"/>
  <c r="L16" i="14"/>
  <c r="M15" i="14"/>
  <c r="L15" i="14"/>
  <c r="M14" i="14"/>
  <c r="L14" i="14"/>
  <c r="M13" i="14"/>
  <c r="L13" i="14"/>
  <c r="M10" i="14"/>
  <c r="L10" i="14"/>
  <c r="M9" i="14"/>
  <c r="L9" i="14"/>
  <c r="M6" i="14"/>
  <c r="L6" i="14"/>
  <c r="M20" i="13"/>
  <c r="L20" i="13"/>
  <c r="M17" i="13"/>
  <c r="L17" i="13"/>
  <c r="M16" i="13"/>
  <c r="L16" i="13"/>
  <c r="M13" i="13"/>
  <c r="L13" i="13"/>
  <c r="M10" i="13"/>
  <c r="M9" i="13"/>
  <c r="L9" i="13"/>
  <c r="M6" i="13"/>
  <c r="L6" i="13"/>
  <c r="U25" i="10"/>
  <c r="U22" i="10"/>
  <c r="T22" i="10"/>
  <c r="U19" i="10"/>
  <c r="T19" i="10"/>
  <c r="U16" i="10"/>
  <c r="T16" i="10"/>
  <c r="U13" i="10"/>
  <c r="T13" i="10"/>
  <c r="U10" i="10"/>
  <c r="T10" i="10"/>
  <c r="U9" i="10"/>
  <c r="T9" i="10"/>
  <c r="U6" i="10"/>
  <c r="T6" i="10"/>
  <c r="U12" i="9"/>
  <c r="T12" i="9"/>
  <c r="U9" i="9"/>
  <c r="T9" i="9"/>
  <c r="U6" i="9"/>
  <c r="T6" i="9"/>
  <c r="U18" i="6"/>
  <c r="T18" i="6"/>
  <c r="U15" i="6"/>
  <c r="U14" i="6"/>
  <c r="T14" i="6"/>
  <c r="U11" i="6"/>
  <c r="T11" i="6"/>
  <c r="U8" i="6"/>
  <c r="T8" i="6"/>
  <c r="U7" i="6"/>
  <c r="T7" i="6"/>
  <c r="U6" i="6"/>
  <c r="T6" i="6"/>
  <c r="U16" i="5"/>
  <c r="T16" i="5"/>
  <c r="U13" i="5"/>
  <c r="T13" i="5"/>
  <c r="U12" i="5"/>
  <c r="T12" i="5"/>
  <c r="U9" i="5"/>
  <c r="T9" i="5"/>
  <c r="U6" i="5"/>
  <c r="T6" i="5"/>
</calcChain>
</file>

<file path=xl/sharedStrings.xml><?xml version="1.0" encoding="utf-8"?>
<sst xmlns="http://schemas.openxmlformats.org/spreadsheetml/2006/main" count="2607" uniqueCount="749">
  <si>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</si>
  <si>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</si>
  <si>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</si>
  <si>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</si>
  <si>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</si>
  <si>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</si>
  <si>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</si>
  <si>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</si>
  <si>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</si>
  <si>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</si>
  <si>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75</t>
  </si>
  <si>
    <t>Новиков Георгий</t>
  </si>
  <si>
    <t>Открытая (23.07.1987)/33</t>
  </si>
  <si>
    <t>74,10</t>
  </si>
  <si>
    <t xml:space="preserve">Соликамск/Пермский край </t>
  </si>
  <si>
    <t>165,0</t>
  </si>
  <si>
    <t>175,0</t>
  </si>
  <si>
    <t>185,0</t>
  </si>
  <si>
    <t>105,0</t>
  </si>
  <si>
    <t>110,0</t>
  </si>
  <si>
    <t>115,0</t>
  </si>
  <si>
    <t>ВЕСОВАЯ КАТЕГОРИЯ   90</t>
  </si>
  <si>
    <t>Аджикильдеев Виталий</t>
  </si>
  <si>
    <t>Открытая (28.07.1988)/32</t>
  </si>
  <si>
    <t>88,20</t>
  </si>
  <si>
    <t xml:space="preserve">Яйва/Пермский край </t>
  </si>
  <si>
    <t>255,0</t>
  </si>
  <si>
    <t>190,0</t>
  </si>
  <si>
    <t>200,0</t>
  </si>
  <si>
    <t>202,5</t>
  </si>
  <si>
    <t>275,0</t>
  </si>
  <si>
    <t>282,5</t>
  </si>
  <si>
    <t>ВЕСОВАЯ КАТЕГОРИЯ   110</t>
  </si>
  <si>
    <t>Меркурьев Александр</t>
  </si>
  <si>
    <t>Открытая (01.12.1985)/35</t>
  </si>
  <si>
    <t>107,50</t>
  </si>
  <si>
    <t xml:space="preserve">Лысьва/Пермский край </t>
  </si>
  <si>
    <t>310,0</t>
  </si>
  <si>
    <t>315,0</t>
  </si>
  <si>
    <t>195,0</t>
  </si>
  <si>
    <t>205,0</t>
  </si>
  <si>
    <t>210,0</t>
  </si>
  <si>
    <t>305,0</t>
  </si>
  <si>
    <t>320,0</t>
  </si>
  <si>
    <t>330,0</t>
  </si>
  <si>
    <t xml:space="preserve">Голышев С. </t>
  </si>
  <si>
    <t>Тимофеев Антон</t>
  </si>
  <si>
    <t>Открытая (29.04.1985)/36</t>
  </si>
  <si>
    <t>105,70</t>
  </si>
  <si>
    <t xml:space="preserve">Легенда </t>
  </si>
  <si>
    <t xml:space="preserve">Пермь/Пермский край </t>
  </si>
  <si>
    <t>225,0</t>
  </si>
  <si>
    <t>130,0</t>
  </si>
  <si>
    <t>137,5</t>
  </si>
  <si>
    <t>142,5</t>
  </si>
  <si>
    <t>222,5</t>
  </si>
  <si>
    <t xml:space="preserve">Новиков И. </t>
  </si>
  <si>
    <t>ВЕСОВАЯ КАТЕГОРИЯ   125</t>
  </si>
  <si>
    <t>Шепелин Кирилл</t>
  </si>
  <si>
    <t>Открытая (23.04.1993)/28</t>
  </si>
  <si>
    <t>123,00</t>
  </si>
  <si>
    <t xml:space="preserve">Киров/Кировская область </t>
  </si>
  <si>
    <t>280,0</t>
  </si>
  <si>
    <t>290,0</t>
  </si>
  <si>
    <t>300,0</t>
  </si>
  <si>
    <t>150,0</t>
  </si>
  <si>
    <t>157,5</t>
  </si>
  <si>
    <t>162,5</t>
  </si>
  <si>
    <t>270,0</t>
  </si>
  <si>
    <t xml:space="preserve">Обухов Ф. </t>
  </si>
  <si>
    <t>ВЕСОВАЯ КАТЕГОРИЯ   140</t>
  </si>
  <si>
    <t>170,0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</si>
  <si>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</si>
  <si>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</si>
  <si>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</si>
  <si>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</si>
  <si>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</si>
  <si>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Wilks </t>
  </si>
  <si>
    <t>110</t>
  </si>
  <si>
    <t>90</t>
  </si>
  <si>
    <t>1</t>
  </si>
  <si>
    <t/>
  </si>
  <si>
    <t>2</t>
  </si>
  <si>
    <t>-</t>
  </si>
  <si>
    <t>ВЕСОВАЯ КАТЕГОРИЯ   67.5</t>
  </si>
  <si>
    <t>Заплатина Полина</t>
  </si>
  <si>
    <t>Девушки 17-19 (24.09.2002)/18</t>
  </si>
  <si>
    <t>67,00</t>
  </si>
  <si>
    <t xml:space="preserve">Чайковский </t>
  </si>
  <si>
    <t xml:space="preserve">Чайковский/Пермский край </t>
  </si>
  <si>
    <t>125,0</t>
  </si>
  <si>
    <t>42,5</t>
  </si>
  <si>
    <t>47,5</t>
  </si>
  <si>
    <t>100,0</t>
  </si>
  <si>
    <t xml:space="preserve">Килин Р. </t>
  </si>
  <si>
    <t>Юрашкова Ольга</t>
  </si>
  <si>
    <t>Открытая (30.06.1976)/44</t>
  </si>
  <si>
    <t>64,30</t>
  </si>
  <si>
    <t xml:space="preserve">Чусовой/Пермский край </t>
  </si>
  <si>
    <t>120,0</t>
  </si>
  <si>
    <t>60,0</t>
  </si>
  <si>
    <t>65,0</t>
  </si>
  <si>
    <t>140,0</t>
  </si>
  <si>
    <t xml:space="preserve">Меркурьев А. </t>
  </si>
  <si>
    <t>Мастера 40-49 (30.06.1976)/44</t>
  </si>
  <si>
    <t>Перминов Макар</t>
  </si>
  <si>
    <t>Юноши 17-19 (08.08.2002)/18</t>
  </si>
  <si>
    <t>65,50</t>
  </si>
  <si>
    <t>180,0</t>
  </si>
  <si>
    <t>Есаулов Руслан</t>
  </si>
  <si>
    <t>Юниоры (07.06.1997)/23</t>
  </si>
  <si>
    <t>69,20</t>
  </si>
  <si>
    <t>160,0</t>
  </si>
  <si>
    <t>Клочков Денис</t>
  </si>
  <si>
    <t>Открытая (11.01.1996)/25</t>
  </si>
  <si>
    <t>75,00</t>
  </si>
  <si>
    <t>215,0</t>
  </si>
  <si>
    <t>ВЕСОВАЯ КАТЕГОРИЯ   100</t>
  </si>
  <si>
    <t>Верхоланцев Алексей</t>
  </si>
  <si>
    <t>Открытая (21.06.1989)/31</t>
  </si>
  <si>
    <t>99,20</t>
  </si>
  <si>
    <t xml:space="preserve">Drive fitness </t>
  </si>
  <si>
    <t>240,0</t>
  </si>
  <si>
    <t>247,5</t>
  </si>
  <si>
    <t>230,0</t>
  </si>
  <si>
    <t xml:space="preserve">Женщины </t>
  </si>
  <si>
    <t>67.5</t>
  </si>
  <si>
    <t>325,0</t>
  </si>
  <si>
    <t>75</t>
  </si>
  <si>
    <t>100</t>
  </si>
  <si>
    <t>ВЕСОВАЯ КАТЕГОРИЯ   82.5</t>
  </si>
  <si>
    <t>Федорова Анна</t>
  </si>
  <si>
    <t>Открытая (12.02.1993)/28</t>
  </si>
  <si>
    <t>82,50</t>
  </si>
  <si>
    <t>90,0</t>
  </si>
  <si>
    <t>40,0</t>
  </si>
  <si>
    <t>45,0</t>
  </si>
  <si>
    <t xml:space="preserve">Верхоланцев А. </t>
  </si>
  <si>
    <t>Дёмина Анна</t>
  </si>
  <si>
    <t>Открытая (24.09.1996)/24</t>
  </si>
  <si>
    <t>87,20</t>
  </si>
  <si>
    <t>70,0</t>
  </si>
  <si>
    <t>77,5</t>
  </si>
  <si>
    <t xml:space="preserve">Фуражков Д. </t>
  </si>
  <si>
    <t>Зинец Александр</t>
  </si>
  <si>
    <t>Открытая (06.08.1992)/28</t>
  </si>
  <si>
    <t>109,20</t>
  </si>
  <si>
    <t xml:space="preserve">Прайд </t>
  </si>
  <si>
    <t>250,0</t>
  </si>
  <si>
    <t>265,0</t>
  </si>
  <si>
    <t>192,5</t>
  </si>
  <si>
    <t>357,5</t>
  </si>
  <si>
    <t>82.5</t>
  </si>
  <si>
    <t>ВЕСОВАЯ КАТЕГОРИЯ   44</t>
  </si>
  <si>
    <t>Зайнуллина Динара</t>
  </si>
  <si>
    <t>Открытая (18.03.1990)/31</t>
  </si>
  <si>
    <t>43,90</t>
  </si>
  <si>
    <t>62,5</t>
  </si>
  <si>
    <t>32,5</t>
  </si>
  <si>
    <t>35,0</t>
  </si>
  <si>
    <t>37,5</t>
  </si>
  <si>
    <t>80,0</t>
  </si>
  <si>
    <t>87,5</t>
  </si>
  <si>
    <t xml:space="preserve">Зинец А. </t>
  </si>
  <si>
    <t>ВЕСОВАЯ КАТЕГОРИЯ   48</t>
  </si>
  <si>
    <t>Сарапульцева Юлия</t>
  </si>
  <si>
    <t>Открытая (24.11.1989)/31</t>
  </si>
  <si>
    <t>46,95</t>
  </si>
  <si>
    <t xml:space="preserve">Андеграунд </t>
  </si>
  <si>
    <t xml:space="preserve">Кунгур/Пермский край </t>
  </si>
  <si>
    <t>75,0</t>
  </si>
  <si>
    <t>85,0</t>
  </si>
  <si>
    <t>57,5</t>
  </si>
  <si>
    <t>112,5</t>
  </si>
  <si>
    <t>117,5</t>
  </si>
  <si>
    <t xml:space="preserve">Сарапульцев В. </t>
  </si>
  <si>
    <t>Килина Вероника</t>
  </si>
  <si>
    <t>Открытая (09.03.1992)/29</t>
  </si>
  <si>
    <t>47,45</t>
  </si>
  <si>
    <t xml:space="preserve">Чернушка/Пермский край </t>
  </si>
  <si>
    <t>50,0</t>
  </si>
  <si>
    <t xml:space="preserve">Щипицин А. </t>
  </si>
  <si>
    <t>ВЕСОВАЯ КАТЕГОРИЯ   60</t>
  </si>
  <si>
    <t>Коркодинова Ольга</t>
  </si>
  <si>
    <t>Открытая (13.12.1982)/38</t>
  </si>
  <si>
    <t>59,60</t>
  </si>
  <si>
    <t>95,0</t>
  </si>
  <si>
    <t>52,5</t>
  </si>
  <si>
    <t>55,0</t>
  </si>
  <si>
    <t>122,5</t>
  </si>
  <si>
    <t>127,5</t>
  </si>
  <si>
    <t xml:space="preserve">Зямилов А. </t>
  </si>
  <si>
    <t>Пушин Константин</t>
  </si>
  <si>
    <t>Открытая (19.03.1997)/24</t>
  </si>
  <si>
    <t>72,60</t>
  </si>
  <si>
    <t>237,5</t>
  </si>
  <si>
    <t xml:space="preserve">Шафигуллин Р. </t>
  </si>
  <si>
    <t>Чиняев Владимир</t>
  </si>
  <si>
    <t>Открытая (17.08.1985)/35</t>
  </si>
  <si>
    <t>88,50</t>
  </si>
  <si>
    <t>145,0</t>
  </si>
  <si>
    <t>152,5</t>
  </si>
  <si>
    <t>217,5</t>
  </si>
  <si>
    <t>Дубровин Владимир</t>
  </si>
  <si>
    <t>Открытая (09.04.1986)/35</t>
  </si>
  <si>
    <t>97,30</t>
  </si>
  <si>
    <t>Стариков Роман</t>
  </si>
  <si>
    <t>Открытая (21.02.1987)/34</t>
  </si>
  <si>
    <t>105,50</t>
  </si>
  <si>
    <t xml:space="preserve">Obukhov_team </t>
  </si>
  <si>
    <t>48</t>
  </si>
  <si>
    <t>60</t>
  </si>
  <si>
    <t>Открытая (01.06.1986)/34</t>
  </si>
  <si>
    <t>72,50</t>
  </si>
  <si>
    <t xml:space="preserve">Восстание машин (пермь) </t>
  </si>
  <si>
    <t xml:space="preserve">Новинский А. </t>
  </si>
  <si>
    <t>Кивелев Иван</t>
  </si>
  <si>
    <t>Открытая (01.01.1991)/30</t>
  </si>
  <si>
    <t>78,50</t>
  </si>
  <si>
    <t xml:space="preserve">Восстание машин </t>
  </si>
  <si>
    <t>Койков Стас</t>
  </si>
  <si>
    <t>Открытая (10.11.1990)/30</t>
  </si>
  <si>
    <t>82,45</t>
  </si>
  <si>
    <t>207,5</t>
  </si>
  <si>
    <t>Ксёнушко Олег</t>
  </si>
  <si>
    <t>Мастера 60-69 (01.06.1951)/69</t>
  </si>
  <si>
    <t>88,55</t>
  </si>
  <si>
    <t>187,5</t>
  </si>
  <si>
    <t>197,5</t>
  </si>
  <si>
    <t>Новинский Александр</t>
  </si>
  <si>
    <t>Открытая (08.08.1983)/37</t>
  </si>
  <si>
    <t>96,85</t>
  </si>
  <si>
    <t xml:space="preserve">Пикляев Д. </t>
  </si>
  <si>
    <t>Сажин Антон</t>
  </si>
  <si>
    <t>Открытая (27.12.1984)/36</t>
  </si>
  <si>
    <t>90,55</t>
  </si>
  <si>
    <t>Койков Егор</t>
  </si>
  <si>
    <t>Открытая (27.03.1985)/36</t>
  </si>
  <si>
    <t>108,00</t>
  </si>
  <si>
    <t xml:space="preserve">Нытва/Пермский край </t>
  </si>
  <si>
    <t xml:space="preserve">Результат </t>
  </si>
  <si>
    <t xml:space="preserve">Gloss </t>
  </si>
  <si>
    <t>Результат</t>
  </si>
  <si>
    <t>Скляр Екатерина</t>
  </si>
  <si>
    <t>Мастера 40-49 (15.06.1978)/42</t>
  </si>
  <si>
    <t>47,90</t>
  </si>
  <si>
    <t xml:space="preserve">Драйв </t>
  </si>
  <si>
    <t xml:space="preserve">Завьялова А. </t>
  </si>
  <si>
    <t>ВЕСОВАЯ КАТЕГОРИЯ   56</t>
  </si>
  <si>
    <t>Лаврентьева Ольга</t>
  </si>
  <si>
    <t>Открытая (26.04.1983)/38</t>
  </si>
  <si>
    <t>55,30</t>
  </si>
  <si>
    <t>Василькова Наталья</t>
  </si>
  <si>
    <t>Открытая (04.09.1986)/34</t>
  </si>
  <si>
    <t>54,20</t>
  </si>
  <si>
    <t xml:space="preserve">Баландин С. </t>
  </si>
  <si>
    <t>Савкина Элен</t>
  </si>
  <si>
    <t>Открытая (26.08.1976)/44</t>
  </si>
  <si>
    <t>62,30</t>
  </si>
  <si>
    <t>72,5</t>
  </si>
  <si>
    <t>Антонюк Оксана</t>
  </si>
  <si>
    <t>Открытая (08.08.1978)/42</t>
  </si>
  <si>
    <t>62,70</t>
  </si>
  <si>
    <t xml:space="preserve">Wrpf пермский край </t>
  </si>
  <si>
    <t>Мастера 40-49 (08.08.1978)/42</t>
  </si>
  <si>
    <t>Шаламова Ольга</t>
  </si>
  <si>
    <t>Мастера 40-49 (15.09.1977)/43</t>
  </si>
  <si>
    <t>63,60</t>
  </si>
  <si>
    <t>ВЕСОВАЯ КАТЕГОРИЯ   52</t>
  </si>
  <si>
    <t>Ощепков Ярослав</t>
  </si>
  <si>
    <t>Юноши 14-16 (09.12.2008)/12</t>
  </si>
  <si>
    <t>49,95</t>
  </si>
  <si>
    <t xml:space="preserve">Нытвенский район </t>
  </si>
  <si>
    <t xml:space="preserve">Новоильинский/Пермский край </t>
  </si>
  <si>
    <t xml:space="preserve">Попков А. </t>
  </si>
  <si>
    <t>Тимофеев Владимир</t>
  </si>
  <si>
    <t>Юноши 14-16 (24.07.2009)/11</t>
  </si>
  <si>
    <t>35,85</t>
  </si>
  <si>
    <t xml:space="preserve">Восстание машин пермь </t>
  </si>
  <si>
    <t>20,0</t>
  </si>
  <si>
    <t>22,5</t>
  </si>
  <si>
    <t>25,0</t>
  </si>
  <si>
    <t xml:space="preserve">Тимофеев А. </t>
  </si>
  <si>
    <t>Открытая (24.07.2009)/11</t>
  </si>
  <si>
    <t>Филимоненко Тимур</t>
  </si>
  <si>
    <t>Юноши 14-16 (19.02.2008)/13</t>
  </si>
  <si>
    <t>61,00</t>
  </si>
  <si>
    <t xml:space="preserve">Филимоненко В. </t>
  </si>
  <si>
    <t>Бахарев Кирилл</t>
  </si>
  <si>
    <t>Юноши 14-16 (17.12.2004)/16</t>
  </si>
  <si>
    <t>102,5</t>
  </si>
  <si>
    <t xml:space="preserve">Бахарев О. </t>
  </si>
  <si>
    <t>Вологдин Максим</t>
  </si>
  <si>
    <t>Юниоры (14.07.2000)/20</t>
  </si>
  <si>
    <t>74,30</t>
  </si>
  <si>
    <t>Чернейкин Сергей</t>
  </si>
  <si>
    <t>Мастера 40-49 (19.05.1973)/48</t>
  </si>
  <si>
    <t>73,70</t>
  </si>
  <si>
    <t>Харин Вячеслав</t>
  </si>
  <si>
    <t>Юноши 14-16 (03.10.2004)/16</t>
  </si>
  <si>
    <t>80,90</t>
  </si>
  <si>
    <t xml:space="preserve">Нытва </t>
  </si>
  <si>
    <t xml:space="preserve">Койков Е. </t>
  </si>
  <si>
    <t>Лукиных Никита</t>
  </si>
  <si>
    <t>Юниоры (23.07.2000)/20</t>
  </si>
  <si>
    <t>81,10</t>
  </si>
  <si>
    <t>Южаков Антон</t>
  </si>
  <si>
    <t>Открытая (18.02.1995)/26</t>
  </si>
  <si>
    <t>80,60</t>
  </si>
  <si>
    <t xml:space="preserve">Верещагино/Пермский край </t>
  </si>
  <si>
    <t>Пашиев Артём</t>
  </si>
  <si>
    <t>Открытая (20.04.1983)/38</t>
  </si>
  <si>
    <t xml:space="preserve">Olimp gym </t>
  </si>
  <si>
    <t xml:space="preserve">Хаин М., Смолоногов В. </t>
  </si>
  <si>
    <t>Лусников Иван</t>
  </si>
  <si>
    <t>Открытая (25.12.1985)/35</t>
  </si>
  <si>
    <t>155,0</t>
  </si>
  <si>
    <t>Николаев Александр</t>
  </si>
  <si>
    <t>Мастера 60-69 (08.07.1959)/61</t>
  </si>
  <si>
    <t>78,80</t>
  </si>
  <si>
    <t>Мущинкин Владимир</t>
  </si>
  <si>
    <t>Юноши 17-19 (19.09.2002)/18</t>
  </si>
  <si>
    <t>88,40</t>
  </si>
  <si>
    <t>Прозоров Дмитрий</t>
  </si>
  <si>
    <t>Открытая (12.03.1985)/36</t>
  </si>
  <si>
    <t>89,40</t>
  </si>
  <si>
    <t xml:space="preserve">Рекорд жим </t>
  </si>
  <si>
    <t xml:space="preserve">Прозоров Д. </t>
  </si>
  <si>
    <t>Смолоногов Владимир</t>
  </si>
  <si>
    <t>86,90</t>
  </si>
  <si>
    <t xml:space="preserve">Пашиев А. </t>
  </si>
  <si>
    <t>Мальцев Павел</t>
  </si>
  <si>
    <t>Открытая (02.07.1990)/30</t>
  </si>
  <si>
    <t>84,30</t>
  </si>
  <si>
    <t>172,5</t>
  </si>
  <si>
    <t>Москвин Андрей</t>
  </si>
  <si>
    <t>Открытая (08.09.1997)/23</t>
  </si>
  <si>
    <t>87,80</t>
  </si>
  <si>
    <t xml:space="preserve">Екатеринбург/Свердловская область </t>
  </si>
  <si>
    <t>167,5</t>
  </si>
  <si>
    <t>Лузин Сергей</t>
  </si>
  <si>
    <t>Мастера 60-69 (30.04.1954)/67</t>
  </si>
  <si>
    <t>88,90</t>
  </si>
  <si>
    <t>Анциферов Никита</t>
  </si>
  <si>
    <t>Юниоры (30.06.1997)/23</t>
  </si>
  <si>
    <t>98,70</t>
  </si>
  <si>
    <t>96,90</t>
  </si>
  <si>
    <t>Ионичев Артур</t>
  </si>
  <si>
    <t>Открытая (03.12.1982)/38</t>
  </si>
  <si>
    <t>95,00</t>
  </si>
  <si>
    <t xml:space="preserve">Record gym </t>
  </si>
  <si>
    <t>182,5</t>
  </si>
  <si>
    <t>Бахматов Вадим</t>
  </si>
  <si>
    <t>Открытая (05.03.1997)/24</t>
  </si>
  <si>
    <t>94,10</t>
  </si>
  <si>
    <t xml:space="preserve">Жилкин А. </t>
  </si>
  <si>
    <t>Степанов Илья</t>
  </si>
  <si>
    <t>Открытая (27.08.1987)/33</t>
  </si>
  <si>
    <t>94,40</t>
  </si>
  <si>
    <t xml:space="preserve">Некрасов И. </t>
  </si>
  <si>
    <t>Черноморец Андрей</t>
  </si>
  <si>
    <t>Мастера 70-79 (20.06.1946)/74</t>
  </si>
  <si>
    <t>92,00</t>
  </si>
  <si>
    <t>Газизов Марат</t>
  </si>
  <si>
    <t>Открытая (25.04.1980)/41</t>
  </si>
  <si>
    <t>104,80</t>
  </si>
  <si>
    <t>235,0</t>
  </si>
  <si>
    <t>Шистеров Вячеслав</t>
  </si>
  <si>
    <t>Открытая (05.01.1987)/34</t>
  </si>
  <si>
    <t>102,00</t>
  </si>
  <si>
    <t xml:space="preserve">Смолоногов В. </t>
  </si>
  <si>
    <t>Чайкин Виталий</t>
  </si>
  <si>
    <t>Открытая (26.06.1992)/28</t>
  </si>
  <si>
    <t>104,40</t>
  </si>
  <si>
    <t>Зямилов Александр</t>
  </si>
  <si>
    <t>Открытая (10.01.1995)/26</t>
  </si>
  <si>
    <t>107,60</t>
  </si>
  <si>
    <t>Зебзеев Андрей</t>
  </si>
  <si>
    <t>Мастера 40-49 (08.09.1973)/47</t>
  </si>
  <si>
    <t>108,60</t>
  </si>
  <si>
    <t>Рябков Владимир</t>
  </si>
  <si>
    <t>Открытая (29.06.1991)/29</t>
  </si>
  <si>
    <t>116,80</t>
  </si>
  <si>
    <t xml:space="preserve">Суслов Н. </t>
  </si>
  <si>
    <t>Бронников Игорь</t>
  </si>
  <si>
    <t>Мастера 40-49 (11.01.1975)/46</t>
  </si>
  <si>
    <t>130,80</t>
  </si>
  <si>
    <t>140,5300</t>
  </si>
  <si>
    <t>137,5987</t>
  </si>
  <si>
    <t>130,6327</t>
  </si>
  <si>
    <t>3</t>
  </si>
  <si>
    <t>4</t>
  </si>
  <si>
    <t>5</t>
  </si>
  <si>
    <t>Ошмарина Софья</t>
  </si>
  <si>
    <t>Девушки 14-16 (09.09.2005)/15</t>
  </si>
  <si>
    <t>42,80</t>
  </si>
  <si>
    <t xml:space="preserve">Малышев И. </t>
  </si>
  <si>
    <t>Ефимова Дарья</t>
  </si>
  <si>
    <t>Открытая (29.10.1985)/35</t>
  </si>
  <si>
    <t>51,80</t>
  </si>
  <si>
    <t xml:space="preserve">Бахматов В. </t>
  </si>
  <si>
    <t>Ерофеева Елена</t>
  </si>
  <si>
    <t>Открытая (27.05.1984)/37</t>
  </si>
  <si>
    <t>50,70</t>
  </si>
  <si>
    <t>Хлюпина Ольга</t>
  </si>
  <si>
    <t>Открытая (02.12.1996)/24</t>
  </si>
  <si>
    <t>55,50</t>
  </si>
  <si>
    <t>Фомина Алина</t>
  </si>
  <si>
    <t>Открытая (09.08.2002)/18</t>
  </si>
  <si>
    <t>54,50</t>
  </si>
  <si>
    <t xml:space="preserve">Кухарев Д. </t>
  </si>
  <si>
    <t>Кузнецова Татьяна</t>
  </si>
  <si>
    <t>57,50</t>
  </si>
  <si>
    <t>82,5</t>
  </si>
  <si>
    <t>Буторина Наталья</t>
  </si>
  <si>
    <t>Открытая (27.02.1985)/36</t>
  </si>
  <si>
    <t>65,20</t>
  </si>
  <si>
    <t>Досхоева Марет</t>
  </si>
  <si>
    <t>Открытая (03.12.1999)/21</t>
  </si>
  <si>
    <t xml:space="preserve">Киров/Калужская область </t>
  </si>
  <si>
    <t>Ульяненко Данил</t>
  </si>
  <si>
    <t>Открытая (22.03.1996)/25</t>
  </si>
  <si>
    <t>60,00</t>
  </si>
  <si>
    <t>Глухов Евгений</t>
  </si>
  <si>
    <t>Открытая (10.04.1987)/34</t>
  </si>
  <si>
    <t>66,60</t>
  </si>
  <si>
    <t>147,5</t>
  </si>
  <si>
    <t>Киселев Денис</t>
  </si>
  <si>
    <t>Мастера 40-49 (23.02.1980)/41</t>
  </si>
  <si>
    <t>66,20</t>
  </si>
  <si>
    <t>107,5</t>
  </si>
  <si>
    <t>Куликов Ярослав</t>
  </si>
  <si>
    <t>Юноши 14-16 (12.07.2005)/15</t>
  </si>
  <si>
    <t>71,60</t>
  </si>
  <si>
    <t xml:space="preserve">Шестаков М. </t>
  </si>
  <si>
    <t>Однороженко Андрей</t>
  </si>
  <si>
    <t>Открытая (20.12.1990)/30</t>
  </si>
  <si>
    <t>72,30</t>
  </si>
  <si>
    <t>135,0</t>
  </si>
  <si>
    <t>Бережной Артём</t>
  </si>
  <si>
    <t>Открытая (02.12.1992)/28</t>
  </si>
  <si>
    <t>72,90</t>
  </si>
  <si>
    <t>Сарапульцев Вадим</t>
  </si>
  <si>
    <t>Открытая (07.05.1971)/50</t>
  </si>
  <si>
    <t>74,20</t>
  </si>
  <si>
    <t>Рожков Антон</t>
  </si>
  <si>
    <t>Открытая (28.05.1986)/35</t>
  </si>
  <si>
    <t>71,30</t>
  </si>
  <si>
    <t>Заббаров Рамис</t>
  </si>
  <si>
    <t>Открытая (09.11.1991)/29</t>
  </si>
  <si>
    <t>71,00</t>
  </si>
  <si>
    <t xml:space="preserve">Чистяков Д. </t>
  </si>
  <si>
    <t>Мастера 50-59 (07.05.1971)/50</t>
  </si>
  <si>
    <t>Некрасов Дмитрий</t>
  </si>
  <si>
    <t>Мастера 50-59 (06.06.1963)/57</t>
  </si>
  <si>
    <t>Кухарев Дмитрий</t>
  </si>
  <si>
    <t>Открытая (16.02.1980)/41</t>
  </si>
  <si>
    <t>Пихтовников Алексей</t>
  </si>
  <si>
    <t>Открытая (01.03.1991)/30</t>
  </si>
  <si>
    <t>77,50</t>
  </si>
  <si>
    <t xml:space="preserve">с.Ленск/Пермский край </t>
  </si>
  <si>
    <t>Фролов Михаил</t>
  </si>
  <si>
    <t>Открытая (07.07.1995)/25</t>
  </si>
  <si>
    <t>79,40</t>
  </si>
  <si>
    <t xml:space="preserve">Березники/Пермский край </t>
  </si>
  <si>
    <t>Кушнин Иван</t>
  </si>
  <si>
    <t>Открытая (26.03.1990)/31</t>
  </si>
  <si>
    <t>81,00</t>
  </si>
  <si>
    <t>Лузин Иван</t>
  </si>
  <si>
    <t>Юноши 17-19 (24.02.2004)/17</t>
  </si>
  <si>
    <t>88,10</t>
  </si>
  <si>
    <t>132,5</t>
  </si>
  <si>
    <t>Худяков Александр</t>
  </si>
  <si>
    <t>Открытая (29.04.1977)/44</t>
  </si>
  <si>
    <t>89,00</t>
  </si>
  <si>
    <t>177,5</t>
  </si>
  <si>
    <t>Казарян Крист</t>
  </si>
  <si>
    <t>Открытая (30.08.1992)/28</t>
  </si>
  <si>
    <t>89,80</t>
  </si>
  <si>
    <t>260,0</t>
  </si>
  <si>
    <t xml:space="preserve">Насонов Д. </t>
  </si>
  <si>
    <t>Сергеев Игорь</t>
  </si>
  <si>
    <t>Открытая (10.02.1992)/29</t>
  </si>
  <si>
    <t>86,40</t>
  </si>
  <si>
    <t>Токарев Илья</t>
  </si>
  <si>
    <t>Открытая (28.06.1968)/52</t>
  </si>
  <si>
    <t>86,60</t>
  </si>
  <si>
    <t xml:space="preserve">Третьяков А. </t>
  </si>
  <si>
    <t>Семакин Дмитрий</t>
  </si>
  <si>
    <t>Открытая (14.11.1993)/27</t>
  </si>
  <si>
    <t xml:space="preserve">Омутнинск/Кировская область </t>
  </si>
  <si>
    <t>Мастера 50-59 (28.06.1968)/52</t>
  </si>
  <si>
    <t>Катраев Александр</t>
  </si>
  <si>
    <t>Юноши 17-19 (21.11.2003)/17</t>
  </si>
  <si>
    <t>Ермишкин Алексей</t>
  </si>
  <si>
    <t>Открытая (31.03.1982)/39</t>
  </si>
  <si>
    <t>Афанасьев Дмитрий</t>
  </si>
  <si>
    <t>Открытая (11.07.1988)/32</t>
  </si>
  <si>
    <t>94,00</t>
  </si>
  <si>
    <t>Бояркин Владимир</t>
  </si>
  <si>
    <t>Мастера 40-49 (06.12.1972)/48</t>
  </si>
  <si>
    <t>96,70</t>
  </si>
  <si>
    <t xml:space="preserve">Адреналин Чусовой </t>
  </si>
  <si>
    <t>Никонов Владимир</t>
  </si>
  <si>
    <t>Мастера 50-59 (22.12.1966)/54</t>
  </si>
  <si>
    <t>98,50</t>
  </si>
  <si>
    <t>Дидковский Юрий</t>
  </si>
  <si>
    <t>Мастера 50-59 (09.04.1970)/51</t>
  </si>
  <si>
    <t>94,30</t>
  </si>
  <si>
    <t>Дерябин Данил</t>
  </si>
  <si>
    <t>Юноши 14-16 (07.09.2004)/16</t>
  </si>
  <si>
    <t>104,90</t>
  </si>
  <si>
    <t>Балабанов Павел</t>
  </si>
  <si>
    <t>Открытая (21.09.1982)/38</t>
  </si>
  <si>
    <t>109,00</t>
  </si>
  <si>
    <t xml:space="preserve">Заитов Р. </t>
  </si>
  <si>
    <t>Анфалов Никита</t>
  </si>
  <si>
    <t>Открытая (16.03.1986)/35</t>
  </si>
  <si>
    <t>107,00</t>
  </si>
  <si>
    <t xml:space="preserve">Анфалов И. </t>
  </si>
  <si>
    <t>Демченко Максим</t>
  </si>
  <si>
    <t>Мастера 40-49 (15.03.1980)/41</t>
  </si>
  <si>
    <t>115,60</t>
  </si>
  <si>
    <t>ВЕСОВАЯ КАТЕГОРИЯ   140+</t>
  </si>
  <si>
    <t>Таран Валентин</t>
  </si>
  <si>
    <t>Открытая (04.08.1976)/44</t>
  </si>
  <si>
    <t>147,20</t>
  </si>
  <si>
    <t xml:space="preserve">Хищники </t>
  </si>
  <si>
    <t>106,8760</t>
  </si>
  <si>
    <t>95,0813</t>
  </si>
  <si>
    <t>89,6160</t>
  </si>
  <si>
    <t>120,9910</t>
  </si>
  <si>
    <t>118,7885</t>
  </si>
  <si>
    <t>114,9615</t>
  </si>
  <si>
    <t>Гвоздева Валерия</t>
  </si>
  <si>
    <t>Девушки 14-16 (13.11.2005)/15</t>
  </si>
  <si>
    <t>51,00</t>
  </si>
  <si>
    <t>Попков Александр</t>
  </si>
  <si>
    <t>Открытая (24.12.1983)/37</t>
  </si>
  <si>
    <t>57,15</t>
  </si>
  <si>
    <t>Открытая (03.09.1985)/35</t>
  </si>
  <si>
    <t>72,75</t>
  </si>
  <si>
    <t>Куликов Евгений</t>
  </si>
  <si>
    <t>Открытая (26.02.1984)/37</t>
  </si>
  <si>
    <t>Нарыков Олег</t>
  </si>
  <si>
    <t>Открытая (23.10.1984)/36</t>
  </si>
  <si>
    <t>87,25</t>
  </si>
  <si>
    <t>Тохтуев Андрей</t>
  </si>
  <si>
    <t>Открытая (06.06.1982)/38</t>
  </si>
  <si>
    <t>99,10</t>
  </si>
  <si>
    <t>Бахарев Олег</t>
  </si>
  <si>
    <t>Открытая (12.05.1982)/39</t>
  </si>
  <si>
    <t>232,5</t>
  </si>
  <si>
    <t>Куликов Олег</t>
  </si>
  <si>
    <t>Открытая (09.03.1985)/36</t>
  </si>
  <si>
    <t>96,95</t>
  </si>
  <si>
    <t>Чемезов Евгений</t>
  </si>
  <si>
    <t>Открытая (15.07.1982)/38</t>
  </si>
  <si>
    <t>98,60</t>
  </si>
  <si>
    <t>Таран Данил</t>
  </si>
  <si>
    <t>Открытая (06.03.1997)/24</t>
  </si>
  <si>
    <t>147,90</t>
  </si>
  <si>
    <t>285,0</t>
  </si>
  <si>
    <t xml:space="preserve">Таран В. </t>
  </si>
  <si>
    <t>157,5585</t>
  </si>
  <si>
    <t>140+</t>
  </si>
  <si>
    <t>149,5609</t>
  </si>
  <si>
    <t>140,5928</t>
  </si>
  <si>
    <t>Хлызов Александр</t>
  </si>
  <si>
    <t>Открытая (15.05.1984)/37</t>
  </si>
  <si>
    <t>132,65</t>
  </si>
  <si>
    <t>380,0</t>
  </si>
  <si>
    <t>Катаева Вероника</t>
  </si>
  <si>
    <t>Девушки 14-16 (20.06.2007)/13</t>
  </si>
  <si>
    <t>49,90</t>
  </si>
  <si>
    <t>Прохоренкова Кристина</t>
  </si>
  <si>
    <t>Девушки 17-19 (23.04.2004)/17</t>
  </si>
  <si>
    <t>48,30</t>
  </si>
  <si>
    <t>Фадеев Алексей</t>
  </si>
  <si>
    <t>Юноши 14-16 (10.07.2006)/14</t>
  </si>
  <si>
    <t>53,70</t>
  </si>
  <si>
    <t>Гурьянов Олег</t>
  </si>
  <si>
    <t>Юноши 14-16 (06.07.2006)/14</t>
  </si>
  <si>
    <t>59,10</t>
  </si>
  <si>
    <t>Воронцов Илья</t>
  </si>
  <si>
    <t>Юноши 14-16 (27.01.2005)/16</t>
  </si>
  <si>
    <t>59,30</t>
  </si>
  <si>
    <t>Давыдов Олег</t>
  </si>
  <si>
    <t>Юноши 14-16 (17.04.2006)/15</t>
  </si>
  <si>
    <t>61,80</t>
  </si>
  <si>
    <t>Щипицин Алексей</t>
  </si>
  <si>
    <t>Открытая (21.03.1991)/30</t>
  </si>
  <si>
    <t>72,10</t>
  </si>
  <si>
    <t>Худяков Сергей</t>
  </si>
  <si>
    <t>Мастера 50-59 (06.06.1967)/53</t>
  </si>
  <si>
    <t xml:space="preserve">Бодибум </t>
  </si>
  <si>
    <t>220,0</t>
  </si>
  <si>
    <t xml:space="preserve">Худяков С. </t>
  </si>
  <si>
    <t>Белов Александр</t>
  </si>
  <si>
    <t>Юноши 14-16 (23.06.2004)/16</t>
  </si>
  <si>
    <t>76,00</t>
  </si>
  <si>
    <t>Халимов Эдуард</t>
  </si>
  <si>
    <t>Мастера 40-49 (08.01.1976)/45</t>
  </si>
  <si>
    <t xml:space="preserve">Никонов В. </t>
  </si>
  <si>
    <t>Пшеницын Владимир</t>
  </si>
  <si>
    <t>Открытая (06.05.1982)/39</t>
  </si>
  <si>
    <t>89,70</t>
  </si>
  <si>
    <t xml:space="preserve">Максимов В. </t>
  </si>
  <si>
    <t>Мальцев Константин</t>
  </si>
  <si>
    <t>Открытая (13.10.1974)/46</t>
  </si>
  <si>
    <t>108,30</t>
  </si>
  <si>
    <t>295,0</t>
  </si>
  <si>
    <t>Мастера 40-49 (13.10.1974)/46</t>
  </si>
  <si>
    <t>Курбатова Екатерина</t>
  </si>
  <si>
    <t>Открытая (16.11.1986)/34</t>
  </si>
  <si>
    <t>47,75</t>
  </si>
  <si>
    <t>Шадрина Татьяна</t>
  </si>
  <si>
    <t>Открытая (09.08.1993)/27</t>
  </si>
  <si>
    <t>Масленникова Татьяна</t>
  </si>
  <si>
    <t>Открытая (21.07.1987)/33</t>
  </si>
  <si>
    <t>56,00</t>
  </si>
  <si>
    <t>Никулина Ирина</t>
  </si>
  <si>
    <t>Открытая (26.03.1986)/35</t>
  </si>
  <si>
    <t>55,00</t>
  </si>
  <si>
    <t>Львова Дарья</t>
  </si>
  <si>
    <t>Открытая (24.06.1993)/27</t>
  </si>
  <si>
    <t>72,40</t>
  </si>
  <si>
    <t>Годунина Надежда</t>
  </si>
  <si>
    <t>Мастера 50-59 (11.11.1970)/50</t>
  </si>
  <si>
    <t>68,40</t>
  </si>
  <si>
    <t>Меньшиков Антон</t>
  </si>
  <si>
    <t>Юноши 17-19 (23.11.2003)/17</t>
  </si>
  <si>
    <t>63,20</t>
  </si>
  <si>
    <t>Коротаев Роман</t>
  </si>
  <si>
    <t>Открытая (20.01.1987)/34</t>
  </si>
  <si>
    <t>Сибаев Рафик</t>
  </si>
  <si>
    <t>Мастера 70-79 (16.08.1950)/70</t>
  </si>
  <si>
    <t>60,50</t>
  </si>
  <si>
    <t>Юсубов Тимур</t>
  </si>
  <si>
    <t>Мастера 40-49 (17.07.1977)/43</t>
  </si>
  <si>
    <t>70,00</t>
  </si>
  <si>
    <t xml:space="preserve">Сулейманов Р. </t>
  </si>
  <si>
    <t>Косков Сергей</t>
  </si>
  <si>
    <t>Мастера 60-69 (03.01.1957)/64</t>
  </si>
  <si>
    <t>Турдиев Азиз</t>
  </si>
  <si>
    <t>Открытая (27.05.1992)/29</t>
  </si>
  <si>
    <t>87,45</t>
  </si>
  <si>
    <t xml:space="preserve">Восстания машин </t>
  </si>
  <si>
    <t>Багаев Олег</t>
  </si>
  <si>
    <t>Открытая (17.08.1992)/28</t>
  </si>
  <si>
    <t xml:space="preserve">Тимофеев А., Баландин С. </t>
  </si>
  <si>
    <t>Гладких Артем</t>
  </si>
  <si>
    <t>Открытая (06.06.1995)/25</t>
  </si>
  <si>
    <t>65,45</t>
  </si>
  <si>
    <t xml:space="preserve">Ширяев А. </t>
  </si>
  <si>
    <t>Сергеев Олег</t>
  </si>
  <si>
    <t>Открытая (25.04.1988)/33</t>
  </si>
  <si>
    <t>74,60</t>
  </si>
  <si>
    <t>Аникин Александр</t>
  </si>
  <si>
    <t>Открытая (13.03.1985)/36</t>
  </si>
  <si>
    <t>69,35</t>
  </si>
  <si>
    <t>97,5</t>
  </si>
  <si>
    <t>Махнутин Павел</t>
  </si>
  <si>
    <t>Открытая (13.08.1983)/37</t>
  </si>
  <si>
    <t>70,30</t>
  </si>
  <si>
    <t>Фархутдинов Игорь</t>
  </si>
  <si>
    <t>Открытая (09.07.1982)/38</t>
  </si>
  <si>
    <t>81,15</t>
  </si>
  <si>
    <t>92,5</t>
  </si>
  <si>
    <t>Тагиров Раушан</t>
  </si>
  <si>
    <t>Открытая (30.01.1987)/34</t>
  </si>
  <si>
    <t>78,70</t>
  </si>
  <si>
    <t xml:space="preserve">Барда/Пермский край </t>
  </si>
  <si>
    <t xml:space="preserve">Матюшев Ф. </t>
  </si>
  <si>
    <t>Соларёв Валентин</t>
  </si>
  <si>
    <t>Открытая (17.04.1988)/33</t>
  </si>
  <si>
    <t>Колобов Виктор</t>
  </si>
  <si>
    <t>Открытая (17.04.1987)/34</t>
  </si>
  <si>
    <t>87,55</t>
  </si>
  <si>
    <t>Вологжанин Павел</t>
  </si>
  <si>
    <t>Открытая (21.01.1988)/33</t>
  </si>
  <si>
    <t>83,10</t>
  </si>
  <si>
    <t>Луковенко Евгений</t>
  </si>
  <si>
    <t>Мастера 40-49 (23.07.1978)/42</t>
  </si>
  <si>
    <t>85,30</t>
  </si>
  <si>
    <t>Зеленин Федор</t>
  </si>
  <si>
    <t>Мастера 40-49 (15.06.1975)/45</t>
  </si>
  <si>
    <t>Дьяченко Артем</t>
  </si>
  <si>
    <t>Мастера 60-69 (17.07.1957)/63</t>
  </si>
  <si>
    <t>86,75</t>
  </si>
  <si>
    <t>77,2625</t>
  </si>
  <si>
    <t>71,3476</t>
  </si>
  <si>
    <t>70,8531</t>
  </si>
  <si>
    <t>Ведерникова Елизавета</t>
  </si>
  <si>
    <t>54,60</t>
  </si>
  <si>
    <t xml:space="preserve">Energy </t>
  </si>
  <si>
    <t xml:space="preserve">Ведерников П. </t>
  </si>
  <si>
    <t>Лобанов Роман</t>
  </si>
  <si>
    <t>Открытая (23.05.1997)/24</t>
  </si>
  <si>
    <t>64,95</t>
  </si>
  <si>
    <t xml:space="preserve">Energy team </t>
  </si>
  <si>
    <t>Усков Владислав</t>
  </si>
  <si>
    <t>Открытая (17.03.1998)/23</t>
  </si>
  <si>
    <t>68,95</t>
  </si>
  <si>
    <t>Чигинцев Илья</t>
  </si>
  <si>
    <t>Открытая (27.07.1995)/25</t>
  </si>
  <si>
    <t>Селиванов Руслан</t>
  </si>
  <si>
    <t>Открытая (17.08.1995)/25</t>
  </si>
  <si>
    <t>103,25</t>
  </si>
  <si>
    <t>Лянтор/ХМАО</t>
  </si>
  <si>
    <t>Югорск/ХМАО</t>
  </si>
  <si>
    <t>Ижевск/Республика Удмуртия</t>
  </si>
  <si>
    <t>Лично</t>
  </si>
  <si>
    <t xml:space="preserve">Лично </t>
  </si>
  <si>
    <t>Всероссийский мастерский турнир "Большой Урал"
WRPF любители Пауэрлифтинг без экипировки ДК
Пермь/Пермский край, 29 мая 2021 года</t>
  </si>
  <si>
    <t>Всероссийский мастерский турнир "Большой Урал"
WRPF любители Пауэрлифтинг без экипировки
Пермь/Пермский край, 29 мая 2021 года</t>
  </si>
  <si>
    <t>Всероссийский мастерский турнир "Большой Урал"
WRPF любители Пауэрлифтинг классический в бинтах ДК
Пермь/Пермский край, 29 мая 2021 года</t>
  </si>
  <si>
    <t>Всероссийский мастерский турнир "Большой Урал"
WRPF любители Пауэрлифтинг классический в бинтах
Пермь/Пермский край, 29 мая 2021 года</t>
  </si>
  <si>
    <t>Всероссийский мастерский турнир "Большой Урал"
WRPF любители Силовое двоеборье без экипировки ДК
Пермь/Пермский край, 29 мая 2021 года</t>
  </si>
  <si>
    <t>Всероссийский мастерский турнир "Большой Урал"
WRPF любители Жим лежа без экипировки ДК
Пермь/Пермский край, 29 мая 2021 года</t>
  </si>
  <si>
    <t>Всероссийский мастерский турнир "Большой Урал"
WRPF любители Жим лежа без экипировки
Пермь/Пермский край, 29 мая 2021 года</t>
  </si>
  <si>
    <t>Всероссийский мастерский турнир "Большой Урал"
WEPF Жим лежа в однопетельной софт экипировке ДК
Пермь/Пермский край, 29 мая 2021 года</t>
  </si>
  <si>
    <t>Всероссийский мастерский турнир "Большой Урал"
WEPF Жим лежа в однопетельной софт экипировке
Пермь/Пермский край, 29 мая 2021 года</t>
  </si>
  <si>
    <t>Всероссийский мастерский турнир "Большой Урал"
WEPF Жим лежа в многопетельной софт экипировке
Пермь/Пермский край, 29 мая 2021 года</t>
  </si>
  <si>
    <t>Всероссийский мастерский турнир"Большой Урал"
WRPF Жим лежа СФО
Пермь/Пермский край, 29 мая 2021 года</t>
  </si>
  <si>
    <t>Всероссийский мастерский турнир "Большой Урал"
WRPF любители Становая тяга без экипировки ДК
Пермь/Пермский край, 29 мая 2021 года</t>
  </si>
  <si>
    <t>Всероссийский мастерский турнир "Большой Урал"
WRPF любители Становая тяга без экипировки
Пермь/Пермский край, 29 мая 2021 года</t>
  </si>
  <si>
    <t>Всероссийский мастерский турнир "Большой Урал"
WEPF любители Становая тяга в экипировке
Пермь/Пермский край, 29 мая 2021 года</t>
  </si>
  <si>
    <t>Всероссийский мастерский турнир "Большой Урал"
WRPF Строгий подъем штанги на бицепс
Пермь/Пермский край, 29 мая 2021 года</t>
  </si>
  <si>
    <t>Record gym</t>
  </si>
  <si>
    <t>Adrenaline</t>
  </si>
  <si>
    <t>Весовая категория</t>
  </si>
  <si>
    <t>Кирово-Чепецк/Кировская область</t>
  </si>
  <si>
    <t>Восстание машин</t>
  </si>
  <si>
    <t>Девушки 13-19 (23.04.2007)/14</t>
  </si>
  <si>
    <t>Юниоры 20-23 (30.06.1997)/23</t>
  </si>
  <si>
    <t>№</t>
  </si>
  <si>
    <t>Жим</t>
  </si>
  <si>
    <t xml:space="preserve">
Дата рождения/Возраст</t>
  </si>
  <si>
    <t>Возрастная группа</t>
  </si>
  <si>
    <t>T</t>
  </si>
  <si>
    <t>O</t>
  </si>
  <si>
    <t>M2</t>
  </si>
  <si>
    <t>J</t>
  </si>
  <si>
    <t>M1</t>
  </si>
  <si>
    <t>M4</t>
  </si>
  <si>
    <t>T1</t>
  </si>
  <si>
    <t>T2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</si>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</sst>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sz val="10"/>
      <color rgb="FF000000"/>
      <name val="Arimo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57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1" fillId="0" borderId="1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7613CF39-CD1A-4535-B7B4-A4B5DACBE3E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5BADB-104B-44CF-BBA8-A9EB7449B217}">
  <dimension ref="A1:V51"/>
  <sheetViews>
    <sheetView tabSelected="1" zoomScaleNormal="100" workbookViewId="0">
      <selection sqref="A1:V2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6.33203125" style="5" bestFit="1" customWidth="1"/>
    <col min="4" max="4" width="17.1640625" style="5" customWidth="1"/>
    <col min="5" max="5" width="10.5" style="5" bestFit="1" customWidth="1"/>
    <col min="6" max="6" width="22.6640625" style="5" bestFit="1" customWidth="1"/>
    <col min="7" max="7" width="25" style="5" bestFit="1" customWidth="1"/>
    <col min="8" max="10" width="5.5" style="6" customWidth="1"/>
    <col min="11" max="11" width="4.83203125" style="6" customWidth="1"/>
    <col min="12" max="14" width="5.5" style="6" customWidth="1"/>
    <col min="15" max="15" width="4.83203125" style="6" customWidth="1"/>
    <col min="16" max="18" width="5.5" style="6" customWidth="1"/>
    <col min="19" max="19" width="4.83203125" style="6" customWidth="1"/>
    <col min="20" max="20" width="7.83203125" style="28" bestFit="1" customWidth="1"/>
    <col min="21" max="21" width="8.5" style="6" bestFit="1" customWidth="1"/>
    <col min="22" max="22" width="18.6640625" style="5" customWidth="1"/>
    <col min="23" max="16384" width="9.1640625" style="3"/>
  </cols>
  <sheetData>
    <row r="1" spans="1:22" s="2" customFormat="1" ht="29" customHeight="1">
      <c r="A1" s="46" t="s">
        <v>714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9"/>
    </row>
    <row r="2" spans="1:22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3"/>
    </row>
    <row r="3" spans="1:22" s="1" customFormat="1" ht="12.75" customHeight="1">
      <c r="A3" s="54" t="s">
        <v>736</v>
      </c>
      <c r="B3" s="44" t="s">
        <v>0</v>
      </c>
      <c r="C3" s="56" t="s">
        <v>738</v>
      </c>
      <c r="D3" s="56" t="s">
        <v>6</v>
      </c>
      <c r="E3" s="38" t="s">
        <v>739</v>
      </c>
      <c r="F3" s="38"/>
      <c r="G3" s="38" t="s">
        <v>5</v>
      </c>
      <c r="H3" s="38" t="s">
        <v>7</v>
      </c>
      <c r="I3" s="38"/>
      <c r="J3" s="38"/>
      <c r="K3" s="38"/>
      <c r="L3" s="38" t="s">
        <v>8</v>
      </c>
      <c r="M3" s="38"/>
      <c r="N3" s="38"/>
      <c r="O3" s="38"/>
      <c r="P3" s="38" t="s">
        <v>9</v>
      </c>
      <c r="Q3" s="38"/>
      <c r="R3" s="38"/>
      <c r="S3" s="38"/>
      <c r="T3" s="36" t="s">
        <v>1</v>
      </c>
      <c r="U3" s="38" t="s">
        <v>3</v>
      </c>
      <c r="V3" s="40" t="s">
        <v>2</v>
      </c>
    </row>
    <row r="4" spans="1:22" s="1" customFormat="1" ht="21" customHeight="1" thickBot="1">
      <c r="A4" s="55"/>
      <c r="B4" s="45"/>
      <c r="C4" s="39"/>
      <c r="D4" s="39"/>
      <c r="E4" s="39"/>
      <c r="F4" s="39"/>
      <c r="G4" s="39"/>
      <c r="H4" s="4">
        <v>1</v>
      </c>
      <c r="I4" s="4">
        <v>2</v>
      </c>
      <c r="J4" s="4">
        <v>3</v>
      </c>
      <c r="K4" s="4" t="s">
        <v>4</v>
      </c>
      <c r="L4" s="4">
        <v>1</v>
      </c>
      <c r="M4" s="4">
        <v>2</v>
      </c>
      <c r="N4" s="4">
        <v>3</v>
      </c>
      <c r="O4" s="4" t="s">
        <v>4</v>
      </c>
      <c r="P4" s="4">
        <v>1</v>
      </c>
      <c r="Q4" s="4">
        <v>2</v>
      </c>
      <c r="R4" s="4">
        <v>3</v>
      </c>
      <c r="S4" s="4" t="s">
        <v>4</v>
      </c>
      <c r="T4" s="37"/>
      <c r="U4" s="39"/>
      <c r="V4" s="41"/>
    </row>
    <row r="5" spans="1:22" ht="16">
      <c r="A5" s="42" t="s">
        <v>153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6" spans="1:22">
      <c r="A6" s="8" t="s">
        <v>80</v>
      </c>
      <c r="B6" s="7" t="s">
        <v>154</v>
      </c>
      <c r="C6" s="7" t="s">
        <v>155</v>
      </c>
      <c r="D6" s="7" t="s">
        <v>156</v>
      </c>
      <c r="E6" s="7" t="s">
        <v>741</v>
      </c>
      <c r="F6" s="7" t="s">
        <v>147</v>
      </c>
      <c r="G6" s="7" t="s">
        <v>709</v>
      </c>
      <c r="H6" s="19" t="s">
        <v>157</v>
      </c>
      <c r="I6" s="18" t="s">
        <v>157</v>
      </c>
      <c r="J6" s="18" t="s">
        <v>101</v>
      </c>
      <c r="K6" s="8"/>
      <c r="L6" s="18" t="s">
        <v>158</v>
      </c>
      <c r="M6" s="18" t="s">
        <v>159</v>
      </c>
      <c r="N6" s="19" t="s">
        <v>160</v>
      </c>
      <c r="O6" s="8"/>
      <c r="P6" s="18" t="s">
        <v>161</v>
      </c>
      <c r="Q6" s="18" t="s">
        <v>162</v>
      </c>
      <c r="R6" s="18" t="s">
        <v>134</v>
      </c>
      <c r="S6" s="8"/>
      <c r="T6" s="29" t="str">
        <f>"190,0"</f>
        <v>190,0</v>
      </c>
      <c r="U6" s="8" t="str">
        <f>"267,9380"</f>
        <v>267,9380</v>
      </c>
      <c r="V6" s="7" t="s">
        <v>163</v>
      </c>
    </row>
    <row r="7" spans="1:22">
      <c r="B7" s="5" t="s">
        <v>81</v>
      </c>
    </row>
    <row r="8" spans="1:22" ht="16">
      <c r="A8" s="34" t="s">
        <v>164</v>
      </c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</row>
    <row r="9" spans="1:22">
      <c r="A9" s="10" t="s">
        <v>80</v>
      </c>
      <c r="B9" s="9" t="s">
        <v>165</v>
      </c>
      <c r="C9" s="9" t="s">
        <v>166</v>
      </c>
      <c r="D9" s="9" t="s">
        <v>167</v>
      </c>
      <c r="E9" s="9" t="s">
        <v>741</v>
      </c>
      <c r="F9" s="9" t="s">
        <v>168</v>
      </c>
      <c r="G9" s="9" t="s">
        <v>169</v>
      </c>
      <c r="H9" s="21" t="s">
        <v>170</v>
      </c>
      <c r="I9" s="21" t="s">
        <v>161</v>
      </c>
      <c r="J9" s="21" t="s">
        <v>171</v>
      </c>
      <c r="K9" s="10"/>
      <c r="L9" s="21" t="s">
        <v>172</v>
      </c>
      <c r="M9" s="21" t="s">
        <v>100</v>
      </c>
      <c r="N9" s="20" t="s">
        <v>157</v>
      </c>
      <c r="O9" s="10"/>
      <c r="P9" s="21" t="s">
        <v>18</v>
      </c>
      <c r="Q9" s="21" t="s">
        <v>173</v>
      </c>
      <c r="R9" s="21" t="s">
        <v>174</v>
      </c>
      <c r="S9" s="10"/>
      <c r="T9" s="30" t="str">
        <f>"262,5"</f>
        <v>262,5</v>
      </c>
      <c r="U9" s="10" t="str">
        <f>"392,0700"</f>
        <v>392,0700</v>
      </c>
      <c r="V9" s="9" t="s">
        <v>175</v>
      </c>
    </row>
    <row r="10" spans="1:22">
      <c r="A10" s="12" t="s">
        <v>82</v>
      </c>
      <c r="B10" s="11" t="s">
        <v>176</v>
      </c>
      <c r="C10" s="11" t="s">
        <v>177</v>
      </c>
      <c r="D10" s="11" t="s">
        <v>178</v>
      </c>
      <c r="E10" s="11" t="s">
        <v>741</v>
      </c>
      <c r="F10" s="11" t="s">
        <v>713</v>
      </c>
      <c r="G10" s="11" t="s">
        <v>179</v>
      </c>
      <c r="H10" s="22" t="s">
        <v>141</v>
      </c>
      <c r="I10" s="23" t="s">
        <v>161</v>
      </c>
      <c r="J10" s="22" t="s">
        <v>161</v>
      </c>
      <c r="K10" s="12"/>
      <c r="L10" s="22" t="s">
        <v>136</v>
      </c>
      <c r="M10" s="22" t="s">
        <v>92</v>
      </c>
      <c r="N10" s="22" t="s">
        <v>180</v>
      </c>
      <c r="O10" s="12"/>
      <c r="P10" s="22" t="s">
        <v>170</v>
      </c>
      <c r="Q10" s="22" t="s">
        <v>161</v>
      </c>
      <c r="R10" s="22" t="s">
        <v>171</v>
      </c>
      <c r="S10" s="12"/>
      <c r="T10" s="31" t="str">
        <f>"215,0"</f>
        <v>215,0</v>
      </c>
      <c r="U10" s="12" t="str">
        <f>"321,1240"</f>
        <v>321,1240</v>
      </c>
      <c r="V10" s="11" t="s">
        <v>181</v>
      </c>
    </row>
    <row r="11" spans="1:22">
      <c r="B11" s="5" t="s">
        <v>81</v>
      </c>
    </row>
    <row r="12" spans="1:22" ht="16">
      <c r="A12" s="34" t="s">
        <v>182</v>
      </c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</row>
    <row r="13" spans="1:22">
      <c r="A13" s="8" t="s">
        <v>80</v>
      </c>
      <c r="B13" s="7" t="s">
        <v>183</v>
      </c>
      <c r="C13" s="7" t="s">
        <v>184</v>
      </c>
      <c r="D13" s="7" t="s">
        <v>185</v>
      </c>
      <c r="E13" s="7" t="s">
        <v>741</v>
      </c>
      <c r="F13" s="7" t="s">
        <v>712</v>
      </c>
      <c r="G13" s="7" t="s">
        <v>50</v>
      </c>
      <c r="H13" s="18" t="s">
        <v>171</v>
      </c>
      <c r="I13" s="18" t="s">
        <v>134</v>
      </c>
      <c r="J13" s="18" t="s">
        <v>186</v>
      </c>
      <c r="K13" s="8"/>
      <c r="L13" s="18" t="s">
        <v>180</v>
      </c>
      <c r="M13" s="18" t="s">
        <v>187</v>
      </c>
      <c r="N13" s="19" t="s">
        <v>188</v>
      </c>
      <c r="O13" s="8"/>
      <c r="P13" s="18" t="s">
        <v>20</v>
      </c>
      <c r="Q13" s="18" t="s">
        <v>189</v>
      </c>
      <c r="R13" s="18" t="s">
        <v>190</v>
      </c>
      <c r="S13" s="8"/>
      <c r="T13" s="29" t="str">
        <f>"275,0"</f>
        <v>275,0</v>
      </c>
      <c r="U13" s="8" t="str">
        <f>"308,1925"</f>
        <v>308,1925</v>
      </c>
      <c r="V13" s="7" t="s">
        <v>191</v>
      </c>
    </row>
    <row r="14" spans="1:22">
      <c r="B14" s="5" t="s">
        <v>81</v>
      </c>
    </row>
    <row r="15" spans="1:22" ht="16">
      <c r="A15" s="34" t="s">
        <v>10</v>
      </c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</row>
    <row r="16" spans="1:22">
      <c r="A16" s="8" t="s">
        <v>80</v>
      </c>
      <c r="B16" s="7" t="s">
        <v>192</v>
      </c>
      <c r="C16" s="7" t="s">
        <v>193</v>
      </c>
      <c r="D16" s="7" t="s">
        <v>194</v>
      </c>
      <c r="E16" s="7" t="s">
        <v>741</v>
      </c>
      <c r="F16" s="7" t="s">
        <v>713</v>
      </c>
      <c r="G16" s="7" t="s">
        <v>711</v>
      </c>
      <c r="H16" s="18" t="s">
        <v>71</v>
      </c>
      <c r="I16" s="19" t="s">
        <v>16</v>
      </c>
      <c r="J16" s="19" t="s">
        <v>16</v>
      </c>
      <c r="K16" s="8"/>
      <c r="L16" s="19" t="s">
        <v>20</v>
      </c>
      <c r="M16" s="18" t="s">
        <v>20</v>
      </c>
      <c r="N16" s="18" t="s">
        <v>174</v>
      </c>
      <c r="O16" s="8"/>
      <c r="P16" s="18" t="s">
        <v>124</v>
      </c>
      <c r="Q16" s="18" t="s">
        <v>195</v>
      </c>
      <c r="R16" s="19" t="s">
        <v>148</v>
      </c>
      <c r="S16" s="8"/>
      <c r="T16" s="29" t="str">
        <f>"525,0"</f>
        <v>525,0</v>
      </c>
      <c r="U16" s="8" t="str">
        <f>"382,8825"</f>
        <v>382,8825</v>
      </c>
      <c r="V16" s="7" t="s">
        <v>196</v>
      </c>
    </row>
    <row r="17" spans="1:22">
      <c r="B17" s="5" t="s">
        <v>81</v>
      </c>
    </row>
    <row r="18" spans="1:22" ht="16">
      <c r="A18" s="34" t="s">
        <v>21</v>
      </c>
      <c r="B18" s="34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</row>
    <row r="19" spans="1:22">
      <c r="A19" s="8" t="s">
        <v>80</v>
      </c>
      <c r="B19" s="7" t="s">
        <v>197</v>
      </c>
      <c r="C19" s="7" t="s">
        <v>198</v>
      </c>
      <c r="D19" s="7" t="s">
        <v>199</v>
      </c>
      <c r="E19" s="7" t="s">
        <v>741</v>
      </c>
      <c r="F19" s="7" t="s">
        <v>147</v>
      </c>
      <c r="G19" s="7" t="s">
        <v>709</v>
      </c>
      <c r="H19" s="18" t="s">
        <v>108</v>
      </c>
      <c r="I19" s="18" t="s">
        <v>27</v>
      </c>
      <c r="J19" s="19" t="s">
        <v>28</v>
      </c>
      <c r="K19" s="8"/>
      <c r="L19" s="18" t="s">
        <v>102</v>
      </c>
      <c r="M19" s="18" t="s">
        <v>200</v>
      </c>
      <c r="N19" s="18" t="s">
        <v>201</v>
      </c>
      <c r="O19" s="8"/>
      <c r="P19" s="19" t="s">
        <v>40</v>
      </c>
      <c r="Q19" s="18" t="s">
        <v>40</v>
      </c>
      <c r="R19" s="18" t="s">
        <v>202</v>
      </c>
      <c r="S19" s="8"/>
      <c r="T19" s="29" t="str">
        <f>"560,0"</f>
        <v>560,0</v>
      </c>
      <c r="U19" s="8" t="str">
        <f>"360,6400"</f>
        <v>360,6400</v>
      </c>
      <c r="V19" s="7" t="s">
        <v>163</v>
      </c>
    </row>
    <row r="20" spans="1:22">
      <c r="B20" s="5" t="s">
        <v>81</v>
      </c>
    </row>
    <row r="21" spans="1:22" ht="16">
      <c r="A21" s="34" t="s">
        <v>117</v>
      </c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2" spans="1:22">
      <c r="A22" s="8" t="s">
        <v>80</v>
      </c>
      <c r="B22" s="7" t="s">
        <v>203</v>
      </c>
      <c r="C22" s="7" t="s">
        <v>204</v>
      </c>
      <c r="D22" s="7" t="s">
        <v>205</v>
      </c>
      <c r="E22" s="7" t="s">
        <v>741</v>
      </c>
      <c r="F22" s="7" t="s">
        <v>713</v>
      </c>
      <c r="G22" s="7" t="s">
        <v>50</v>
      </c>
      <c r="H22" s="18" t="s">
        <v>16</v>
      </c>
      <c r="I22" s="19" t="s">
        <v>108</v>
      </c>
      <c r="J22" s="19" t="s">
        <v>108</v>
      </c>
      <c r="K22" s="8"/>
      <c r="L22" s="18" t="s">
        <v>20</v>
      </c>
      <c r="M22" s="18" t="s">
        <v>99</v>
      </c>
      <c r="N22" s="8"/>
      <c r="O22" s="8"/>
      <c r="P22" s="18" t="s">
        <v>39</v>
      </c>
      <c r="Q22" s="18" t="s">
        <v>40</v>
      </c>
      <c r="R22" s="8"/>
      <c r="S22" s="8"/>
      <c r="T22" s="29" t="str">
        <f>"500,0"</f>
        <v>500,0</v>
      </c>
      <c r="U22" s="8" t="str">
        <f>"307,7500"</f>
        <v>307,7500</v>
      </c>
      <c r="V22" s="7"/>
    </row>
    <row r="23" spans="1:22">
      <c r="B23" s="5" t="s">
        <v>81</v>
      </c>
    </row>
    <row r="24" spans="1:22" ht="16">
      <c r="A24" s="34" t="s">
        <v>32</v>
      </c>
      <c r="B24" s="34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</row>
    <row r="25" spans="1:22">
      <c r="A25" s="8" t="s">
        <v>83</v>
      </c>
      <c r="B25" s="7" t="s">
        <v>206</v>
      </c>
      <c r="C25" s="7" t="s">
        <v>207</v>
      </c>
      <c r="D25" s="7" t="s">
        <v>208</v>
      </c>
      <c r="E25" s="7" t="s">
        <v>741</v>
      </c>
      <c r="F25" s="7" t="s">
        <v>209</v>
      </c>
      <c r="G25" s="7" t="s">
        <v>61</v>
      </c>
      <c r="H25" s="19" t="s">
        <v>27</v>
      </c>
      <c r="I25" s="19" t="s">
        <v>27</v>
      </c>
      <c r="J25" s="19" t="s">
        <v>27</v>
      </c>
      <c r="K25" s="8"/>
      <c r="L25" s="19"/>
      <c r="M25" s="8"/>
      <c r="N25" s="8"/>
      <c r="O25" s="8"/>
      <c r="P25" s="8"/>
      <c r="Q25" s="8"/>
      <c r="R25" s="8"/>
      <c r="S25" s="8"/>
      <c r="T25" s="29">
        <v>0</v>
      </c>
      <c r="U25" s="8" t="str">
        <f>"0,0000"</f>
        <v>0,0000</v>
      </c>
      <c r="V25" s="7" t="s">
        <v>69</v>
      </c>
    </row>
    <row r="26" spans="1:22">
      <c r="B26" s="5" t="s">
        <v>81</v>
      </c>
    </row>
    <row r="27" spans="1:22" customFormat="1">
      <c r="T27" s="32"/>
    </row>
    <row r="28" spans="1:22" customFormat="1">
      <c r="T28" s="32"/>
    </row>
    <row r="29" spans="1:22" customFormat="1">
      <c r="T29" s="32"/>
    </row>
    <row r="30" spans="1:22" customFormat="1">
      <c r="T30" s="32"/>
    </row>
    <row r="31" spans="1:22" customFormat="1">
      <c r="T31" s="32"/>
    </row>
    <row r="32" spans="1:22" customFormat="1">
      <c r="T32" s="32"/>
    </row>
    <row r="33" spans="20:20" customFormat="1">
      <c r="T33" s="32"/>
    </row>
    <row r="34" spans="20:20" customFormat="1">
      <c r="T34" s="32"/>
    </row>
    <row r="35" spans="20:20" customFormat="1">
      <c r="T35" s="32"/>
    </row>
    <row r="36" spans="20:20" customFormat="1">
      <c r="T36" s="32"/>
    </row>
    <row r="37" spans="20:20" customFormat="1">
      <c r="T37" s="32"/>
    </row>
    <row r="38" spans="20:20" customFormat="1">
      <c r="T38" s="32"/>
    </row>
    <row r="39" spans="20:20" customFormat="1">
      <c r="T39" s="32"/>
    </row>
    <row r="40" spans="20:20" customFormat="1">
      <c r="T40" s="32"/>
    </row>
    <row r="41" spans="20:20" customFormat="1">
      <c r="T41" s="32"/>
    </row>
    <row r="42" spans="20:20" customFormat="1">
      <c r="T42" s="32"/>
    </row>
    <row r="43" spans="20:20" customFormat="1">
      <c r="T43" s="32"/>
    </row>
    <row r="44" spans="20:20" customFormat="1">
      <c r="T44" s="32"/>
    </row>
    <row r="45" spans="20:20" customFormat="1">
      <c r="T45" s="32"/>
    </row>
    <row r="46" spans="20:20" customFormat="1">
      <c r="T46" s="32"/>
    </row>
    <row r="47" spans="20:20" customFormat="1">
      <c r="T47" s="32"/>
    </row>
    <row r="48" spans="20:20" customFormat="1">
      <c r="T48" s="32"/>
    </row>
    <row r="49" spans="20:20" customFormat="1">
      <c r="T49" s="32"/>
    </row>
    <row r="50" spans="20:20" customFormat="1">
      <c r="T50" s="32"/>
    </row>
    <row r="51" spans="20:20" customFormat="1">
      <c r="T51" s="32"/>
    </row>
  </sheetData>
  <mergeCells count="21">
    <mergeCell ref="A1:V2"/>
    <mergeCell ref="A3:A4"/>
    <mergeCell ref="C3:C4"/>
    <mergeCell ref="D3:D4"/>
    <mergeCell ref="E3:E4"/>
    <mergeCell ref="F3:F4"/>
    <mergeCell ref="G3:G4"/>
    <mergeCell ref="H3:K3"/>
    <mergeCell ref="L3:O3"/>
    <mergeCell ref="P3:S3"/>
    <mergeCell ref="A24:S24"/>
    <mergeCell ref="T3:T4"/>
    <mergeCell ref="U3:U4"/>
    <mergeCell ref="V3:V4"/>
    <mergeCell ref="A5:S5"/>
    <mergeCell ref="B3:B4"/>
    <mergeCell ref="A8:S8"/>
    <mergeCell ref="A12:S12"/>
    <mergeCell ref="A15:S15"/>
    <mergeCell ref="A18:S18"/>
    <mergeCell ref="A21:S2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46106-16B2-4C1B-89E6-A9C4612AFA31}">
  <dimension ref="A1:N27"/>
  <sheetViews>
    <sheetView zoomScaleNormal="100" workbookViewId="0">
      <selection sqref="A1:N2"/>
    </sheetView>
  </sheetViews>
  <sheetFormatPr baseColWidth="10" defaultColWidth="9.1640625" defaultRowHeight="13"/>
  <cols>
    <col min="1" max="1" width="7.5" style="5" bestFit="1" customWidth="1"/>
    <col min="2" max="2" width="19.332031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24.6640625" style="5" bestFit="1" customWidth="1"/>
    <col min="8" max="10" width="5.5" style="6" customWidth="1"/>
    <col min="11" max="11" width="4.83203125" style="6" customWidth="1"/>
    <col min="12" max="12" width="10.6640625" style="6" bestFit="1" customWidth="1"/>
    <col min="13" max="13" width="8.5" style="6" bestFit="1" customWidth="1"/>
    <col min="14" max="14" width="24.5" style="5" customWidth="1"/>
    <col min="15" max="16384" width="9.1640625" style="3"/>
  </cols>
  <sheetData>
    <row r="1" spans="1:14" s="2" customFormat="1" ht="29" customHeight="1">
      <c r="A1" s="46" t="s">
        <v>723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</row>
    <row r="2" spans="1:14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4" s="1" customFormat="1" ht="12.75" customHeight="1">
      <c r="A3" s="54" t="s">
        <v>736</v>
      </c>
      <c r="B3" s="44" t="s">
        <v>0</v>
      </c>
      <c r="C3" s="56" t="s">
        <v>738</v>
      </c>
      <c r="D3" s="56" t="s">
        <v>6</v>
      </c>
      <c r="E3" s="38" t="s">
        <v>739</v>
      </c>
      <c r="F3" s="38"/>
      <c r="G3" s="38" t="s">
        <v>5</v>
      </c>
      <c r="H3" s="38" t="s">
        <v>8</v>
      </c>
      <c r="I3" s="38"/>
      <c r="J3" s="38"/>
      <c r="K3" s="38"/>
      <c r="L3" s="38" t="s">
        <v>242</v>
      </c>
      <c r="M3" s="38" t="s">
        <v>3</v>
      </c>
      <c r="N3" s="40" t="s">
        <v>2</v>
      </c>
    </row>
    <row r="4" spans="1:14" s="1" customFormat="1" ht="21" customHeight="1" thickBot="1">
      <c r="A4" s="55"/>
      <c r="B4" s="45"/>
      <c r="C4" s="39"/>
      <c r="D4" s="39"/>
      <c r="E4" s="39"/>
      <c r="F4" s="39"/>
      <c r="G4" s="39"/>
      <c r="H4" s="4">
        <v>1</v>
      </c>
      <c r="I4" s="4">
        <v>2</v>
      </c>
      <c r="J4" s="4">
        <v>3</v>
      </c>
      <c r="K4" s="4" t="s">
        <v>4</v>
      </c>
      <c r="L4" s="39"/>
      <c r="M4" s="39"/>
      <c r="N4" s="41"/>
    </row>
    <row r="5" spans="1:14" ht="16">
      <c r="A5" s="42" t="s">
        <v>130</v>
      </c>
      <c r="B5" s="42"/>
      <c r="C5" s="43"/>
      <c r="D5" s="43"/>
      <c r="E5" s="43"/>
      <c r="F5" s="43"/>
      <c r="G5" s="43"/>
      <c r="H5" s="43"/>
      <c r="I5" s="43"/>
      <c r="J5" s="43"/>
      <c r="K5" s="43"/>
    </row>
    <row r="6" spans="1:14">
      <c r="A6" s="8" t="s">
        <v>80</v>
      </c>
      <c r="B6" s="7" t="s">
        <v>220</v>
      </c>
      <c r="C6" s="7" t="s">
        <v>221</v>
      </c>
      <c r="D6" s="7" t="s">
        <v>222</v>
      </c>
      <c r="E6" s="7" t="s">
        <v>741</v>
      </c>
      <c r="F6" s="7" t="s">
        <v>712</v>
      </c>
      <c r="G6" s="7" t="s">
        <v>50</v>
      </c>
      <c r="H6" s="19" t="s">
        <v>116</v>
      </c>
      <c r="I6" s="19" t="s">
        <v>116</v>
      </c>
      <c r="J6" s="18" t="s">
        <v>51</v>
      </c>
      <c r="K6" s="8"/>
      <c r="L6" s="8" t="str">
        <f>"225,0"</f>
        <v>225,0</v>
      </c>
      <c r="M6" s="8" t="str">
        <f>"145,0913"</f>
        <v>145,0913</v>
      </c>
      <c r="N6" s="7"/>
    </row>
    <row r="7" spans="1:14">
      <c r="B7" s="5" t="s">
        <v>81</v>
      </c>
    </row>
    <row r="8" spans="1:14" ht="16">
      <c r="A8" s="34" t="s">
        <v>70</v>
      </c>
      <c r="B8" s="34"/>
      <c r="C8" s="35"/>
      <c r="D8" s="35"/>
      <c r="E8" s="35"/>
      <c r="F8" s="35"/>
      <c r="G8" s="35"/>
      <c r="H8" s="35"/>
      <c r="I8" s="35"/>
      <c r="J8" s="35"/>
      <c r="K8" s="35"/>
    </row>
    <row r="9" spans="1:14">
      <c r="A9" s="8" t="s">
        <v>80</v>
      </c>
      <c r="B9" s="7" t="s">
        <v>568</v>
      </c>
      <c r="C9" s="7" t="s">
        <v>569</v>
      </c>
      <c r="D9" s="7" t="s">
        <v>570</v>
      </c>
      <c r="E9" s="7" t="s">
        <v>741</v>
      </c>
      <c r="F9" s="7" t="s">
        <v>49</v>
      </c>
      <c r="G9" s="7" t="s">
        <v>14</v>
      </c>
      <c r="H9" s="18" t="s">
        <v>44</v>
      </c>
      <c r="I9" s="19" t="s">
        <v>571</v>
      </c>
      <c r="J9" s="19" t="s">
        <v>571</v>
      </c>
      <c r="K9" s="8"/>
      <c r="L9" s="8" t="str">
        <f>"330,0"</f>
        <v>330,0</v>
      </c>
      <c r="M9" s="8" t="str">
        <f>"177,4509"</f>
        <v>177,4509</v>
      </c>
      <c r="N9" s="7"/>
    </row>
    <row r="10" spans="1:14">
      <c r="B10" s="5" t="s">
        <v>81</v>
      </c>
    </row>
    <row r="11" spans="1:14">
      <c r="A11"/>
      <c r="B11"/>
      <c r="C11"/>
      <c r="D11"/>
      <c r="E11"/>
      <c r="F11"/>
      <c r="G11"/>
      <c r="H11"/>
      <c r="I11"/>
      <c r="J11"/>
      <c r="K11"/>
      <c r="L11"/>
      <c r="M11"/>
    </row>
    <row r="12" spans="1:14">
      <c r="A12"/>
      <c r="B12"/>
      <c r="C12"/>
      <c r="D12"/>
      <c r="E12"/>
      <c r="F12"/>
      <c r="G12"/>
      <c r="H12"/>
      <c r="I12"/>
      <c r="J12"/>
      <c r="K12"/>
      <c r="L12"/>
      <c r="M12"/>
    </row>
    <row r="13" spans="1:14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4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4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14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>
      <c r="A27"/>
      <c r="B27"/>
      <c r="C27"/>
      <c r="D27"/>
      <c r="E27"/>
      <c r="F27"/>
      <c r="G27"/>
      <c r="H27"/>
      <c r="I27"/>
      <c r="J27"/>
      <c r="K27"/>
      <c r="L27"/>
      <c r="M27"/>
    </row>
  </sheetData>
  <mergeCells count="14">
    <mergeCell ref="A1:N2"/>
    <mergeCell ref="A3:A4"/>
    <mergeCell ref="C3:C4"/>
    <mergeCell ref="D3:D4"/>
    <mergeCell ref="E3:E4"/>
    <mergeCell ref="F3:F4"/>
    <mergeCell ref="G3:G4"/>
    <mergeCell ref="H3:K3"/>
    <mergeCell ref="A8:K8"/>
    <mergeCell ref="B3:B4"/>
    <mergeCell ref="L3:L4"/>
    <mergeCell ref="M3:M4"/>
    <mergeCell ref="N3:N4"/>
    <mergeCell ref="A5:K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17FFA-895D-41C8-880E-A8BFC9581572}">
  <dimension ref="A1:N42"/>
  <sheetViews>
    <sheetView zoomScaleNormal="100" workbookViewId="0">
      <selection activeCell="E27" sqref="E27"/>
    </sheetView>
  </sheetViews>
  <sheetFormatPr baseColWidth="10" defaultColWidth="9.1640625" defaultRowHeight="13"/>
  <cols>
    <col min="1" max="1" width="7.5" style="5" bestFit="1" customWidth="1"/>
    <col min="2" max="2" width="21.664062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22" style="5" bestFit="1" customWidth="1"/>
    <col min="8" max="10" width="5.5" style="6" customWidth="1"/>
    <col min="11" max="11" width="4.83203125" style="6" customWidth="1"/>
    <col min="12" max="12" width="10.5" style="28" bestFit="1" customWidth="1"/>
    <col min="13" max="13" width="7.5" style="6" bestFit="1" customWidth="1"/>
    <col min="14" max="14" width="25" style="5" bestFit="1" customWidth="1"/>
    <col min="15" max="16384" width="9.1640625" style="3"/>
  </cols>
  <sheetData>
    <row r="1" spans="1:14" s="2" customFormat="1" ht="29" customHeight="1">
      <c r="A1" s="46" t="s">
        <v>724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</row>
    <row r="2" spans="1:14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4" s="1" customFormat="1" ht="12.75" customHeight="1">
      <c r="A3" s="54" t="s">
        <v>736</v>
      </c>
      <c r="B3" s="44" t="s">
        <v>0</v>
      </c>
      <c r="C3" s="56" t="s">
        <v>738</v>
      </c>
      <c r="D3" s="56" t="s">
        <v>6</v>
      </c>
      <c r="E3" s="38" t="s">
        <v>739</v>
      </c>
      <c r="F3" s="38"/>
      <c r="G3" s="38" t="s">
        <v>5</v>
      </c>
      <c r="H3" s="38" t="s">
        <v>8</v>
      </c>
      <c r="I3" s="38"/>
      <c r="J3" s="38"/>
      <c r="K3" s="38"/>
      <c r="L3" s="36" t="s">
        <v>242</v>
      </c>
      <c r="M3" s="38" t="s">
        <v>3</v>
      </c>
      <c r="N3" s="40" t="s">
        <v>2</v>
      </c>
    </row>
    <row r="4" spans="1:14" s="1" customFormat="1" ht="21" customHeight="1" thickBot="1">
      <c r="A4" s="55"/>
      <c r="B4" s="45"/>
      <c r="C4" s="39"/>
      <c r="D4" s="39"/>
      <c r="E4" s="39"/>
      <c r="F4" s="39"/>
      <c r="G4" s="39"/>
      <c r="H4" s="4">
        <v>1</v>
      </c>
      <c r="I4" s="4">
        <v>2</v>
      </c>
      <c r="J4" s="4">
        <v>3</v>
      </c>
      <c r="K4" s="4" t="s">
        <v>4</v>
      </c>
      <c r="L4" s="37"/>
      <c r="M4" s="39"/>
      <c r="N4" s="41"/>
    </row>
    <row r="5" spans="1:14" ht="16">
      <c r="A5" s="42" t="s">
        <v>182</v>
      </c>
      <c r="B5" s="42"/>
      <c r="C5" s="43"/>
      <c r="D5" s="43"/>
      <c r="E5" s="43"/>
      <c r="F5" s="43"/>
      <c r="G5" s="43"/>
      <c r="H5" s="43"/>
      <c r="I5" s="43"/>
      <c r="J5" s="43"/>
      <c r="K5" s="43"/>
    </row>
    <row r="6" spans="1:14">
      <c r="A6" s="8" t="s">
        <v>80</v>
      </c>
      <c r="B6" s="7" t="s">
        <v>648</v>
      </c>
      <c r="C6" s="7" t="s">
        <v>649</v>
      </c>
      <c r="D6" s="7" t="s">
        <v>422</v>
      </c>
      <c r="E6" s="7" t="s">
        <v>741</v>
      </c>
      <c r="F6" s="7" t="s">
        <v>49</v>
      </c>
      <c r="G6" s="7" t="s">
        <v>50</v>
      </c>
      <c r="H6" s="18" t="s">
        <v>141</v>
      </c>
      <c r="I6" s="18" t="s">
        <v>170</v>
      </c>
      <c r="J6" s="19" t="s">
        <v>142</v>
      </c>
      <c r="K6" s="8"/>
      <c r="L6" s="29" t="str">
        <f>"75,0"</f>
        <v>75,0</v>
      </c>
      <c r="M6" s="8" t="str">
        <f>"62,4637"</f>
        <v>62,4637</v>
      </c>
      <c r="N6" s="7" t="s">
        <v>650</v>
      </c>
    </row>
    <row r="7" spans="1:14">
      <c r="B7" s="5" t="s">
        <v>81</v>
      </c>
    </row>
    <row r="8" spans="1:14" ht="16">
      <c r="A8" s="34" t="s">
        <v>84</v>
      </c>
      <c r="B8" s="34"/>
      <c r="C8" s="35"/>
      <c r="D8" s="35"/>
      <c r="E8" s="35"/>
      <c r="F8" s="35"/>
      <c r="G8" s="35"/>
      <c r="H8" s="35"/>
      <c r="I8" s="35"/>
      <c r="J8" s="35"/>
      <c r="K8" s="35"/>
    </row>
    <row r="9" spans="1:14">
      <c r="A9" s="8" t="s">
        <v>83</v>
      </c>
      <c r="B9" s="7" t="s">
        <v>651</v>
      </c>
      <c r="C9" s="7" t="s">
        <v>652</v>
      </c>
      <c r="D9" s="7" t="s">
        <v>653</v>
      </c>
      <c r="E9" s="7" t="s">
        <v>741</v>
      </c>
      <c r="F9" s="7" t="s">
        <v>713</v>
      </c>
      <c r="G9" s="7" t="s">
        <v>50</v>
      </c>
      <c r="H9" s="19" t="s">
        <v>413</v>
      </c>
      <c r="I9" s="8"/>
      <c r="J9" s="8"/>
      <c r="K9" s="8"/>
      <c r="L9" s="29">
        <v>0</v>
      </c>
      <c r="M9" s="8" t="str">
        <f>"0,0000"</f>
        <v>0,0000</v>
      </c>
      <c r="N9" s="7" t="s">
        <v>654</v>
      </c>
    </row>
    <row r="10" spans="1:14">
      <c r="B10" s="5" t="s">
        <v>81</v>
      </c>
    </row>
    <row r="11" spans="1:14" ht="16">
      <c r="A11" s="34" t="s">
        <v>10</v>
      </c>
      <c r="B11" s="34"/>
      <c r="C11" s="35"/>
      <c r="D11" s="35"/>
      <c r="E11" s="35"/>
      <c r="F11" s="35"/>
      <c r="G11" s="35"/>
      <c r="H11" s="35"/>
      <c r="I11" s="35"/>
      <c r="J11" s="35"/>
      <c r="K11" s="35"/>
    </row>
    <row r="12" spans="1:14">
      <c r="A12" s="10" t="s">
        <v>80</v>
      </c>
      <c r="B12" s="9" t="s">
        <v>655</v>
      </c>
      <c r="C12" s="9" t="s">
        <v>656</v>
      </c>
      <c r="D12" s="9" t="s">
        <v>657</v>
      </c>
      <c r="E12" s="9" t="s">
        <v>741</v>
      </c>
      <c r="F12" s="9" t="s">
        <v>713</v>
      </c>
      <c r="G12" s="9" t="s">
        <v>36</v>
      </c>
      <c r="H12" s="21" t="s">
        <v>93</v>
      </c>
      <c r="I12" s="21" t="s">
        <v>290</v>
      </c>
      <c r="J12" s="20" t="s">
        <v>18</v>
      </c>
      <c r="K12" s="10"/>
      <c r="L12" s="30" t="str">
        <f>"102,5"</f>
        <v>102,5</v>
      </c>
      <c r="M12" s="10" t="str">
        <f>"70,8531"</f>
        <v>70,8531</v>
      </c>
      <c r="N12" s="9"/>
    </row>
    <row r="13" spans="1:14">
      <c r="A13" s="25" t="s">
        <v>82</v>
      </c>
      <c r="B13" s="24" t="s">
        <v>658</v>
      </c>
      <c r="C13" s="24" t="s">
        <v>659</v>
      </c>
      <c r="D13" s="24" t="s">
        <v>660</v>
      </c>
      <c r="E13" s="24" t="s">
        <v>741</v>
      </c>
      <c r="F13" s="24" t="s">
        <v>713</v>
      </c>
      <c r="G13" s="24" t="s">
        <v>50</v>
      </c>
      <c r="H13" s="26" t="s">
        <v>134</v>
      </c>
      <c r="I13" s="26" t="s">
        <v>661</v>
      </c>
      <c r="J13" s="27" t="s">
        <v>93</v>
      </c>
      <c r="K13" s="25"/>
      <c r="L13" s="33" t="str">
        <f>"97,5"</f>
        <v>97,5</v>
      </c>
      <c r="M13" s="25" t="str">
        <f>"71,3476"</f>
        <v>71,3476</v>
      </c>
      <c r="N13" s="24" t="s">
        <v>654</v>
      </c>
    </row>
    <row r="14" spans="1:14">
      <c r="A14" s="12" t="s">
        <v>390</v>
      </c>
      <c r="B14" s="11" t="s">
        <v>662</v>
      </c>
      <c r="C14" s="11" t="s">
        <v>663</v>
      </c>
      <c r="D14" s="11" t="s">
        <v>664</v>
      </c>
      <c r="E14" s="11" t="s">
        <v>741</v>
      </c>
      <c r="F14" s="11" t="s">
        <v>49</v>
      </c>
      <c r="G14" s="11" t="s">
        <v>50</v>
      </c>
      <c r="H14" s="22" t="s">
        <v>101</v>
      </c>
      <c r="I14" s="22" t="s">
        <v>141</v>
      </c>
      <c r="J14" s="22" t="s">
        <v>259</v>
      </c>
      <c r="K14" s="12"/>
      <c r="L14" s="31" t="str">
        <f>"72,5"</f>
        <v>72,5</v>
      </c>
      <c r="M14" s="12" t="str">
        <f>"52,4682"</f>
        <v>52,4682</v>
      </c>
      <c r="N14" s="11" t="s">
        <v>650</v>
      </c>
    </row>
    <row r="15" spans="1:14">
      <c r="B15" s="5" t="s">
        <v>81</v>
      </c>
    </row>
    <row r="16" spans="1:14" ht="16">
      <c r="A16" s="34" t="s">
        <v>130</v>
      </c>
      <c r="B16" s="34"/>
      <c r="C16" s="35"/>
      <c r="D16" s="35"/>
      <c r="E16" s="35"/>
      <c r="F16" s="35"/>
      <c r="G16" s="35"/>
      <c r="H16" s="35"/>
      <c r="I16" s="35"/>
      <c r="J16" s="35"/>
      <c r="K16" s="35"/>
    </row>
    <row r="17" spans="1:14">
      <c r="A17" s="10" t="s">
        <v>80</v>
      </c>
      <c r="B17" s="9" t="s">
        <v>665</v>
      </c>
      <c r="C17" s="9" t="s">
        <v>666</v>
      </c>
      <c r="D17" s="9" t="s">
        <v>667</v>
      </c>
      <c r="E17" s="9" t="s">
        <v>741</v>
      </c>
      <c r="F17" s="9" t="s">
        <v>712</v>
      </c>
      <c r="G17" s="9" t="s">
        <v>50</v>
      </c>
      <c r="H17" s="21" t="s">
        <v>162</v>
      </c>
      <c r="I17" s="21" t="s">
        <v>668</v>
      </c>
      <c r="J17" s="21" t="s">
        <v>186</v>
      </c>
      <c r="K17" s="10"/>
      <c r="L17" s="30" t="str">
        <f>"95,0"</f>
        <v>95,0</v>
      </c>
      <c r="M17" s="10" t="str">
        <f>"61,8996"</f>
        <v>61,8996</v>
      </c>
      <c r="N17" s="9" t="s">
        <v>654</v>
      </c>
    </row>
    <row r="18" spans="1:14">
      <c r="A18" s="12" t="s">
        <v>82</v>
      </c>
      <c r="B18" s="11" t="s">
        <v>669</v>
      </c>
      <c r="C18" s="11" t="s">
        <v>670</v>
      </c>
      <c r="D18" s="11" t="s">
        <v>671</v>
      </c>
      <c r="E18" s="11" t="s">
        <v>741</v>
      </c>
      <c r="F18" s="11" t="s">
        <v>713</v>
      </c>
      <c r="G18" s="11" t="s">
        <v>672</v>
      </c>
      <c r="H18" s="22" t="s">
        <v>141</v>
      </c>
      <c r="I18" s="22" t="s">
        <v>170</v>
      </c>
      <c r="J18" s="22" t="s">
        <v>134</v>
      </c>
      <c r="K18" s="12"/>
      <c r="L18" s="31" t="str">
        <f>"90,0"</f>
        <v>90,0</v>
      </c>
      <c r="M18" s="12" t="str">
        <f>"59,8680"</f>
        <v>59,8680</v>
      </c>
      <c r="N18" s="11" t="s">
        <v>673</v>
      </c>
    </row>
    <row r="19" spans="1:14">
      <c r="B19" s="5" t="s">
        <v>81</v>
      </c>
    </row>
    <row r="20" spans="1:14" ht="16">
      <c r="A20" s="34" t="s">
        <v>21</v>
      </c>
      <c r="B20" s="34"/>
      <c r="C20" s="35"/>
      <c r="D20" s="35"/>
      <c r="E20" s="35"/>
      <c r="F20" s="35"/>
      <c r="G20" s="35"/>
      <c r="H20" s="35"/>
      <c r="I20" s="35"/>
      <c r="J20" s="35"/>
      <c r="K20" s="35"/>
    </row>
    <row r="21" spans="1:14">
      <c r="A21" s="10" t="s">
        <v>80</v>
      </c>
      <c r="B21" s="9" t="s">
        <v>674</v>
      </c>
      <c r="C21" s="9" t="s">
        <v>675</v>
      </c>
      <c r="D21" s="9" t="s">
        <v>322</v>
      </c>
      <c r="E21" s="9" t="s">
        <v>741</v>
      </c>
      <c r="F21" s="9" t="s">
        <v>49</v>
      </c>
      <c r="G21" s="9" t="s">
        <v>50</v>
      </c>
      <c r="H21" s="21" t="s">
        <v>99</v>
      </c>
      <c r="I21" s="21" t="s">
        <v>90</v>
      </c>
      <c r="J21" s="20" t="s">
        <v>190</v>
      </c>
      <c r="K21" s="10"/>
      <c r="L21" s="30" t="str">
        <f>"125,0"</f>
        <v>125,0</v>
      </c>
      <c r="M21" s="10" t="str">
        <f>"77,2625"</f>
        <v>77,2625</v>
      </c>
      <c r="N21" s="9" t="s">
        <v>650</v>
      </c>
    </row>
    <row r="22" spans="1:14">
      <c r="A22" s="25" t="s">
        <v>82</v>
      </c>
      <c r="B22" s="24" t="s">
        <v>676</v>
      </c>
      <c r="C22" s="24" t="s">
        <v>677</v>
      </c>
      <c r="D22" s="24" t="s">
        <v>678</v>
      </c>
      <c r="E22" s="24" t="s">
        <v>741</v>
      </c>
      <c r="F22" s="24" t="s">
        <v>713</v>
      </c>
      <c r="G22" s="24" t="s">
        <v>50</v>
      </c>
      <c r="H22" s="26" t="s">
        <v>186</v>
      </c>
      <c r="I22" s="26" t="s">
        <v>93</v>
      </c>
      <c r="J22" s="26" t="s">
        <v>173</v>
      </c>
      <c r="K22" s="25"/>
      <c r="L22" s="33" t="str">
        <f>"112,5"</f>
        <v>112,5</v>
      </c>
      <c r="M22" s="25" t="str">
        <f>"69,9244"</f>
        <v>69,9244</v>
      </c>
      <c r="N22" s="24" t="s">
        <v>654</v>
      </c>
    </row>
    <row r="23" spans="1:14">
      <c r="A23" s="25" t="s">
        <v>390</v>
      </c>
      <c r="B23" s="24" t="s">
        <v>679</v>
      </c>
      <c r="C23" s="24" t="s">
        <v>680</v>
      </c>
      <c r="D23" s="24" t="s">
        <v>681</v>
      </c>
      <c r="E23" s="24" t="s">
        <v>741</v>
      </c>
      <c r="F23" s="24" t="s">
        <v>713</v>
      </c>
      <c r="G23" s="24" t="s">
        <v>50</v>
      </c>
      <c r="H23" s="27" t="s">
        <v>134</v>
      </c>
      <c r="I23" s="26" t="s">
        <v>134</v>
      </c>
      <c r="J23" s="27" t="s">
        <v>668</v>
      </c>
      <c r="K23" s="25"/>
      <c r="L23" s="33" t="str">
        <f>"90,0"</f>
        <v>90,0</v>
      </c>
      <c r="M23" s="25" t="str">
        <f>"57,7440"</f>
        <v>57,7440</v>
      </c>
      <c r="N23" s="24" t="s">
        <v>654</v>
      </c>
    </row>
    <row r="24" spans="1:14">
      <c r="A24" s="25" t="s">
        <v>80</v>
      </c>
      <c r="B24" s="24" t="s">
        <v>682</v>
      </c>
      <c r="C24" s="24" t="s">
        <v>683</v>
      </c>
      <c r="D24" s="24" t="s">
        <v>684</v>
      </c>
      <c r="E24" s="24" t="s">
        <v>744</v>
      </c>
      <c r="F24" s="24" t="s">
        <v>713</v>
      </c>
      <c r="G24" s="24" t="s">
        <v>50</v>
      </c>
      <c r="H24" s="26" t="s">
        <v>161</v>
      </c>
      <c r="I24" s="27" t="s">
        <v>413</v>
      </c>
      <c r="J24" s="27" t="s">
        <v>413</v>
      </c>
      <c r="K24" s="25"/>
      <c r="L24" s="33" t="str">
        <f>"80,0"</f>
        <v>80,0</v>
      </c>
      <c r="M24" s="25" t="str">
        <f>"51,5100"</f>
        <v>51,5100</v>
      </c>
      <c r="N24" s="24" t="s">
        <v>654</v>
      </c>
    </row>
    <row r="25" spans="1:14">
      <c r="A25" s="25" t="s">
        <v>82</v>
      </c>
      <c r="B25" s="24" t="s">
        <v>685</v>
      </c>
      <c r="C25" s="24" t="s">
        <v>686</v>
      </c>
      <c r="D25" s="24" t="s">
        <v>470</v>
      </c>
      <c r="E25" s="24" t="s">
        <v>744</v>
      </c>
      <c r="F25" s="24" t="s">
        <v>713</v>
      </c>
      <c r="G25" s="24" t="s">
        <v>50</v>
      </c>
      <c r="H25" s="26" t="s">
        <v>100</v>
      </c>
      <c r="I25" s="26" t="s">
        <v>141</v>
      </c>
      <c r="J25" s="27" t="s">
        <v>170</v>
      </c>
      <c r="K25" s="25"/>
      <c r="L25" s="33" t="str">
        <f>"70,0"</f>
        <v>70,0</v>
      </c>
      <c r="M25" s="25" t="str">
        <f>"45,7316"</f>
        <v>45,7316</v>
      </c>
      <c r="N25" s="24" t="s">
        <v>654</v>
      </c>
    </row>
    <row r="26" spans="1:14">
      <c r="A26" s="12" t="s">
        <v>80</v>
      </c>
      <c r="B26" s="11" t="s">
        <v>687</v>
      </c>
      <c r="C26" s="11" t="s">
        <v>688</v>
      </c>
      <c r="D26" s="11" t="s">
        <v>689</v>
      </c>
      <c r="E26" s="11" t="s">
        <v>748</v>
      </c>
      <c r="F26" s="11" t="s">
        <v>49</v>
      </c>
      <c r="G26" s="11" t="s">
        <v>50</v>
      </c>
      <c r="H26" s="22" t="s">
        <v>171</v>
      </c>
      <c r="I26" s="22" t="s">
        <v>134</v>
      </c>
      <c r="J26" s="22" t="s">
        <v>93</v>
      </c>
      <c r="K26" s="12"/>
      <c r="L26" s="31" t="str">
        <f>"100,0"</f>
        <v>100,0</v>
      </c>
      <c r="M26" s="12" t="str">
        <f>"88,7947"</f>
        <v>88,7947</v>
      </c>
      <c r="N26" s="11" t="s">
        <v>650</v>
      </c>
    </row>
    <row r="27" spans="1:14">
      <c r="B27" s="5" t="s">
        <v>81</v>
      </c>
    </row>
    <row r="28" spans="1:14">
      <c r="B28" s="5" t="s">
        <v>81</v>
      </c>
    </row>
    <row r="29" spans="1:14">
      <c r="B29" s="5" t="s">
        <v>81</v>
      </c>
    </row>
    <row r="30" spans="1:14" ht="18">
      <c r="B30" s="13" t="s">
        <v>72</v>
      </c>
      <c r="C30" s="13"/>
    </row>
    <row r="31" spans="1:14" ht="16">
      <c r="B31" s="14" t="s">
        <v>73</v>
      </c>
      <c r="C31" s="14"/>
    </row>
    <row r="32" spans="1:14" ht="14">
      <c r="B32" s="15"/>
      <c r="C32" s="16" t="s">
        <v>74</v>
      </c>
    </row>
    <row r="33" spans="2:12" ht="14">
      <c r="B33" s="17" t="s">
        <v>75</v>
      </c>
      <c r="C33" s="17" t="s">
        <v>76</v>
      </c>
      <c r="D33" s="17" t="s">
        <v>731</v>
      </c>
      <c r="E33" s="17" t="s">
        <v>240</v>
      </c>
      <c r="F33" s="17" t="s">
        <v>241</v>
      </c>
    </row>
    <row r="34" spans="2:12">
      <c r="B34" s="5" t="s">
        <v>674</v>
      </c>
      <c r="C34" s="5" t="s">
        <v>74</v>
      </c>
      <c r="D34" s="6" t="s">
        <v>79</v>
      </c>
      <c r="E34" s="6" t="s">
        <v>90</v>
      </c>
      <c r="F34" s="6" t="s">
        <v>690</v>
      </c>
    </row>
    <row r="35" spans="2:12">
      <c r="B35" s="5" t="s">
        <v>658</v>
      </c>
      <c r="C35" s="5" t="s">
        <v>74</v>
      </c>
      <c r="D35" s="6" t="s">
        <v>128</v>
      </c>
      <c r="E35" s="6" t="s">
        <v>661</v>
      </c>
      <c r="F35" s="6" t="s">
        <v>691</v>
      </c>
    </row>
    <row r="36" spans="2:12">
      <c r="B36" s="5" t="s">
        <v>655</v>
      </c>
      <c r="C36" s="5" t="s">
        <v>74</v>
      </c>
      <c r="D36" s="6" t="s">
        <v>128</v>
      </c>
      <c r="E36" s="6" t="s">
        <v>290</v>
      </c>
      <c r="F36" s="6" t="s">
        <v>692</v>
      </c>
    </row>
    <row r="37" spans="2:12" customFormat="1">
      <c r="L37" s="32"/>
    </row>
    <row r="38" spans="2:12" customFormat="1">
      <c r="L38" s="32"/>
    </row>
    <row r="39" spans="2:12" customFormat="1">
      <c r="L39" s="32"/>
    </row>
    <row r="40" spans="2:12" customFormat="1">
      <c r="L40" s="32"/>
    </row>
    <row r="41" spans="2:12" customFormat="1">
      <c r="L41" s="32"/>
    </row>
    <row r="42" spans="2:12" customFormat="1">
      <c r="L42" s="32"/>
    </row>
  </sheetData>
  <mergeCells count="17"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  <mergeCell ref="A8:K8"/>
    <mergeCell ref="A11:K11"/>
    <mergeCell ref="A16:K16"/>
    <mergeCell ref="A20:K20"/>
    <mergeCell ref="B3:B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F8843-41F6-4089-B3FC-C70055749FE0}">
  <dimension ref="A1:N67"/>
  <sheetViews>
    <sheetView zoomScaleNormal="100" workbookViewId="0">
      <selection activeCell="E32" sqref="E32"/>
    </sheetView>
  </sheetViews>
  <sheetFormatPr baseColWidth="10" defaultColWidth="9.1640625" defaultRowHeight="13"/>
  <cols>
    <col min="1" max="1" width="7.5" style="5" bestFit="1" customWidth="1"/>
    <col min="2" max="2" width="21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3.6640625" style="5" customWidth="1"/>
    <col min="7" max="7" width="29" style="5" customWidth="1"/>
    <col min="8" max="10" width="5.5" style="6" customWidth="1"/>
    <col min="11" max="11" width="4.83203125" style="6" customWidth="1"/>
    <col min="12" max="12" width="10.5" style="28" bestFit="1" customWidth="1"/>
    <col min="13" max="13" width="8.5" style="6" bestFit="1" customWidth="1"/>
    <col min="14" max="14" width="25.83203125" style="5" customWidth="1"/>
    <col min="15" max="16384" width="9.1640625" style="3"/>
  </cols>
  <sheetData>
    <row r="1" spans="1:14" s="2" customFormat="1" ht="29" customHeight="1">
      <c r="A1" s="46" t="s">
        <v>725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</row>
    <row r="2" spans="1:14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4" s="1" customFormat="1" ht="12.75" customHeight="1">
      <c r="A3" s="54" t="s">
        <v>736</v>
      </c>
      <c r="B3" s="44" t="s">
        <v>0</v>
      </c>
      <c r="C3" s="56" t="s">
        <v>738</v>
      </c>
      <c r="D3" s="56" t="s">
        <v>6</v>
      </c>
      <c r="E3" s="38" t="s">
        <v>739</v>
      </c>
      <c r="F3" s="38"/>
      <c r="G3" s="38" t="s">
        <v>5</v>
      </c>
      <c r="H3" s="38" t="s">
        <v>9</v>
      </c>
      <c r="I3" s="38"/>
      <c r="J3" s="38"/>
      <c r="K3" s="38"/>
      <c r="L3" s="36" t="s">
        <v>242</v>
      </c>
      <c r="M3" s="38" t="s">
        <v>3</v>
      </c>
      <c r="N3" s="40" t="s">
        <v>2</v>
      </c>
    </row>
    <row r="4" spans="1:14" s="1" customFormat="1" ht="21" customHeight="1" thickBot="1">
      <c r="A4" s="55"/>
      <c r="B4" s="45"/>
      <c r="C4" s="39"/>
      <c r="D4" s="39"/>
      <c r="E4" s="39"/>
      <c r="F4" s="39"/>
      <c r="G4" s="39"/>
      <c r="H4" s="4">
        <v>1</v>
      </c>
      <c r="I4" s="4">
        <v>2</v>
      </c>
      <c r="J4" s="4">
        <v>3</v>
      </c>
      <c r="K4" s="4" t="s">
        <v>4</v>
      </c>
      <c r="L4" s="37"/>
      <c r="M4" s="39"/>
      <c r="N4" s="41"/>
    </row>
    <row r="5" spans="1:14" ht="16">
      <c r="A5" s="42" t="s">
        <v>164</v>
      </c>
      <c r="B5" s="42"/>
      <c r="C5" s="43"/>
      <c r="D5" s="43"/>
      <c r="E5" s="43"/>
      <c r="F5" s="43"/>
      <c r="G5" s="43"/>
      <c r="H5" s="43"/>
      <c r="I5" s="43"/>
      <c r="J5" s="43"/>
      <c r="K5" s="43"/>
    </row>
    <row r="6" spans="1:14">
      <c r="A6" s="8" t="s">
        <v>80</v>
      </c>
      <c r="B6" s="7" t="s">
        <v>613</v>
      </c>
      <c r="C6" s="7" t="s">
        <v>614</v>
      </c>
      <c r="D6" s="7" t="s">
        <v>615</v>
      </c>
      <c r="E6" s="7" t="s">
        <v>741</v>
      </c>
      <c r="F6" s="7" t="s">
        <v>168</v>
      </c>
      <c r="G6" s="7" t="s">
        <v>169</v>
      </c>
      <c r="H6" s="18" t="s">
        <v>189</v>
      </c>
      <c r="I6" s="18" t="s">
        <v>52</v>
      </c>
      <c r="J6" s="18" t="s">
        <v>438</v>
      </c>
      <c r="K6" s="8"/>
      <c r="L6" s="29" t="str">
        <f>"135,0"</f>
        <v>135,0</v>
      </c>
      <c r="M6" s="8" t="str">
        <f>"201,6360"</f>
        <v>201,6360</v>
      </c>
      <c r="N6" s="7" t="s">
        <v>175</v>
      </c>
    </row>
    <row r="7" spans="1:14">
      <c r="B7" s="5" t="s">
        <v>81</v>
      </c>
    </row>
    <row r="8" spans="1:14" ht="16">
      <c r="A8" s="34" t="s">
        <v>248</v>
      </c>
      <c r="B8" s="34"/>
      <c r="C8" s="35"/>
      <c r="D8" s="35"/>
      <c r="E8" s="35"/>
      <c r="F8" s="35"/>
      <c r="G8" s="35"/>
      <c r="H8" s="35"/>
      <c r="I8" s="35"/>
      <c r="J8" s="35"/>
      <c r="K8" s="35"/>
    </row>
    <row r="9" spans="1:14">
      <c r="A9" s="10" t="s">
        <v>80</v>
      </c>
      <c r="B9" s="9" t="s">
        <v>616</v>
      </c>
      <c r="C9" s="9" t="s">
        <v>617</v>
      </c>
      <c r="D9" s="9" t="s">
        <v>406</v>
      </c>
      <c r="E9" s="9" t="s">
        <v>741</v>
      </c>
      <c r="F9" s="9" t="s">
        <v>49</v>
      </c>
      <c r="G9" s="9" t="s">
        <v>50</v>
      </c>
      <c r="H9" s="21" t="s">
        <v>99</v>
      </c>
      <c r="I9" s="21" t="s">
        <v>90</v>
      </c>
      <c r="J9" s="21" t="s">
        <v>52</v>
      </c>
      <c r="K9" s="10"/>
      <c r="L9" s="30" t="str">
        <f>"130,0"</f>
        <v>130,0</v>
      </c>
      <c r="M9" s="10" t="str">
        <f>"154,0370"</f>
        <v>154,0370</v>
      </c>
      <c r="N9" s="9" t="s">
        <v>282</v>
      </c>
    </row>
    <row r="10" spans="1:14">
      <c r="A10" s="25" t="s">
        <v>82</v>
      </c>
      <c r="B10" s="24" t="s">
        <v>618</v>
      </c>
      <c r="C10" s="24" t="s">
        <v>619</v>
      </c>
      <c r="D10" s="24" t="s">
        <v>620</v>
      </c>
      <c r="E10" s="24" t="s">
        <v>741</v>
      </c>
      <c r="F10" s="24" t="s">
        <v>168</v>
      </c>
      <c r="G10" s="24" t="s">
        <v>169</v>
      </c>
      <c r="H10" s="26" t="s">
        <v>189</v>
      </c>
      <c r="I10" s="26" t="s">
        <v>190</v>
      </c>
      <c r="J10" s="27" t="s">
        <v>438</v>
      </c>
      <c r="K10" s="25"/>
      <c r="L10" s="33" t="str">
        <f>"127,5"</f>
        <v>127,5</v>
      </c>
      <c r="M10" s="25" t="str">
        <f>"150,0165"</f>
        <v>150,0165</v>
      </c>
      <c r="N10" s="24" t="s">
        <v>175</v>
      </c>
    </row>
    <row r="11" spans="1:14">
      <c r="A11" s="12" t="s">
        <v>83</v>
      </c>
      <c r="B11" s="11" t="s">
        <v>621</v>
      </c>
      <c r="C11" s="11" t="s">
        <v>622</v>
      </c>
      <c r="D11" s="11" t="s">
        <v>623</v>
      </c>
      <c r="E11" s="11" t="s">
        <v>741</v>
      </c>
      <c r="F11" s="11" t="s">
        <v>595</v>
      </c>
      <c r="G11" s="11" t="s">
        <v>50</v>
      </c>
      <c r="H11" s="23" t="s">
        <v>186</v>
      </c>
      <c r="I11" s="23" t="s">
        <v>93</v>
      </c>
      <c r="J11" s="12"/>
      <c r="K11" s="12"/>
      <c r="L11" s="31">
        <v>0</v>
      </c>
      <c r="M11" s="12" t="str">
        <f>"0,0000"</f>
        <v>0,0000</v>
      </c>
      <c r="N11" s="11" t="s">
        <v>597</v>
      </c>
    </row>
    <row r="12" spans="1:14">
      <c r="B12" s="5" t="s">
        <v>81</v>
      </c>
    </row>
    <row r="13" spans="1:14" ht="16">
      <c r="A13" s="34" t="s">
        <v>84</v>
      </c>
      <c r="B13" s="34"/>
      <c r="C13" s="35"/>
      <c r="D13" s="35"/>
      <c r="E13" s="35"/>
      <c r="F13" s="35"/>
      <c r="G13" s="35"/>
      <c r="H13" s="35"/>
      <c r="I13" s="35"/>
      <c r="J13" s="35"/>
      <c r="K13" s="35"/>
    </row>
    <row r="14" spans="1:14">
      <c r="A14" s="8" t="s">
        <v>80</v>
      </c>
      <c r="B14" s="7" t="s">
        <v>95</v>
      </c>
      <c r="C14" s="7" t="s">
        <v>104</v>
      </c>
      <c r="D14" s="7" t="s">
        <v>97</v>
      </c>
      <c r="E14" s="7" t="s">
        <v>744</v>
      </c>
      <c r="F14" s="7" t="s">
        <v>713</v>
      </c>
      <c r="G14" s="7" t="s">
        <v>98</v>
      </c>
      <c r="H14" s="18" t="s">
        <v>52</v>
      </c>
      <c r="I14" s="18" t="s">
        <v>102</v>
      </c>
      <c r="J14" s="19" t="s">
        <v>54</v>
      </c>
      <c r="K14" s="8"/>
      <c r="L14" s="29" t="str">
        <f>"140,0"</f>
        <v>140,0</v>
      </c>
      <c r="M14" s="8" t="str">
        <f>"154,5788"</f>
        <v>154,5788</v>
      </c>
      <c r="N14" s="7" t="s">
        <v>103</v>
      </c>
    </row>
    <row r="15" spans="1:14">
      <c r="B15" s="5" t="s">
        <v>81</v>
      </c>
    </row>
    <row r="16" spans="1:14" ht="16">
      <c r="A16" s="34" t="s">
        <v>10</v>
      </c>
      <c r="B16" s="34"/>
      <c r="C16" s="35"/>
      <c r="D16" s="35"/>
      <c r="E16" s="35"/>
      <c r="F16" s="35"/>
      <c r="G16" s="35"/>
      <c r="H16" s="35"/>
      <c r="I16" s="35"/>
      <c r="J16" s="35"/>
      <c r="K16" s="35"/>
    </row>
    <row r="17" spans="1:14">
      <c r="A17" s="10" t="s">
        <v>80</v>
      </c>
      <c r="B17" s="9" t="s">
        <v>624</v>
      </c>
      <c r="C17" s="9" t="s">
        <v>625</v>
      </c>
      <c r="D17" s="9" t="s">
        <v>626</v>
      </c>
      <c r="E17" s="9" t="s">
        <v>741</v>
      </c>
      <c r="F17" s="9" t="s">
        <v>712</v>
      </c>
      <c r="G17" s="9" t="s">
        <v>50</v>
      </c>
      <c r="H17" s="21" t="s">
        <v>99</v>
      </c>
      <c r="I17" s="21" t="s">
        <v>190</v>
      </c>
      <c r="J17" s="21" t="s">
        <v>438</v>
      </c>
      <c r="K17" s="10"/>
      <c r="L17" s="30" t="str">
        <f>"135,0"</f>
        <v>135,0</v>
      </c>
      <c r="M17" s="10" t="str">
        <f>"131,2875"</f>
        <v>131,2875</v>
      </c>
      <c r="N17" s="9" t="s">
        <v>191</v>
      </c>
    </row>
    <row r="18" spans="1:14">
      <c r="A18" s="12" t="s">
        <v>80</v>
      </c>
      <c r="B18" s="11" t="s">
        <v>627</v>
      </c>
      <c r="C18" s="11" t="s">
        <v>628</v>
      </c>
      <c r="D18" s="11" t="s">
        <v>629</v>
      </c>
      <c r="E18" s="11" t="s">
        <v>742</v>
      </c>
      <c r="F18" s="11" t="s">
        <v>730</v>
      </c>
      <c r="G18" s="11" t="s">
        <v>98</v>
      </c>
      <c r="H18" s="22" t="s">
        <v>20</v>
      </c>
      <c r="I18" s="23" t="s">
        <v>99</v>
      </c>
      <c r="J18" s="23" t="s">
        <v>99</v>
      </c>
      <c r="K18" s="12"/>
      <c r="L18" s="31" t="str">
        <f>"115,0"</f>
        <v>115,0</v>
      </c>
      <c r="M18" s="12" t="str">
        <f>"133,7048"</f>
        <v>133,7048</v>
      </c>
      <c r="N18" s="11" t="s">
        <v>103</v>
      </c>
    </row>
    <row r="19" spans="1:14">
      <c r="B19" s="5" t="s">
        <v>81</v>
      </c>
    </row>
    <row r="20" spans="1:14" ht="16">
      <c r="A20" s="34" t="s">
        <v>84</v>
      </c>
      <c r="B20" s="34"/>
      <c r="C20" s="35"/>
      <c r="D20" s="35"/>
      <c r="E20" s="35"/>
      <c r="F20" s="35"/>
      <c r="G20" s="35"/>
      <c r="H20" s="35"/>
      <c r="I20" s="35"/>
      <c r="J20" s="35"/>
      <c r="K20" s="35"/>
    </row>
    <row r="21" spans="1:14">
      <c r="A21" s="8" t="s">
        <v>80</v>
      </c>
      <c r="B21" s="7" t="s">
        <v>630</v>
      </c>
      <c r="C21" s="7" t="s">
        <v>631</v>
      </c>
      <c r="D21" s="7" t="s">
        <v>632</v>
      </c>
      <c r="E21" s="7" t="s">
        <v>747</v>
      </c>
      <c r="F21" s="7" t="s">
        <v>49</v>
      </c>
      <c r="G21" s="7" t="s">
        <v>50</v>
      </c>
      <c r="H21" s="18" t="s">
        <v>19</v>
      </c>
      <c r="I21" s="18" t="s">
        <v>90</v>
      </c>
      <c r="J21" s="19" t="s">
        <v>102</v>
      </c>
      <c r="K21" s="8"/>
      <c r="L21" s="29" t="str">
        <f>"125,0"</f>
        <v>125,0</v>
      </c>
      <c r="M21" s="8" t="str">
        <f>"101,8000"</f>
        <v>101,8000</v>
      </c>
      <c r="N21" s="7" t="s">
        <v>56</v>
      </c>
    </row>
    <row r="22" spans="1:14">
      <c r="B22" s="5" t="s">
        <v>81</v>
      </c>
    </row>
    <row r="23" spans="1:14" ht="16">
      <c r="A23" s="34" t="s">
        <v>10</v>
      </c>
      <c r="B23" s="34"/>
      <c r="C23" s="35"/>
      <c r="D23" s="35"/>
      <c r="E23" s="35"/>
      <c r="F23" s="35"/>
      <c r="G23" s="35"/>
      <c r="H23" s="35"/>
      <c r="I23" s="35"/>
      <c r="J23" s="35"/>
      <c r="K23" s="35"/>
    </row>
    <row r="24" spans="1:14">
      <c r="A24" s="10" t="s">
        <v>80</v>
      </c>
      <c r="B24" s="9" t="s">
        <v>633</v>
      </c>
      <c r="C24" s="9" t="s">
        <v>634</v>
      </c>
      <c r="D24" s="9" t="s">
        <v>592</v>
      </c>
      <c r="E24" s="9" t="s">
        <v>741</v>
      </c>
      <c r="F24" s="9" t="s">
        <v>301</v>
      </c>
      <c r="G24" s="9" t="s">
        <v>239</v>
      </c>
      <c r="H24" s="21" t="s">
        <v>116</v>
      </c>
      <c r="I24" s="21" t="s">
        <v>124</v>
      </c>
      <c r="J24" s="21" t="s">
        <v>195</v>
      </c>
      <c r="K24" s="10"/>
      <c r="L24" s="30" t="str">
        <f>"237,5"</f>
        <v>237,5</v>
      </c>
      <c r="M24" s="10" t="str">
        <f>"174,0875"</f>
        <v>174,0875</v>
      </c>
      <c r="N24" s="9" t="s">
        <v>302</v>
      </c>
    </row>
    <row r="25" spans="1:14">
      <c r="A25" s="25" t="s">
        <v>82</v>
      </c>
      <c r="B25" s="24" t="s">
        <v>192</v>
      </c>
      <c r="C25" s="24" t="s">
        <v>193</v>
      </c>
      <c r="D25" s="24" t="s">
        <v>194</v>
      </c>
      <c r="E25" s="24" t="s">
        <v>741</v>
      </c>
      <c r="F25" s="24" t="s">
        <v>713</v>
      </c>
      <c r="G25" s="24" t="s">
        <v>711</v>
      </c>
      <c r="H25" s="26" t="s">
        <v>124</v>
      </c>
      <c r="I25" s="26" t="s">
        <v>195</v>
      </c>
      <c r="J25" s="27" t="s">
        <v>148</v>
      </c>
      <c r="K25" s="25"/>
      <c r="L25" s="33" t="str">
        <f>"237,5"</f>
        <v>237,5</v>
      </c>
      <c r="M25" s="25" t="str">
        <f>"173,2088"</f>
        <v>173,2088</v>
      </c>
      <c r="N25" s="24" t="s">
        <v>196</v>
      </c>
    </row>
    <row r="26" spans="1:14">
      <c r="A26" s="12" t="s">
        <v>390</v>
      </c>
      <c r="B26" s="11" t="s">
        <v>113</v>
      </c>
      <c r="C26" s="11" t="s">
        <v>114</v>
      </c>
      <c r="D26" s="11" t="s">
        <v>115</v>
      </c>
      <c r="E26" s="11" t="s">
        <v>741</v>
      </c>
      <c r="F26" s="11" t="s">
        <v>712</v>
      </c>
      <c r="G26" s="11" t="s">
        <v>710</v>
      </c>
      <c r="H26" s="22" t="s">
        <v>41</v>
      </c>
      <c r="I26" s="22" t="s">
        <v>596</v>
      </c>
      <c r="J26" s="23" t="s">
        <v>124</v>
      </c>
      <c r="K26" s="12"/>
      <c r="L26" s="31" t="str">
        <f>"220,0"</f>
        <v>220,0</v>
      </c>
      <c r="M26" s="12" t="str">
        <f>"156,7720"</f>
        <v>156,7720</v>
      </c>
      <c r="N26" s="11"/>
    </row>
    <row r="27" spans="1:14">
      <c r="B27" s="5" t="s">
        <v>81</v>
      </c>
    </row>
    <row r="28" spans="1:14" ht="16">
      <c r="A28" s="34" t="s">
        <v>21</v>
      </c>
      <c r="B28" s="34"/>
      <c r="C28" s="35"/>
      <c r="D28" s="35"/>
      <c r="E28" s="35"/>
      <c r="F28" s="35"/>
      <c r="G28" s="35"/>
      <c r="H28" s="35"/>
      <c r="I28" s="35"/>
      <c r="J28" s="35"/>
      <c r="K28" s="35"/>
    </row>
    <row r="29" spans="1:14">
      <c r="A29" s="8" t="s">
        <v>80</v>
      </c>
      <c r="B29" s="7" t="s">
        <v>476</v>
      </c>
      <c r="C29" s="7" t="s">
        <v>477</v>
      </c>
      <c r="D29" s="7" t="s">
        <v>478</v>
      </c>
      <c r="E29" s="7" t="s">
        <v>741</v>
      </c>
      <c r="F29" s="7" t="s">
        <v>713</v>
      </c>
      <c r="G29" s="7" t="s">
        <v>50</v>
      </c>
      <c r="H29" s="18" t="s">
        <v>479</v>
      </c>
      <c r="I29" s="19" t="s">
        <v>68</v>
      </c>
      <c r="J29" s="18" t="s">
        <v>68</v>
      </c>
      <c r="K29" s="8"/>
      <c r="L29" s="29" t="str">
        <f>"270,0"</f>
        <v>270,0</v>
      </c>
      <c r="M29" s="8" t="str">
        <f>"172,5570"</f>
        <v>172,5570</v>
      </c>
      <c r="N29" s="7" t="s">
        <v>480</v>
      </c>
    </row>
    <row r="30" spans="1:14">
      <c r="B30" s="5" t="s">
        <v>81</v>
      </c>
    </row>
    <row r="31" spans="1:14" ht="16">
      <c r="A31" s="34" t="s">
        <v>32</v>
      </c>
      <c r="B31" s="34"/>
      <c r="C31" s="35"/>
      <c r="D31" s="35"/>
      <c r="E31" s="35"/>
      <c r="F31" s="35"/>
      <c r="G31" s="35"/>
      <c r="H31" s="35"/>
      <c r="I31" s="35"/>
      <c r="J31" s="35"/>
      <c r="K31" s="35"/>
    </row>
    <row r="32" spans="1:14">
      <c r="A32" s="8" t="s">
        <v>80</v>
      </c>
      <c r="B32" s="7" t="s">
        <v>206</v>
      </c>
      <c r="C32" s="7" t="s">
        <v>207</v>
      </c>
      <c r="D32" s="7" t="s">
        <v>208</v>
      </c>
      <c r="E32" s="7" t="s">
        <v>741</v>
      </c>
      <c r="F32" s="7" t="s">
        <v>209</v>
      </c>
      <c r="G32" s="7" t="s">
        <v>61</v>
      </c>
      <c r="H32" s="18" t="s">
        <v>28</v>
      </c>
      <c r="I32" s="18" t="s">
        <v>116</v>
      </c>
      <c r="J32" s="18" t="s">
        <v>51</v>
      </c>
      <c r="K32" s="8"/>
      <c r="L32" s="29" t="str">
        <f>"225,0"</f>
        <v>225,0</v>
      </c>
      <c r="M32" s="8" t="str">
        <f>"134,2350"</f>
        <v>134,2350</v>
      </c>
      <c r="N32" s="7" t="s">
        <v>69</v>
      </c>
    </row>
    <row r="33" spans="2:12">
      <c r="B33" s="5" t="s">
        <v>81</v>
      </c>
    </row>
    <row r="34" spans="2:12" customFormat="1">
      <c r="L34" s="32"/>
    </row>
    <row r="35" spans="2:12" customFormat="1">
      <c r="L35" s="32"/>
    </row>
    <row r="36" spans="2:12" customFormat="1">
      <c r="L36" s="32"/>
    </row>
    <row r="37" spans="2:12" customFormat="1">
      <c r="L37" s="32"/>
    </row>
    <row r="38" spans="2:12" customFormat="1">
      <c r="L38" s="32"/>
    </row>
    <row r="39" spans="2:12" customFormat="1">
      <c r="L39" s="32"/>
    </row>
    <row r="40" spans="2:12" customFormat="1">
      <c r="L40" s="32"/>
    </row>
    <row r="41" spans="2:12" customFormat="1">
      <c r="L41" s="32"/>
    </row>
    <row r="42" spans="2:12" customFormat="1">
      <c r="L42" s="32"/>
    </row>
    <row r="43" spans="2:12" customFormat="1">
      <c r="L43" s="32"/>
    </row>
    <row r="44" spans="2:12" customFormat="1">
      <c r="L44" s="32"/>
    </row>
    <row r="45" spans="2:12" customFormat="1">
      <c r="L45" s="32"/>
    </row>
    <row r="46" spans="2:12" customFormat="1">
      <c r="L46" s="32"/>
    </row>
    <row r="47" spans="2:12" customFormat="1">
      <c r="L47" s="32"/>
    </row>
    <row r="48" spans="2:12" customFormat="1">
      <c r="L48" s="32"/>
    </row>
    <row r="49" spans="12:12" customFormat="1">
      <c r="L49" s="32"/>
    </row>
    <row r="50" spans="12:12" customFormat="1">
      <c r="L50" s="32"/>
    </row>
    <row r="51" spans="12:12" customFormat="1">
      <c r="L51" s="32"/>
    </row>
    <row r="52" spans="12:12" customFormat="1">
      <c r="L52" s="32"/>
    </row>
    <row r="53" spans="12:12" customFormat="1">
      <c r="L53" s="32"/>
    </row>
    <row r="54" spans="12:12" customFormat="1">
      <c r="L54" s="32"/>
    </row>
    <row r="55" spans="12:12" customFormat="1">
      <c r="L55" s="32"/>
    </row>
    <row r="56" spans="12:12" customFormat="1">
      <c r="L56" s="32"/>
    </row>
    <row r="57" spans="12:12" customFormat="1">
      <c r="L57" s="32"/>
    </row>
    <row r="58" spans="12:12" customFormat="1">
      <c r="L58" s="32"/>
    </row>
    <row r="59" spans="12:12" customFormat="1">
      <c r="L59" s="32"/>
    </row>
    <row r="60" spans="12:12" customFormat="1">
      <c r="L60" s="32"/>
    </row>
    <row r="61" spans="12:12" customFormat="1">
      <c r="L61" s="32"/>
    </row>
    <row r="62" spans="12:12" customFormat="1">
      <c r="L62" s="32"/>
    </row>
    <row r="63" spans="12:12" customFormat="1">
      <c r="L63" s="32"/>
    </row>
    <row r="64" spans="12:12" customFormat="1">
      <c r="L64" s="32"/>
    </row>
    <row r="65" spans="12:12" customFormat="1">
      <c r="L65" s="32"/>
    </row>
    <row r="66" spans="12:12" customFormat="1">
      <c r="L66" s="32"/>
    </row>
    <row r="67" spans="12:12" customFormat="1">
      <c r="L67" s="32"/>
    </row>
  </sheetData>
  <mergeCells count="20"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  <mergeCell ref="A28:K28"/>
    <mergeCell ref="A31:K31"/>
    <mergeCell ref="B3:B4"/>
    <mergeCell ref="A8:K8"/>
    <mergeCell ref="A13:K13"/>
    <mergeCell ref="A16:K16"/>
    <mergeCell ref="A20:K20"/>
    <mergeCell ref="A23:K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7F2CA-58D4-49BD-AECC-10CCD7A7FDEB}">
  <dimension ref="A1:N78"/>
  <sheetViews>
    <sheetView topLeftCell="A6" zoomScaleNormal="100" workbookViewId="0">
      <selection activeCell="E42" sqref="E42"/>
    </sheetView>
  </sheetViews>
  <sheetFormatPr baseColWidth="10" defaultColWidth="9.1640625" defaultRowHeight="13"/>
  <cols>
    <col min="1" max="1" width="7.5" style="5" bestFit="1" customWidth="1"/>
    <col min="2" max="2" width="22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5.1640625" style="5" customWidth="1"/>
    <col min="8" max="10" width="5.5" style="6" customWidth="1"/>
    <col min="11" max="11" width="4.83203125" style="6" customWidth="1"/>
    <col min="12" max="12" width="10.5" style="6" bestFit="1" customWidth="1"/>
    <col min="13" max="13" width="8.5" style="6" bestFit="1" customWidth="1"/>
    <col min="14" max="14" width="19.33203125" style="5" customWidth="1"/>
    <col min="15" max="16384" width="9.1640625" style="3"/>
  </cols>
  <sheetData>
    <row r="1" spans="1:14" s="2" customFormat="1" ht="29" customHeight="1">
      <c r="A1" s="46" t="s">
        <v>726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</row>
    <row r="2" spans="1:14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4" s="1" customFormat="1" ht="12.75" customHeight="1">
      <c r="A3" s="54" t="s">
        <v>736</v>
      </c>
      <c r="B3" s="44" t="s">
        <v>0</v>
      </c>
      <c r="C3" s="56" t="s">
        <v>738</v>
      </c>
      <c r="D3" s="56" t="s">
        <v>6</v>
      </c>
      <c r="E3" s="38" t="s">
        <v>739</v>
      </c>
      <c r="F3" s="38"/>
      <c r="G3" s="38" t="s">
        <v>5</v>
      </c>
      <c r="H3" s="38" t="s">
        <v>9</v>
      </c>
      <c r="I3" s="38"/>
      <c r="J3" s="38"/>
      <c r="K3" s="38"/>
      <c r="L3" s="38" t="s">
        <v>242</v>
      </c>
      <c r="M3" s="38" t="s">
        <v>3</v>
      </c>
      <c r="N3" s="40" t="s">
        <v>2</v>
      </c>
    </row>
    <row r="4" spans="1:14" s="1" customFormat="1" ht="21" customHeight="1" thickBot="1">
      <c r="A4" s="55"/>
      <c r="B4" s="45"/>
      <c r="C4" s="39"/>
      <c r="D4" s="39"/>
      <c r="E4" s="39"/>
      <c r="F4" s="39"/>
      <c r="G4" s="39"/>
      <c r="H4" s="4">
        <v>1</v>
      </c>
      <c r="I4" s="4">
        <v>2</v>
      </c>
      <c r="J4" s="4">
        <v>3</v>
      </c>
      <c r="K4" s="4" t="s">
        <v>4</v>
      </c>
      <c r="L4" s="39"/>
      <c r="M4" s="39"/>
      <c r="N4" s="41"/>
    </row>
    <row r="5" spans="1:14" ht="16">
      <c r="A5" s="42" t="s">
        <v>268</v>
      </c>
      <c r="B5" s="42"/>
      <c r="C5" s="43"/>
      <c r="D5" s="43"/>
      <c r="E5" s="43"/>
      <c r="F5" s="43"/>
      <c r="G5" s="43"/>
      <c r="H5" s="43"/>
      <c r="I5" s="43"/>
      <c r="J5" s="43"/>
      <c r="K5" s="43"/>
    </row>
    <row r="6" spans="1:14">
      <c r="A6" s="10" t="s">
        <v>80</v>
      </c>
      <c r="B6" s="9" t="s">
        <v>572</v>
      </c>
      <c r="C6" s="9" t="s">
        <v>573</v>
      </c>
      <c r="D6" s="9" t="s">
        <v>574</v>
      </c>
      <c r="E6" s="9" t="s">
        <v>746</v>
      </c>
      <c r="F6" s="9" t="s">
        <v>272</v>
      </c>
      <c r="G6" s="9" t="s">
        <v>273</v>
      </c>
      <c r="H6" s="21" t="s">
        <v>141</v>
      </c>
      <c r="I6" s="21" t="s">
        <v>161</v>
      </c>
      <c r="J6" s="21" t="s">
        <v>134</v>
      </c>
      <c r="K6" s="10"/>
      <c r="L6" s="10" t="str">
        <f>"90,0"</f>
        <v>90,0</v>
      </c>
      <c r="M6" s="10" t="str">
        <f>"115,7940"</f>
        <v>115,7940</v>
      </c>
      <c r="N6" s="9" t="s">
        <v>274</v>
      </c>
    </row>
    <row r="7" spans="1:14">
      <c r="A7" s="12" t="s">
        <v>80</v>
      </c>
      <c r="B7" s="11" t="s">
        <v>575</v>
      </c>
      <c r="C7" s="11" t="s">
        <v>576</v>
      </c>
      <c r="D7" s="11" t="s">
        <v>577</v>
      </c>
      <c r="E7" s="11" t="s">
        <v>747</v>
      </c>
      <c r="F7" s="11" t="s">
        <v>272</v>
      </c>
      <c r="G7" s="11" t="s">
        <v>273</v>
      </c>
      <c r="H7" s="22" t="s">
        <v>141</v>
      </c>
      <c r="I7" s="22" t="s">
        <v>161</v>
      </c>
      <c r="J7" s="22" t="s">
        <v>134</v>
      </c>
      <c r="K7" s="12"/>
      <c r="L7" s="12" t="str">
        <f>"90,0"</f>
        <v>90,0</v>
      </c>
      <c r="M7" s="12" t="str">
        <f>"118,6470"</f>
        <v>118,6470</v>
      </c>
      <c r="N7" s="11" t="s">
        <v>274</v>
      </c>
    </row>
    <row r="8" spans="1:14">
      <c r="B8" s="5" t="s">
        <v>81</v>
      </c>
    </row>
    <row r="9" spans="1:14" ht="16">
      <c r="A9" s="34" t="s">
        <v>268</v>
      </c>
      <c r="B9" s="34"/>
      <c r="C9" s="35"/>
      <c r="D9" s="35"/>
      <c r="E9" s="35"/>
      <c r="F9" s="35"/>
      <c r="G9" s="35"/>
      <c r="H9" s="35"/>
      <c r="I9" s="35"/>
      <c r="J9" s="35"/>
      <c r="K9" s="35"/>
    </row>
    <row r="10" spans="1:14">
      <c r="A10" s="8" t="s">
        <v>80</v>
      </c>
      <c r="B10" s="7" t="s">
        <v>269</v>
      </c>
      <c r="C10" s="7" t="s">
        <v>270</v>
      </c>
      <c r="D10" s="7" t="s">
        <v>271</v>
      </c>
      <c r="E10" s="7" t="s">
        <v>746</v>
      </c>
      <c r="F10" s="7" t="s">
        <v>272</v>
      </c>
      <c r="G10" s="7" t="s">
        <v>273</v>
      </c>
      <c r="H10" s="18" t="s">
        <v>186</v>
      </c>
      <c r="I10" s="18" t="s">
        <v>18</v>
      </c>
      <c r="J10" s="18" t="s">
        <v>19</v>
      </c>
      <c r="K10" s="8"/>
      <c r="L10" s="8" t="str">
        <f>"110,0"</f>
        <v>110,0</v>
      </c>
      <c r="M10" s="8" t="str">
        <f>"146,8940"</f>
        <v>146,8940</v>
      </c>
      <c r="N10" s="7" t="s">
        <v>274</v>
      </c>
    </row>
    <row r="11" spans="1:14">
      <c r="B11" s="5" t="s">
        <v>81</v>
      </c>
    </row>
    <row r="12" spans="1:14" ht="16">
      <c r="A12" s="34" t="s">
        <v>248</v>
      </c>
      <c r="B12" s="34"/>
      <c r="C12" s="35"/>
      <c r="D12" s="35"/>
      <c r="E12" s="35"/>
      <c r="F12" s="35"/>
      <c r="G12" s="35"/>
      <c r="H12" s="35"/>
      <c r="I12" s="35"/>
      <c r="J12" s="35"/>
      <c r="K12" s="35"/>
    </row>
    <row r="13" spans="1:14">
      <c r="A13" s="8" t="s">
        <v>80</v>
      </c>
      <c r="B13" s="7" t="s">
        <v>578</v>
      </c>
      <c r="C13" s="7" t="s">
        <v>579</v>
      </c>
      <c r="D13" s="7" t="s">
        <v>580</v>
      </c>
      <c r="E13" s="7" t="s">
        <v>746</v>
      </c>
      <c r="F13" s="7" t="s">
        <v>272</v>
      </c>
      <c r="G13" s="7" t="s">
        <v>273</v>
      </c>
      <c r="H13" s="18" t="s">
        <v>134</v>
      </c>
      <c r="I13" s="18" t="s">
        <v>93</v>
      </c>
      <c r="J13" s="18" t="s">
        <v>19</v>
      </c>
      <c r="K13" s="8"/>
      <c r="L13" s="8" t="str">
        <f>"110,0"</f>
        <v>110,0</v>
      </c>
      <c r="M13" s="8" t="str">
        <f>"104,4120"</f>
        <v>104,4120</v>
      </c>
      <c r="N13" s="7" t="s">
        <v>274</v>
      </c>
    </row>
    <row r="14" spans="1:14">
      <c r="B14" s="5" t="s">
        <v>81</v>
      </c>
    </row>
    <row r="15" spans="1:14" ht="16">
      <c r="A15" s="34" t="s">
        <v>182</v>
      </c>
      <c r="B15" s="34"/>
      <c r="C15" s="35"/>
      <c r="D15" s="35"/>
      <c r="E15" s="35"/>
      <c r="F15" s="35"/>
      <c r="G15" s="35"/>
      <c r="H15" s="35"/>
      <c r="I15" s="35"/>
      <c r="J15" s="35"/>
      <c r="K15" s="35"/>
    </row>
    <row r="16" spans="1:14">
      <c r="A16" s="10" t="s">
        <v>80</v>
      </c>
      <c r="B16" s="9" t="s">
        <v>581</v>
      </c>
      <c r="C16" s="9" t="s">
        <v>582</v>
      </c>
      <c r="D16" s="9" t="s">
        <v>583</v>
      </c>
      <c r="E16" s="9" t="s">
        <v>746</v>
      </c>
      <c r="F16" s="9" t="s">
        <v>272</v>
      </c>
      <c r="G16" s="9" t="s">
        <v>273</v>
      </c>
      <c r="H16" s="21" t="s">
        <v>52</v>
      </c>
      <c r="I16" s="21" t="s">
        <v>102</v>
      </c>
      <c r="J16" s="21" t="s">
        <v>200</v>
      </c>
      <c r="K16" s="10"/>
      <c r="L16" s="10" t="str">
        <f>"145,0"</f>
        <v>145,0</v>
      </c>
      <c r="M16" s="10" t="str">
        <f>"125,3960"</f>
        <v>125,3960</v>
      </c>
      <c r="N16" s="9" t="s">
        <v>274</v>
      </c>
    </row>
    <row r="17" spans="1:14">
      <c r="A17" s="12" t="s">
        <v>82</v>
      </c>
      <c r="B17" s="11" t="s">
        <v>584</v>
      </c>
      <c r="C17" s="11" t="s">
        <v>585</v>
      </c>
      <c r="D17" s="11" t="s">
        <v>586</v>
      </c>
      <c r="E17" s="11" t="s">
        <v>746</v>
      </c>
      <c r="F17" s="11" t="s">
        <v>272</v>
      </c>
      <c r="G17" s="11" t="s">
        <v>273</v>
      </c>
      <c r="H17" s="22" t="s">
        <v>134</v>
      </c>
      <c r="I17" s="22" t="s">
        <v>93</v>
      </c>
      <c r="J17" s="23" t="s">
        <v>19</v>
      </c>
      <c r="K17" s="12"/>
      <c r="L17" s="12" t="str">
        <f>"100,0"</f>
        <v>100,0</v>
      </c>
      <c r="M17" s="12" t="str">
        <f>"86,2100"</f>
        <v>86,2100</v>
      </c>
      <c r="N17" s="11" t="s">
        <v>274</v>
      </c>
    </row>
    <row r="18" spans="1:14">
      <c r="B18" s="5" t="s">
        <v>81</v>
      </c>
    </row>
    <row r="19" spans="1:14" ht="16">
      <c r="A19" s="34" t="s">
        <v>84</v>
      </c>
      <c r="B19" s="34"/>
      <c r="C19" s="35"/>
      <c r="D19" s="35"/>
      <c r="E19" s="35"/>
      <c r="F19" s="35"/>
      <c r="G19" s="35"/>
      <c r="H19" s="35"/>
      <c r="I19" s="35"/>
      <c r="J19" s="35"/>
      <c r="K19" s="35"/>
    </row>
    <row r="20" spans="1:14">
      <c r="A20" s="8" t="s">
        <v>80</v>
      </c>
      <c r="B20" s="7" t="s">
        <v>587</v>
      </c>
      <c r="C20" s="7" t="s">
        <v>588</v>
      </c>
      <c r="D20" s="7" t="s">
        <v>589</v>
      </c>
      <c r="E20" s="7" t="s">
        <v>746</v>
      </c>
      <c r="F20" s="7" t="s">
        <v>272</v>
      </c>
      <c r="G20" s="7" t="s">
        <v>273</v>
      </c>
      <c r="H20" s="18" t="s">
        <v>134</v>
      </c>
      <c r="I20" s="18" t="s">
        <v>19</v>
      </c>
      <c r="J20" s="18" t="s">
        <v>20</v>
      </c>
      <c r="K20" s="8"/>
      <c r="L20" s="8" t="str">
        <f>"115,0"</f>
        <v>115,0</v>
      </c>
      <c r="M20" s="8" t="str">
        <f>"95,5075"</f>
        <v>95,5075</v>
      </c>
      <c r="N20" s="7" t="s">
        <v>274</v>
      </c>
    </row>
    <row r="21" spans="1:14">
      <c r="B21" s="5" t="s">
        <v>81</v>
      </c>
    </row>
    <row r="22" spans="1:14" ht="16">
      <c r="A22" s="34" t="s">
        <v>10</v>
      </c>
      <c r="B22" s="34"/>
      <c r="C22" s="35"/>
      <c r="D22" s="35"/>
      <c r="E22" s="35"/>
      <c r="F22" s="35"/>
      <c r="G22" s="35"/>
      <c r="H22" s="35"/>
      <c r="I22" s="35"/>
      <c r="J22" s="35"/>
      <c r="K22" s="35"/>
    </row>
    <row r="23" spans="1:14">
      <c r="A23" s="10" t="s">
        <v>80</v>
      </c>
      <c r="B23" s="9" t="s">
        <v>590</v>
      </c>
      <c r="C23" s="9" t="s">
        <v>591</v>
      </c>
      <c r="D23" s="9" t="s">
        <v>592</v>
      </c>
      <c r="E23" s="9" t="s">
        <v>741</v>
      </c>
      <c r="F23" s="9" t="s">
        <v>712</v>
      </c>
      <c r="G23" s="9" t="s">
        <v>179</v>
      </c>
      <c r="H23" s="21" t="s">
        <v>28</v>
      </c>
      <c r="I23" s="21" t="s">
        <v>116</v>
      </c>
      <c r="J23" s="21" t="s">
        <v>51</v>
      </c>
      <c r="K23" s="10"/>
      <c r="L23" s="10" t="str">
        <f>"225,0"</f>
        <v>225,0</v>
      </c>
      <c r="M23" s="10" t="str">
        <f>"164,9250"</f>
        <v>164,9250</v>
      </c>
      <c r="N23" s="9"/>
    </row>
    <row r="24" spans="1:14">
      <c r="A24" s="25" t="s">
        <v>80</v>
      </c>
      <c r="B24" s="24" t="s">
        <v>295</v>
      </c>
      <c r="C24" s="24" t="s">
        <v>296</v>
      </c>
      <c r="D24" s="24" t="s">
        <v>297</v>
      </c>
      <c r="E24" s="24" t="s">
        <v>744</v>
      </c>
      <c r="F24" s="24" t="s">
        <v>713</v>
      </c>
      <c r="G24" s="24" t="s">
        <v>50</v>
      </c>
      <c r="H24" s="26" t="s">
        <v>52</v>
      </c>
      <c r="I24" s="26" t="s">
        <v>102</v>
      </c>
      <c r="J24" s="26" t="s">
        <v>316</v>
      </c>
      <c r="K24" s="25"/>
      <c r="L24" s="25" t="str">
        <f>"155,0"</f>
        <v>155,0</v>
      </c>
      <c r="M24" s="25" t="str">
        <f>"124,5641"</f>
        <v>124,5641</v>
      </c>
      <c r="N24" s="24"/>
    </row>
    <row r="25" spans="1:14">
      <c r="A25" s="12" t="s">
        <v>80</v>
      </c>
      <c r="B25" s="11" t="s">
        <v>593</v>
      </c>
      <c r="C25" s="11" t="s">
        <v>594</v>
      </c>
      <c r="D25" s="11" t="s">
        <v>444</v>
      </c>
      <c r="E25" s="11" t="s">
        <v>742</v>
      </c>
      <c r="F25" s="11" t="s">
        <v>595</v>
      </c>
      <c r="G25" s="11" t="s">
        <v>50</v>
      </c>
      <c r="H25" s="22" t="s">
        <v>596</v>
      </c>
      <c r="I25" s="23" t="s">
        <v>195</v>
      </c>
      <c r="J25" s="12"/>
      <c r="K25" s="12"/>
      <c r="L25" s="12" t="str">
        <f>"220,0"</f>
        <v>220,0</v>
      </c>
      <c r="M25" s="12" t="str">
        <f>"190,6312"</f>
        <v>190,6312</v>
      </c>
      <c r="N25" s="11" t="s">
        <v>597</v>
      </c>
    </row>
    <row r="26" spans="1:14">
      <c r="B26" s="5" t="s">
        <v>81</v>
      </c>
    </row>
    <row r="27" spans="1:14" ht="16">
      <c r="A27" s="34" t="s">
        <v>130</v>
      </c>
      <c r="B27" s="34"/>
      <c r="C27" s="35"/>
      <c r="D27" s="35"/>
      <c r="E27" s="35"/>
      <c r="F27" s="35"/>
      <c r="G27" s="35"/>
      <c r="H27" s="35"/>
      <c r="I27" s="35"/>
      <c r="J27" s="35"/>
      <c r="K27" s="35"/>
    </row>
    <row r="28" spans="1:14">
      <c r="A28" s="10" t="s">
        <v>80</v>
      </c>
      <c r="B28" s="9" t="s">
        <v>598</v>
      </c>
      <c r="C28" s="9" t="s">
        <v>599</v>
      </c>
      <c r="D28" s="9" t="s">
        <v>600</v>
      </c>
      <c r="E28" s="9" t="s">
        <v>746</v>
      </c>
      <c r="F28" s="9" t="s">
        <v>272</v>
      </c>
      <c r="G28" s="9" t="s">
        <v>273</v>
      </c>
      <c r="H28" s="21" t="s">
        <v>27</v>
      </c>
      <c r="I28" s="21" t="s">
        <v>28</v>
      </c>
      <c r="J28" s="21" t="s">
        <v>40</v>
      </c>
      <c r="K28" s="10"/>
      <c r="L28" s="10" t="str">
        <f>"205,0"</f>
        <v>205,0</v>
      </c>
      <c r="M28" s="10" t="str">
        <f>"144,7505"</f>
        <v>144,7505</v>
      </c>
      <c r="N28" s="9" t="s">
        <v>274</v>
      </c>
    </row>
    <row r="29" spans="1:14">
      <c r="A29" s="12" t="s">
        <v>80</v>
      </c>
      <c r="B29" s="11" t="s">
        <v>601</v>
      </c>
      <c r="C29" s="11" t="s">
        <v>602</v>
      </c>
      <c r="D29" s="11" t="s">
        <v>319</v>
      </c>
      <c r="E29" s="11" t="s">
        <v>744</v>
      </c>
      <c r="F29" s="11" t="s">
        <v>49</v>
      </c>
      <c r="G29" s="11" t="s">
        <v>50</v>
      </c>
      <c r="H29" s="22" t="s">
        <v>27</v>
      </c>
      <c r="I29" s="22" t="s">
        <v>39</v>
      </c>
      <c r="J29" s="23" t="s">
        <v>28</v>
      </c>
      <c r="K29" s="12"/>
      <c r="L29" s="12" t="str">
        <f>"195,0"</f>
        <v>195,0</v>
      </c>
      <c r="M29" s="12" t="str">
        <f>"142,4783"</f>
        <v>142,4783</v>
      </c>
      <c r="N29" s="11" t="s">
        <v>603</v>
      </c>
    </row>
    <row r="30" spans="1:14">
      <c r="B30" s="5" t="s">
        <v>81</v>
      </c>
    </row>
    <row r="31" spans="1:14" ht="16">
      <c r="A31" s="34" t="s">
        <v>21</v>
      </c>
      <c r="B31" s="34"/>
      <c r="C31" s="35"/>
      <c r="D31" s="35"/>
      <c r="E31" s="35"/>
      <c r="F31" s="35"/>
      <c r="G31" s="35"/>
      <c r="H31" s="35"/>
      <c r="I31" s="35"/>
      <c r="J31" s="35"/>
      <c r="K31" s="35"/>
    </row>
    <row r="32" spans="1:14">
      <c r="A32" s="10" t="s">
        <v>80</v>
      </c>
      <c r="B32" s="9" t="s">
        <v>604</v>
      </c>
      <c r="C32" s="9" t="s">
        <v>605</v>
      </c>
      <c r="D32" s="9" t="s">
        <v>606</v>
      </c>
      <c r="E32" s="9" t="s">
        <v>741</v>
      </c>
      <c r="F32" s="9" t="s">
        <v>713</v>
      </c>
      <c r="G32" s="9" t="s">
        <v>36</v>
      </c>
      <c r="H32" s="21" t="s">
        <v>63</v>
      </c>
      <c r="I32" s="21" t="s">
        <v>64</v>
      </c>
      <c r="J32" s="20" t="s">
        <v>37</v>
      </c>
      <c r="K32" s="10"/>
      <c r="L32" s="10" t="str">
        <f>"300,0"</f>
        <v>300,0</v>
      </c>
      <c r="M32" s="10" t="str">
        <f>"191,8500"</f>
        <v>191,8500</v>
      </c>
      <c r="N32" s="9" t="s">
        <v>607</v>
      </c>
    </row>
    <row r="33" spans="1:14">
      <c r="A33" s="25" t="s">
        <v>82</v>
      </c>
      <c r="B33" s="24" t="s">
        <v>22</v>
      </c>
      <c r="C33" s="24" t="s">
        <v>23</v>
      </c>
      <c r="D33" s="24" t="s">
        <v>24</v>
      </c>
      <c r="E33" s="24" t="s">
        <v>741</v>
      </c>
      <c r="F33" s="24" t="s">
        <v>713</v>
      </c>
      <c r="G33" s="24" t="s">
        <v>25</v>
      </c>
      <c r="H33" s="26" t="s">
        <v>26</v>
      </c>
      <c r="I33" s="26" t="s">
        <v>30</v>
      </c>
      <c r="J33" s="26" t="s">
        <v>31</v>
      </c>
      <c r="K33" s="25"/>
      <c r="L33" s="25" t="str">
        <f>"282,5"</f>
        <v>282,5</v>
      </c>
      <c r="M33" s="25" t="str">
        <f>"182,2407"</f>
        <v>182,2407</v>
      </c>
      <c r="N33" s="24"/>
    </row>
    <row r="34" spans="1:14">
      <c r="A34" s="12" t="s">
        <v>390</v>
      </c>
      <c r="B34" s="11" t="s">
        <v>335</v>
      </c>
      <c r="C34" s="11" t="s">
        <v>336</v>
      </c>
      <c r="D34" s="11" t="s">
        <v>337</v>
      </c>
      <c r="E34" s="11" t="s">
        <v>741</v>
      </c>
      <c r="F34" s="11" t="s">
        <v>713</v>
      </c>
      <c r="G34" s="11" t="s">
        <v>338</v>
      </c>
      <c r="H34" s="22" t="s">
        <v>148</v>
      </c>
      <c r="I34" s="22" t="s">
        <v>479</v>
      </c>
      <c r="J34" s="23" t="s">
        <v>149</v>
      </c>
      <c r="K34" s="12"/>
      <c r="L34" s="12" t="str">
        <f>"260,0"</f>
        <v>260,0</v>
      </c>
      <c r="M34" s="12" t="str">
        <f>"168,1420"</f>
        <v>168,1420</v>
      </c>
      <c r="N34" s="11"/>
    </row>
    <row r="35" spans="1:14">
      <c r="B35" s="5" t="s">
        <v>81</v>
      </c>
    </row>
    <row r="36" spans="1:14" ht="16">
      <c r="A36" s="34" t="s">
        <v>32</v>
      </c>
      <c r="B36" s="34"/>
      <c r="C36" s="35"/>
      <c r="D36" s="35"/>
      <c r="E36" s="35"/>
      <c r="F36" s="35"/>
      <c r="G36" s="35"/>
      <c r="H36" s="35"/>
      <c r="I36" s="35"/>
      <c r="J36" s="35"/>
      <c r="K36" s="35"/>
    </row>
    <row r="37" spans="1:14">
      <c r="A37" s="10" t="s">
        <v>80</v>
      </c>
      <c r="B37" s="9" t="s">
        <v>144</v>
      </c>
      <c r="C37" s="9" t="s">
        <v>145</v>
      </c>
      <c r="D37" s="9" t="s">
        <v>146</v>
      </c>
      <c r="E37" s="9" t="s">
        <v>741</v>
      </c>
      <c r="F37" s="9" t="s">
        <v>147</v>
      </c>
      <c r="G37" s="9" t="s">
        <v>709</v>
      </c>
      <c r="H37" s="21" t="s">
        <v>37</v>
      </c>
      <c r="I37" s="21" t="s">
        <v>127</v>
      </c>
      <c r="J37" s="20" t="s">
        <v>151</v>
      </c>
      <c r="K37" s="10"/>
      <c r="L37" s="10" t="str">
        <f>"325,0"</f>
        <v>325,0</v>
      </c>
      <c r="M37" s="10" t="str">
        <f>"191,6850"</f>
        <v>191,6850</v>
      </c>
      <c r="N37" s="9"/>
    </row>
    <row r="38" spans="1:14">
      <c r="A38" s="25" t="s">
        <v>82</v>
      </c>
      <c r="B38" s="24" t="s">
        <v>608</v>
      </c>
      <c r="C38" s="24" t="s">
        <v>609</v>
      </c>
      <c r="D38" s="24" t="s">
        <v>610</v>
      </c>
      <c r="E38" s="24" t="s">
        <v>741</v>
      </c>
      <c r="F38" s="24" t="s">
        <v>713</v>
      </c>
      <c r="G38" s="24" t="s">
        <v>169</v>
      </c>
      <c r="H38" s="26" t="s">
        <v>611</v>
      </c>
      <c r="I38" s="27" t="s">
        <v>37</v>
      </c>
      <c r="J38" s="25"/>
      <c r="K38" s="25"/>
      <c r="L38" s="25" t="str">
        <f>"295,0"</f>
        <v>295,0</v>
      </c>
      <c r="M38" s="25" t="str">
        <f>"174,4630"</f>
        <v>174,4630</v>
      </c>
      <c r="N38" s="24"/>
    </row>
    <row r="39" spans="1:14">
      <c r="A39" s="12" t="s">
        <v>80</v>
      </c>
      <c r="B39" s="11" t="s">
        <v>608</v>
      </c>
      <c r="C39" s="11" t="s">
        <v>612</v>
      </c>
      <c r="D39" s="11" t="s">
        <v>610</v>
      </c>
      <c r="E39" s="11" t="s">
        <v>744</v>
      </c>
      <c r="F39" s="11" t="s">
        <v>713</v>
      </c>
      <c r="G39" s="11" t="s">
        <v>169</v>
      </c>
      <c r="H39" s="22" t="s">
        <v>611</v>
      </c>
      <c r="I39" s="23" t="s">
        <v>37</v>
      </c>
      <c r="J39" s="12"/>
      <c r="K39" s="12"/>
      <c r="L39" s="12" t="str">
        <f>"295,0"</f>
        <v>295,0</v>
      </c>
      <c r="M39" s="12" t="str">
        <f>"188,0711"</f>
        <v>188,0711</v>
      </c>
      <c r="N39" s="11"/>
    </row>
    <row r="40" spans="1:14">
      <c r="B40" s="5" t="s">
        <v>81</v>
      </c>
    </row>
    <row r="41" spans="1:14" ht="16">
      <c r="A41" s="34" t="s">
        <v>57</v>
      </c>
      <c r="B41" s="34"/>
      <c r="C41" s="35"/>
      <c r="D41" s="35"/>
      <c r="E41" s="35"/>
      <c r="F41" s="35"/>
      <c r="G41" s="35"/>
      <c r="H41" s="35"/>
      <c r="I41" s="35"/>
      <c r="J41" s="35"/>
      <c r="K41" s="35"/>
    </row>
    <row r="42" spans="1:14">
      <c r="A42" s="8" t="s">
        <v>80</v>
      </c>
      <c r="B42" s="7" t="s">
        <v>58</v>
      </c>
      <c r="C42" s="7" t="s">
        <v>59</v>
      </c>
      <c r="D42" s="7" t="s">
        <v>60</v>
      </c>
      <c r="E42" s="7" t="s">
        <v>741</v>
      </c>
      <c r="F42" s="7" t="s">
        <v>712</v>
      </c>
      <c r="G42" s="7" t="s">
        <v>61</v>
      </c>
      <c r="H42" s="18" t="s">
        <v>68</v>
      </c>
      <c r="I42" s="18" t="s">
        <v>63</v>
      </c>
      <c r="J42" s="19" t="s">
        <v>42</v>
      </c>
      <c r="K42" s="8"/>
      <c r="L42" s="8" t="str">
        <f>"290,0"</f>
        <v>290,0</v>
      </c>
      <c r="M42" s="8" t="str">
        <f>"165,8220"</f>
        <v>165,8220</v>
      </c>
      <c r="N42" s="7" t="s">
        <v>69</v>
      </c>
    </row>
    <row r="43" spans="1:14">
      <c r="B43" s="5" t="s">
        <v>81</v>
      </c>
    </row>
    <row r="44" spans="1:14">
      <c r="A44"/>
      <c r="B44"/>
      <c r="C44"/>
      <c r="D44"/>
      <c r="E44"/>
      <c r="F44"/>
      <c r="G44"/>
      <c r="H44"/>
      <c r="I44"/>
    </row>
    <row r="45" spans="1:14">
      <c r="A45"/>
      <c r="B45"/>
      <c r="C45"/>
      <c r="D45"/>
      <c r="E45"/>
      <c r="F45"/>
      <c r="G45"/>
      <c r="H45"/>
      <c r="I45"/>
    </row>
    <row r="46" spans="1:14">
      <c r="A46"/>
      <c r="B46"/>
      <c r="C46"/>
      <c r="D46"/>
      <c r="E46"/>
      <c r="F46"/>
      <c r="G46"/>
      <c r="H46"/>
      <c r="I46"/>
    </row>
    <row r="47" spans="1:14">
      <c r="A47"/>
      <c r="B47"/>
      <c r="C47"/>
      <c r="D47"/>
      <c r="E47"/>
      <c r="F47"/>
      <c r="G47"/>
      <c r="H47"/>
      <c r="I47"/>
    </row>
    <row r="48" spans="1:14">
      <c r="A48"/>
      <c r="B48"/>
      <c r="C48"/>
      <c r="D48"/>
      <c r="E48"/>
      <c r="F48"/>
      <c r="G48"/>
      <c r="H48"/>
      <c r="I48"/>
    </row>
    <row r="49" spans="1:9">
      <c r="A49"/>
      <c r="B49"/>
      <c r="C49"/>
      <c r="D49"/>
      <c r="E49"/>
      <c r="F49"/>
      <c r="G49"/>
      <c r="H49"/>
      <c r="I49"/>
    </row>
    <row r="50" spans="1:9">
      <c r="A50"/>
      <c r="B50"/>
      <c r="C50"/>
      <c r="D50"/>
      <c r="E50"/>
      <c r="F50"/>
      <c r="G50"/>
      <c r="H50"/>
      <c r="I50"/>
    </row>
    <row r="51" spans="1:9">
      <c r="A51"/>
      <c r="B51"/>
      <c r="C51"/>
      <c r="D51"/>
      <c r="E51"/>
      <c r="F51"/>
      <c r="G51"/>
      <c r="H51"/>
      <c r="I51"/>
    </row>
    <row r="52" spans="1:9">
      <c r="A52"/>
      <c r="B52"/>
      <c r="C52"/>
      <c r="D52"/>
      <c r="E52"/>
      <c r="F52"/>
      <c r="G52"/>
      <c r="H52"/>
      <c r="I52"/>
    </row>
    <row r="53" spans="1:9">
      <c r="A53"/>
      <c r="B53"/>
      <c r="C53"/>
      <c r="D53"/>
      <c r="E53"/>
      <c r="F53"/>
      <c r="G53"/>
      <c r="H53"/>
      <c r="I53"/>
    </row>
    <row r="54" spans="1:9">
      <c r="A54"/>
      <c r="B54"/>
      <c r="C54"/>
      <c r="D54"/>
      <c r="E54"/>
      <c r="F54"/>
      <c r="G54"/>
      <c r="H54"/>
      <c r="I54"/>
    </row>
    <row r="55" spans="1:9">
      <c r="A55"/>
      <c r="B55"/>
      <c r="C55"/>
      <c r="D55"/>
      <c r="E55"/>
      <c r="F55"/>
      <c r="G55"/>
      <c r="H55"/>
      <c r="I55"/>
    </row>
    <row r="56" spans="1:9">
      <c r="A56"/>
      <c r="B56"/>
      <c r="C56"/>
      <c r="D56"/>
      <c r="E56"/>
      <c r="F56"/>
      <c r="G56"/>
      <c r="H56"/>
      <c r="I56"/>
    </row>
    <row r="57" spans="1:9">
      <c r="A57"/>
      <c r="B57"/>
      <c r="C57"/>
      <c r="D57"/>
      <c r="E57"/>
      <c r="F57"/>
      <c r="G57"/>
      <c r="H57"/>
      <c r="I57"/>
    </row>
    <row r="58" spans="1:9">
      <c r="A58"/>
      <c r="B58"/>
      <c r="C58"/>
      <c r="D58"/>
      <c r="E58"/>
      <c r="F58"/>
      <c r="G58"/>
      <c r="H58"/>
      <c r="I58"/>
    </row>
    <row r="59" spans="1:9">
      <c r="A59"/>
      <c r="B59"/>
      <c r="C59"/>
      <c r="D59"/>
      <c r="E59"/>
      <c r="F59"/>
      <c r="G59"/>
      <c r="H59"/>
      <c r="I59"/>
    </row>
    <row r="60" spans="1:9">
      <c r="A60"/>
      <c r="B60"/>
      <c r="C60"/>
      <c r="D60"/>
      <c r="E60"/>
      <c r="F60"/>
      <c r="G60"/>
      <c r="H60"/>
      <c r="I60"/>
    </row>
    <row r="61" spans="1:9">
      <c r="A61"/>
      <c r="B61"/>
      <c r="C61"/>
      <c r="D61"/>
      <c r="E61"/>
      <c r="F61"/>
      <c r="G61"/>
      <c r="H61"/>
      <c r="I61"/>
    </row>
    <row r="62" spans="1:9">
      <c r="A62"/>
      <c r="B62"/>
      <c r="C62"/>
      <c r="D62"/>
      <c r="E62"/>
      <c r="F62"/>
      <c r="G62"/>
      <c r="H62"/>
      <c r="I62"/>
    </row>
    <row r="63" spans="1:9">
      <c r="A63"/>
      <c r="B63"/>
      <c r="C63"/>
      <c r="D63"/>
      <c r="E63"/>
      <c r="F63"/>
      <c r="G63"/>
      <c r="H63"/>
      <c r="I63"/>
    </row>
    <row r="64" spans="1:9">
      <c r="A64"/>
      <c r="B64"/>
      <c r="C64"/>
      <c r="D64"/>
      <c r="E64"/>
      <c r="F64"/>
      <c r="G64"/>
      <c r="H64"/>
      <c r="I64"/>
    </row>
    <row r="65" spans="1:9">
      <c r="A65"/>
      <c r="B65"/>
      <c r="C65"/>
      <c r="D65"/>
      <c r="E65"/>
      <c r="F65"/>
      <c r="G65"/>
      <c r="H65"/>
      <c r="I65"/>
    </row>
    <row r="66" spans="1:9">
      <c r="A66"/>
      <c r="B66"/>
      <c r="C66"/>
      <c r="D66"/>
      <c r="E66"/>
      <c r="F66"/>
      <c r="G66"/>
      <c r="H66"/>
      <c r="I66"/>
    </row>
    <row r="67" spans="1:9">
      <c r="A67"/>
      <c r="B67"/>
      <c r="C67"/>
      <c r="D67"/>
      <c r="E67"/>
      <c r="F67"/>
      <c r="G67"/>
      <c r="H67"/>
      <c r="I67"/>
    </row>
    <row r="68" spans="1:9">
      <c r="A68"/>
      <c r="B68"/>
      <c r="C68"/>
      <c r="D68"/>
      <c r="E68"/>
      <c r="F68"/>
      <c r="G68"/>
      <c r="H68"/>
      <c r="I68"/>
    </row>
    <row r="69" spans="1:9">
      <c r="A69"/>
      <c r="B69"/>
      <c r="C69"/>
      <c r="D69"/>
      <c r="E69"/>
      <c r="F69"/>
      <c r="G69"/>
      <c r="H69"/>
      <c r="I69"/>
    </row>
    <row r="70" spans="1:9">
      <c r="A70"/>
      <c r="B70"/>
      <c r="C70"/>
      <c r="D70"/>
      <c r="E70"/>
      <c r="F70"/>
      <c r="G70"/>
      <c r="H70"/>
      <c r="I70"/>
    </row>
    <row r="71" spans="1:9">
      <c r="A71"/>
      <c r="B71"/>
      <c r="C71"/>
      <c r="D71"/>
      <c r="E71"/>
      <c r="F71"/>
      <c r="G71"/>
      <c r="H71"/>
      <c r="I71"/>
    </row>
    <row r="72" spans="1:9">
      <c r="A72"/>
      <c r="B72"/>
      <c r="C72"/>
      <c r="D72"/>
      <c r="E72"/>
      <c r="F72"/>
      <c r="G72"/>
      <c r="H72"/>
      <c r="I72"/>
    </row>
    <row r="73" spans="1:9">
      <c r="A73"/>
      <c r="B73"/>
      <c r="C73"/>
      <c r="D73"/>
      <c r="E73"/>
      <c r="F73"/>
      <c r="G73"/>
      <c r="H73"/>
      <c r="I73"/>
    </row>
    <row r="74" spans="1:9">
      <c r="A74"/>
      <c r="B74"/>
      <c r="C74"/>
      <c r="D74"/>
      <c r="E74"/>
      <c r="F74"/>
      <c r="G74"/>
      <c r="H74"/>
      <c r="I74"/>
    </row>
    <row r="75" spans="1:9">
      <c r="A75"/>
      <c r="B75"/>
      <c r="C75"/>
      <c r="D75"/>
      <c r="E75"/>
      <c r="F75"/>
      <c r="G75"/>
      <c r="H75"/>
      <c r="I75"/>
    </row>
    <row r="76" spans="1:9">
      <c r="A76"/>
      <c r="B76"/>
      <c r="C76"/>
      <c r="D76"/>
      <c r="E76"/>
      <c r="F76"/>
      <c r="G76"/>
      <c r="H76"/>
      <c r="I76"/>
    </row>
    <row r="77" spans="1:9">
      <c r="A77"/>
      <c r="B77"/>
      <c r="C77"/>
      <c r="D77"/>
      <c r="E77"/>
      <c r="F77"/>
      <c r="G77"/>
      <c r="H77"/>
      <c r="I77"/>
    </row>
    <row r="78" spans="1:9">
      <c r="A78"/>
      <c r="B78"/>
      <c r="C78"/>
      <c r="D78"/>
      <c r="E78"/>
      <c r="F78"/>
      <c r="G78"/>
      <c r="H78"/>
      <c r="I78"/>
    </row>
  </sheetData>
  <mergeCells count="22"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  <mergeCell ref="A31:K31"/>
    <mergeCell ref="A36:K36"/>
    <mergeCell ref="A41:K41"/>
    <mergeCell ref="B3:B4"/>
    <mergeCell ref="A9:K9"/>
    <mergeCell ref="A12:K12"/>
    <mergeCell ref="A15:K15"/>
    <mergeCell ref="A19:K19"/>
    <mergeCell ref="A22:K22"/>
    <mergeCell ref="A27:K2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BA9CC-0012-4999-A658-7BD19E07B4BC}">
  <dimension ref="A1:N21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0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20.83203125" style="5" bestFit="1" customWidth="1"/>
    <col min="8" max="10" width="5.5" style="6" customWidth="1"/>
    <col min="11" max="11" width="4.83203125" style="6" customWidth="1"/>
    <col min="12" max="12" width="10.5" style="6" bestFit="1" customWidth="1"/>
    <col min="13" max="13" width="8.5" style="6" bestFit="1" customWidth="1"/>
    <col min="14" max="14" width="18.1640625" style="5" customWidth="1"/>
    <col min="15" max="16384" width="9.1640625" style="3"/>
  </cols>
  <sheetData>
    <row r="1" spans="1:14" s="2" customFormat="1" ht="29" customHeight="1">
      <c r="A1" s="46" t="s">
        <v>727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</row>
    <row r="2" spans="1:14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4" s="1" customFormat="1" ht="12.75" customHeight="1">
      <c r="A3" s="54" t="s">
        <v>736</v>
      </c>
      <c r="B3" s="44" t="s">
        <v>0</v>
      </c>
      <c r="C3" s="56" t="s">
        <v>738</v>
      </c>
      <c r="D3" s="56" t="s">
        <v>6</v>
      </c>
      <c r="E3" s="38" t="s">
        <v>739</v>
      </c>
      <c r="F3" s="38"/>
      <c r="G3" s="38" t="s">
        <v>5</v>
      </c>
      <c r="H3" s="38" t="s">
        <v>9</v>
      </c>
      <c r="I3" s="38"/>
      <c r="J3" s="38"/>
      <c r="K3" s="38"/>
      <c r="L3" s="38" t="s">
        <v>242</v>
      </c>
      <c r="M3" s="38" t="s">
        <v>3</v>
      </c>
      <c r="N3" s="40" t="s">
        <v>2</v>
      </c>
    </row>
    <row r="4" spans="1:14" s="1" customFormat="1" ht="21" customHeight="1" thickBot="1">
      <c r="A4" s="55"/>
      <c r="B4" s="45"/>
      <c r="C4" s="39"/>
      <c r="D4" s="39"/>
      <c r="E4" s="39"/>
      <c r="F4" s="39"/>
      <c r="G4" s="39"/>
      <c r="H4" s="4">
        <v>1</v>
      </c>
      <c r="I4" s="4">
        <v>2</v>
      </c>
      <c r="J4" s="4">
        <v>3</v>
      </c>
      <c r="K4" s="4" t="s">
        <v>4</v>
      </c>
      <c r="L4" s="39"/>
      <c r="M4" s="39"/>
      <c r="N4" s="41"/>
    </row>
    <row r="5" spans="1:14" ht="16">
      <c r="A5" s="42" t="s">
        <v>84</v>
      </c>
      <c r="B5" s="42"/>
      <c r="C5" s="43"/>
      <c r="D5" s="43"/>
      <c r="E5" s="43"/>
      <c r="F5" s="43"/>
      <c r="G5" s="43"/>
      <c r="H5" s="43"/>
      <c r="I5" s="43"/>
      <c r="J5" s="43"/>
      <c r="K5" s="43"/>
    </row>
    <row r="6" spans="1:14">
      <c r="A6" s="8" t="s">
        <v>80</v>
      </c>
      <c r="B6" s="7" t="s">
        <v>635</v>
      </c>
      <c r="C6" s="7" t="s">
        <v>636</v>
      </c>
      <c r="D6" s="7" t="s">
        <v>637</v>
      </c>
      <c r="E6" s="7" t="s">
        <v>745</v>
      </c>
      <c r="F6" s="7" t="s">
        <v>712</v>
      </c>
      <c r="G6" s="7" t="s">
        <v>50</v>
      </c>
      <c r="H6" s="18" t="s">
        <v>52</v>
      </c>
      <c r="I6" s="18" t="s">
        <v>102</v>
      </c>
      <c r="J6" s="18" t="s">
        <v>65</v>
      </c>
      <c r="K6" s="8"/>
      <c r="L6" s="8" t="str">
        <f>"150,0"</f>
        <v>150,0</v>
      </c>
      <c r="M6" s="8" t="str">
        <f>"215,8575"</f>
        <v>215,8575</v>
      </c>
      <c r="N6" s="7"/>
    </row>
    <row r="7" spans="1:14">
      <c r="B7" s="5" t="s">
        <v>81</v>
      </c>
    </row>
    <row r="8" spans="1:14">
      <c r="A8"/>
      <c r="B8"/>
      <c r="C8"/>
      <c r="D8"/>
      <c r="E8"/>
      <c r="F8"/>
      <c r="G8"/>
      <c r="H8"/>
      <c r="I8"/>
      <c r="J8"/>
      <c r="K8"/>
    </row>
    <row r="9" spans="1:14">
      <c r="A9"/>
      <c r="B9"/>
      <c r="C9"/>
      <c r="D9"/>
      <c r="E9"/>
      <c r="F9"/>
      <c r="G9"/>
      <c r="H9"/>
      <c r="I9"/>
      <c r="J9"/>
      <c r="K9"/>
    </row>
    <row r="10" spans="1:14">
      <c r="A10"/>
      <c r="B10"/>
      <c r="C10"/>
      <c r="D10"/>
      <c r="E10"/>
      <c r="F10"/>
      <c r="G10"/>
      <c r="H10"/>
      <c r="I10"/>
      <c r="J10"/>
      <c r="K10"/>
    </row>
    <row r="11" spans="1:14">
      <c r="A11"/>
      <c r="B11"/>
      <c r="C11"/>
      <c r="D11"/>
      <c r="E11"/>
      <c r="F11"/>
      <c r="G11"/>
      <c r="H11"/>
      <c r="I11"/>
      <c r="J11"/>
      <c r="K11"/>
    </row>
    <row r="12" spans="1:14">
      <c r="A12"/>
      <c r="B12"/>
      <c r="C12"/>
      <c r="D12"/>
      <c r="E12"/>
      <c r="F12"/>
      <c r="G12"/>
      <c r="H12"/>
      <c r="I12"/>
      <c r="J12"/>
      <c r="K12"/>
    </row>
    <row r="13" spans="1:14">
      <c r="A13"/>
      <c r="B13"/>
      <c r="C13"/>
      <c r="D13"/>
      <c r="E13"/>
      <c r="F13"/>
      <c r="G13"/>
      <c r="H13"/>
      <c r="I13"/>
      <c r="J13"/>
      <c r="K13"/>
    </row>
    <row r="14" spans="1:14">
      <c r="A14"/>
      <c r="B14"/>
      <c r="C14"/>
      <c r="D14"/>
      <c r="E14"/>
      <c r="F14"/>
      <c r="G14"/>
      <c r="H14"/>
      <c r="I14"/>
      <c r="J14"/>
      <c r="K14"/>
    </row>
    <row r="15" spans="1:14">
      <c r="A15"/>
      <c r="B15"/>
      <c r="C15"/>
      <c r="D15"/>
      <c r="E15"/>
      <c r="F15"/>
      <c r="G15"/>
      <c r="H15"/>
      <c r="I15"/>
      <c r="J15"/>
      <c r="K15"/>
    </row>
    <row r="16" spans="1:14">
      <c r="A16"/>
      <c r="B16"/>
      <c r="C16"/>
      <c r="D16"/>
      <c r="E16"/>
      <c r="F16"/>
      <c r="G16"/>
      <c r="H16"/>
      <c r="I16"/>
      <c r="J16"/>
      <c r="K16"/>
    </row>
    <row r="17" spans="1:11">
      <c r="A17"/>
      <c r="B17"/>
      <c r="C17"/>
      <c r="D17"/>
      <c r="E17"/>
      <c r="F17"/>
      <c r="G17"/>
      <c r="H17"/>
      <c r="I17"/>
      <c r="J17"/>
      <c r="K17"/>
    </row>
    <row r="18" spans="1:11">
      <c r="A18"/>
      <c r="B18"/>
      <c r="C18"/>
      <c r="D18"/>
      <c r="E18"/>
      <c r="F18"/>
      <c r="G18"/>
      <c r="H18"/>
      <c r="I18"/>
      <c r="J18"/>
      <c r="K18"/>
    </row>
    <row r="19" spans="1:11">
      <c r="A19"/>
      <c r="B19"/>
      <c r="C19"/>
      <c r="D19"/>
      <c r="E19"/>
      <c r="F19"/>
      <c r="G19"/>
      <c r="H19"/>
      <c r="I19"/>
      <c r="J19"/>
      <c r="K19"/>
    </row>
    <row r="20" spans="1:11">
      <c r="A20"/>
      <c r="B20"/>
      <c r="C20"/>
      <c r="D20"/>
      <c r="E20"/>
      <c r="F20"/>
      <c r="G20"/>
      <c r="H20"/>
      <c r="I20"/>
      <c r="J20"/>
      <c r="K20"/>
    </row>
    <row r="21" spans="1:11">
      <c r="A21"/>
      <c r="B21"/>
      <c r="C21"/>
      <c r="D21"/>
      <c r="E21"/>
      <c r="F21"/>
      <c r="G21"/>
      <c r="H21"/>
      <c r="I21"/>
      <c r="J21"/>
      <c r="K21"/>
    </row>
  </sheetData>
  <mergeCells count="13">
    <mergeCell ref="A5:K5"/>
    <mergeCell ref="B3:B4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FFE2C-D9E1-4D47-8380-316986040DB9}">
  <dimension ref="A1:N60"/>
  <sheetViews>
    <sheetView zoomScaleNormal="100" workbookViewId="0">
      <selection activeCell="E29" sqref="E29"/>
    </sheetView>
  </sheetViews>
  <sheetFormatPr baseColWidth="10" defaultColWidth="9.1640625" defaultRowHeight="13"/>
  <cols>
    <col min="1" max="1" width="7.5" style="5" bestFit="1" customWidth="1"/>
    <col min="2" max="2" width="22.164062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24.5" style="5" bestFit="1" customWidth="1"/>
    <col min="8" max="10" width="4.5" style="6" customWidth="1"/>
    <col min="11" max="11" width="4.83203125" style="6" customWidth="1"/>
    <col min="12" max="12" width="10.5" style="6" bestFit="1" customWidth="1"/>
    <col min="13" max="13" width="7.5" style="6" bestFit="1" customWidth="1"/>
    <col min="14" max="14" width="18.6640625" style="5" customWidth="1"/>
    <col min="15" max="16384" width="9.1640625" style="3"/>
  </cols>
  <sheetData>
    <row r="1" spans="1:14" s="2" customFormat="1" ht="29" customHeight="1">
      <c r="A1" s="46" t="s">
        <v>728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</row>
    <row r="2" spans="1:14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4" s="1" customFormat="1" ht="12.75" customHeight="1">
      <c r="A3" s="54" t="s">
        <v>736</v>
      </c>
      <c r="B3" s="44" t="s">
        <v>0</v>
      </c>
      <c r="C3" s="56" t="s">
        <v>738</v>
      </c>
      <c r="D3" s="56" t="s">
        <v>6</v>
      </c>
      <c r="E3" s="38" t="s">
        <v>739</v>
      </c>
      <c r="F3" s="38"/>
      <c r="G3" s="38" t="s">
        <v>5</v>
      </c>
      <c r="H3" s="38" t="s">
        <v>737</v>
      </c>
      <c r="I3" s="38"/>
      <c r="J3" s="38"/>
      <c r="K3" s="38"/>
      <c r="L3" s="38" t="s">
        <v>242</v>
      </c>
      <c r="M3" s="38" t="s">
        <v>3</v>
      </c>
      <c r="N3" s="40" t="s">
        <v>2</v>
      </c>
    </row>
    <row r="4" spans="1:14" s="1" customFormat="1" ht="21" customHeight="1" thickBot="1">
      <c r="A4" s="55"/>
      <c r="B4" s="45"/>
      <c r="C4" s="39"/>
      <c r="D4" s="39"/>
      <c r="E4" s="39"/>
      <c r="F4" s="39"/>
      <c r="G4" s="39"/>
      <c r="H4" s="4">
        <v>1</v>
      </c>
      <c r="I4" s="4">
        <v>2</v>
      </c>
      <c r="J4" s="4">
        <v>3</v>
      </c>
      <c r="K4" s="4" t="s">
        <v>4</v>
      </c>
      <c r="L4" s="39"/>
      <c r="M4" s="39"/>
      <c r="N4" s="41"/>
    </row>
    <row r="5" spans="1:14" ht="16">
      <c r="A5" s="42" t="s">
        <v>248</v>
      </c>
      <c r="B5" s="42"/>
      <c r="C5" s="43"/>
      <c r="D5" s="43"/>
      <c r="E5" s="43"/>
      <c r="F5" s="43"/>
      <c r="G5" s="43"/>
      <c r="H5" s="43"/>
      <c r="I5" s="43"/>
      <c r="J5" s="43"/>
      <c r="K5" s="43"/>
    </row>
    <row r="6" spans="1:14">
      <c r="A6" s="8" t="s">
        <v>80</v>
      </c>
      <c r="B6" s="7" t="s">
        <v>693</v>
      </c>
      <c r="C6" s="7" t="s">
        <v>734</v>
      </c>
      <c r="D6" s="7" t="s">
        <v>694</v>
      </c>
      <c r="E6" s="7" t="s">
        <v>740</v>
      </c>
      <c r="F6" s="7" t="s">
        <v>695</v>
      </c>
      <c r="G6" s="7" t="s">
        <v>50</v>
      </c>
      <c r="H6" s="18" t="s">
        <v>279</v>
      </c>
      <c r="I6" s="18" t="s">
        <v>280</v>
      </c>
      <c r="J6" s="19" t="s">
        <v>281</v>
      </c>
      <c r="K6" s="8"/>
      <c r="L6" s="8" t="str">
        <f>"22,5"</f>
        <v>22,5</v>
      </c>
      <c r="M6" s="8" t="str">
        <f>"23,9692"</f>
        <v>23,9692</v>
      </c>
      <c r="N6" s="7" t="s">
        <v>696</v>
      </c>
    </row>
    <row r="7" spans="1:14">
      <c r="B7" s="5" t="s">
        <v>81</v>
      </c>
    </row>
    <row r="8" spans="1:14" ht="16">
      <c r="A8" s="34" t="s">
        <v>84</v>
      </c>
      <c r="B8" s="34"/>
      <c r="C8" s="35"/>
      <c r="D8" s="35"/>
      <c r="E8" s="35"/>
      <c r="F8" s="35"/>
      <c r="G8" s="35"/>
      <c r="H8" s="35"/>
      <c r="I8" s="35"/>
      <c r="J8" s="35"/>
      <c r="K8" s="35"/>
    </row>
    <row r="9" spans="1:14">
      <c r="A9" s="8" t="s">
        <v>80</v>
      </c>
      <c r="B9" s="7" t="s">
        <v>697</v>
      </c>
      <c r="C9" s="7" t="s">
        <v>698</v>
      </c>
      <c r="D9" s="7" t="s">
        <v>699</v>
      </c>
      <c r="E9" s="7" t="s">
        <v>741</v>
      </c>
      <c r="F9" s="7" t="s">
        <v>700</v>
      </c>
      <c r="G9" s="7" t="s">
        <v>50</v>
      </c>
      <c r="H9" s="18" t="s">
        <v>100</v>
      </c>
      <c r="I9" s="19" t="s">
        <v>157</v>
      </c>
      <c r="J9" s="18" t="s">
        <v>157</v>
      </c>
      <c r="K9" s="8"/>
      <c r="L9" s="8" t="str">
        <f>"62,5"</f>
        <v>62,5</v>
      </c>
      <c r="M9" s="8" t="str">
        <f>"48,3625"</f>
        <v>48,3625</v>
      </c>
      <c r="N9" s="7"/>
    </row>
    <row r="10" spans="1:14">
      <c r="B10" s="5" t="s">
        <v>81</v>
      </c>
    </row>
    <row r="11" spans="1:14" ht="16">
      <c r="A11" s="34" t="s">
        <v>10</v>
      </c>
      <c r="B11" s="34"/>
      <c r="C11" s="35"/>
      <c r="D11" s="35"/>
      <c r="E11" s="35"/>
      <c r="F11" s="35"/>
      <c r="G11" s="35"/>
      <c r="H11" s="35"/>
      <c r="I11" s="35"/>
      <c r="J11" s="35"/>
      <c r="K11" s="35"/>
    </row>
    <row r="12" spans="1:14">
      <c r="A12" s="10" t="s">
        <v>80</v>
      </c>
      <c r="B12" s="9" t="s">
        <v>701</v>
      </c>
      <c r="C12" s="9" t="s">
        <v>702</v>
      </c>
      <c r="D12" s="9" t="s">
        <v>703</v>
      </c>
      <c r="E12" s="9" t="s">
        <v>741</v>
      </c>
      <c r="F12" s="9" t="s">
        <v>121</v>
      </c>
      <c r="G12" s="9" t="s">
        <v>50</v>
      </c>
      <c r="H12" s="21" t="s">
        <v>188</v>
      </c>
      <c r="I12" s="20" t="s">
        <v>100</v>
      </c>
      <c r="J12" s="21" t="s">
        <v>157</v>
      </c>
      <c r="K12" s="10"/>
      <c r="L12" s="10" t="str">
        <f>"62,5"</f>
        <v>62,5</v>
      </c>
      <c r="M12" s="10" t="str">
        <f>"45,9544"</f>
        <v>45,9544</v>
      </c>
      <c r="N12" s="9"/>
    </row>
    <row r="13" spans="1:14">
      <c r="A13" s="25" t="s">
        <v>82</v>
      </c>
      <c r="B13" s="24" t="s">
        <v>704</v>
      </c>
      <c r="C13" s="24" t="s">
        <v>705</v>
      </c>
      <c r="D13" s="24" t="s">
        <v>541</v>
      </c>
      <c r="E13" s="24" t="s">
        <v>741</v>
      </c>
      <c r="F13" s="24" t="s">
        <v>219</v>
      </c>
      <c r="G13" s="24" t="s">
        <v>50</v>
      </c>
      <c r="H13" s="26" t="s">
        <v>92</v>
      </c>
      <c r="I13" s="27" t="s">
        <v>188</v>
      </c>
      <c r="J13" s="26" t="s">
        <v>188</v>
      </c>
      <c r="K13" s="25"/>
      <c r="L13" s="25" t="str">
        <f>"55,0"</f>
        <v>55,0</v>
      </c>
      <c r="M13" s="25" t="str">
        <f>"38,7475"</f>
        <v>38,7475</v>
      </c>
      <c r="N13" s="24" t="s">
        <v>641</v>
      </c>
    </row>
    <row r="14" spans="1:14">
      <c r="A14" s="12" t="s">
        <v>80</v>
      </c>
      <c r="B14" s="11" t="s">
        <v>442</v>
      </c>
      <c r="C14" s="11" t="s">
        <v>452</v>
      </c>
      <c r="D14" s="11" t="s">
        <v>444</v>
      </c>
      <c r="E14" s="11" t="s">
        <v>742</v>
      </c>
      <c r="F14" s="11" t="s">
        <v>168</v>
      </c>
      <c r="G14" s="11" t="s">
        <v>169</v>
      </c>
      <c r="H14" s="22" t="s">
        <v>180</v>
      </c>
      <c r="I14" s="22" t="s">
        <v>188</v>
      </c>
      <c r="J14" s="22" t="s">
        <v>172</v>
      </c>
      <c r="K14" s="12"/>
      <c r="L14" s="12" t="str">
        <f>"57,5"</f>
        <v>57,5</v>
      </c>
      <c r="M14" s="12" t="str">
        <f>"45,0927"</f>
        <v>45,0927</v>
      </c>
      <c r="N14" s="11"/>
    </row>
    <row r="15" spans="1:14">
      <c r="B15" s="5" t="s">
        <v>81</v>
      </c>
    </row>
    <row r="16" spans="1:14" ht="16">
      <c r="A16" s="34" t="s">
        <v>130</v>
      </c>
      <c r="B16" s="34"/>
      <c r="C16" s="35"/>
      <c r="D16" s="35"/>
      <c r="E16" s="35"/>
      <c r="F16" s="35"/>
      <c r="G16" s="35"/>
      <c r="H16" s="35"/>
      <c r="I16" s="35"/>
      <c r="J16" s="35"/>
      <c r="K16" s="35"/>
    </row>
    <row r="17" spans="1:14">
      <c r="A17" s="10" t="s">
        <v>80</v>
      </c>
      <c r="B17" s="9" t="s">
        <v>461</v>
      </c>
      <c r="C17" s="9" t="s">
        <v>462</v>
      </c>
      <c r="D17" s="9" t="s">
        <v>463</v>
      </c>
      <c r="E17" s="9" t="s">
        <v>741</v>
      </c>
      <c r="F17" s="9" t="s">
        <v>712</v>
      </c>
      <c r="G17" s="9" t="s">
        <v>464</v>
      </c>
      <c r="H17" s="21" t="s">
        <v>157</v>
      </c>
      <c r="I17" s="20" t="s">
        <v>101</v>
      </c>
      <c r="J17" s="20" t="s">
        <v>101</v>
      </c>
      <c r="K17" s="10"/>
      <c r="L17" s="10" t="str">
        <f>"62,5"</f>
        <v>62,5</v>
      </c>
      <c r="M17" s="10" t="str">
        <f>"41,3250"</f>
        <v>41,3250</v>
      </c>
      <c r="N17" s="9"/>
    </row>
    <row r="18" spans="1:14">
      <c r="A18" s="12" t="s">
        <v>82</v>
      </c>
      <c r="B18" s="11" t="s">
        <v>465</v>
      </c>
      <c r="C18" s="11" t="s">
        <v>466</v>
      </c>
      <c r="D18" s="11" t="s">
        <v>467</v>
      </c>
      <c r="E18" s="11" t="s">
        <v>741</v>
      </c>
      <c r="F18" s="11" t="s">
        <v>712</v>
      </c>
      <c r="G18" s="11" t="s">
        <v>25</v>
      </c>
      <c r="H18" s="22" t="s">
        <v>180</v>
      </c>
      <c r="I18" s="22" t="s">
        <v>172</v>
      </c>
      <c r="J18" s="22" t="s">
        <v>100</v>
      </c>
      <c r="K18" s="12"/>
      <c r="L18" s="12" t="str">
        <f>"60,0"</f>
        <v>60,0</v>
      </c>
      <c r="M18" s="12" t="str">
        <f>"39,1410"</f>
        <v>39,1410</v>
      </c>
      <c r="N18" s="11"/>
    </row>
    <row r="19" spans="1:14">
      <c r="B19" s="5" t="s">
        <v>81</v>
      </c>
    </row>
    <row r="20" spans="1:14" ht="16">
      <c r="A20" s="34" t="s">
        <v>21</v>
      </c>
      <c r="B20" s="34"/>
      <c r="C20" s="35"/>
      <c r="D20" s="35"/>
      <c r="E20" s="35"/>
      <c r="F20" s="35"/>
      <c r="G20" s="35"/>
      <c r="H20" s="35"/>
      <c r="I20" s="35"/>
      <c r="J20" s="35"/>
      <c r="K20" s="35"/>
    </row>
    <row r="21" spans="1:14">
      <c r="A21" s="8" t="s">
        <v>80</v>
      </c>
      <c r="B21" s="7" t="s">
        <v>644</v>
      </c>
      <c r="C21" s="7" t="s">
        <v>645</v>
      </c>
      <c r="D21" s="7" t="s">
        <v>646</v>
      </c>
      <c r="E21" s="7" t="s">
        <v>741</v>
      </c>
      <c r="F21" s="7" t="s">
        <v>647</v>
      </c>
      <c r="G21" s="7" t="s">
        <v>50</v>
      </c>
      <c r="H21" s="18" t="s">
        <v>101</v>
      </c>
      <c r="I21" s="18" t="s">
        <v>141</v>
      </c>
      <c r="J21" s="19" t="s">
        <v>259</v>
      </c>
      <c r="K21" s="8"/>
      <c r="L21" s="8" t="str">
        <f>"70,0"</f>
        <v>70,0</v>
      </c>
      <c r="M21" s="8" t="str">
        <f>"43,5365"</f>
        <v>43,5365</v>
      </c>
      <c r="N21" s="7"/>
    </row>
    <row r="22" spans="1:14">
      <c r="B22" s="5" t="s">
        <v>81</v>
      </c>
    </row>
    <row r="23" spans="1:14" ht="16">
      <c r="A23" s="34" t="s">
        <v>117</v>
      </c>
      <c r="B23" s="34"/>
      <c r="C23" s="35"/>
      <c r="D23" s="35"/>
      <c r="E23" s="35"/>
      <c r="F23" s="35"/>
      <c r="G23" s="35"/>
      <c r="H23" s="35"/>
      <c r="I23" s="35"/>
      <c r="J23" s="35"/>
      <c r="K23" s="35"/>
    </row>
    <row r="24" spans="1:14">
      <c r="A24" s="8" t="s">
        <v>80</v>
      </c>
      <c r="B24" s="7" t="s">
        <v>343</v>
      </c>
      <c r="C24" s="7" t="s">
        <v>735</v>
      </c>
      <c r="D24" s="7" t="s">
        <v>345</v>
      </c>
      <c r="E24" s="7" t="s">
        <v>743</v>
      </c>
      <c r="F24" s="7" t="s">
        <v>713</v>
      </c>
      <c r="G24" s="7" t="s">
        <v>179</v>
      </c>
      <c r="H24" s="19" t="s">
        <v>161</v>
      </c>
      <c r="I24" s="18" t="s">
        <v>161</v>
      </c>
      <c r="J24" s="19" t="s">
        <v>171</v>
      </c>
      <c r="K24" s="8"/>
      <c r="L24" s="8" t="str">
        <f>"80,0"</f>
        <v>80,0</v>
      </c>
      <c r="M24" s="8" t="str">
        <f>"46,7640"</f>
        <v>46,7640</v>
      </c>
      <c r="N24" s="7" t="s">
        <v>94</v>
      </c>
    </row>
    <row r="25" spans="1:14">
      <c r="B25" s="5" t="s">
        <v>81</v>
      </c>
    </row>
    <row r="26" spans="1:14" ht="16">
      <c r="A26" s="34" t="s">
        <v>32</v>
      </c>
      <c r="B26" s="34"/>
      <c r="C26" s="35"/>
      <c r="D26" s="35"/>
      <c r="E26" s="35"/>
      <c r="F26" s="35"/>
      <c r="G26" s="35"/>
      <c r="H26" s="35"/>
      <c r="I26" s="35"/>
      <c r="J26" s="35"/>
      <c r="K26" s="35"/>
    </row>
    <row r="27" spans="1:14">
      <c r="A27" s="10" t="s">
        <v>80</v>
      </c>
      <c r="B27" s="9" t="s">
        <v>706</v>
      </c>
      <c r="C27" s="9" t="s">
        <v>707</v>
      </c>
      <c r="D27" s="9" t="s">
        <v>708</v>
      </c>
      <c r="E27" s="9" t="s">
        <v>741</v>
      </c>
      <c r="F27" s="9" t="s">
        <v>700</v>
      </c>
      <c r="G27" s="9" t="s">
        <v>50</v>
      </c>
      <c r="H27" s="21" t="s">
        <v>180</v>
      </c>
      <c r="I27" s="21" t="s">
        <v>188</v>
      </c>
      <c r="J27" s="20" t="s">
        <v>100</v>
      </c>
      <c r="K27" s="10"/>
      <c r="L27" s="10" t="str">
        <f>"55,0"</f>
        <v>55,0</v>
      </c>
      <c r="M27" s="10" t="str">
        <f>"31,5755"</f>
        <v>31,5755</v>
      </c>
      <c r="N27" s="9"/>
    </row>
    <row r="28" spans="1:14">
      <c r="A28" s="12" t="s">
        <v>80</v>
      </c>
      <c r="B28" s="11" t="s">
        <v>377</v>
      </c>
      <c r="C28" s="11" t="s">
        <v>378</v>
      </c>
      <c r="D28" s="11" t="s">
        <v>379</v>
      </c>
      <c r="E28" s="11" t="s">
        <v>744</v>
      </c>
      <c r="F28" s="11" t="s">
        <v>712</v>
      </c>
      <c r="G28" s="11" t="s">
        <v>25</v>
      </c>
      <c r="H28" s="22" t="s">
        <v>180</v>
      </c>
      <c r="I28" s="22" t="s">
        <v>172</v>
      </c>
      <c r="J28" s="23" t="s">
        <v>101</v>
      </c>
      <c r="K28" s="12"/>
      <c r="L28" s="12" t="str">
        <f>"57,5"</f>
        <v>57,5</v>
      </c>
      <c r="M28" s="12" t="str">
        <f>"35,1235"</f>
        <v>35,1235</v>
      </c>
      <c r="N28" s="11"/>
    </row>
    <row r="29" spans="1:14">
      <c r="B29" s="5" t="s">
        <v>81</v>
      </c>
    </row>
    <row r="30" spans="1:14">
      <c r="A30"/>
      <c r="B30"/>
      <c r="C30"/>
      <c r="D30"/>
      <c r="E30"/>
      <c r="F30"/>
      <c r="G30"/>
      <c r="H30"/>
      <c r="I30"/>
      <c r="J30"/>
      <c r="K30"/>
    </row>
    <row r="31" spans="1:14">
      <c r="A31"/>
      <c r="B31"/>
      <c r="C31"/>
      <c r="D31"/>
      <c r="E31"/>
      <c r="F31"/>
      <c r="G31"/>
      <c r="H31"/>
      <c r="I31"/>
      <c r="J31"/>
      <c r="K31"/>
    </row>
    <row r="32" spans="1:14">
      <c r="A32"/>
      <c r="B32"/>
      <c r="C32"/>
      <c r="D32"/>
      <c r="E32"/>
      <c r="F32"/>
      <c r="G32"/>
      <c r="H32"/>
      <c r="I32"/>
      <c r="J32"/>
      <c r="K32"/>
    </row>
    <row r="33" spans="1:11">
      <c r="A33"/>
      <c r="B33"/>
      <c r="C33"/>
      <c r="D33"/>
      <c r="E33"/>
      <c r="F33"/>
      <c r="G33"/>
      <c r="H33"/>
      <c r="I33"/>
      <c r="J33"/>
      <c r="K33"/>
    </row>
    <row r="34" spans="1:11">
      <c r="A34"/>
      <c r="B34"/>
      <c r="C34"/>
      <c r="D34"/>
      <c r="E34"/>
      <c r="F34"/>
      <c r="G34"/>
      <c r="H34"/>
      <c r="I34"/>
      <c r="J34"/>
      <c r="K34"/>
    </row>
    <row r="35" spans="1:11">
      <c r="A35"/>
      <c r="B35"/>
      <c r="C35"/>
      <c r="D35"/>
      <c r="E35"/>
      <c r="F35"/>
      <c r="G35"/>
      <c r="H35"/>
      <c r="I35"/>
      <c r="J35"/>
      <c r="K35"/>
    </row>
    <row r="36" spans="1:11">
      <c r="A36"/>
      <c r="B36"/>
      <c r="C36"/>
      <c r="D36"/>
      <c r="E36"/>
      <c r="F36"/>
      <c r="G36"/>
      <c r="H36"/>
      <c r="I36"/>
      <c r="J36"/>
      <c r="K36"/>
    </row>
    <row r="37" spans="1:11">
      <c r="A37"/>
      <c r="B37"/>
      <c r="C37"/>
      <c r="D37"/>
      <c r="E37"/>
      <c r="F37"/>
      <c r="G37"/>
      <c r="H37"/>
      <c r="I37"/>
      <c r="J37"/>
      <c r="K37"/>
    </row>
    <row r="38" spans="1:11">
      <c r="A38"/>
      <c r="B38"/>
      <c r="C38"/>
      <c r="D38"/>
      <c r="E38"/>
      <c r="F38"/>
      <c r="G38"/>
      <c r="H38"/>
      <c r="I38"/>
      <c r="J38"/>
      <c r="K38"/>
    </row>
    <row r="39" spans="1:11">
      <c r="A39"/>
      <c r="B39"/>
      <c r="C39"/>
      <c r="D39"/>
      <c r="E39"/>
      <c r="F39"/>
      <c r="G39"/>
      <c r="H39"/>
      <c r="I39"/>
      <c r="J39"/>
      <c r="K39"/>
    </row>
    <row r="40" spans="1:11">
      <c r="A40"/>
      <c r="B40"/>
      <c r="C40"/>
      <c r="D40"/>
      <c r="E40"/>
      <c r="F40"/>
      <c r="G40"/>
      <c r="H40"/>
      <c r="I40"/>
      <c r="J40"/>
      <c r="K40"/>
    </row>
    <row r="41" spans="1:11">
      <c r="A41"/>
      <c r="B41"/>
      <c r="C41"/>
      <c r="D41"/>
      <c r="E41"/>
      <c r="F41"/>
      <c r="G41"/>
      <c r="H41"/>
      <c r="I41"/>
      <c r="J41"/>
      <c r="K41"/>
    </row>
    <row r="42" spans="1:11">
      <c r="A42"/>
      <c r="B42"/>
      <c r="C42"/>
      <c r="D42"/>
      <c r="E42"/>
      <c r="F42"/>
      <c r="G42"/>
      <c r="H42"/>
      <c r="I42"/>
      <c r="J42"/>
      <c r="K42"/>
    </row>
    <row r="43" spans="1:11">
      <c r="A43"/>
      <c r="B43"/>
      <c r="C43"/>
      <c r="D43"/>
      <c r="E43"/>
      <c r="F43"/>
      <c r="G43"/>
      <c r="H43"/>
      <c r="I43"/>
      <c r="J43"/>
      <c r="K43"/>
    </row>
    <row r="44" spans="1:11">
      <c r="A44"/>
      <c r="B44"/>
      <c r="C44"/>
      <c r="D44"/>
      <c r="E44"/>
      <c r="F44"/>
      <c r="G44"/>
      <c r="H44"/>
      <c r="I44"/>
      <c r="J44"/>
      <c r="K44"/>
    </row>
    <row r="45" spans="1:11">
      <c r="A45"/>
      <c r="B45"/>
      <c r="C45"/>
      <c r="D45"/>
      <c r="E45"/>
      <c r="F45"/>
      <c r="G45"/>
      <c r="H45"/>
      <c r="I45"/>
      <c r="J45"/>
      <c r="K45"/>
    </row>
    <row r="46" spans="1:11">
      <c r="A46"/>
      <c r="B46"/>
      <c r="C46"/>
      <c r="D46"/>
      <c r="E46"/>
      <c r="F46"/>
      <c r="G46"/>
      <c r="H46"/>
      <c r="I46"/>
      <c r="J46"/>
      <c r="K46"/>
    </row>
    <row r="47" spans="1:11">
      <c r="A47"/>
      <c r="B47"/>
      <c r="C47"/>
      <c r="D47"/>
      <c r="E47"/>
      <c r="F47"/>
      <c r="G47"/>
      <c r="H47"/>
      <c r="I47"/>
      <c r="J47"/>
      <c r="K47"/>
    </row>
    <row r="48" spans="1:11">
      <c r="A48"/>
      <c r="B48"/>
      <c r="C48"/>
      <c r="D48"/>
      <c r="E48"/>
      <c r="F48"/>
      <c r="G48"/>
      <c r="H48"/>
      <c r="I48"/>
      <c r="J48"/>
      <c r="K48"/>
    </row>
    <row r="49" spans="1:11">
      <c r="A49"/>
      <c r="B49"/>
      <c r="C49"/>
      <c r="D49"/>
      <c r="E49"/>
      <c r="F49"/>
      <c r="G49"/>
      <c r="H49"/>
      <c r="I49"/>
      <c r="J49"/>
      <c r="K49"/>
    </row>
    <row r="50" spans="1:11">
      <c r="A50"/>
      <c r="B50"/>
      <c r="C50"/>
      <c r="D50"/>
      <c r="E50"/>
      <c r="F50"/>
      <c r="G50"/>
      <c r="H50"/>
      <c r="I50"/>
      <c r="J50"/>
      <c r="K50"/>
    </row>
    <row r="51" spans="1:11">
      <c r="A51"/>
      <c r="B51"/>
      <c r="C51"/>
      <c r="D51"/>
      <c r="E51"/>
      <c r="F51"/>
      <c r="G51"/>
      <c r="H51"/>
      <c r="I51"/>
      <c r="J51"/>
      <c r="K51"/>
    </row>
    <row r="52" spans="1:11">
      <c r="A52"/>
      <c r="B52"/>
      <c r="C52"/>
      <c r="D52"/>
      <c r="E52"/>
      <c r="F52"/>
      <c r="G52"/>
      <c r="H52"/>
      <c r="I52"/>
      <c r="J52"/>
      <c r="K52"/>
    </row>
    <row r="53" spans="1:11">
      <c r="A53"/>
      <c r="B53"/>
      <c r="C53"/>
      <c r="D53"/>
      <c r="E53"/>
      <c r="F53"/>
      <c r="G53"/>
      <c r="H53"/>
      <c r="I53"/>
      <c r="J53"/>
      <c r="K53"/>
    </row>
    <row r="54" spans="1:11">
      <c r="A54"/>
      <c r="B54"/>
      <c r="C54"/>
      <c r="D54"/>
      <c r="E54"/>
      <c r="F54"/>
      <c r="G54"/>
      <c r="H54"/>
      <c r="I54"/>
      <c r="J54"/>
      <c r="K54"/>
    </row>
    <row r="55" spans="1:11">
      <c r="A55"/>
      <c r="B55"/>
      <c r="C55"/>
      <c r="D55"/>
      <c r="E55"/>
      <c r="F55"/>
      <c r="G55"/>
      <c r="H55"/>
      <c r="I55"/>
      <c r="J55"/>
      <c r="K55"/>
    </row>
    <row r="56" spans="1:11">
      <c r="A56"/>
      <c r="B56"/>
      <c r="C56"/>
      <c r="D56"/>
      <c r="E56"/>
      <c r="F56"/>
      <c r="G56"/>
      <c r="H56"/>
      <c r="I56"/>
      <c r="J56"/>
      <c r="K56"/>
    </row>
    <row r="57" spans="1:11">
      <c r="A57"/>
      <c r="B57"/>
      <c r="C57"/>
      <c r="D57"/>
      <c r="E57"/>
      <c r="F57"/>
      <c r="G57"/>
      <c r="H57"/>
      <c r="I57"/>
      <c r="J57"/>
      <c r="K57"/>
    </row>
    <row r="58" spans="1:11">
      <c r="A58"/>
      <c r="B58"/>
      <c r="C58"/>
      <c r="D58"/>
      <c r="E58"/>
      <c r="F58"/>
      <c r="G58"/>
      <c r="H58"/>
      <c r="I58"/>
      <c r="J58"/>
      <c r="K58"/>
    </row>
    <row r="59" spans="1:11">
      <c r="A59"/>
      <c r="B59"/>
      <c r="C59"/>
      <c r="D59"/>
      <c r="E59"/>
      <c r="F59"/>
      <c r="G59"/>
      <c r="H59"/>
      <c r="I59"/>
      <c r="J59"/>
      <c r="K59"/>
    </row>
    <row r="60" spans="1:11">
      <c r="A60"/>
      <c r="B60"/>
      <c r="C60"/>
      <c r="D60"/>
      <c r="E60"/>
      <c r="F60"/>
      <c r="G60"/>
      <c r="H60"/>
      <c r="I60"/>
      <c r="J60"/>
      <c r="K60"/>
    </row>
  </sheetData>
  <mergeCells count="19">
    <mergeCell ref="A1:N2"/>
    <mergeCell ref="A3:A4"/>
    <mergeCell ref="C3:C4"/>
    <mergeCell ref="D3:D4"/>
    <mergeCell ref="E3:E4"/>
    <mergeCell ref="F3:F4"/>
    <mergeCell ref="G3:G4"/>
    <mergeCell ref="H3:K3"/>
    <mergeCell ref="A26:K26"/>
    <mergeCell ref="L3:L4"/>
    <mergeCell ref="M3:M4"/>
    <mergeCell ref="N3:N4"/>
    <mergeCell ref="A5:K5"/>
    <mergeCell ref="B3:B4"/>
    <mergeCell ref="A8:K8"/>
    <mergeCell ref="A11:K11"/>
    <mergeCell ref="A16:K16"/>
    <mergeCell ref="A20:K20"/>
    <mergeCell ref="A23:K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3318A-6231-43AB-8351-9459B990E806}">
  <dimension ref="A1:V34"/>
  <sheetViews>
    <sheetView zoomScaleNormal="100" workbookViewId="0">
      <selection sqref="A1:V2"/>
    </sheetView>
  </sheetViews>
  <sheetFormatPr baseColWidth="10" defaultColWidth="9.1640625" defaultRowHeight="13"/>
  <cols>
    <col min="1" max="1" width="7.5" style="5" bestFit="1" customWidth="1"/>
    <col min="2" max="2" width="16.1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24.1640625" style="5" customWidth="1"/>
    <col min="8" max="10" width="5.5" style="6" customWidth="1"/>
    <col min="11" max="11" width="4.83203125" style="6" customWidth="1"/>
    <col min="12" max="14" width="5.5" style="6" customWidth="1"/>
    <col min="15" max="15" width="4.83203125" style="6" customWidth="1"/>
    <col min="16" max="18" width="5.5" style="6" customWidth="1"/>
    <col min="19" max="19" width="4.83203125" style="6" customWidth="1"/>
    <col min="20" max="20" width="7.83203125" style="6" bestFit="1" customWidth="1"/>
    <col min="21" max="21" width="8.5" style="6" bestFit="1" customWidth="1"/>
    <col min="22" max="22" width="15.5" style="5" bestFit="1" customWidth="1"/>
    <col min="23" max="16384" width="9.1640625" style="3"/>
  </cols>
  <sheetData>
    <row r="1" spans="1:22" s="2" customFormat="1" ht="29" customHeight="1">
      <c r="A1" s="46" t="s">
        <v>715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9"/>
    </row>
    <row r="2" spans="1:22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3"/>
    </row>
    <row r="3" spans="1:22" s="1" customFormat="1" ht="12.75" customHeight="1">
      <c r="A3" s="54" t="s">
        <v>736</v>
      </c>
      <c r="B3" s="44" t="s">
        <v>0</v>
      </c>
      <c r="C3" s="56" t="s">
        <v>738</v>
      </c>
      <c r="D3" s="56" t="s">
        <v>6</v>
      </c>
      <c r="E3" s="38" t="s">
        <v>739</v>
      </c>
      <c r="F3" s="38"/>
      <c r="G3" s="38" t="s">
        <v>5</v>
      </c>
      <c r="H3" s="38" t="s">
        <v>7</v>
      </c>
      <c r="I3" s="38"/>
      <c r="J3" s="38"/>
      <c r="K3" s="38"/>
      <c r="L3" s="38" t="s">
        <v>8</v>
      </c>
      <c r="M3" s="38"/>
      <c r="N3" s="38"/>
      <c r="O3" s="38"/>
      <c r="P3" s="38" t="s">
        <v>9</v>
      </c>
      <c r="Q3" s="38"/>
      <c r="R3" s="38"/>
      <c r="S3" s="38"/>
      <c r="T3" s="38" t="s">
        <v>1</v>
      </c>
      <c r="U3" s="38" t="s">
        <v>3</v>
      </c>
      <c r="V3" s="40" t="s">
        <v>2</v>
      </c>
    </row>
    <row r="4" spans="1:22" s="1" customFormat="1" ht="21" customHeight="1" thickBot="1">
      <c r="A4" s="55"/>
      <c r="B4" s="45"/>
      <c r="C4" s="39"/>
      <c r="D4" s="39"/>
      <c r="E4" s="39"/>
      <c r="F4" s="39"/>
      <c r="G4" s="39"/>
      <c r="H4" s="4">
        <v>1</v>
      </c>
      <c r="I4" s="4">
        <v>2</v>
      </c>
      <c r="J4" s="4">
        <v>3</v>
      </c>
      <c r="K4" s="4" t="s">
        <v>4</v>
      </c>
      <c r="L4" s="4">
        <v>1</v>
      </c>
      <c r="M4" s="4">
        <v>2</v>
      </c>
      <c r="N4" s="4">
        <v>3</v>
      </c>
      <c r="O4" s="4" t="s">
        <v>4</v>
      </c>
      <c r="P4" s="4">
        <v>1</v>
      </c>
      <c r="Q4" s="4">
        <v>2</v>
      </c>
      <c r="R4" s="4">
        <v>3</v>
      </c>
      <c r="S4" s="4" t="s">
        <v>4</v>
      </c>
      <c r="T4" s="39"/>
      <c r="U4" s="39"/>
      <c r="V4" s="41"/>
    </row>
    <row r="5" spans="1:22" ht="16">
      <c r="A5" s="42" t="s">
        <v>130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6" spans="1:22">
      <c r="A6" s="8" t="s">
        <v>80</v>
      </c>
      <c r="B6" s="7" t="s">
        <v>131</v>
      </c>
      <c r="C6" s="7" t="s">
        <v>132</v>
      </c>
      <c r="D6" s="7" t="s">
        <v>133</v>
      </c>
      <c r="E6" s="7" t="s">
        <v>741</v>
      </c>
      <c r="F6" s="7" t="s">
        <v>713</v>
      </c>
      <c r="G6" s="7" t="s">
        <v>50</v>
      </c>
      <c r="H6" s="18" t="s">
        <v>134</v>
      </c>
      <c r="I6" s="19" t="s">
        <v>93</v>
      </c>
      <c r="J6" s="19" t="s">
        <v>93</v>
      </c>
      <c r="K6" s="8"/>
      <c r="L6" s="19" t="s">
        <v>135</v>
      </c>
      <c r="M6" s="18" t="s">
        <v>135</v>
      </c>
      <c r="N6" s="19" t="s">
        <v>136</v>
      </c>
      <c r="O6" s="8"/>
      <c r="P6" s="18" t="s">
        <v>134</v>
      </c>
      <c r="Q6" s="18" t="s">
        <v>93</v>
      </c>
      <c r="R6" s="18" t="s">
        <v>19</v>
      </c>
      <c r="S6" s="8"/>
      <c r="T6" s="8" t="str">
        <f>"240,0"</f>
        <v>240,0</v>
      </c>
      <c r="U6" s="8" t="str">
        <f>"216,0000"</f>
        <v>216,0000</v>
      </c>
      <c r="V6" s="7" t="s">
        <v>137</v>
      </c>
    </row>
    <row r="7" spans="1:22">
      <c r="B7" s="5" t="s">
        <v>81</v>
      </c>
    </row>
    <row r="8" spans="1:22" ht="16">
      <c r="A8" s="34" t="s">
        <v>21</v>
      </c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</row>
    <row r="9" spans="1:22">
      <c r="A9" s="8" t="s">
        <v>80</v>
      </c>
      <c r="B9" s="7" t="s">
        <v>138</v>
      </c>
      <c r="C9" s="7" t="s">
        <v>139</v>
      </c>
      <c r="D9" s="7" t="s">
        <v>140</v>
      </c>
      <c r="E9" s="7" t="s">
        <v>741</v>
      </c>
      <c r="F9" s="7" t="s">
        <v>49</v>
      </c>
      <c r="G9" s="7" t="s">
        <v>50</v>
      </c>
      <c r="H9" s="18" t="s">
        <v>20</v>
      </c>
      <c r="I9" s="18" t="s">
        <v>52</v>
      </c>
      <c r="J9" s="18" t="s">
        <v>102</v>
      </c>
      <c r="K9" s="8"/>
      <c r="L9" s="18" t="s">
        <v>101</v>
      </c>
      <c r="M9" s="18" t="s">
        <v>141</v>
      </c>
      <c r="N9" s="18" t="s">
        <v>142</v>
      </c>
      <c r="O9" s="8"/>
      <c r="P9" s="18" t="s">
        <v>52</v>
      </c>
      <c r="Q9" s="18" t="s">
        <v>102</v>
      </c>
      <c r="R9" s="18" t="s">
        <v>112</v>
      </c>
      <c r="S9" s="8"/>
      <c r="T9" s="8" t="str">
        <f>"377,5"</f>
        <v>377,5</v>
      </c>
      <c r="U9" s="8" t="str">
        <f>"330,6900"</f>
        <v>330,6900</v>
      </c>
      <c r="V9" s="7" t="s">
        <v>143</v>
      </c>
    </row>
    <row r="10" spans="1:22">
      <c r="B10" s="5" t="s">
        <v>81</v>
      </c>
    </row>
    <row r="11" spans="1:22" ht="16">
      <c r="A11" s="34" t="s">
        <v>32</v>
      </c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1:22">
      <c r="A12" s="8" t="s">
        <v>80</v>
      </c>
      <c r="B12" s="7" t="s">
        <v>144</v>
      </c>
      <c r="C12" s="7" t="s">
        <v>145</v>
      </c>
      <c r="D12" s="7" t="s">
        <v>146</v>
      </c>
      <c r="E12" s="7" t="s">
        <v>741</v>
      </c>
      <c r="F12" s="7" t="s">
        <v>147</v>
      </c>
      <c r="G12" s="7" t="s">
        <v>709</v>
      </c>
      <c r="H12" s="18" t="s">
        <v>148</v>
      </c>
      <c r="I12" s="18" t="s">
        <v>149</v>
      </c>
      <c r="J12" s="19" t="s">
        <v>62</v>
      </c>
      <c r="K12" s="8"/>
      <c r="L12" s="18" t="s">
        <v>150</v>
      </c>
      <c r="M12" s="18" t="s">
        <v>28</v>
      </c>
      <c r="N12" s="19" t="s">
        <v>40</v>
      </c>
      <c r="O12" s="8"/>
      <c r="P12" s="18" t="s">
        <v>37</v>
      </c>
      <c r="Q12" s="18" t="s">
        <v>127</v>
      </c>
      <c r="R12" s="19" t="s">
        <v>151</v>
      </c>
      <c r="S12" s="8"/>
      <c r="T12" s="8" t="str">
        <f>"790,0"</f>
        <v>790,0</v>
      </c>
      <c r="U12" s="8" t="str">
        <f>"465,9420"</f>
        <v>465,9420</v>
      </c>
      <c r="V12" s="7"/>
    </row>
    <row r="13" spans="1:22">
      <c r="B13" s="5" t="s">
        <v>81</v>
      </c>
    </row>
    <row r="14" spans="1:2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</row>
    <row r="15" spans="1:2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</row>
    <row r="16" spans="1:2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</row>
    <row r="17" spans="1:1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</row>
    <row r="18" spans="1: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</row>
    <row r="19" spans="1: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</row>
    <row r="20" spans="1: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</row>
    <row r="21" spans="1: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1: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</sheetData>
  <mergeCells count="17">
    <mergeCell ref="V3:V4"/>
    <mergeCell ref="A5:S5"/>
    <mergeCell ref="A1:V2"/>
    <mergeCell ref="A3:A4"/>
    <mergeCell ref="C3:C4"/>
    <mergeCell ref="D3:D4"/>
    <mergeCell ref="E3:E4"/>
    <mergeCell ref="F3:F4"/>
    <mergeCell ref="G3:G4"/>
    <mergeCell ref="H3:K3"/>
    <mergeCell ref="L3:O3"/>
    <mergeCell ref="P3:S3"/>
    <mergeCell ref="A8:S8"/>
    <mergeCell ref="A11:S11"/>
    <mergeCell ref="B3:B4"/>
    <mergeCell ref="T3:T4"/>
    <mergeCell ref="U3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02F79-9ED7-40C4-8452-D9196FAB3833}">
  <dimension ref="A1:V60"/>
  <sheetViews>
    <sheetView zoomScaleNormal="100" workbookViewId="0">
      <selection activeCell="E18" sqref="E18"/>
    </sheetView>
  </sheetViews>
  <sheetFormatPr baseColWidth="10" defaultColWidth="9.1640625" defaultRowHeight="13"/>
  <cols>
    <col min="1" max="1" width="7.5" style="5" bestFit="1" customWidth="1"/>
    <col min="2" max="2" width="20.33203125" style="5" bestFit="1" customWidth="1"/>
    <col min="3" max="3" width="27.83203125" style="5" customWidth="1"/>
    <col min="4" max="4" width="17.83203125" style="5" customWidth="1"/>
    <col min="5" max="5" width="10.5" style="5" bestFit="1" customWidth="1"/>
    <col min="6" max="6" width="17.5" style="5" customWidth="1"/>
    <col min="7" max="7" width="26.1640625" style="5" customWidth="1"/>
    <col min="8" max="10" width="5.5" style="6" customWidth="1"/>
    <col min="11" max="11" width="4.83203125" style="6" customWidth="1"/>
    <col min="12" max="14" width="5.5" style="6" customWidth="1"/>
    <col min="15" max="15" width="4.83203125" style="6" customWidth="1"/>
    <col min="16" max="18" width="5.5" style="6" customWidth="1"/>
    <col min="19" max="19" width="4.83203125" style="6" customWidth="1"/>
    <col min="20" max="20" width="7.83203125" style="28" bestFit="1" customWidth="1"/>
    <col min="21" max="21" width="8.5" style="6" bestFit="1" customWidth="1"/>
    <col min="22" max="22" width="18" style="5" customWidth="1"/>
    <col min="23" max="16384" width="9.1640625" style="3"/>
  </cols>
  <sheetData>
    <row r="1" spans="1:22" s="2" customFormat="1" ht="29" customHeight="1">
      <c r="A1" s="46" t="s">
        <v>716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9"/>
    </row>
    <row r="2" spans="1:22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3"/>
    </row>
    <row r="3" spans="1:22" s="1" customFormat="1" ht="12.75" customHeight="1">
      <c r="A3" s="54" t="s">
        <v>736</v>
      </c>
      <c r="B3" s="44" t="s">
        <v>0</v>
      </c>
      <c r="C3" s="56" t="s">
        <v>738</v>
      </c>
      <c r="D3" s="56" t="s">
        <v>6</v>
      </c>
      <c r="E3" s="38" t="s">
        <v>739</v>
      </c>
      <c r="F3" s="38"/>
      <c r="G3" s="38" t="s">
        <v>5</v>
      </c>
      <c r="H3" s="38" t="s">
        <v>7</v>
      </c>
      <c r="I3" s="38"/>
      <c r="J3" s="38"/>
      <c r="K3" s="38"/>
      <c r="L3" s="38" t="s">
        <v>8</v>
      </c>
      <c r="M3" s="38"/>
      <c r="N3" s="38"/>
      <c r="O3" s="38"/>
      <c r="P3" s="38" t="s">
        <v>9</v>
      </c>
      <c r="Q3" s="38"/>
      <c r="R3" s="38"/>
      <c r="S3" s="38"/>
      <c r="T3" s="36" t="s">
        <v>1</v>
      </c>
      <c r="U3" s="38" t="s">
        <v>3</v>
      </c>
      <c r="V3" s="40" t="s">
        <v>2</v>
      </c>
    </row>
    <row r="4" spans="1:22" s="1" customFormat="1" ht="21" customHeight="1" thickBot="1">
      <c r="A4" s="55"/>
      <c r="B4" s="45"/>
      <c r="C4" s="39"/>
      <c r="D4" s="39"/>
      <c r="E4" s="39"/>
      <c r="F4" s="39"/>
      <c r="G4" s="39"/>
      <c r="H4" s="4">
        <v>1</v>
      </c>
      <c r="I4" s="4">
        <v>2</v>
      </c>
      <c r="J4" s="4">
        <v>3</v>
      </c>
      <c r="K4" s="4" t="s">
        <v>4</v>
      </c>
      <c r="L4" s="4">
        <v>1</v>
      </c>
      <c r="M4" s="4">
        <v>2</v>
      </c>
      <c r="N4" s="4">
        <v>3</v>
      </c>
      <c r="O4" s="4" t="s">
        <v>4</v>
      </c>
      <c r="P4" s="4">
        <v>1</v>
      </c>
      <c r="Q4" s="4">
        <v>2</v>
      </c>
      <c r="R4" s="4">
        <v>3</v>
      </c>
      <c r="S4" s="4" t="s">
        <v>4</v>
      </c>
      <c r="T4" s="37"/>
      <c r="U4" s="39"/>
      <c r="V4" s="41"/>
    </row>
    <row r="5" spans="1:22" ht="16">
      <c r="A5" s="42" t="s">
        <v>84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6" spans="1:22">
      <c r="A6" s="10" t="s">
        <v>80</v>
      </c>
      <c r="B6" s="9" t="s">
        <v>85</v>
      </c>
      <c r="C6" s="9" t="s">
        <v>86</v>
      </c>
      <c r="D6" s="9" t="s">
        <v>87</v>
      </c>
      <c r="E6" s="9" t="s">
        <v>747</v>
      </c>
      <c r="F6" s="9" t="s">
        <v>88</v>
      </c>
      <c r="G6" s="9" t="s">
        <v>89</v>
      </c>
      <c r="H6" s="21" t="s">
        <v>20</v>
      </c>
      <c r="I6" s="21" t="s">
        <v>90</v>
      </c>
      <c r="J6" s="21" t="s">
        <v>52</v>
      </c>
      <c r="K6" s="10"/>
      <c r="L6" s="20" t="s">
        <v>91</v>
      </c>
      <c r="M6" s="21" t="s">
        <v>91</v>
      </c>
      <c r="N6" s="20" t="s">
        <v>92</v>
      </c>
      <c r="O6" s="10"/>
      <c r="P6" s="21" t="s">
        <v>93</v>
      </c>
      <c r="Q6" s="20" t="s">
        <v>20</v>
      </c>
      <c r="R6" s="10"/>
      <c r="S6" s="10"/>
      <c r="T6" s="30" t="str">
        <f>"272,5"</f>
        <v>272,5</v>
      </c>
      <c r="U6" s="10" t="str">
        <f>"279,6123"</f>
        <v>279,6123</v>
      </c>
      <c r="V6" s="9" t="s">
        <v>94</v>
      </c>
    </row>
    <row r="7" spans="1:22">
      <c r="A7" s="25" t="s">
        <v>80</v>
      </c>
      <c r="B7" s="24" t="s">
        <v>95</v>
      </c>
      <c r="C7" s="24" t="s">
        <v>96</v>
      </c>
      <c r="D7" s="24" t="s">
        <v>97</v>
      </c>
      <c r="E7" s="24" t="s">
        <v>741</v>
      </c>
      <c r="F7" s="24" t="s">
        <v>713</v>
      </c>
      <c r="G7" s="24" t="s">
        <v>98</v>
      </c>
      <c r="H7" s="26" t="s">
        <v>20</v>
      </c>
      <c r="I7" s="26" t="s">
        <v>99</v>
      </c>
      <c r="J7" s="26" t="s">
        <v>90</v>
      </c>
      <c r="K7" s="25"/>
      <c r="L7" s="26" t="s">
        <v>100</v>
      </c>
      <c r="M7" s="27" t="s">
        <v>101</v>
      </c>
      <c r="N7" s="27" t="s">
        <v>101</v>
      </c>
      <c r="O7" s="25"/>
      <c r="P7" s="26" t="s">
        <v>52</v>
      </c>
      <c r="Q7" s="26" t="s">
        <v>102</v>
      </c>
      <c r="R7" s="27" t="s">
        <v>54</v>
      </c>
      <c r="S7" s="25"/>
      <c r="T7" s="33" t="str">
        <f>"325,0"</f>
        <v>325,0</v>
      </c>
      <c r="U7" s="25" t="str">
        <f>"343,7200"</f>
        <v>343,7200</v>
      </c>
      <c r="V7" s="24" t="s">
        <v>103</v>
      </c>
    </row>
    <row r="8" spans="1:22">
      <c r="A8" s="12" t="s">
        <v>80</v>
      </c>
      <c r="B8" s="11" t="s">
        <v>95</v>
      </c>
      <c r="C8" s="11" t="s">
        <v>104</v>
      </c>
      <c r="D8" s="11" t="s">
        <v>97</v>
      </c>
      <c r="E8" s="11" t="s">
        <v>744</v>
      </c>
      <c r="F8" s="11" t="s">
        <v>713</v>
      </c>
      <c r="G8" s="11" t="s">
        <v>98</v>
      </c>
      <c r="H8" s="22" t="s">
        <v>20</v>
      </c>
      <c r="I8" s="22" t="s">
        <v>99</v>
      </c>
      <c r="J8" s="22" t="s">
        <v>90</v>
      </c>
      <c r="K8" s="12"/>
      <c r="L8" s="22" t="s">
        <v>100</v>
      </c>
      <c r="M8" s="23" t="s">
        <v>101</v>
      </c>
      <c r="N8" s="23" t="s">
        <v>101</v>
      </c>
      <c r="O8" s="12"/>
      <c r="P8" s="22" t="s">
        <v>52</v>
      </c>
      <c r="Q8" s="22" t="s">
        <v>102</v>
      </c>
      <c r="R8" s="23" t="s">
        <v>54</v>
      </c>
      <c r="S8" s="12"/>
      <c r="T8" s="31" t="str">
        <f>"325,0"</f>
        <v>325,0</v>
      </c>
      <c r="U8" s="12" t="str">
        <f>"358,8437"</f>
        <v>358,8437</v>
      </c>
      <c r="V8" s="11" t="s">
        <v>103</v>
      </c>
    </row>
    <row r="9" spans="1:22">
      <c r="B9" s="5" t="s">
        <v>81</v>
      </c>
    </row>
    <row r="10" spans="1:22" ht="16">
      <c r="A10" s="34" t="s">
        <v>84</v>
      </c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</row>
    <row r="11" spans="1:22">
      <c r="A11" s="8" t="s">
        <v>80</v>
      </c>
      <c r="B11" s="7" t="s">
        <v>105</v>
      </c>
      <c r="C11" s="7" t="s">
        <v>106</v>
      </c>
      <c r="D11" s="7" t="s">
        <v>107</v>
      </c>
      <c r="E11" s="7" t="s">
        <v>747</v>
      </c>
      <c r="F11" s="7" t="s">
        <v>729</v>
      </c>
      <c r="G11" s="7" t="s">
        <v>61</v>
      </c>
      <c r="H11" s="18" t="s">
        <v>108</v>
      </c>
      <c r="I11" s="18" t="s">
        <v>27</v>
      </c>
      <c r="J11" s="19" t="s">
        <v>28</v>
      </c>
      <c r="K11" s="8"/>
      <c r="L11" s="18" t="s">
        <v>19</v>
      </c>
      <c r="M11" s="19" t="s">
        <v>20</v>
      </c>
      <c r="N11" s="19" t="s">
        <v>20</v>
      </c>
      <c r="O11" s="8"/>
      <c r="P11" s="18" t="s">
        <v>108</v>
      </c>
      <c r="Q11" s="19" t="s">
        <v>40</v>
      </c>
      <c r="R11" s="18" t="s">
        <v>40</v>
      </c>
      <c r="S11" s="8"/>
      <c r="T11" s="29" t="str">
        <f>"505,0"</f>
        <v>505,0</v>
      </c>
      <c r="U11" s="8" t="str">
        <f>"399,0005"</f>
        <v>399,0005</v>
      </c>
      <c r="V11" s="7" t="s">
        <v>69</v>
      </c>
    </row>
    <row r="12" spans="1:22">
      <c r="B12" s="5" t="s">
        <v>81</v>
      </c>
    </row>
    <row r="13" spans="1:22" ht="16">
      <c r="A13" s="34" t="s">
        <v>10</v>
      </c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 spans="1:22">
      <c r="A14" s="10" t="s">
        <v>80</v>
      </c>
      <c r="B14" s="9" t="s">
        <v>109</v>
      </c>
      <c r="C14" s="9" t="s">
        <v>110</v>
      </c>
      <c r="D14" s="9" t="s">
        <v>111</v>
      </c>
      <c r="E14" s="9" t="s">
        <v>743</v>
      </c>
      <c r="F14" s="9" t="s">
        <v>713</v>
      </c>
      <c r="G14" s="9" t="s">
        <v>50</v>
      </c>
      <c r="H14" s="20" t="s">
        <v>65</v>
      </c>
      <c r="I14" s="20" t="s">
        <v>65</v>
      </c>
      <c r="J14" s="21" t="s">
        <v>112</v>
      </c>
      <c r="K14" s="10"/>
      <c r="L14" s="21" t="s">
        <v>19</v>
      </c>
      <c r="M14" s="21" t="s">
        <v>20</v>
      </c>
      <c r="N14" s="20" t="s">
        <v>99</v>
      </c>
      <c r="O14" s="10"/>
      <c r="P14" s="21" t="s">
        <v>65</v>
      </c>
      <c r="Q14" s="20" t="s">
        <v>112</v>
      </c>
      <c r="R14" s="21" t="s">
        <v>112</v>
      </c>
      <c r="S14" s="10"/>
      <c r="T14" s="30" t="str">
        <f>"435,0"</f>
        <v>435,0</v>
      </c>
      <c r="U14" s="10" t="str">
        <f>"328,9035"</f>
        <v>328,9035</v>
      </c>
      <c r="V14" s="9"/>
    </row>
    <row r="15" spans="1:22">
      <c r="A15" s="12" t="s">
        <v>83</v>
      </c>
      <c r="B15" s="11" t="s">
        <v>113</v>
      </c>
      <c r="C15" s="11" t="s">
        <v>114</v>
      </c>
      <c r="D15" s="11" t="s">
        <v>115</v>
      </c>
      <c r="E15" s="11" t="s">
        <v>741</v>
      </c>
      <c r="F15" s="11" t="s">
        <v>712</v>
      </c>
      <c r="G15" s="11" t="s">
        <v>710</v>
      </c>
      <c r="H15" s="22" t="s">
        <v>108</v>
      </c>
      <c r="I15" s="22" t="s">
        <v>39</v>
      </c>
      <c r="J15" s="23" t="s">
        <v>29</v>
      </c>
      <c r="K15" s="12"/>
      <c r="L15" s="23" t="s">
        <v>99</v>
      </c>
      <c r="M15" s="23" t="s">
        <v>99</v>
      </c>
      <c r="N15" s="23" t="s">
        <v>99</v>
      </c>
      <c r="O15" s="12"/>
      <c r="P15" s="23"/>
      <c r="Q15" s="12"/>
      <c r="R15" s="12"/>
      <c r="S15" s="12"/>
      <c r="T15" s="31">
        <v>0</v>
      </c>
      <c r="U15" s="12" t="str">
        <f>"0,0000"</f>
        <v>0,0000</v>
      </c>
      <c r="V15" s="11"/>
    </row>
    <row r="16" spans="1:22">
      <c r="B16" s="5" t="s">
        <v>81</v>
      </c>
    </row>
    <row r="17" spans="1:22" ht="16">
      <c r="A17" s="34" t="s">
        <v>117</v>
      </c>
      <c r="B17" s="34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</row>
    <row r="18" spans="1:22">
      <c r="A18" s="8" t="s">
        <v>80</v>
      </c>
      <c r="B18" s="7" t="s">
        <v>118</v>
      </c>
      <c r="C18" s="7" t="s">
        <v>119</v>
      </c>
      <c r="D18" s="7" t="s">
        <v>120</v>
      </c>
      <c r="E18" s="7" t="s">
        <v>741</v>
      </c>
      <c r="F18" s="7" t="s">
        <v>121</v>
      </c>
      <c r="G18" s="7" t="s">
        <v>50</v>
      </c>
      <c r="H18" s="18" t="s">
        <v>122</v>
      </c>
      <c r="I18" s="18" t="s">
        <v>123</v>
      </c>
      <c r="J18" s="19" t="s">
        <v>26</v>
      </c>
      <c r="K18" s="8"/>
      <c r="L18" s="18" t="s">
        <v>65</v>
      </c>
      <c r="M18" s="18" t="s">
        <v>66</v>
      </c>
      <c r="N18" s="19" t="s">
        <v>67</v>
      </c>
      <c r="O18" s="8"/>
      <c r="P18" s="18" t="s">
        <v>124</v>
      </c>
      <c r="Q18" s="19" t="s">
        <v>122</v>
      </c>
      <c r="R18" s="8"/>
      <c r="S18" s="8"/>
      <c r="T18" s="29" t="str">
        <f>"635,0"</f>
        <v>635,0</v>
      </c>
      <c r="U18" s="8" t="str">
        <f>"387,7310"</f>
        <v>387,7310</v>
      </c>
      <c r="V18" s="7"/>
    </row>
    <row r="19" spans="1:22">
      <c r="B19" s="5" t="s">
        <v>81</v>
      </c>
    </row>
    <row r="20" spans="1:22">
      <c r="A20"/>
      <c r="B20"/>
      <c r="C20"/>
      <c r="D20"/>
      <c r="E20"/>
      <c r="F20"/>
      <c r="G20"/>
      <c r="H20"/>
      <c r="I20"/>
      <c r="J20"/>
    </row>
    <row r="21" spans="1:22">
      <c r="A21"/>
      <c r="B21"/>
      <c r="C21"/>
      <c r="D21"/>
      <c r="E21"/>
      <c r="F21"/>
      <c r="G21"/>
      <c r="H21"/>
      <c r="I21"/>
      <c r="J21"/>
    </row>
    <row r="22" spans="1:22">
      <c r="A22"/>
      <c r="B22"/>
      <c r="C22"/>
      <c r="D22"/>
      <c r="E22"/>
      <c r="F22"/>
      <c r="G22"/>
      <c r="H22"/>
      <c r="I22"/>
      <c r="J22"/>
    </row>
    <row r="23" spans="1:22">
      <c r="A23"/>
      <c r="B23"/>
      <c r="C23"/>
      <c r="D23"/>
      <c r="E23"/>
      <c r="F23"/>
      <c r="G23"/>
      <c r="H23"/>
      <c r="I23"/>
      <c r="J23"/>
    </row>
    <row r="24" spans="1:22">
      <c r="A24"/>
      <c r="B24"/>
      <c r="C24"/>
      <c r="D24"/>
      <c r="E24"/>
      <c r="F24"/>
      <c r="G24"/>
      <c r="H24"/>
      <c r="I24"/>
      <c r="J24"/>
    </row>
    <row r="25" spans="1:22">
      <c r="A25"/>
      <c r="B25"/>
      <c r="C25"/>
      <c r="D25"/>
      <c r="E25"/>
      <c r="F25"/>
      <c r="G25"/>
      <c r="H25"/>
      <c r="I25"/>
      <c r="J25"/>
    </row>
    <row r="26" spans="1:22">
      <c r="A26"/>
      <c r="B26"/>
      <c r="C26"/>
      <c r="D26"/>
      <c r="E26"/>
      <c r="F26"/>
      <c r="G26"/>
      <c r="H26"/>
      <c r="I26"/>
      <c r="J26"/>
    </row>
    <row r="27" spans="1:22">
      <c r="A27"/>
      <c r="B27"/>
      <c r="C27"/>
      <c r="D27"/>
      <c r="E27"/>
      <c r="F27"/>
      <c r="G27"/>
      <c r="H27"/>
      <c r="I27"/>
      <c r="J27"/>
    </row>
    <row r="28" spans="1:22">
      <c r="A28"/>
      <c r="B28"/>
      <c r="C28"/>
      <c r="D28"/>
      <c r="E28"/>
      <c r="F28"/>
      <c r="G28"/>
      <c r="H28"/>
      <c r="I28"/>
      <c r="J28"/>
    </row>
    <row r="29" spans="1:22">
      <c r="A29"/>
      <c r="B29"/>
      <c r="C29"/>
      <c r="D29"/>
      <c r="E29"/>
      <c r="F29"/>
      <c r="G29"/>
      <c r="H29"/>
      <c r="I29"/>
      <c r="J29"/>
    </row>
    <row r="30" spans="1:22">
      <c r="A30"/>
      <c r="B30"/>
      <c r="C30"/>
      <c r="D30"/>
      <c r="E30"/>
      <c r="F30"/>
      <c r="G30"/>
      <c r="H30"/>
      <c r="I30"/>
      <c r="J30"/>
    </row>
    <row r="31" spans="1:22">
      <c r="A31"/>
      <c r="B31"/>
      <c r="C31"/>
      <c r="D31"/>
      <c r="E31"/>
      <c r="F31"/>
      <c r="G31"/>
      <c r="H31"/>
      <c r="I31"/>
      <c r="J31"/>
    </row>
    <row r="32" spans="1:22">
      <c r="A32"/>
      <c r="B32"/>
      <c r="C32"/>
      <c r="D32"/>
      <c r="E32"/>
      <c r="F32"/>
      <c r="G32"/>
      <c r="H32"/>
      <c r="I32"/>
      <c r="J32"/>
    </row>
    <row r="33" spans="1:10">
      <c r="A33"/>
      <c r="B33"/>
      <c r="C33"/>
      <c r="D33"/>
      <c r="E33"/>
      <c r="F33"/>
      <c r="G33"/>
      <c r="H33"/>
      <c r="I33"/>
      <c r="J33"/>
    </row>
    <row r="34" spans="1:10">
      <c r="A34"/>
      <c r="B34"/>
      <c r="C34"/>
      <c r="D34"/>
      <c r="E34"/>
      <c r="F34"/>
      <c r="G34"/>
      <c r="H34"/>
      <c r="I34"/>
      <c r="J34"/>
    </row>
    <row r="35" spans="1:10">
      <c r="A35"/>
      <c r="B35"/>
      <c r="C35"/>
      <c r="D35"/>
      <c r="E35"/>
      <c r="F35"/>
      <c r="G35"/>
      <c r="H35"/>
      <c r="I35"/>
      <c r="J35"/>
    </row>
    <row r="36" spans="1:10">
      <c r="A36"/>
      <c r="B36"/>
      <c r="C36"/>
      <c r="D36"/>
      <c r="E36"/>
      <c r="F36"/>
      <c r="G36"/>
      <c r="H36"/>
      <c r="I36"/>
      <c r="J36"/>
    </row>
    <row r="37" spans="1:10">
      <c r="A37"/>
      <c r="B37"/>
      <c r="C37"/>
      <c r="D37"/>
      <c r="E37"/>
      <c r="F37"/>
      <c r="G37"/>
      <c r="H37"/>
      <c r="I37"/>
      <c r="J37"/>
    </row>
    <row r="38" spans="1:10">
      <c r="A38"/>
      <c r="B38"/>
      <c r="C38"/>
      <c r="D38"/>
      <c r="E38"/>
      <c r="F38"/>
      <c r="G38"/>
      <c r="H38"/>
      <c r="I38"/>
      <c r="J38"/>
    </row>
    <row r="39" spans="1:10">
      <c r="A39"/>
      <c r="B39"/>
      <c r="C39"/>
      <c r="D39"/>
      <c r="E39"/>
      <c r="F39"/>
      <c r="G39"/>
      <c r="H39"/>
      <c r="I39"/>
      <c r="J39"/>
    </row>
    <row r="40" spans="1:10">
      <c r="A40"/>
      <c r="B40"/>
      <c r="C40"/>
      <c r="D40"/>
      <c r="E40"/>
      <c r="F40"/>
      <c r="G40"/>
      <c r="H40"/>
      <c r="I40"/>
      <c r="J40"/>
    </row>
    <row r="41" spans="1:10">
      <c r="A41"/>
      <c r="B41"/>
      <c r="C41"/>
      <c r="D41"/>
      <c r="E41"/>
      <c r="F41"/>
      <c r="G41"/>
      <c r="H41"/>
      <c r="I41"/>
      <c r="J41"/>
    </row>
    <row r="42" spans="1:10">
      <c r="A42"/>
      <c r="B42"/>
      <c r="C42"/>
      <c r="D42"/>
      <c r="E42"/>
      <c r="F42"/>
      <c r="G42"/>
      <c r="H42"/>
      <c r="I42"/>
      <c r="J42"/>
    </row>
    <row r="43" spans="1:10">
      <c r="A43"/>
      <c r="B43"/>
      <c r="C43"/>
      <c r="D43"/>
      <c r="E43"/>
      <c r="F43"/>
      <c r="G43"/>
      <c r="H43"/>
      <c r="I43"/>
      <c r="J43"/>
    </row>
    <row r="44" spans="1:10">
      <c r="A44"/>
      <c r="B44"/>
      <c r="C44"/>
      <c r="D44"/>
      <c r="E44"/>
      <c r="F44"/>
      <c r="G44"/>
      <c r="H44"/>
      <c r="I44"/>
      <c r="J44"/>
    </row>
    <row r="45" spans="1:10">
      <c r="A45"/>
      <c r="B45"/>
      <c r="C45"/>
      <c r="D45"/>
      <c r="E45"/>
      <c r="F45"/>
      <c r="G45"/>
      <c r="H45"/>
      <c r="I45"/>
      <c r="J45"/>
    </row>
    <row r="46" spans="1:10">
      <c r="A46"/>
      <c r="B46"/>
      <c r="C46"/>
      <c r="D46"/>
      <c r="E46"/>
      <c r="F46"/>
      <c r="G46"/>
      <c r="H46"/>
      <c r="I46"/>
      <c r="J46"/>
    </row>
    <row r="47" spans="1:10">
      <c r="A47"/>
      <c r="B47"/>
      <c r="C47"/>
      <c r="D47"/>
      <c r="E47"/>
      <c r="F47"/>
      <c r="G47"/>
      <c r="H47"/>
      <c r="I47"/>
      <c r="J47"/>
    </row>
    <row r="48" spans="1:10">
      <c r="A48"/>
      <c r="B48"/>
      <c r="C48"/>
      <c r="D48"/>
      <c r="E48"/>
      <c r="F48"/>
      <c r="G48"/>
      <c r="H48"/>
      <c r="I48"/>
      <c r="J48"/>
    </row>
    <row r="49" spans="1:10">
      <c r="A49"/>
      <c r="B49"/>
      <c r="C49"/>
      <c r="D49"/>
      <c r="E49"/>
      <c r="F49"/>
      <c r="G49"/>
      <c r="H49"/>
      <c r="I49"/>
      <c r="J49"/>
    </row>
    <row r="50" spans="1:10">
      <c r="A50"/>
      <c r="B50"/>
      <c r="C50"/>
      <c r="D50"/>
      <c r="E50"/>
      <c r="F50"/>
      <c r="G50"/>
      <c r="H50"/>
      <c r="I50"/>
      <c r="J50"/>
    </row>
    <row r="51" spans="1:10">
      <c r="A51"/>
      <c r="B51"/>
      <c r="C51"/>
      <c r="D51"/>
      <c r="E51"/>
      <c r="F51"/>
      <c r="G51"/>
      <c r="H51"/>
      <c r="I51"/>
      <c r="J51"/>
    </row>
    <row r="52" spans="1:10">
      <c r="A52"/>
      <c r="B52"/>
      <c r="C52"/>
      <c r="D52"/>
      <c r="E52"/>
      <c r="F52"/>
      <c r="G52"/>
      <c r="H52"/>
      <c r="I52"/>
      <c r="J52"/>
    </row>
    <row r="53" spans="1:10">
      <c r="A53"/>
      <c r="B53"/>
      <c r="C53"/>
      <c r="D53"/>
      <c r="E53"/>
      <c r="F53"/>
      <c r="G53"/>
      <c r="H53"/>
      <c r="I53"/>
      <c r="J53"/>
    </row>
    <row r="54" spans="1:10">
      <c r="A54"/>
      <c r="B54"/>
      <c r="C54"/>
      <c r="D54"/>
      <c r="E54"/>
      <c r="F54"/>
      <c r="G54"/>
      <c r="H54"/>
      <c r="I54"/>
      <c r="J54"/>
    </row>
    <row r="55" spans="1:10">
      <c r="A55"/>
      <c r="B55"/>
      <c r="C55"/>
      <c r="D55"/>
      <c r="E55"/>
      <c r="F55"/>
      <c r="G55"/>
      <c r="H55"/>
      <c r="I55"/>
      <c r="J55"/>
    </row>
    <row r="56" spans="1:10">
      <c r="A56"/>
      <c r="B56"/>
      <c r="C56"/>
      <c r="D56"/>
      <c r="E56"/>
      <c r="F56"/>
      <c r="G56"/>
      <c r="H56"/>
      <c r="I56"/>
      <c r="J56"/>
    </row>
    <row r="57" spans="1:10">
      <c r="A57"/>
      <c r="B57"/>
      <c r="C57"/>
      <c r="D57"/>
      <c r="E57"/>
      <c r="F57"/>
      <c r="G57"/>
      <c r="H57"/>
      <c r="I57"/>
      <c r="J57"/>
    </row>
    <row r="58" spans="1:10">
      <c r="A58"/>
      <c r="B58"/>
      <c r="C58"/>
      <c r="D58"/>
      <c r="E58"/>
      <c r="F58"/>
      <c r="G58"/>
      <c r="H58"/>
      <c r="I58"/>
      <c r="J58"/>
    </row>
    <row r="59" spans="1:10">
      <c r="A59"/>
      <c r="B59"/>
      <c r="C59"/>
      <c r="D59"/>
      <c r="E59"/>
      <c r="F59"/>
      <c r="G59"/>
      <c r="H59"/>
      <c r="I59"/>
      <c r="J59"/>
    </row>
    <row r="60" spans="1:10">
      <c r="A60"/>
      <c r="B60"/>
      <c r="C60"/>
      <c r="D60"/>
      <c r="E60"/>
      <c r="F60"/>
      <c r="G60"/>
      <c r="H60"/>
      <c r="I60"/>
      <c r="J60"/>
    </row>
  </sheetData>
  <mergeCells count="18">
    <mergeCell ref="U3:U4"/>
    <mergeCell ref="V3:V4"/>
    <mergeCell ref="A5:S5"/>
    <mergeCell ref="A1:V2"/>
    <mergeCell ref="A3:A4"/>
    <mergeCell ref="C3:C4"/>
    <mergeCell ref="D3:D4"/>
    <mergeCell ref="E3:E4"/>
    <mergeCell ref="F3:F4"/>
    <mergeCell ref="G3:G4"/>
    <mergeCell ref="H3:K3"/>
    <mergeCell ref="L3:O3"/>
    <mergeCell ref="P3:S3"/>
    <mergeCell ref="A10:S10"/>
    <mergeCell ref="A13:S13"/>
    <mergeCell ref="A17:S17"/>
    <mergeCell ref="B3:B4"/>
    <mergeCell ref="T3:T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V126"/>
  <sheetViews>
    <sheetView zoomScaleNormal="100" workbookViewId="0">
      <selection activeCell="E16" sqref="E16"/>
    </sheetView>
  </sheetViews>
  <sheetFormatPr baseColWidth="10" defaultColWidth="9.1640625" defaultRowHeight="13"/>
  <cols>
    <col min="1" max="1" width="7.5" style="5" bestFit="1" customWidth="1"/>
    <col min="2" max="2" width="21.6640625" style="5" bestFit="1" customWidth="1"/>
    <col min="3" max="3" width="26.33203125" style="5" bestFit="1" customWidth="1"/>
    <col min="4" max="4" width="16.5" style="5" customWidth="1"/>
    <col min="5" max="5" width="10.5" style="5" bestFit="1" customWidth="1"/>
    <col min="6" max="6" width="21.1640625" style="5" customWidth="1"/>
    <col min="7" max="7" width="24.6640625" style="5" bestFit="1" customWidth="1"/>
    <col min="8" max="10" width="5.5" style="6" customWidth="1"/>
    <col min="11" max="11" width="4.83203125" style="6" customWidth="1"/>
    <col min="12" max="14" width="5.5" style="6" customWidth="1"/>
    <col min="15" max="15" width="4.83203125" style="6" customWidth="1"/>
    <col min="16" max="18" width="5.5" style="6" customWidth="1"/>
    <col min="19" max="19" width="4.83203125" style="6" customWidth="1"/>
    <col min="20" max="20" width="7.83203125" style="6" bestFit="1" customWidth="1"/>
    <col min="21" max="21" width="8.5" style="6" bestFit="1" customWidth="1"/>
    <col min="22" max="22" width="15.5" style="5" bestFit="1" customWidth="1"/>
    <col min="23" max="16384" width="9.1640625" style="3"/>
  </cols>
  <sheetData>
    <row r="1" spans="1:22" s="2" customFormat="1" ht="29" customHeight="1">
      <c r="A1" s="46" t="s">
        <v>717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9"/>
    </row>
    <row r="2" spans="1:22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3"/>
    </row>
    <row r="3" spans="1:22" s="1" customFormat="1" ht="12.75" customHeight="1">
      <c r="A3" s="54" t="s">
        <v>736</v>
      </c>
      <c r="B3" s="44" t="s">
        <v>0</v>
      </c>
      <c r="C3" s="56" t="s">
        <v>738</v>
      </c>
      <c r="D3" s="56" t="s">
        <v>6</v>
      </c>
      <c r="E3" s="38" t="s">
        <v>739</v>
      </c>
      <c r="F3" s="38"/>
      <c r="G3" s="38" t="s">
        <v>5</v>
      </c>
      <c r="H3" s="38" t="s">
        <v>7</v>
      </c>
      <c r="I3" s="38"/>
      <c r="J3" s="38"/>
      <c r="K3" s="38"/>
      <c r="L3" s="38" t="s">
        <v>8</v>
      </c>
      <c r="M3" s="38"/>
      <c r="N3" s="38"/>
      <c r="O3" s="38"/>
      <c r="P3" s="38" t="s">
        <v>9</v>
      </c>
      <c r="Q3" s="38"/>
      <c r="R3" s="38"/>
      <c r="S3" s="38"/>
      <c r="T3" s="38" t="s">
        <v>1</v>
      </c>
      <c r="U3" s="38" t="s">
        <v>3</v>
      </c>
      <c r="V3" s="40" t="s">
        <v>2</v>
      </c>
    </row>
    <row r="4" spans="1:22" s="1" customFormat="1" ht="21" customHeight="1" thickBot="1">
      <c r="A4" s="55"/>
      <c r="B4" s="45"/>
      <c r="C4" s="39"/>
      <c r="D4" s="39"/>
      <c r="E4" s="39"/>
      <c r="F4" s="39"/>
      <c r="G4" s="39"/>
      <c r="H4" s="4">
        <v>1</v>
      </c>
      <c r="I4" s="4">
        <v>2</v>
      </c>
      <c r="J4" s="4">
        <v>3</v>
      </c>
      <c r="K4" s="4" t="s">
        <v>4</v>
      </c>
      <c r="L4" s="4">
        <v>1</v>
      </c>
      <c r="M4" s="4">
        <v>2</v>
      </c>
      <c r="N4" s="4">
        <v>3</v>
      </c>
      <c r="O4" s="4" t="s">
        <v>4</v>
      </c>
      <c r="P4" s="4">
        <v>1</v>
      </c>
      <c r="Q4" s="4">
        <v>2</v>
      </c>
      <c r="R4" s="4">
        <v>3</v>
      </c>
      <c r="S4" s="4" t="s">
        <v>4</v>
      </c>
      <c r="T4" s="39"/>
      <c r="U4" s="39"/>
      <c r="V4" s="41"/>
    </row>
    <row r="5" spans="1:22" ht="16">
      <c r="A5" s="42" t="s">
        <v>10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6" spans="1:22">
      <c r="A6" s="8" t="s">
        <v>80</v>
      </c>
      <c r="B6" s="7" t="s">
        <v>11</v>
      </c>
      <c r="C6" s="7" t="s">
        <v>12</v>
      </c>
      <c r="D6" s="7" t="s">
        <v>13</v>
      </c>
      <c r="E6" s="7" t="s">
        <v>741</v>
      </c>
      <c r="F6" s="7" t="s">
        <v>713</v>
      </c>
      <c r="G6" s="7" t="s">
        <v>14</v>
      </c>
      <c r="H6" s="18" t="s">
        <v>15</v>
      </c>
      <c r="I6" s="18" t="s">
        <v>16</v>
      </c>
      <c r="J6" s="18" t="s">
        <v>17</v>
      </c>
      <c r="K6" s="8"/>
      <c r="L6" s="18" t="s">
        <v>18</v>
      </c>
      <c r="M6" s="18" t="s">
        <v>19</v>
      </c>
      <c r="N6" s="18" t="s">
        <v>20</v>
      </c>
      <c r="O6" s="8"/>
      <c r="P6" s="18" t="s">
        <v>15</v>
      </c>
      <c r="Q6" s="18" t="s">
        <v>16</v>
      </c>
      <c r="R6" s="18" t="s">
        <v>17</v>
      </c>
      <c r="S6" s="8"/>
      <c r="T6" s="8" t="str">
        <f>"485,0"</f>
        <v>485,0</v>
      </c>
      <c r="U6" s="8" t="str">
        <f>"348,5210"</f>
        <v>348,5210</v>
      </c>
      <c r="V6" s="7"/>
    </row>
    <row r="7" spans="1:22">
      <c r="B7" s="5" t="s">
        <v>81</v>
      </c>
    </row>
    <row r="8" spans="1:22" ht="16">
      <c r="A8" s="34" t="s">
        <v>21</v>
      </c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</row>
    <row r="9" spans="1:22">
      <c r="A9" s="8" t="s">
        <v>80</v>
      </c>
      <c r="B9" s="7" t="s">
        <v>22</v>
      </c>
      <c r="C9" s="7" t="s">
        <v>23</v>
      </c>
      <c r="D9" s="7" t="s">
        <v>24</v>
      </c>
      <c r="E9" s="7" t="s">
        <v>741</v>
      </c>
      <c r="F9" s="7" t="s">
        <v>713</v>
      </c>
      <c r="G9" s="7" t="s">
        <v>25</v>
      </c>
      <c r="H9" s="19" t="s">
        <v>26</v>
      </c>
      <c r="I9" s="19" t="s">
        <v>26</v>
      </c>
      <c r="J9" s="18" t="s">
        <v>26</v>
      </c>
      <c r="K9" s="8"/>
      <c r="L9" s="18" t="s">
        <v>27</v>
      </c>
      <c r="M9" s="18" t="s">
        <v>28</v>
      </c>
      <c r="N9" s="18" t="s">
        <v>29</v>
      </c>
      <c r="O9" s="8"/>
      <c r="P9" s="18" t="s">
        <v>26</v>
      </c>
      <c r="Q9" s="18" t="s">
        <v>30</v>
      </c>
      <c r="R9" s="18" t="s">
        <v>31</v>
      </c>
      <c r="S9" s="8"/>
      <c r="T9" s="8" t="str">
        <f>"740,0"</f>
        <v>740,0</v>
      </c>
      <c r="U9" s="8" t="str">
        <f>"477,3740"</f>
        <v>477,3740</v>
      </c>
      <c r="V9" s="7"/>
    </row>
    <row r="10" spans="1:22">
      <c r="B10" s="5" t="s">
        <v>81</v>
      </c>
    </row>
    <row r="11" spans="1:22" ht="16">
      <c r="A11" s="34" t="s">
        <v>32</v>
      </c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1:22">
      <c r="A12" s="10" t="s">
        <v>80</v>
      </c>
      <c r="B12" s="9" t="s">
        <v>33</v>
      </c>
      <c r="C12" s="9" t="s">
        <v>34</v>
      </c>
      <c r="D12" s="9" t="s">
        <v>35</v>
      </c>
      <c r="E12" s="9" t="s">
        <v>741</v>
      </c>
      <c r="F12" s="9" t="s">
        <v>730</v>
      </c>
      <c r="G12" s="9" t="s">
        <v>36</v>
      </c>
      <c r="H12" s="20" t="s">
        <v>37</v>
      </c>
      <c r="I12" s="20" t="s">
        <v>38</v>
      </c>
      <c r="J12" s="21" t="s">
        <v>38</v>
      </c>
      <c r="K12" s="10"/>
      <c r="L12" s="21" t="s">
        <v>39</v>
      </c>
      <c r="M12" s="21" t="s">
        <v>40</v>
      </c>
      <c r="N12" s="20" t="s">
        <v>41</v>
      </c>
      <c r="O12" s="10"/>
      <c r="P12" s="21" t="s">
        <v>42</v>
      </c>
      <c r="Q12" s="21" t="s">
        <v>43</v>
      </c>
      <c r="R12" s="21" t="s">
        <v>44</v>
      </c>
      <c r="S12" s="10"/>
      <c r="T12" s="10" t="str">
        <f>"850,0"</f>
        <v>850,0</v>
      </c>
      <c r="U12" s="10" t="str">
        <f>"503,8800"</f>
        <v>503,8800</v>
      </c>
      <c r="V12" s="9" t="s">
        <v>45</v>
      </c>
    </row>
    <row r="13" spans="1:22">
      <c r="A13" s="12" t="s">
        <v>82</v>
      </c>
      <c r="B13" s="11" t="s">
        <v>46</v>
      </c>
      <c r="C13" s="11" t="s">
        <v>47</v>
      </c>
      <c r="D13" s="11" t="s">
        <v>48</v>
      </c>
      <c r="E13" s="11" t="s">
        <v>741</v>
      </c>
      <c r="F13" s="11" t="s">
        <v>49</v>
      </c>
      <c r="G13" s="11" t="s">
        <v>50</v>
      </c>
      <c r="H13" s="22" t="s">
        <v>39</v>
      </c>
      <c r="I13" s="22" t="s">
        <v>41</v>
      </c>
      <c r="J13" s="22" t="s">
        <v>51</v>
      </c>
      <c r="K13" s="12"/>
      <c r="L13" s="22" t="s">
        <v>52</v>
      </c>
      <c r="M13" s="22" t="s">
        <v>53</v>
      </c>
      <c r="N13" s="23" t="s">
        <v>54</v>
      </c>
      <c r="O13" s="12"/>
      <c r="P13" s="22" t="s">
        <v>28</v>
      </c>
      <c r="Q13" s="22" t="s">
        <v>41</v>
      </c>
      <c r="R13" s="23" t="s">
        <v>55</v>
      </c>
      <c r="S13" s="12"/>
      <c r="T13" s="12" t="str">
        <f>"572,5"</f>
        <v>572,5</v>
      </c>
      <c r="U13" s="12" t="str">
        <f>"341,3245"</f>
        <v>341,3245</v>
      </c>
      <c r="V13" s="11" t="s">
        <v>56</v>
      </c>
    </row>
    <row r="14" spans="1:22">
      <c r="B14" s="5" t="s">
        <v>81</v>
      </c>
    </row>
    <row r="15" spans="1:22" ht="16">
      <c r="A15" s="34" t="s">
        <v>57</v>
      </c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</row>
    <row r="16" spans="1:22">
      <c r="A16" s="8" t="s">
        <v>80</v>
      </c>
      <c r="B16" s="7" t="s">
        <v>58</v>
      </c>
      <c r="C16" s="7" t="s">
        <v>59</v>
      </c>
      <c r="D16" s="7" t="s">
        <v>60</v>
      </c>
      <c r="E16" s="7" t="s">
        <v>741</v>
      </c>
      <c r="F16" s="7" t="s">
        <v>712</v>
      </c>
      <c r="G16" s="7" t="s">
        <v>61</v>
      </c>
      <c r="H16" s="18" t="s">
        <v>62</v>
      </c>
      <c r="I16" s="19" t="s">
        <v>63</v>
      </c>
      <c r="J16" s="18" t="s">
        <v>64</v>
      </c>
      <c r="K16" s="8"/>
      <c r="L16" s="18" t="s">
        <v>65</v>
      </c>
      <c r="M16" s="18" t="s">
        <v>66</v>
      </c>
      <c r="N16" s="18" t="s">
        <v>67</v>
      </c>
      <c r="O16" s="8"/>
      <c r="P16" s="18" t="s">
        <v>68</v>
      </c>
      <c r="Q16" s="18" t="s">
        <v>63</v>
      </c>
      <c r="R16" s="19" t="s">
        <v>42</v>
      </c>
      <c r="S16" s="8"/>
      <c r="T16" s="8" t="str">
        <f>"752,5"</f>
        <v>752,5</v>
      </c>
      <c r="U16" s="8" t="str">
        <f>"430,2795"</f>
        <v>430,2795</v>
      </c>
      <c r="V16" s="7" t="s">
        <v>69</v>
      </c>
    </row>
    <row r="17" spans="1:17">
      <c r="B17" s="5" t="s">
        <v>81</v>
      </c>
    </row>
    <row r="18" spans="1:17">
      <c r="B18" s="5" t="s">
        <v>81</v>
      </c>
    </row>
    <row r="19" spans="1:1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0" spans="1:17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</row>
    <row r="41" spans="1:17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43" spans="1:17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</row>
    <row r="44" spans="1:17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17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</row>
    <row r="46" spans="1:17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</row>
    <row r="47" spans="1:17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</row>
    <row r="48" spans="1:17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49" spans="1:17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1:17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</row>
    <row r="51" spans="1:17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1:17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1:17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1:17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</row>
    <row r="55" spans="1:17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1:17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1:17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1:17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pans="1:17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1:17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1:17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  <row r="63" spans="1:17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</row>
    <row r="64" spans="1:17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pans="1:17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1:17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1:17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1:17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1:17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1:17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1:17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1:17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pans="1:17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pans="1:17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</row>
    <row r="75" spans="1:17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  <row r="76" spans="1:17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</row>
    <row r="77" spans="1:17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</row>
    <row r="78" spans="1:17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</row>
    <row r="79" spans="1:17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</row>
    <row r="80" spans="1:17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</row>
    <row r="81" spans="1:17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</row>
    <row r="82" spans="1:17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</row>
    <row r="83" spans="1:17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</row>
    <row r="84" spans="1:17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</row>
    <row r="85" spans="1:17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</row>
    <row r="86" spans="1:17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</row>
    <row r="87" spans="1:17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</row>
    <row r="88" spans="1:17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</row>
    <row r="89" spans="1:17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</row>
    <row r="90" spans="1:17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</row>
    <row r="91" spans="1:17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</row>
    <row r="92" spans="1:17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</row>
    <row r="93" spans="1:17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</row>
    <row r="94" spans="1:17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</row>
    <row r="95" spans="1:17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</row>
    <row r="96" spans="1:17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</row>
    <row r="97" spans="1:17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</row>
    <row r="98" spans="1:17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</row>
    <row r="99" spans="1:17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</row>
    <row r="100" spans="1:17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</row>
    <row r="101" spans="1:17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</row>
    <row r="102" spans="1:17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</row>
    <row r="103" spans="1:17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</row>
    <row r="104" spans="1:17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</row>
    <row r="105" spans="1:17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</row>
    <row r="106" spans="1:17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</row>
    <row r="107" spans="1:17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</row>
    <row r="108" spans="1:17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</row>
    <row r="109" spans="1:17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</row>
    <row r="110" spans="1:17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</row>
    <row r="111" spans="1:17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</row>
    <row r="112" spans="1:17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</row>
    <row r="113" spans="1:17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</row>
    <row r="114" spans="1:17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</row>
    <row r="115" spans="1:17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</row>
    <row r="116" spans="1:17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</row>
    <row r="117" spans="1:17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</row>
    <row r="118" spans="1:17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</row>
    <row r="119" spans="1:17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</row>
    <row r="120" spans="1:17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</row>
    <row r="121" spans="1:17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</row>
    <row r="122" spans="1:17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</row>
    <row r="123" spans="1:17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</row>
    <row r="124" spans="1:17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</row>
    <row r="125" spans="1:17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</row>
    <row r="126" spans="1:17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</row>
  </sheetData>
  <mergeCells count="18">
    <mergeCell ref="T3:T4"/>
    <mergeCell ref="U3:U4"/>
    <mergeCell ref="A1:V2"/>
    <mergeCell ref="H3:K3"/>
    <mergeCell ref="L3:O3"/>
    <mergeCell ref="P3:S3"/>
    <mergeCell ref="A3:A4"/>
    <mergeCell ref="C3:C4"/>
    <mergeCell ref="D3:D4"/>
    <mergeCell ref="V3:V4"/>
    <mergeCell ref="G3:G4"/>
    <mergeCell ref="F3:F4"/>
    <mergeCell ref="B3:B4"/>
    <mergeCell ref="A5:S5"/>
    <mergeCell ref="A8:S8"/>
    <mergeCell ref="A11:S11"/>
    <mergeCell ref="A15:S15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2351F-1ABC-4EC2-BE19-D081909EB106}">
  <dimension ref="A1:R33"/>
  <sheetViews>
    <sheetView zoomScaleNormal="100"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13.8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20.83203125" style="5" bestFit="1" customWidth="1"/>
    <col min="8" max="10" width="5.5" style="6" customWidth="1"/>
    <col min="11" max="11" width="4.83203125" style="6" customWidth="1"/>
    <col min="12" max="14" width="5.5" style="6" customWidth="1"/>
    <col min="15" max="15" width="4.83203125" style="6" customWidth="1"/>
    <col min="16" max="16" width="7.83203125" style="6" bestFit="1" customWidth="1"/>
    <col min="17" max="17" width="8.5" style="6" bestFit="1" customWidth="1"/>
    <col min="18" max="18" width="15.5" style="5" bestFit="1" customWidth="1"/>
    <col min="19" max="16384" width="9.1640625" style="3"/>
  </cols>
  <sheetData>
    <row r="1" spans="1:18" s="2" customFormat="1" ht="29" customHeight="1">
      <c r="A1" s="46" t="s">
        <v>718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9"/>
    </row>
    <row r="2" spans="1:18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3"/>
    </row>
    <row r="3" spans="1:18" s="1" customFormat="1" ht="12.75" customHeight="1">
      <c r="A3" s="54" t="s">
        <v>736</v>
      </c>
      <c r="B3" s="44" t="s">
        <v>0</v>
      </c>
      <c r="C3" s="56" t="s">
        <v>738</v>
      </c>
      <c r="D3" s="56" t="s">
        <v>6</v>
      </c>
      <c r="E3" s="38" t="s">
        <v>739</v>
      </c>
      <c r="F3" s="38"/>
      <c r="G3" s="38" t="s">
        <v>5</v>
      </c>
      <c r="H3" s="38" t="s">
        <v>8</v>
      </c>
      <c r="I3" s="38"/>
      <c r="J3" s="38"/>
      <c r="K3" s="38"/>
      <c r="L3" s="38" t="s">
        <v>9</v>
      </c>
      <c r="M3" s="38"/>
      <c r="N3" s="38"/>
      <c r="O3" s="38"/>
      <c r="P3" s="38" t="s">
        <v>1</v>
      </c>
      <c r="Q3" s="38" t="s">
        <v>3</v>
      </c>
      <c r="R3" s="40" t="s">
        <v>2</v>
      </c>
    </row>
    <row r="4" spans="1:18" s="1" customFormat="1" ht="21" customHeight="1" thickBot="1">
      <c r="A4" s="55"/>
      <c r="B4" s="45"/>
      <c r="C4" s="39"/>
      <c r="D4" s="39"/>
      <c r="E4" s="39"/>
      <c r="F4" s="39"/>
      <c r="G4" s="39"/>
      <c r="H4" s="4">
        <v>1</v>
      </c>
      <c r="I4" s="4">
        <v>2</v>
      </c>
      <c r="J4" s="4">
        <v>3</v>
      </c>
      <c r="K4" s="4" t="s">
        <v>4</v>
      </c>
      <c r="L4" s="4">
        <v>1</v>
      </c>
      <c r="M4" s="4">
        <v>2</v>
      </c>
      <c r="N4" s="4">
        <v>3</v>
      </c>
      <c r="O4" s="4" t="s">
        <v>4</v>
      </c>
      <c r="P4" s="39"/>
      <c r="Q4" s="39"/>
      <c r="R4" s="41"/>
    </row>
    <row r="5" spans="1:18" ht="16">
      <c r="A5" s="42" t="s">
        <v>10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8">
      <c r="A6" s="8" t="s">
        <v>80</v>
      </c>
      <c r="B6" s="7" t="s">
        <v>638</v>
      </c>
      <c r="C6" s="7" t="s">
        <v>639</v>
      </c>
      <c r="D6" s="7" t="s">
        <v>640</v>
      </c>
      <c r="E6" s="7" t="s">
        <v>744</v>
      </c>
      <c r="F6" s="7" t="s">
        <v>219</v>
      </c>
      <c r="G6" s="7" t="s">
        <v>50</v>
      </c>
      <c r="H6" s="18" t="s">
        <v>141</v>
      </c>
      <c r="I6" s="19" t="s">
        <v>161</v>
      </c>
      <c r="J6" s="18" t="s">
        <v>413</v>
      </c>
      <c r="K6" s="8"/>
      <c r="L6" s="18" t="s">
        <v>19</v>
      </c>
      <c r="M6" s="18" t="s">
        <v>99</v>
      </c>
      <c r="N6" s="18" t="s">
        <v>90</v>
      </c>
      <c r="O6" s="8"/>
      <c r="P6" s="8" t="str">
        <f>"207,5"</f>
        <v>207,5</v>
      </c>
      <c r="Q6" s="8" t="str">
        <f>"159,8545"</f>
        <v>159,8545</v>
      </c>
      <c r="R6" s="7" t="s">
        <v>641</v>
      </c>
    </row>
    <row r="7" spans="1:18">
      <c r="B7" s="5" t="s">
        <v>81</v>
      </c>
    </row>
    <row r="8" spans="1:18" ht="16">
      <c r="A8" s="34" t="s">
        <v>21</v>
      </c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spans="1:18">
      <c r="A9" s="8" t="s">
        <v>80</v>
      </c>
      <c r="B9" s="7" t="s">
        <v>476</v>
      </c>
      <c r="C9" s="7" t="s">
        <v>477</v>
      </c>
      <c r="D9" s="7" t="s">
        <v>478</v>
      </c>
      <c r="E9" s="7" t="s">
        <v>741</v>
      </c>
      <c r="F9" s="7" t="s">
        <v>713</v>
      </c>
      <c r="G9" s="7" t="s">
        <v>50</v>
      </c>
      <c r="H9" s="18" t="s">
        <v>15</v>
      </c>
      <c r="I9" s="18" t="s">
        <v>16</v>
      </c>
      <c r="J9" s="19" t="s">
        <v>108</v>
      </c>
      <c r="K9" s="8"/>
      <c r="L9" s="18" t="s">
        <v>479</v>
      </c>
      <c r="M9" s="19" t="s">
        <v>68</v>
      </c>
      <c r="N9" s="18" t="s">
        <v>68</v>
      </c>
      <c r="O9" s="8"/>
      <c r="P9" s="8" t="str">
        <f>"445,0"</f>
        <v>445,0</v>
      </c>
      <c r="Q9" s="8" t="str">
        <f>"284,3995"</f>
        <v>284,3995</v>
      </c>
      <c r="R9" s="7" t="s">
        <v>480</v>
      </c>
    </row>
    <row r="10" spans="1:18">
      <c r="B10" s="5" t="s">
        <v>81</v>
      </c>
    </row>
    <row r="11" spans="1:18" ht="16">
      <c r="A11" s="34" t="s">
        <v>117</v>
      </c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</row>
    <row r="12" spans="1:18">
      <c r="A12" s="8" t="s">
        <v>80</v>
      </c>
      <c r="B12" s="7" t="s">
        <v>642</v>
      </c>
      <c r="C12" s="7" t="s">
        <v>643</v>
      </c>
      <c r="D12" s="7" t="s">
        <v>345</v>
      </c>
      <c r="E12" s="7" t="s">
        <v>748</v>
      </c>
      <c r="F12" s="7" t="s">
        <v>301</v>
      </c>
      <c r="G12" s="7" t="s">
        <v>239</v>
      </c>
      <c r="H12" s="18" t="s">
        <v>20</v>
      </c>
      <c r="I12" s="18" t="s">
        <v>99</v>
      </c>
      <c r="J12" s="19" t="s">
        <v>189</v>
      </c>
      <c r="K12" s="8"/>
      <c r="L12" s="18" t="s">
        <v>228</v>
      </c>
      <c r="M12" s="18" t="s">
        <v>223</v>
      </c>
      <c r="N12" s="18" t="s">
        <v>41</v>
      </c>
      <c r="O12" s="8"/>
      <c r="P12" s="8" t="str">
        <f>"330,0"</f>
        <v>330,0</v>
      </c>
      <c r="Q12" s="8" t="str">
        <f>"303,0429"</f>
        <v>303,0429</v>
      </c>
      <c r="R12" s="7"/>
    </row>
    <row r="13" spans="1:18">
      <c r="B13" s="5" t="s">
        <v>81</v>
      </c>
    </row>
    <row r="14" spans="1:18">
      <c r="A14"/>
      <c r="B14"/>
      <c r="C14"/>
      <c r="D14"/>
      <c r="E14"/>
      <c r="F14"/>
      <c r="G14"/>
      <c r="H14"/>
      <c r="I14"/>
      <c r="J14"/>
      <c r="K14"/>
    </row>
    <row r="15" spans="1:18">
      <c r="A15"/>
      <c r="B15"/>
      <c r="C15"/>
      <c r="D15"/>
      <c r="E15"/>
      <c r="F15"/>
      <c r="G15"/>
      <c r="H15"/>
      <c r="I15"/>
      <c r="J15"/>
      <c r="K15"/>
    </row>
    <row r="16" spans="1:18">
      <c r="A16"/>
      <c r="B16"/>
      <c r="C16"/>
      <c r="D16"/>
      <c r="E16"/>
      <c r="F16"/>
      <c r="G16"/>
      <c r="H16"/>
      <c r="I16"/>
      <c r="J16"/>
      <c r="K16"/>
    </row>
    <row r="17" spans="1:11">
      <c r="A17"/>
      <c r="B17"/>
      <c r="C17"/>
      <c r="D17"/>
      <c r="E17"/>
      <c r="F17"/>
      <c r="G17"/>
      <c r="H17"/>
      <c r="I17"/>
      <c r="J17"/>
      <c r="K17"/>
    </row>
    <row r="18" spans="1:11">
      <c r="A18"/>
      <c r="B18"/>
      <c r="C18"/>
      <c r="D18"/>
      <c r="E18"/>
      <c r="F18"/>
      <c r="G18"/>
      <c r="H18"/>
      <c r="I18"/>
      <c r="J18"/>
      <c r="K18"/>
    </row>
    <row r="19" spans="1:11">
      <c r="A19"/>
      <c r="B19"/>
      <c r="C19"/>
      <c r="D19"/>
      <c r="E19"/>
      <c r="F19"/>
      <c r="G19"/>
      <c r="H19"/>
      <c r="I19"/>
      <c r="J19"/>
      <c r="K19"/>
    </row>
    <row r="20" spans="1:11">
      <c r="A20"/>
      <c r="B20"/>
      <c r="C20"/>
      <c r="D20"/>
      <c r="E20"/>
      <c r="F20"/>
      <c r="G20"/>
      <c r="H20"/>
      <c r="I20"/>
      <c r="J20"/>
      <c r="K20"/>
    </row>
    <row r="21" spans="1:11">
      <c r="A21"/>
      <c r="B21"/>
      <c r="C21"/>
      <c r="D21"/>
      <c r="E21"/>
      <c r="F21"/>
      <c r="G21"/>
      <c r="H21"/>
      <c r="I21"/>
      <c r="J21"/>
      <c r="K21"/>
    </row>
    <row r="22" spans="1:11">
      <c r="A22"/>
      <c r="B22"/>
      <c r="C22"/>
      <c r="D22"/>
      <c r="E22"/>
      <c r="F22"/>
      <c r="G22"/>
      <c r="H22"/>
      <c r="I22"/>
      <c r="J22"/>
      <c r="K22"/>
    </row>
    <row r="23" spans="1:11">
      <c r="A23"/>
      <c r="B23"/>
      <c r="C23"/>
      <c r="D23"/>
      <c r="E23"/>
      <c r="F23"/>
      <c r="G23"/>
      <c r="H23"/>
      <c r="I23"/>
      <c r="J23"/>
      <c r="K23"/>
    </row>
    <row r="24" spans="1:11">
      <c r="A24"/>
      <c r="B24"/>
      <c r="C24"/>
      <c r="D24"/>
      <c r="E24"/>
      <c r="F24"/>
      <c r="G24"/>
      <c r="H24"/>
      <c r="I24"/>
      <c r="J24"/>
      <c r="K24"/>
    </row>
    <row r="25" spans="1:11">
      <c r="A25"/>
      <c r="B25"/>
      <c r="C25"/>
      <c r="D25"/>
      <c r="E25"/>
      <c r="F25"/>
      <c r="G25"/>
      <c r="H25"/>
      <c r="I25"/>
      <c r="J25"/>
      <c r="K25"/>
    </row>
    <row r="26" spans="1:11">
      <c r="A26"/>
      <c r="B26"/>
      <c r="C26"/>
      <c r="D26"/>
      <c r="E26"/>
      <c r="F26"/>
      <c r="G26"/>
      <c r="H26"/>
      <c r="I26"/>
      <c r="J26"/>
      <c r="K26"/>
    </row>
    <row r="27" spans="1:11">
      <c r="A27"/>
      <c r="B27"/>
      <c r="C27"/>
      <c r="D27"/>
      <c r="E27"/>
      <c r="F27"/>
      <c r="G27"/>
      <c r="H27"/>
      <c r="I27"/>
      <c r="J27"/>
      <c r="K27"/>
    </row>
    <row r="28" spans="1:11">
      <c r="A28"/>
      <c r="B28"/>
      <c r="C28"/>
      <c r="D28"/>
      <c r="E28"/>
      <c r="F28"/>
      <c r="G28"/>
      <c r="H28"/>
      <c r="I28"/>
      <c r="J28"/>
      <c r="K28"/>
    </row>
    <row r="29" spans="1:11">
      <c r="A29"/>
      <c r="B29"/>
      <c r="C29"/>
      <c r="D29"/>
      <c r="E29"/>
      <c r="F29"/>
      <c r="G29"/>
      <c r="H29"/>
      <c r="I29"/>
      <c r="J29"/>
      <c r="K29"/>
    </row>
    <row r="30" spans="1:11">
      <c r="A30"/>
      <c r="B30"/>
      <c r="C30"/>
      <c r="D30"/>
      <c r="E30"/>
      <c r="F30"/>
      <c r="G30"/>
      <c r="H30"/>
      <c r="I30"/>
      <c r="J30"/>
      <c r="K30"/>
    </row>
    <row r="31" spans="1:11">
      <c r="A31"/>
      <c r="B31"/>
      <c r="C31"/>
      <c r="D31"/>
      <c r="E31"/>
      <c r="F31"/>
      <c r="G31"/>
      <c r="H31"/>
      <c r="I31"/>
      <c r="J31"/>
      <c r="K31"/>
    </row>
    <row r="32" spans="1:11">
      <c r="A32"/>
      <c r="B32"/>
      <c r="C32"/>
      <c r="D32"/>
      <c r="E32"/>
      <c r="F32"/>
      <c r="G32"/>
      <c r="H32"/>
      <c r="I32"/>
      <c r="J32"/>
      <c r="K32"/>
    </row>
    <row r="33" spans="1:11">
      <c r="A33"/>
      <c r="B33"/>
      <c r="C33"/>
      <c r="D33"/>
      <c r="E33"/>
      <c r="F33"/>
      <c r="G33"/>
      <c r="H33"/>
      <c r="I33"/>
      <c r="J33"/>
      <c r="K33"/>
    </row>
  </sheetData>
  <mergeCells count="16">
    <mergeCell ref="R3:R4"/>
    <mergeCell ref="A5:O5"/>
    <mergeCell ref="A1:R2"/>
    <mergeCell ref="A3:A4"/>
    <mergeCell ref="C3:C4"/>
    <mergeCell ref="D3:D4"/>
    <mergeCell ref="E3:E4"/>
    <mergeCell ref="F3:F4"/>
    <mergeCell ref="G3:G4"/>
    <mergeCell ref="H3:K3"/>
    <mergeCell ref="L3:O3"/>
    <mergeCell ref="A8:O8"/>
    <mergeCell ref="A11:O11"/>
    <mergeCell ref="B3:B4"/>
    <mergeCell ref="P3:P4"/>
    <mergeCell ref="Q3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F32D5-9142-40E3-B307-A34E024CFD87}">
  <dimension ref="A1:N96"/>
  <sheetViews>
    <sheetView topLeftCell="A38" zoomScaleNormal="100" workbookViewId="0">
      <selection activeCell="E78" sqref="E78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0.33203125" style="5" customWidth="1"/>
    <col min="7" max="7" width="28.6640625" style="5" bestFit="1" customWidth="1"/>
    <col min="8" max="10" width="5.5" style="6" customWidth="1"/>
    <col min="11" max="11" width="4.83203125" style="6" customWidth="1"/>
    <col min="12" max="12" width="10.5" style="28" bestFit="1" customWidth="1"/>
    <col min="13" max="13" width="8.5" style="6" bestFit="1" customWidth="1"/>
    <col min="14" max="14" width="22.5" style="5" customWidth="1"/>
    <col min="15" max="16384" width="9.1640625" style="3"/>
  </cols>
  <sheetData>
    <row r="1" spans="1:14" s="2" customFormat="1" ht="29" customHeight="1">
      <c r="A1" s="46" t="s">
        <v>719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</row>
    <row r="2" spans="1:14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4" s="1" customFormat="1" ht="12.75" customHeight="1">
      <c r="A3" s="54" t="s">
        <v>736</v>
      </c>
      <c r="B3" s="44" t="s">
        <v>0</v>
      </c>
      <c r="C3" s="56" t="s">
        <v>738</v>
      </c>
      <c r="D3" s="56" t="s">
        <v>6</v>
      </c>
      <c r="E3" s="38" t="s">
        <v>739</v>
      </c>
      <c r="F3" s="38"/>
      <c r="G3" s="38" t="s">
        <v>5</v>
      </c>
      <c r="H3" s="38" t="s">
        <v>8</v>
      </c>
      <c r="I3" s="38"/>
      <c r="J3" s="38"/>
      <c r="K3" s="38"/>
      <c r="L3" s="36" t="s">
        <v>242</v>
      </c>
      <c r="M3" s="38" t="s">
        <v>3</v>
      </c>
      <c r="N3" s="40" t="s">
        <v>2</v>
      </c>
    </row>
    <row r="4" spans="1:14" s="1" customFormat="1" ht="21" customHeight="1" thickBot="1">
      <c r="A4" s="55"/>
      <c r="B4" s="45"/>
      <c r="C4" s="39"/>
      <c r="D4" s="39"/>
      <c r="E4" s="39"/>
      <c r="F4" s="39"/>
      <c r="G4" s="39"/>
      <c r="H4" s="4">
        <v>1</v>
      </c>
      <c r="I4" s="4">
        <v>2</v>
      </c>
      <c r="J4" s="4">
        <v>3</v>
      </c>
      <c r="K4" s="4" t="s">
        <v>4</v>
      </c>
      <c r="L4" s="37"/>
      <c r="M4" s="39"/>
      <c r="N4" s="41"/>
    </row>
    <row r="5" spans="1:14" ht="16">
      <c r="A5" s="42" t="s">
        <v>153</v>
      </c>
      <c r="B5" s="42"/>
      <c r="C5" s="43"/>
      <c r="D5" s="43"/>
      <c r="E5" s="43"/>
      <c r="F5" s="43"/>
      <c r="G5" s="43"/>
      <c r="H5" s="43"/>
      <c r="I5" s="43"/>
      <c r="J5" s="43"/>
      <c r="K5" s="43"/>
    </row>
    <row r="6" spans="1:14">
      <c r="A6" s="8" t="s">
        <v>80</v>
      </c>
      <c r="B6" s="7" t="s">
        <v>393</v>
      </c>
      <c r="C6" s="7" t="s">
        <v>394</v>
      </c>
      <c r="D6" s="7" t="s">
        <v>395</v>
      </c>
      <c r="E6" s="7" t="s">
        <v>746</v>
      </c>
      <c r="F6" s="7" t="s">
        <v>49</v>
      </c>
      <c r="G6" s="7" t="s">
        <v>50</v>
      </c>
      <c r="H6" s="18" t="s">
        <v>136</v>
      </c>
      <c r="I6" s="19" t="s">
        <v>92</v>
      </c>
      <c r="J6" s="19" t="s">
        <v>92</v>
      </c>
      <c r="K6" s="8"/>
      <c r="L6" s="29" t="str">
        <f>"45,0"</f>
        <v>45,0</v>
      </c>
      <c r="M6" s="8" t="str">
        <f>"64,5210"</f>
        <v>64,5210</v>
      </c>
      <c r="N6" s="7" t="s">
        <v>396</v>
      </c>
    </row>
    <row r="7" spans="1:14">
      <c r="B7" s="5" t="s">
        <v>81</v>
      </c>
    </row>
    <row r="8" spans="1:14" ht="16">
      <c r="A8" s="34" t="s">
        <v>164</v>
      </c>
      <c r="B8" s="34"/>
      <c r="C8" s="35"/>
      <c r="D8" s="35"/>
      <c r="E8" s="35"/>
      <c r="F8" s="35"/>
      <c r="G8" s="35"/>
      <c r="H8" s="35"/>
      <c r="I8" s="35"/>
      <c r="J8" s="35"/>
      <c r="K8" s="35"/>
    </row>
    <row r="9" spans="1:14">
      <c r="A9" s="8" t="s">
        <v>80</v>
      </c>
      <c r="B9" s="7" t="s">
        <v>165</v>
      </c>
      <c r="C9" s="7" t="s">
        <v>166</v>
      </c>
      <c r="D9" s="7" t="s">
        <v>167</v>
      </c>
      <c r="E9" s="7" t="s">
        <v>741</v>
      </c>
      <c r="F9" s="7" t="s">
        <v>168</v>
      </c>
      <c r="G9" s="7" t="s">
        <v>169</v>
      </c>
      <c r="H9" s="18" t="s">
        <v>172</v>
      </c>
      <c r="I9" s="18" t="s">
        <v>100</v>
      </c>
      <c r="J9" s="19" t="s">
        <v>157</v>
      </c>
      <c r="K9" s="8"/>
      <c r="L9" s="29" t="str">
        <f>"60,0"</f>
        <v>60,0</v>
      </c>
      <c r="M9" s="8" t="str">
        <f>"89,6160"</f>
        <v>89,6160</v>
      </c>
      <c r="N9" s="7" t="s">
        <v>175</v>
      </c>
    </row>
    <row r="10" spans="1:14">
      <c r="B10" s="5" t="s">
        <v>81</v>
      </c>
    </row>
    <row r="11" spans="1:14" ht="16">
      <c r="A11" s="34" t="s">
        <v>268</v>
      </c>
      <c r="B11" s="34"/>
      <c r="C11" s="35"/>
      <c r="D11" s="35"/>
      <c r="E11" s="35"/>
      <c r="F11" s="35"/>
      <c r="G11" s="35"/>
      <c r="H11" s="35"/>
      <c r="I11" s="35"/>
      <c r="J11" s="35"/>
      <c r="K11" s="35"/>
    </row>
    <row r="12" spans="1:14">
      <c r="A12" s="10" t="s">
        <v>80</v>
      </c>
      <c r="B12" s="9" t="s">
        <v>397</v>
      </c>
      <c r="C12" s="9" t="s">
        <v>398</v>
      </c>
      <c r="D12" s="9" t="s">
        <v>399</v>
      </c>
      <c r="E12" s="9" t="s">
        <v>741</v>
      </c>
      <c r="F12" s="9" t="s">
        <v>713</v>
      </c>
      <c r="G12" s="9" t="s">
        <v>50</v>
      </c>
      <c r="H12" s="21" t="s">
        <v>92</v>
      </c>
      <c r="I12" s="20" t="s">
        <v>187</v>
      </c>
      <c r="J12" s="20" t="s">
        <v>187</v>
      </c>
      <c r="K12" s="10"/>
      <c r="L12" s="30" t="str">
        <f>"47,5"</f>
        <v>47,5</v>
      </c>
      <c r="M12" s="10" t="str">
        <f>"59,3940"</f>
        <v>59,3940</v>
      </c>
      <c r="N12" s="9" t="s">
        <v>400</v>
      </c>
    </row>
    <row r="13" spans="1:14">
      <c r="A13" s="12" t="s">
        <v>82</v>
      </c>
      <c r="B13" s="11" t="s">
        <v>401</v>
      </c>
      <c r="C13" s="11" t="s">
        <v>402</v>
      </c>
      <c r="D13" s="11" t="s">
        <v>403</v>
      </c>
      <c r="E13" s="11" t="s">
        <v>741</v>
      </c>
      <c r="F13" s="11" t="s">
        <v>49</v>
      </c>
      <c r="G13" s="11" t="s">
        <v>50</v>
      </c>
      <c r="H13" s="22" t="s">
        <v>136</v>
      </c>
      <c r="I13" s="23" t="s">
        <v>180</v>
      </c>
      <c r="J13" s="23" t="s">
        <v>180</v>
      </c>
      <c r="K13" s="12"/>
      <c r="L13" s="31" t="str">
        <f>"45,0"</f>
        <v>45,0</v>
      </c>
      <c r="M13" s="12" t="str">
        <f>"57,1995"</f>
        <v>57,1995</v>
      </c>
      <c r="N13" s="11" t="s">
        <v>255</v>
      </c>
    </row>
    <row r="14" spans="1:14">
      <c r="B14" s="5" t="s">
        <v>81</v>
      </c>
    </row>
    <row r="15" spans="1:14" ht="16">
      <c r="A15" s="34" t="s">
        <v>248</v>
      </c>
      <c r="B15" s="34"/>
      <c r="C15" s="35"/>
      <c r="D15" s="35"/>
      <c r="E15" s="35"/>
      <c r="F15" s="35"/>
      <c r="G15" s="35"/>
      <c r="H15" s="35"/>
      <c r="I15" s="35"/>
      <c r="J15" s="35"/>
      <c r="K15" s="35"/>
    </row>
    <row r="16" spans="1:14">
      <c r="A16" s="10" t="s">
        <v>80</v>
      </c>
      <c r="B16" s="9" t="s">
        <v>404</v>
      </c>
      <c r="C16" s="9" t="s">
        <v>405</v>
      </c>
      <c r="D16" s="9" t="s">
        <v>406</v>
      </c>
      <c r="E16" s="9" t="s">
        <v>741</v>
      </c>
      <c r="F16" s="9" t="s">
        <v>49</v>
      </c>
      <c r="G16" s="9" t="s">
        <v>50</v>
      </c>
      <c r="H16" s="20" t="s">
        <v>187</v>
      </c>
      <c r="I16" s="21" t="s">
        <v>188</v>
      </c>
      <c r="J16" s="20" t="s">
        <v>100</v>
      </c>
      <c r="K16" s="10"/>
      <c r="L16" s="30" t="str">
        <f>"55,0"</f>
        <v>55,0</v>
      </c>
      <c r="M16" s="10" t="str">
        <f>"65,1695"</f>
        <v>65,1695</v>
      </c>
      <c r="N16" s="9" t="s">
        <v>282</v>
      </c>
    </row>
    <row r="17" spans="1:14">
      <c r="A17" s="12" t="s">
        <v>82</v>
      </c>
      <c r="B17" s="11" t="s">
        <v>407</v>
      </c>
      <c r="C17" s="11" t="s">
        <v>408</v>
      </c>
      <c r="D17" s="11" t="s">
        <v>409</v>
      </c>
      <c r="E17" s="11" t="s">
        <v>741</v>
      </c>
      <c r="F17" s="11" t="s">
        <v>713</v>
      </c>
      <c r="G17" s="11" t="s">
        <v>14</v>
      </c>
      <c r="H17" s="23" t="s">
        <v>180</v>
      </c>
      <c r="I17" s="23" t="s">
        <v>180</v>
      </c>
      <c r="J17" s="22" t="s">
        <v>180</v>
      </c>
      <c r="K17" s="12"/>
      <c r="L17" s="31" t="str">
        <f>"50,0"</f>
        <v>50,0</v>
      </c>
      <c r="M17" s="12" t="str">
        <f>"60,0950"</f>
        <v>60,0950</v>
      </c>
      <c r="N17" s="11" t="s">
        <v>410</v>
      </c>
    </row>
    <row r="18" spans="1:14">
      <c r="B18" s="5" t="s">
        <v>81</v>
      </c>
    </row>
    <row r="19" spans="1:14" ht="16">
      <c r="A19" s="34" t="s">
        <v>182</v>
      </c>
      <c r="B19" s="34"/>
      <c r="C19" s="35"/>
      <c r="D19" s="35"/>
      <c r="E19" s="35"/>
      <c r="F19" s="35"/>
      <c r="G19" s="35"/>
      <c r="H19" s="35"/>
      <c r="I19" s="35"/>
      <c r="J19" s="35"/>
      <c r="K19" s="35"/>
    </row>
    <row r="20" spans="1:14">
      <c r="A20" s="8" t="s">
        <v>80</v>
      </c>
      <c r="B20" s="7" t="s">
        <v>411</v>
      </c>
      <c r="C20" s="7" t="s">
        <v>381</v>
      </c>
      <c r="D20" s="7" t="s">
        <v>412</v>
      </c>
      <c r="E20" s="7" t="s">
        <v>741</v>
      </c>
      <c r="F20" s="7" t="s">
        <v>350</v>
      </c>
      <c r="G20" s="7" t="s">
        <v>61</v>
      </c>
      <c r="H20" s="18" t="s">
        <v>142</v>
      </c>
      <c r="I20" s="18" t="s">
        <v>413</v>
      </c>
      <c r="J20" s="19" t="s">
        <v>171</v>
      </c>
      <c r="K20" s="8"/>
      <c r="L20" s="29" t="str">
        <f>"82,5"</f>
        <v>82,5</v>
      </c>
      <c r="M20" s="8" t="str">
        <f>"95,0813"</f>
        <v>95,0813</v>
      </c>
      <c r="N20" s="7" t="s">
        <v>327</v>
      </c>
    </row>
    <row r="21" spans="1:14">
      <c r="B21" s="5" t="s">
        <v>81</v>
      </c>
    </row>
    <row r="22" spans="1:14" ht="16">
      <c r="A22" s="34" t="s">
        <v>84</v>
      </c>
      <c r="B22" s="34"/>
      <c r="C22" s="35"/>
      <c r="D22" s="35"/>
      <c r="E22" s="35"/>
      <c r="F22" s="35"/>
      <c r="G22" s="35"/>
      <c r="H22" s="35"/>
      <c r="I22" s="35"/>
      <c r="J22" s="35"/>
      <c r="K22" s="35"/>
    </row>
    <row r="23" spans="1:14">
      <c r="A23" s="8" t="s">
        <v>80</v>
      </c>
      <c r="B23" s="7" t="s">
        <v>414</v>
      </c>
      <c r="C23" s="7" t="s">
        <v>415</v>
      </c>
      <c r="D23" s="7" t="s">
        <v>416</v>
      </c>
      <c r="E23" s="7" t="s">
        <v>741</v>
      </c>
      <c r="F23" s="7" t="s">
        <v>712</v>
      </c>
      <c r="G23" s="7" t="s">
        <v>61</v>
      </c>
      <c r="H23" s="18" t="s">
        <v>172</v>
      </c>
      <c r="I23" s="18" t="s">
        <v>100</v>
      </c>
      <c r="J23" s="19" t="s">
        <v>157</v>
      </c>
      <c r="K23" s="8"/>
      <c r="L23" s="29" t="str">
        <f>"60,0"</f>
        <v>60,0</v>
      </c>
      <c r="M23" s="8" t="str">
        <f>"62,8020"</f>
        <v>62,8020</v>
      </c>
      <c r="N23" s="7" t="s">
        <v>69</v>
      </c>
    </row>
    <row r="24" spans="1:14">
      <c r="B24" s="5" t="s">
        <v>81</v>
      </c>
    </row>
    <row r="25" spans="1:14" ht="16">
      <c r="A25" s="34" t="s">
        <v>10</v>
      </c>
      <c r="B25" s="34"/>
      <c r="C25" s="35"/>
      <c r="D25" s="35"/>
      <c r="E25" s="35"/>
      <c r="F25" s="35"/>
      <c r="G25" s="35"/>
      <c r="H25" s="35"/>
      <c r="I25" s="35"/>
      <c r="J25" s="35"/>
      <c r="K25" s="35"/>
    </row>
    <row r="26" spans="1:14">
      <c r="A26" s="8" t="s">
        <v>80</v>
      </c>
      <c r="B26" s="7" t="s">
        <v>417</v>
      </c>
      <c r="C26" s="7" t="s">
        <v>418</v>
      </c>
      <c r="D26" s="7" t="s">
        <v>213</v>
      </c>
      <c r="E26" s="7" t="s">
        <v>741</v>
      </c>
      <c r="F26" s="7" t="s">
        <v>350</v>
      </c>
      <c r="G26" s="7" t="s">
        <v>419</v>
      </c>
      <c r="H26" s="18" t="s">
        <v>93</v>
      </c>
      <c r="I26" s="18" t="s">
        <v>18</v>
      </c>
      <c r="J26" s="18" t="s">
        <v>19</v>
      </c>
      <c r="K26" s="8"/>
      <c r="L26" s="29" t="str">
        <f>"110,0"</f>
        <v>110,0</v>
      </c>
      <c r="M26" s="8" t="str">
        <f>"106,8760"</f>
        <v>106,8760</v>
      </c>
      <c r="N26" s="7" t="s">
        <v>69</v>
      </c>
    </row>
    <row r="27" spans="1:14">
      <c r="B27" s="5" t="s">
        <v>81</v>
      </c>
    </row>
    <row r="28" spans="1:14" ht="16">
      <c r="A28" s="34" t="s">
        <v>182</v>
      </c>
      <c r="B28" s="34"/>
      <c r="C28" s="35"/>
      <c r="D28" s="35"/>
      <c r="E28" s="35"/>
      <c r="F28" s="35"/>
      <c r="G28" s="35"/>
      <c r="H28" s="35"/>
      <c r="I28" s="35"/>
      <c r="J28" s="35"/>
      <c r="K28" s="35"/>
    </row>
    <row r="29" spans="1:14">
      <c r="A29" s="8" t="s">
        <v>80</v>
      </c>
      <c r="B29" s="7" t="s">
        <v>420</v>
      </c>
      <c r="C29" s="7" t="s">
        <v>421</v>
      </c>
      <c r="D29" s="7" t="s">
        <v>422</v>
      </c>
      <c r="E29" s="7" t="s">
        <v>741</v>
      </c>
      <c r="F29" s="7" t="s">
        <v>88</v>
      </c>
      <c r="G29" s="7" t="s">
        <v>89</v>
      </c>
      <c r="H29" s="19" t="s">
        <v>18</v>
      </c>
      <c r="I29" s="18" t="s">
        <v>18</v>
      </c>
      <c r="J29" s="18" t="s">
        <v>173</v>
      </c>
      <c r="K29" s="8"/>
      <c r="L29" s="29" t="str">
        <f>"112,5"</f>
        <v>112,5</v>
      </c>
      <c r="M29" s="8" t="str">
        <f>"95,9513"</f>
        <v>95,9513</v>
      </c>
      <c r="N29" s="7" t="s">
        <v>94</v>
      </c>
    </row>
    <row r="30" spans="1:14">
      <c r="B30" s="5" t="s">
        <v>81</v>
      </c>
    </row>
    <row r="31" spans="1:14" ht="16">
      <c r="A31" s="34" t="s">
        <v>84</v>
      </c>
      <c r="B31" s="34"/>
      <c r="C31" s="35"/>
      <c r="D31" s="35"/>
      <c r="E31" s="35"/>
      <c r="F31" s="35"/>
      <c r="G31" s="35"/>
      <c r="H31" s="35"/>
      <c r="I31" s="35"/>
      <c r="J31" s="35"/>
      <c r="K31" s="35"/>
    </row>
    <row r="32" spans="1:14">
      <c r="A32" s="10" t="s">
        <v>80</v>
      </c>
      <c r="B32" s="9" t="s">
        <v>423</v>
      </c>
      <c r="C32" s="9" t="s">
        <v>424</v>
      </c>
      <c r="D32" s="9" t="s">
        <v>425</v>
      </c>
      <c r="E32" s="9" t="s">
        <v>741</v>
      </c>
      <c r="F32" s="9" t="s">
        <v>713</v>
      </c>
      <c r="G32" s="9" t="s">
        <v>50</v>
      </c>
      <c r="H32" s="21" t="s">
        <v>54</v>
      </c>
      <c r="I32" s="21" t="s">
        <v>426</v>
      </c>
      <c r="J32" s="20" t="s">
        <v>201</v>
      </c>
      <c r="K32" s="10"/>
      <c r="L32" s="30" t="str">
        <f>"147,5"</f>
        <v>147,5</v>
      </c>
      <c r="M32" s="10" t="str">
        <f>"114,9615"</f>
        <v>114,9615</v>
      </c>
      <c r="N32" s="9" t="s">
        <v>255</v>
      </c>
    </row>
    <row r="33" spans="1:14">
      <c r="A33" s="12" t="s">
        <v>80</v>
      </c>
      <c r="B33" s="11" t="s">
        <v>427</v>
      </c>
      <c r="C33" s="11" t="s">
        <v>428</v>
      </c>
      <c r="D33" s="11" t="s">
        <v>429</v>
      </c>
      <c r="E33" s="11" t="s">
        <v>744</v>
      </c>
      <c r="F33" s="11" t="s">
        <v>49</v>
      </c>
      <c r="G33" s="11" t="s">
        <v>50</v>
      </c>
      <c r="H33" s="22" t="s">
        <v>430</v>
      </c>
      <c r="I33" s="22" t="s">
        <v>20</v>
      </c>
      <c r="J33" s="22" t="s">
        <v>99</v>
      </c>
      <c r="K33" s="12"/>
      <c r="L33" s="31" t="str">
        <f>"120,0"</f>
        <v>120,0</v>
      </c>
      <c r="M33" s="12" t="str">
        <f>"94,4539"</f>
        <v>94,4539</v>
      </c>
      <c r="N33" s="11" t="s">
        <v>255</v>
      </c>
    </row>
    <row r="34" spans="1:14">
      <c r="B34" s="5" t="s">
        <v>81</v>
      </c>
    </row>
    <row r="35" spans="1:14" ht="16">
      <c r="A35" s="34" t="s">
        <v>10</v>
      </c>
      <c r="B35" s="34"/>
      <c r="C35" s="35"/>
      <c r="D35" s="35"/>
      <c r="E35" s="35"/>
      <c r="F35" s="35"/>
      <c r="G35" s="35"/>
      <c r="H35" s="35"/>
      <c r="I35" s="35"/>
      <c r="J35" s="35"/>
      <c r="K35" s="35"/>
    </row>
    <row r="36" spans="1:14">
      <c r="A36" s="10" t="s">
        <v>80</v>
      </c>
      <c r="B36" s="9" t="s">
        <v>431</v>
      </c>
      <c r="C36" s="9" t="s">
        <v>432</v>
      </c>
      <c r="D36" s="9" t="s">
        <v>433</v>
      </c>
      <c r="E36" s="9" t="s">
        <v>746</v>
      </c>
      <c r="F36" s="9" t="s">
        <v>712</v>
      </c>
      <c r="G36" s="9" t="s">
        <v>50</v>
      </c>
      <c r="H36" s="21" t="s">
        <v>171</v>
      </c>
      <c r="I36" s="20" t="s">
        <v>134</v>
      </c>
      <c r="J36" s="20" t="s">
        <v>134</v>
      </c>
      <c r="K36" s="10"/>
      <c r="L36" s="30" t="str">
        <f>"85,0"</f>
        <v>85,0</v>
      </c>
      <c r="M36" s="10" t="str">
        <f>"62,6195"</f>
        <v>62,6195</v>
      </c>
      <c r="N36" s="9" t="s">
        <v>434</v>
      </c>
    </row>
    <row r="37" spans="1:14">
      <c r="A37" s="25" t="s">
        <v>80</v>
      </c>
      <c r="B37" s="24" t="s">
        <v>435</v>
      </c>
      <c r="C37" s="24" t="s">
        <v>436</v>
      </c>
      <c r="D37" s="24" t="s">
        <v>437</v>
      </c>
      <c r="E37" s="24" t="s">
        <v>741</v>
      </c>
      <c r="F37" s="24" t="s">
        <v>326</v>
      </c>
      <c r="G37" s="24" t="s">
        <v>61</v>
      </c>
      <c r="H37" s="26" t="s">
        <v>52</v>
      </c>
      <c r="I37" s="26" t="s">
        <v>438</v>
      </c>
      <c r="J37" s="27" t="s">
        <v>54</v>
      </c>
      <c r="K37" s="25"/>
      <c r="L37" s="33" t="str">
        <f>"135,0"</f>
        <v>135,0</v>
      </c>
      <c r="M37" s="25" t="str">
        <f>"98,7525"</f>
        <v>98,7525</v>
      </c>
      <c r="N37" s="24" t="s">
        <v>327</v>
      </c>
    </row>
    <row r="38" spans="1:14">
      <c r="A38" s="25" t="s">
        <v>82</v>
      </c>
      <c r="B38" s="24" t="s">
        <v>439</v>
      </c>
      <c r="C38" s="24" t="s">
        <v>440</v>
      </c>
      <c r="D38" s="24" t="s">
        <v>441</v>
      </c>
      <c r="E38" s="24" t="s">
        <v>741</v>
      </c>
      <c r="F38" s="24" t="s">
        <v>713</v>
      </c>
      <c r="G38" s="24" t="s">
        <v>50</v>
      </c>
      <c r="H38" s="26" t="s">
        <v>190</v>
      </c>
      <c r="I38" s="27" t="s">
        <v>438</v>
      </c>
      <c r="J38" s="27" t="s">
        <v>438</v>
      </c>
      <c r="K38" s="25"/>
      <c r="L38" s="33" t="str">
        <f>"127,5"</f>
        <v>127,5</v>
      </c>
      <c r="M38" s="25" t="str">
        <f>"92,7053"</f>
        <v>92,7053</v>
      </c>
      <c r="N38" s="24"/>
    </row>
    <row r="39" spans="1:14">
      <c r="A39" s="25" t="s">
        <v>390</v>
      </c>
      <c r="B39" s="24" t="s">
        <v>442</v>
      </c>
      <c r="C39" s="24" t="s">
        <v>443</v>
      </c>
      <c r="D39" s="24" t="s">
        <v>444</v>
      </c>
      <c r="E39" s="24" t="s">
        <v>741</v>
      </c>
      <c r="F39" s="24" t="s">
        <v>168</v>
      </c>
      <c r="G39" s="24" t="s">
        <v>169</v>
      </c>
      <c r="H39" s="26" t="s">
        <v>90</v>
      </c>
      <c r="I39" s="27" t="s">
        <v>52</v>
      </c>
      <c r="J39" s="27" t="s">
        <v>52</v>
      </c>
      <c r="K39" s="25"/>
      <c r="L39" s="33" t="str">
        <f>"125,0"</f>
        <v>125,0</v>
      </c>
      <c r="M39" s="25" t="str">
        <f>"89,7375"</f>
        <v>89,7375</v>
      </c>
      <c r="N39" s="24"/>
    </row>
    <row r="40" spans="1:14">
      <c r="A40" s="25" t="s">
        <v>391</v>
      </c>
      <c r="B40" s="24" t="s">
        <v>445</v>
      </c>
      <c r="C40" s="24" t="s">
        <v>446</v>
      </c>
      <c r="D40" s="24" t="s">
        <v>447</v>
      </c>
      <c r="E40" s="24" t="s">
        <v>741</v>
      </c>
      <c r="F40" s="24" t="s">
        <v>712</v>
      </c>
      <c r="G40" s="24" t="s">
        <v>50</v>
      </c>
      <c r="H40" s="27" t="s">
        <v>99</v>
      </c>
      <c r="I40" s="26" t="s">
        <v>99</v>
      </c>
      <c r="J40" s="27" t="s">
        <v>438</v>
      </c>
      <c r="K40" s="25"/>
      <c r="L40" s="33" t="str">
        <f>"120,0"</f>
        <v>120,0</v>
      </c>
      <c r="M40" s="25" t="str">
        <f>"88,6800"</f>
        <v>88,6800</v>
      </c>
      <c r="N40" s="24"/>
    </row>
    <row r="41" spans="1:14">
      <c r="A41" s="25" t="s">
        <v>392</v>
      </c>
      <c r="B41" s="24" t="s">
        <v>448</v>
      </c>
      <c r="C41" s="24" t="s">
        <v>449</v>
      </c>
      <c r="D41" s="24" t="s">
        <v>450</v>
      </c>
      <c r="E41" s="24" t="s">
        <v>741</v>
      </c>
      <c r="F41" s="24" t="s">
        <v>713</v>
      </c>
      <c r="G41" s="24" t="s">
        <v>50</v>
      </c>
      <c r="H41" s="26" t="s">
        <v>174</v>
      </c>
      <c r="I41" s="27" t="s">
        <v>99</v>
      </c>
      <c r="J41" s="27" t="s">
        <v>99</v>
      </c>
      <c r="K41" s="25"/>
      <c r="L41" s="33" t="str">
        <f>"117,5"</f>
        <v>117,5</v>
      </c>
      <c r="M41" s="25" t="str">
        <f>"87,1145"</f>
        <v>87,1145</v>
      </c>
      <c r="N41" s="24" t="s">
        <v>451</v>
      </c>
    </row>
    <row r="42" spans="1:14">
      <c r="A42" s="25" t="s">
        <v>80</v>
      </c>
      <c r="B42" s="24" t="s">
        <v>442</v>
      </c>
      <c r="C42" s="24" t="s">
        <v>452</v>
      </c>
      <c r="D42" s="24" t="s">
        <v>444</v>
      </c>
      <c r="E42" s="24" t="s">
        <v>742</v>
      </c>
      <c r="F42" s="24" t="s">
        <v>168</v>
      </c>
      <c r="G42" s="24" t="s">
        <v>169</v>
      </c>
      <c r="H42" s="26" t="s">
        <v>90</v>
      </c>
      <c r="I42" s="27" t="s">
        <v>52</v>
      </c>
      <c r="J42" s="27" t="s">
        <v>52</v>
      </c>
      <c r="K42" s="25"/>
      <c r="L42" s="33" t="str">
        <f>"125,0"</f>
        <v>125,0</v>
      </c>
      <c r="M42" s="25" t="str">
        <f>"103,1981"</f>
        <v>103,1981</v>
      </c>
      <c r="N42" s="24"/>
    </row>
    <row r="43" spans="1:14">
      <c r="A43" s="12" t="s">
        <v>82</v>
      </c>
      <c r="B43" s="11" t="s">
        <v>453</v>
      </c>
      <c r="C43" s="11" t="s">
        <v>454</v>
      </c>
      <c r="D43" s="11" t="s">
        <v>194</v>
      </c>
      <c r="E43" s="11" t="s">
        <v>742</v>
      </c>
      <c r="F43" s="11" t="s">
        <v>121</v>
      </c>
      <c r="G43" s="11" t="s">
        <v>50</v>
      </c>
      <c r="H43" s="22" t="s">
        <v>20</v>
      </c>
      <c r="I43" s="22" t="s">
        <v>174</v>
      </c>
      <c r="J43" s="22" t="s">
        <v>99</v>
      </c>
      <c r="K43" s="12"/>
      <c r="L43" s="31" t="str">
        <f>"120,0"</f>
        <v>120,0</v>
      </c>
      <c r="M43" s="12" t="str">
        <f>"113,5083"</f>
        <v>113,5083</v>
      </c>
      <c r="N43" s="11" t="s">
        <v>247</v>
      </c>
    </row>
    <row r="44" spans="1:14">
      <c r="B44" s="5" t="s">
        <v>81</v>
      </c>
    </row>
    <row r="45" spans="1:14" ht="16">
      <c r="A45" s="34" t="s">
        <v>130</v>
      </c>
      <c r="B45" s="34"/>
      <c r="C45" s="35"/>
      <c r="D45" s="35"/>
      <c r="E45" s="35"/>
      <c r="F45" s="35"/>
      <c r="G45" s="35"/>
      <c r="H45" s="35"/>
      <c r="I45" s="35"/>
      <c r="J45" s="35"/>
      <c r="K45" s="35"/>
    </row>
    <row r="46" spans="1:14">
      <c r="A46" s="10" t="s">
        <v>80</v>
      </c>
      <c r="B46" s="9" t="s">
        <v>455</v>
      </c>
      <c r="C46" s="9" t="s">
        <v>456</v>
      </c>
      <c r="D46" s="9" t="s">
        <v>308</v>
      </c>
      <c r="E46" s="9" t="s">
        <v>741</v>
      </c>
      <c r="F46" s="9" t="s">
        <v>713</v>
      </c>
      <c r="G46" s="9" t="s">
        <v>14</v>
      </c>
      <c r="H46" s="20" t="s">
        <v>201</v>
      </c>
      <c r="I46" s="21" t="s">
        <v>201</v>
      </c>
      <c r="J46" s="20" t="s">
        <v>316</v>
      </c>
      <c r="K46" s="10"/>
      <c r="L46" s="30" t="str">
        <f>"152,5"</f>
        <v>152,5</v>
      </c>
      <c r="M46" s="10" t="str">
        <f>"103,6237"</f>
        <v>103,6237</v>
      </c>
      <c r="N46" s="9"/>
    </row>
    <row r="47" spans="1:14">
      <c r="A47" s="25" t="s">
        <v>82</v>
      </c>
      <c r="B47" s="24" t="s">
        <v>457</v>
      </c>
      <c r="C47" s="24" t="s">
        <v>458</v>
      </c>
      <c r="D47" s="24" t="s">
        <v>459</v>
      </c>
      <c r="E47" s="24" t="s">
        <v>741</v>
      </c>
      <c r="F47" s="24" t="s">
        <v>712</v>
      </c>
      <c r="G47" s="24" t="s">
        <v>460</v>
      </c>
      <c r="H47" s="26" t="s">
        <v>438</v>
      </c>
      <c r="I47" s="26" t="s">
        <v>102</v>
      </c>
      <c r="J47" s="27" t="s">
        <v>54</v>
      </c>
      <c r="K47" s="25"/>
      <c r="L47" s="33" t="str">
        <f>"140,0"</f>
        <v>140,0</v>
      </c>
      <c r="M47" s="25" t="str">
        <f>"97,5660"</f>
        <v>97,5660</v>
      </c>
      <c r="N47" s="24"/>
    </row>
    <row r="48" spans="1:14">
      <c r="A48" s="25" t="s">
        <v>390</v>
      </c>
      <c r="B48" s="24" t="s">
        <v>461</v>
      </c>
      <c r="C48" s="24" t="s">
        <v>462</v>
      </c>
      <c r="D48" s="24" t="s">
        <v>463</v>
      </c>
      <c r="E48" s="24" t="s">
        <v>741</v>
      </c>
      <c r="F48" s="24" t="s">
        <v>712</v>
      </c>
      <c r="G48" s="24" t="s">
        <v>464</v>
      </c>
      <c r="H48" s="26" t="s">
        <v>52</v>
      </c>
      <c r="I48" s="26" t="s">
        <v>53</v>
      </c>
      <c r="J48" s="26" t="s">
        <v>102</v>
      </c>
      <c r="K48" s="25"/>
      <c r="L48" s="33" t="str">
        <f>"140,0"</f>
        <v>140,0</v>
      </c>
      <c r="M48" s="25" t="str">
        <f>"96,0400"</f>
        <v>96,0400</v>
      </c>
      <c r="N48" s="24"/>
    </row>
    <row r="49" spans="1:14">
      <c r="A49" s="12" t="s">
        <v>391</v>
      </c>
      <c r="B49" s="11" t="s">
        <v>465</v>
      </c>
      <c r="C49" s="11" t="s">
        <v>466</v>
      </c>
      <c r="D49" s="11" t="s">
        <v>467</v>
      </c>
      <c r="E49" s="11" t="s">
        <v>741</v>
      </c>
      <c r="F49" s="11" t="s">
        <v>712</v>
      </c>
      <c r="G49" s="11" t="s">
        <v>25</v>
      </c>
      <c r="H49" s="23" t="s">
        <v>52</v>
      </c>
      <c r="I49" s="22" t="s">
        <v>438</v>
      </c>
      <c r="J49" s="23" t="s">
        <v>54</v>
      </c>
      <c r="K49" s="12"/>
      <c r="L49" s="31" t="str">
        <f>"135,0"</f>
        <v>135,0</v>
      </c>
      <c r="M49" s="12" t="str">
        <f>"91,4490"</f>
        <v>91,4490</v>
      </c>
      <c r="N49" s="11"/>
    </row>
    <row r="50" spans="1:14">
      <c r="B50" s="5" t="s">
        <v>81</v>
      </c>
    </row>
    <row r="51" spans="1:14" ht="16">
      <c r="A51" s="34" t="s">
        <v>21</v>
      </c>
      <c r="B51" s="34"/>
      <c r="C51" s="35"/>
      <c r="D51" s="35"/>
      <c r="E51" s="35"/>
      <c r="F51" s="35"/>
      <c r="G51" s="35"/>
      <c r="H51" s="35"/>
      <c r="I51" s="35"/>
      <c r="J51" s="35"/>
      <c r="K51" s="35"/>
    </row>
    <row r="52" spans="1:14">
      <c r="A52" s="10" t="s">
        <v>80</v>
      </c>
      <c r="B52" s="9" t="s">
        <v>468</v>
      </c>
      <c r="C52" s="9" t="s">
        <v>469</v>
      </c>
      <c r="D52" s="9" t="s">
        <v>470</v>
      </c>
      <c r="E52" s="9" t="s">
        <v>747</v>
      </c>
      <c r="F52" s="9" t="s">
        <v>272</v>
      </c>
      <c r="G52" s="9" t="s">
        <v>273</v>
      </c>
      <c r="H52" s="20" t="s">
        <v>90</v>
      </c>
      <c r="I52" s="21" t="s">
        <v>90</v>
      </c>
      <c r="J52" s="20" t="s">
        <v>471</v>
      </c>
      <c r="K52" s="10"/>
      <c r="L52" s="30" t="str">
        <f>"125,0"</f>
        <v>125,0</v>
      </c>
      <c r="M52" s="10" t="str">
        <f>"80,6875"</f>
        <v>80,6875</v>
      </c>
      <c r="N52" s="9" t="s">
        <v>274</v>
      </c>
    </row>
    <row r="53" spans="1:14">
      <c r="A53" s="25" t="s">
        <v>80</v>
      </c>
      <c r="B53" s="24" t="s">
        <v>472</v>
      </c>
      <c r="C53" s="24" t="s">
        <v>473</v>
      </c>
      <c r="D53" s="24" t="s">
        <v>474</v>
      </c>
      <c r="E53" s="24" t="s">
        <v>741</v>
      </c>
      <c r="F53" s="24" t="s">
        <v>712</v>
      </c>
      <c r="G53" s="24" t="s">
        <v>50</v>
      </c>
      <c r="H53" s="26" t="s">
        <v>475</v>
      </c>
      <c r="I53" s="26" t="s">
        <v>17</v>
      </c>
      <c r="J53" s="27" t="s">
        <v>27</v>
      </c>
      <c r="K53" s="25"/>
      <c r="L53" s="33" t="str">
        <f>"185,0"</f>
        <v>185,0</v>
      </c>
      <c r="M53" s="25" t="str">
        <f>"118,7885"</f>
        <v>118,7885</v>
      </c>
      <c r="N53" s="24"/>
    </row>
    <row r="54" spans="1:14">
      <c r="A54" s="25" t="s">
        <v>82</v>
      </c>
      <c r="B54" s="24" t="s">
        <v>476</v>
      </c>
      <c r="C54" s="24" t="s">
        <v>477</v>
      </c>
      <c r="D54" s="24" t="s">
        <v>478</v>
      </c>
      <c r="E54" s="24" t="s">
        <v>741</v>
      </c>
      <c r="F54" s="24" t="s">
        <v>713</v>
      </c>
      <c r="G54" s="24" t="s">
        <v>50</v>
      </c>
      <c r="H54" s="26" t="s">
        <v>15</v>
      </c>
      <c r="I54" s="26" t="s">
        <v>16</v>
      </c>
      <c r="J54" s="27" t="s">
        <v>108</v>
      </c>
      <c r="K54" s="25"/>
      <c r="L54" s="33" t="str">
        <f>"175,0"</f>
        <v>175,0</v>
      </c>
      <c r="M54" s="25" t="str">
        <f>"111,8425"</f>
        <v>111,8425</v>
      </c>
      <c r="N54" s="24" t="s">
        <v>480</v>
      </c>
    </row>
    <row r="55" spans="1:14">
      <c r="A55" s="25" t="s">
        <v>390</v>
      </c>
      <c r="B55" s="24" t="s">
        <v>481</v>
      </c>
      <c r="C55" s="24" t="s">
        <v>482</v>
      </c>
      <c r="D55" s="24" t="s">
        <v>483</v>
      </c>
      <c r="E55" s="24" t="s">
        <v>741</v>
      </c>
      <c r="F55" s="24" t="s">
        <v>713</v>
      </c>
      <c r="G55" s="24" t="s">
        <v>50</v>
      </c>
      <c r="H55" s="26" t="s">
        <v>201</v>
      </c>
      <c r="I55" s="26" t="s">
        <v>66</v>
      </c>
      <c r="J55" s="27" t="s">
        <v>112</v>
      </c>
      <c r="K55" s="25"/>
      <c r="L55" s="33" t="str">
        <f>"157,5"</f>
        <v>157,5</v>
      </c>
      <c r="M55" s="25" t="str">
        <f>"102,7373"</f>
        <v>102,7373</v>
      </c>
      <c r="N55" s="24"/>
    </row>
    <row r="56" spans="1:14">
      <c r="A56" s="25" t="s">
        <v>391</v>
      </c>
      <c r="B56" s="24" t="s">
        <v>484</v>
      </c>
      <c r="C56" s="24" t="s">
        <v>485</v>
      </c>
      <c r="D56" s="24" t="s">
        <v>486</v>
      </c>
      <c r="E56" s="24" t="s">
        <v>741</v>
      </c>
      <c r="F56" s="24" t="s">
        <v>713</v>
      </c>
      <c r="G56" s="24" t="s">
        <v>169</v>
      </c>
      <c r="H56" s="26" t="s">
        <v>316</v>
      </c>
      <c r="I56" s="27" t="s">
        <v>112</v>
      </c>
      <c r="J56" s="27" t="s">
        <v>112</v>
      </c>
      <c r="K56" s="25"/>
      <c r="L56" s="33" t="str">
        <f>"155,0"</f>
        <v>155,0</v>
      </c>
      <c r="M56" s="25" t="str">
        <f>"100,9825"</f>
        <v>100,9825</v>
      </c>
      <c r="N56" s="24" t="s">
        <v>487</v>
      </c>
    </row>
    <row r="57" spans="1:14">
      <c r="A57" s="25" t="s">
        <v>392</v>
      </c>
      <c r="B57" s="24" t="s">
        <v>488</v>
      </c>
      <c r="C57" s="24" t="s">
        <v>489</v>
      </c>
      <c r="D57" s="24" t="s">
        <v>483</v>
      </c>
      <c r="E57" s="24" t="s">
        <v>741</v>
      </c>
      <c r="F57" s="24" t="s">
        <v>350</v>
      </c>
      <c r="G57" s="24" t="s">
        <v>490</v>
      </c>
      <c r="H57" s="26" t="s">
        <v>200</v>
      </c>
      <c r="I57" s="27" t="s">
        <v>201</v>
      </c>
      <c r="J57" s="27" t="s">
        <v>201</v>
      </c>
      <c r="K57" s="25"/>
      <c r="L57" s="33" t="str">
        <f>"145,0"</f>
        <v>145,0</v>
      </c>
      <c r="M57" s="25" t="str">
        <f>"94,5835"</f>
        <v>94,5835</v>
      </c>
      <c r="N57" s="24" t="s">
        <v>69</v>
      </c>
    </row>
    <row r="58" spans="1:14">
      <c r="A58" s="12" t="s">
        <v>80</v>
      </c>
      <c r="B58" s="11" t="s">
        <v>484</v>
      </c>
      <c r="C58" s="11" t="s">
        <v>491</v>
      </c>
      <c r="D58" s="11" t="s">
        <v>486</v>
      </c>
      <c r="E58" s="11" t="s">
        <v>742</v>
      </c>
      <c r="F58" s="11" t="s">
        <v>713</v>
      </c>
      <c r="G58" s="11" t="s">
        <v>169</v>
      </c>
      <c r="H58" s="22" t="s">
        <v>316</v>
      </c>
      <c r="I58" s="23" t="s">
        <v>112</v>
      </c>
      <c r="J58" s="23" t="s">
        <v>112</v>
      </c>
      <c r="K58" s="12"/>
      <c r="L58" s="31" t="str">
        <f>"155,0"</f>
        <v>155,0</v>
      </c>
      <c r="M58" s="12" t="str">
        <f>"119,8662"</f>
        <v>119,8662</v>
      </c>
      <c r="N58" s="11" t="s">
        <v>487</v>
      </c>
    </row>
    <row r="59" spans="1:14">
      <c r="B59" s="5" t="s">
        <v>81</v>
      </c>
    </row>
    <row r="60" spans="1:14" ht="16">
      <c r="A60" s="34" t="s">
        <v>117</v>
      </c>
      <c r="B60" s="34"/>
      <c r="C60" s="35"/>
      <c r="D60" s="35"/>
      <c r="E60" s="35"/>
      <c r="F60" s="35"/>
      <c r="G60" s="35"/>
      <c r="H60" s="35"/>
      <c r="I60" s="35"/>
      <c r="J60" s="35"/>
      <c r="K60" s="35"/>
    </row>
    <row r="61" spans="1:14">
      <c r="A61" s="10" t="s">
        <v>83</v>
      </c>
      <c r="B61" s="9" t="s">
        <v>492</v>
      </c>
      <c r="C61" s="9" t="s">
        <v>493</v>
      </c>
      <c r="D61" s="9" t="s">
        <v>358</v>
      </c>
      <c r="E61" s="9" t="s">
        <v>747</v>
      </c>
      <c r="F61" s="9" t="s">
        <v>713</v>
      </c>
      <c r="G61" s="9" t="s">
        <v>98</v>
      </c>
      <c r="H61" s="20" t="s">
        <v>52</v>
      </c>
      <c r="I61" s="20" t="s">
        <v>52</v>
      </c>
      <c r="J61" s="20" t="s">
        <v>52</v>
      </c>
      <c r="K61" s="10"/>
      <c r="L61" s="30">
        <v>0</v>
      </c>
      <c r="M61" s="10" t="str">
        <f>"0,0000"</f>
        <v>0,0000</v>
      </c>
      <c r="N61" s="9" t="s">
        <v>103</v>
      </c>
    </row>
    <row r="62" spans="1:14">
      <c r="A62" s="25" t="s">
        <v>80</v>
      </c>
      <c r="B62" s="24" t="s">
        <v>494</v>
      </c>
      <c r="C62" s="24" t="s">
        <v>495</v>
      </c>
      <c r="D62" s="24" t="s">
        <v>120</v>
      </c>
      <c r="E62" s="24" t="s">
        <v>741</v>
      </c>
      <c r="F62" s="24" t="s">
        <v>730</v>
      </c>
      <c r="G62" s="24" t="s">
        <v>98</v>
      </c>
      <c r="H62" s="26" t="s">
        <v>112</v>
      </c>
      <c r="I62" s="26" t="s">
        <v>15</v>
      </c>
      <c r="J62" s="26" t="s">
        <v>71</v>
      </c>
      <c r="K62" s="25"/>
      <c r="L62" s="33" t="str">
        <f>"170,0"</f>
        <v>170,0</v>
      </c>
      <c r="M62" s="25" t="str">
        <f>"103,8020"</f>
        <v>103,8020</v>
      </c>
      <c r="N62" s="24" t="s">
        <v>103</v>
      </c>
    </row>
    <row r="63" spans="1:14">
      <c r="A63" s="25" t="s">
        <v>82</v>
      </c>
      <c r="B63" s="24" t="s">
        <v>496</v>
      </c>
      <c r="C63" s="24" t="s">
        <v>497</v>
      </c>
      <c r="D63" s="24" t="s">
        <v>498</v>
      </c>
      <c r="E63" s="24" t="s">
        <v>741</v>
      </c>
      <c r="F63" s="24" t="s">
        <v>713</v>
      </c>
      <c r="G63" s="24" t="s">
        <v>50</v>
      </c>
      <c r="H63" s="26" t="s">
        <v>174</v>
      </c>
      <c r="I63" s="26" t="s">
        <v>90</v>
      </c>
      <c r="J63" s="26" t="s">
        <v>52</v>
      </c>
      <c r="K63" s="25"/>
      <c r="L63" s="33" t="str">
        <f>"130,0"</f>
        <v>130,0</v>
      </c>
      <c r="M63" s="25" t="str">
        <f>"81,2500"</f>
        <v>81,2500</v>
      </c>
      <c r="N63" s="24" t="s">
        <v>255</v>
      </c>
    </row>
    <row r="64" spans="1:14">
      <c r="A64" s="25" t="s">
        <v>80</v>
      </c>
      <c r="B64" s="24" t="s">
        <v>499</v>
      </c>
      <c r="C64" s="24" t="s">
        <v>500</v>
      </c>
      <c r="D64" s="24" t="s">
        <v>501</v>
      </c>
      <c r="E64" s="24" t="s">
        <v>744</v>
      </c>
      <c r="F64" s="24" t="s">
        <v>502</v>
      </c>
      <c r="G64" s="24" t="s">
        <v>98</v>
      </c>
      <c r="H64" s="26" t="s">
        <v>316</v>
      </c>
      <c r="I64" s="27" t="s">
        <v>112</v>
      </c>
      <c r="J64" s="25"/>
      <c r="K64" s="25"/>
      <c r="L64" s="33" t="str">
        <f>"155,0"</f>
        <v>155,0</v>
      </c>
      <c r="M64" s="25" t="str">
        <f>"106,5719"</f>
        <v>106,5719</v>
      </c>
      <c r="N64" s="24"/>
    </row>
    <row r="65" spans="1:14">
      <c r="A65" s="25" t="s">
        <v>80</v>
      </c>
      <c r="B65" s="24" t="s">
        <v>503</v>
      </c>
      <c r="C65" s="24" t="s">
        <v>504</v>
      </c>
      <c r="D65" s="24" t="s">
        <v>505</v>
      </c>
      <c r="E65" s="24" t="s">
        <v>742</v>
      </c>
      <c r="F65" s="24" t="s">
        <v>713</v>
      </c>
      <c r="G65" s="24" t="s">
        <v>50</v>
      </c>
      <c r="H65" s="26" t="s">
        <v>112</v>
      </c>
      <c r="I65" s="26" t="s">
        <v>339</v>
      </c>
      <c r="J65" s="26" t="s">
        <v>71</v>
      </c>
      <c r="K65" s="25"/>
      <c r="L65" s="33" t="str">
        <f>"170,0"</f>
        <v>170,0</v>
      </c>
      <c r="M65" s="25" t="str">
        <f>"127,8237"</f>
        <v>127,8237</v>
      </c>
      <c r="N65" s="24"/>
    </row>
    <row r="66" spans="1:14">
      <c r="A66" s="12" t="s">
        <v>82</v>
      </c>
      <c r="B66" s="11" t="s">
        <v>506</v>
      </c>
      <c r="C66" s="11" t="s">
        <v>507</v>
      </c>
      <c r="D66" s="11" t="s">
        <v>508</v>
      </c>
      <c r="E66" s="11" t="s">
        <v>742</v>
      </c>
      <c r="F66" s="11" t="s">
        <v>121</v>
      </c>
      <c r="G66" s="11" t="s">
        <v>50</v>
      </c>
      <c r="H66" s="22" t="s">
        <v>52</v>
      </c>
      <c r="I66" s="23" t="s">
        <v>53</v>
      </c>
      <c r="J66" s="22" t="s">
        <v>53</v>
      </c>
      <c r="K66" s="12"/>
      <c r="L66" s="31" t="str">
        <f>"137,5"</f>
        <v>137,5</v>
      </c>
      <c r="M66" s="12" t="str">
        <f>"100,2305"</f>
        <v>100,2305</v>
      </c>
      <c r="N66" s="11" t="s">
        <v>359</v>
      </c>
    </row>
    <row r="67" spans="1:14">
      <c r="B67" s="5" t="s">
        <v>81</v>
      </c>
    </row>
    <row r="68" spans="1:14" ht="16">
      <c r="A68" s="34" t="s">
        <v>32</v>
      </c>
      <c r="B68" s="34"/>
      <c r="C68" s="35"/>
      <c r="D68" s="35"/>
      <c r="E68" s="35"/>
      <c r="F68" s="35"/>
      <c r="G68" s="35"/>
      <c r="H68" s="35"/>
      <c r="I68" s="35"/>
      <c r="J68" s="35"/>
      <c r="K68" s="35"/>
    </row>
    <row r="69" spans="1:14">
      <c r="A69" s="10" t="s">
        <v>80</v>
      </c>
      <c r="B69" s="9" t="s">
        <v>509</v>
      </c>
      <c r="C69" s="9" t="s">
        <v>510</v>
      </c>
      <c r="D69" s="9" t="s">
        <v>511</v>
      </c>
      <c r="E69" s="9" t="s">
        <v>746</v>
      </c>
      <c r="F69" s="9" t="s">
        <v>121</v>
      </c>
      <c r="G69" s="9" t="s">
        <v>50</v>
      </c>
      <c r="H69" s="21" t="s">
        <v>186</v>
      </c>
      <c r="I69" s="21" t="s">
        <v>93</v>
      </c>
      <c r="J69" s="21" t="s">
        <v>18</v>
      </c>
      <c r="K69" s="10"/>
      <c r="L69" s="30" t="str">
        <f>"105,0"</f>
        <v>105,0</v>
      </c>
      <c r="M69" s="10" t="str">
        <f>"62,7690"</f>
        <v>62,7690</v>
      </c>
      <c r="N69" s="9"/>
    </row>
    <row r="70" spans="1:14">
      <c r="A70" s="25" t="s">
        <v>80</v>
      </c>
      <c r="B70" s="24" t="s">
        <v>512</v>
      </c>
      <c r="C70" s="24" t="s">
        <v>513</v>
      </c>
      <c r="D70" s="24" t="s">
        <v>514</v>
      </c>
      <c r="E70" s="24" t="s">
        <v>741</v>
      </c>
      <c r="F70" s="24" t="s">
        <v>88</v>
      </c>
      <c r="G70" s="24" t="s">
        <v>89</v>
      </c>
      <c r="H70" s="26" t="s">
        <v>28</v>
      </c>
      <c r="I70" s="26" t="s">
        <v>40</v>
      </c>
      <c r="J70" s="27" t="s">
        <v>223</v>
      </c>
      <c r="K70" s="25"/>
      <c r="L70" s="33" t="str">
        <f>"205,0"</f>
        <v>205,0</v>
      </c>
      <c r="M70" s="25" t="str">
        <f>"120,9910"</f>
        <v>120,9910</v>
      </c>
      <c r="N70" s="24" t="s">
        <v>515</v>
      </c>
    </row>
    <row r="71" spans="1:14">
      <c r="A71" s="12" t="s">
        <v>82</v>
      </c>
      <c r="B71" s="11" t="s">
        <v>516</v>
      </c>
      <c r="C71" s="11" t="s">
        <v>517</v>
      </c>
      <c r="D71" s="11" t="s">
        <v>518</v>
      </c>
      <c r="E71" s="11" t="s">
        <v>741</v>
      </c>
      <c r="F71" s="11" t="s">
        <v>312</v>
      </c>
      <c r="G71" s="11" t="s">
        <v>50</v>
      </c>
      <c r="H71" s="22" t="s">
        <v>66</v>
      </c>
      <c r="I71" s="23" t="s">
        <v>67</v>
      </c>
      <c r="J71" s="23" t="s">
        <v>339</v>
      </c>
      <c r="K71" s="12"/>
      <c r="L71" s="31" t="str">
        <f>"157,5"</f>
        <v>157,5</v>
      </c>
      <c r="M71" s="12" t="str">
        <f>"93,5077"</f>
        <v>93,5077</v>
      </c>
      <c r="N71" s="11" t="s">
        <v>519</v>
      </c>
    </row>
    <row r="72" spans="1:14">
      <c r="B72" s="5" t="s">
        <v>81</v>
      </c>
    </row>
    <row r="73" spans="1:14" ht="16">
      <c r="A73" s="34" t="s">
        <v>57</v>
      </c>
      <c r="B73" s="34"/>
      <c r="C73" s="35"/>
      <c r="D73" s="35"/>
      <c r="E73" s="35"/>
      <c r="F73" s="35"/>
      <c r="G73" s="35"/>
      <c r="H73" s="35"/>
      <c r="I73" s="35"/>
      <c r="J73" s="35"/>
      <c r="K73" s="35"/>
    </row>
    <row r="74" spans="1:14">
      <c r="A74" s="8" t="s">
        <v>80</v>
      </c>
      <c r="B74" s="7" t="s">
        <v>520</v>
      </c>
      <c r="C74" s="7" t="s">
        <v>521</v>
      </c>
      <c r="D74" s="7" t="s">
        <v>522</v>
      </c>
      <c r="E74" s="7" t="s">
        <v>744</v>
      </c>
      <c r="F74" s="7" t="s">
        <v>88</v>
      </c>
      <c r="G74" s="7" t="s">
        <v>89</v>
      </c>
      <c r="H74" s="18" t="s">
        <v>15</v>
      </c>
      <c r="I74" s="18" t="s">
        <v>71</v>
      </c>
      <c r="J74" s="18" t="s">
        <v>475</v>
      </c>
      <c r="K74" s="8"/>
      <c r="L74" s="29" t="str">
        <f>"177,5"</f>
        <v>177,5</v>
      </c>
      <c r="M74" s="8" t="str">
        <f>"103,5183"</f>
        <v>103,5183</v>
      </c>
      <c r="N74" s="7" t="s">
        <v>515</v>
      </c>
    </row>
    <row r="75" spans="1:14">
      <c r="B75" s="5" t="s">
        <v>81</v>
      </c>
    </row>
    <row r="76" spans="1:14" ht="16">
      <c r="A76" s="34" t="s">
        <v>523</v>
      </c>
      <c r="B76" s="34"/>
      <c r="C76" s="35"/>
      <c r="D76" s="35"/>
      <c r="E76" s="35"/>
      <c r="F76" s="35"/>
      <c r="G76" s="35"/>
      <c r="H76" s="35"/>
      <c r="I76" s="35"/>
      <c r="J76" s="35"/>
      <c r="K76" s="35"/>
    </row>
    <row r="77" spans="1:14">
      <c r="A77" s="8" t="s">
        <v>80</v>
      </c>
      <c r="B77" s="7" t="s">
        <v>524</v>
      </c>
      <c r="C77" s="7" t="s">
        <v>525</v>
      </c>
      <c r="D77" s="7" t="s">
        <v>526</v>
      </c>
      <c r="E77" s="7" t="s">
        <v>741</v>
      </c>
      <c r="F77" s="7" t="s">
        <v>527</v>
      </c>
      <c r="G77" s="7" t="s">
        <v>14</v>
      </c>
      <c r="H77" s="18" t="s">
        <v>108</v>
      </c>
      <c r="I77" s="18" t="s">
        <v>27</v>
      </c>
      <c r="J77" s="18" t="s">
        <v>28</v>
      </c>
      <c r="K77" s="8"/>
      <c r="L77" s="29" t="str">
        <f>"200,0"</f>
        <v>200,0</v>
      </c>
      <c r="M77" s="8" t="str">
        <f>"110,9600"</f>
        <v>110,9600</v>
      </c>
      <c r="N77" s="7"/>
    </row>
    <row r="78" spans="1:14">
      <c r="B78" s="5" t="s">
        <v>81</v>
      </c>
    </row>
    <row r="79" spans="1:14">
      <c r="B79" s="5" t="s">
        <v>81</v>
      </c>
    </row>
    <row r="80" spans="1:14">
      <c r="B80" s="5" t="s">
        <v>81</v>
      </c>
    </row>
    <row r="81" spans="2:6" ht="18">
      <c r="B81" s="13" t="s">
        <v>72</v>
      </c>
      <c r="C81" s="13"/>
    </row>
    <row r="82" spans="2:6" ht="16">
      <c r="B82" s="14" t="s">
        <v>125</v>
      </c>
      <c r="C82" s="14"/>
    </row>
    <row r="83" spans="2:6" ht="14">
      <c r="B83" s="15"/>
      <c r="C83" s="16" t="s">
        <v>74</v>
      </c>
    </row>
    <row r="84" spans="2:6" ht="14">
      <c r="B84" s="17" t="s">
        <v>75</v>
      </c>
      <c r="C84" s="17" t="s">
        <v>76</v>
      </c>
      <c r="D84" s="17" t="s">
        <v>731</v>
      </c>
      <c r="E84" s="17" t="s">
        <v>240</v>
      </c>
      <c r="F84" s="17" t="s">
        <v>77</v>
      </c>
    </row>
    <row r="85" spans="2:6">
      <c r="B85" s="5" t="s">
        <v>417</v>
      </c>
      <c r="C85" s="5" t="s">
        <v>74</v>
      </c>
      <c r="D85" s="6" t="s">
        <v>128</v>
      </c>
      <c r="E85" s="6" t="s">
        <v>19</v>
      </c>
      <c r="F85" s="6" t="s">
        <v>528</v>
      </c>
    </row>
    <row r="86" spans="2:6">
      <c r="B86" s="5" t="s">
        <v>411</v>
      </c>
      <c r="C86" s="5" t="s">
        <v>74</v>
      </c>
      <c r="D86" s="6" t="s">
        <v>211</v>
      </c>
      <c r="E86" s="6" t="s">
        <v>413</v>
      </c>
      <c r="F86" s="6" t="s">
        <v>529</v>
      </c>
    </row>
    <row r="87" spans="2:6">
      <c r="B87" s="5" t="s">
        <v>165</v>
      </c>
      <c r="C87" s="5" t="s">
        <v>74</v>
      </c>
      <c r="D87" s="6" t="s">
        <v>210</v>
      </c>
      <c r="E87" s="6" t="s">
        <v>100</v>
      </c>
      <c r="F87" s="6" t="s">
        <v>530</v>
      </c>
    </row>
    <row r="90" spans="2:6" ht="16">
      <c r="B90" s="14" t="s">
        <v>73</v>
      </c>
      <c r="C90" s="14"/>
    </row>
    <row r="91" spans="2:6" ht="14">
      <c r="B91" s="15"/>
      <c r="C91" s="16" t="s">
        <v>74</v>
      </c>
    </row>
    <row r="92" spans="2:6" ht="14">
      <c r="B92" s="17" t="s">
        <v>75</v>
      </c>
      <c r="C92" s="17" t="s">
        <v>76</v>
      </c>
      <c r="D92" s="17" t="s">
        <v>731</v>
      </c>
      <c r="E92" s="17" t="s">
        <v>240</v>
      </c>
      <c r="F92" s="17" t="s">
        <v>77</v>
      </c>
    </row>
    <row r="93" spans="2:6">
      <c r="B93" s="5" t="s">
        <v>512</v>
      </c>
      <c r="C93" s="5" t="s">
        <v>74</v>
      </c>
      <c r="D93" s="6" t="s">
        <v>78</v>
      </c>
      <c r="E93" s="6" t="s">
        <v>40</v>
      </c>
      <c r="F93" s="6" t="s">
        <v>531</v>
      </c>
    </row>
    <row r="94" spans="2:6">
      <c r="B94" s="5" t="s">
        <v>472</v>
      </c>
      <c r="C94" s="5" t="s">
        <v>74</v>
      </c>
      <c r="D94" s="6" t="s">
        <v>79</v>
      </c>
      <c r="E94" s="6" t="s">
        <v>17</v>
      </c>
      <c r="F94" s="6" t="s">
        <v>532</v>
      </c>
    </row>
    <row r="95" spans="2:6">
      <c r="B95" s="5" t="s">
        <v>423</v>
      </c>
      <c r="C95" s="5" t="s">
        <v>74</v>
      </c>
      <c r="D95" s="6" t="s">
        <v>126</v>
      </c>
      <c r="E95" s="6" t="s">
        <v>426</v>
      </c>
      <c r="F95" s="6" t="s">
        <v>533</v>
      </c>
    </row>
    <row r="96" spans="2:6">
      <c r="B96" s="5" t="s">
        <v>81</v>
      </c>
    </row>
  </sheetData>
  <mergeCells count="28"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  <mergeCell ref="A68:K68"/>
    <mergeCell ref="A73:K73"/>
    <mergeCell ref="A76:K76"/>
    <mergeCell ref="B3:B4"/>
    <mergeCell ref="A28:K28"/>
    <mergeCell ref="A31:K31"/>
    <mergeCell ref="A35:K35"/>
    <mergeCell ref="A45:K45"/>
    <mergeCell ref="A51:K51"/>
    <mergeCell ref="A60:K60"/>
    <mergeCell ref="A8:K8"/>
    <mergeCell ref="A11:K11"/>
    <mergeCell ref="A15:K15"/>
    <mergeCell ref="A19:K19"/>
    <mergeCell ref="A22:K22"/>
    <mergeCell ref="A25:K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33A3F-A27B-4692-80CD-C8B9B0CE2FD0}">
  <dimension ref="A1:N84"/>
  <sheetViews>
    <sheetView topLeftCell="A37" zoomScaleNormal="100" workbookViewId="0">
      <selection activeCell="E69" sqref="E69"/>
    </sheetView>
  </sheetViews>
  <sheetFormatPr baseColWidth="10" defaultColWidth="9.1640625" defaultRowHeight="13"/>
  <cols>
    <col min="1" max="1" width="7.5" style="5" bestFit="1" customWidth="1"/>
    <col min="2" max="2" width="21.6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4.5" style="5" bestFit="1" customWidth="1"/>
    <col min="7" max="7" width="34.1640625" style="5" bestFit="1" customWidth="1"/>
    <col min="8" max="10" width="5.5" style="6" customWidth="1"/>
    <col min="11" max="11" width="4.83203125" style="6" customWidth="1"/>
    <col min="12" max="12" width="10.5" style="28" bestFit="1" customWidth="1"/>
    <col min="13" max="13" width="8.5" style="6" bestFit="1" customWidth="1"/>
    <col min="14" max="14" width="22.5" style="5" bestFit="1" customWidth="1"/>
    <col min="15" max="16384" width="9.1640625" style="3"/>
  </cols>
  <sheetData>
    <row r="1" spans="1:14" s="2" customFormat="1" ht="29" customHeight="1">
      <c r="A1" s="46" t="s">
        <v>720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</row>
    <row r="2" spans="1:14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4" s="1" customFormat="1" ht="12.75" customHeight="1">
      <c r="A3" s="54" t="s">
        <v>736</v>
      </c>
      <c r="B3" s="44" t="s">
        <v>0</v>
      </c>
      <c r="C3" s="56" t="s">
        <v>738</v>
      </c>
      <c r="D3" s="56" t="s">
        <v>6</v>
      </c>
      <c r="E3" s="38" t="s">
        <v>739</v>
      </c>
      <c r="F3" s="38"/>
      <c r="G3" s="38" t="s">
        <v>5</v>
      </c>
      <c r="H3" s="38" t="s">
        <v>8</v>
      </c>
      <c r="I3" s="38"/>
      <c r="J3" s="38"/>
      <c r="K3" s="38"/>
      <c r="L3" s="36" t="s">
        <v>242</v>
      </c>
      <c r="M3" s="38" t="s">
        <v>3</v>
      </c>
      <c r="N3" s="40" t="s">
        <v>2</v>
      </c>
    </row>
    <row r="4" spans="1:14" s="1" customFormat="1" ht="21" customHeight="1" thickBot="1">
      <c r="A4" s="55"/>
      <c r="B4" s="45"/>
      <c r="C4" s="39"/>
      <c r="D4" s="39"/>
      <c r="E4" s="39"/>
      <c r="F4" s="39"/>
      <c r="G4" s="39"/>
      <c r="H4" s="4">
        <v>1</v>
      </c>
      <c r="I4" s="4">
        <v>2</v>
      </c>
      <c r="J4" s="4">
        <v>3</v>
      </c>
      <c r="K4" s="4" t="s">
        <v>4</v>
      </c>
      <c r="L4" s="37"/>
      <c r="M4" s="39"/>
      <c r="N4" s="41"/>
    </row>
    <row r="5" spans="1:14" ht="16">
      <c r="A5" s="42" t="s">
        <v>164</v>
      </c>
      <c r="B5" s="42"/>
      <c r="C5" s="43"/>
      <c r="D5" s="43"/>
      <c r="E5" s="43"/>
      <c r="F5" s="43"/>
      <c r="G5" s="43"/>
      <c r="H5" s="43"/>
      <c r="I5" s="43"/>
      <c r="J5" s="43"/>
      <c r="K5" s="43"/>
    </row>
    <row r="6" spans="1:14">
      <c r="A6" s="8" t="s">
        <v>80</v>
      </c>
      <c r="B6" s="7" t="s">
        <v>243</v>
      </c>
      <c r="C6" s="7" t="s">
        <v>244</v>
      </c>
      <c r="D6" s="7" t="s">
        <v>245</v>
      </c>
      <c r="E6" s="7" t="s">
        <v>744</v>
      </c>
      <c r="F6" s="7" t="s">
        <v>246</v>
      </c>
      <c r="G6" s="7" t="s">
        <v>50</v>
      </c>
      <c r="H6" s="18" t="s">
        <v>188</v>
      </c>
      <c r="I6" s="19" t="s">
        <v>172</v>
      </c>
      <c r="J6" s="19" t="s">
        <v>172</v>
      </c>
      <c r="K6" s="8"/>
      <c r="L6" s="29" t="str">
        <f>"55,0"</f>
        <v>55,0</v>
      </c>
      <c r="M6" s="8" t="str">
        <f>"73,9789"</f>
        <v>73,9789</v>
      </c>
      <c r="N6" s="7" t="s">
        <v>247</v>
      </c>
    </row>
    <row r="7" spans="1:14">
      <c r="B7" s="5" t="s">
        <v>81</v>
      </c>
    </row>
    <row r="8" spans="1:14" ht="16">
      <c r="A8" s="34" t="s">
        <v>248</v>
      </c>
      <c r="B8" s="34"/>
      <c r="C8" s="35"/>
      <c r="D8" s="35"/>
      <c r="E8" s="35"/>
      <c r="F8" s="35"/>
      <c r="G8" s="35"/>
      <c r="H8" s="35"/>
      <c r="I8" s="35"/>
      <c r="J8" s="35"/>
      <c r="K8" s="35"/>
    </row>
    <row r="9" spans="1:14">
      <c r="A9" s="10" t="s">
        <v>80</v>
      </c>
      <c r="B9" s="9" t="s">
        <v>249</v>
      </c>
      <c r="C9" s="9" t="s">
        <v>250</v>
      </c>
      <c r="D9" s="9" t="s">
        <v>251</v>
      </c>
      <c r="E9" s="9" t="s">
        <v>741</v>
      </c>
      <c r="F9" s="9" t="s">
        <v>121</v>
      </c>
      <c r="G9" s="9" t="s">
        <v>50</v>
      </c>
      <c r="H9" s="21" t="s">
        <v>92</v>
      </c>
      <c r="I9" s="20" t="s">
        <v>180</v>
      </c>
      <c r="J9" s="20" t="s">
        <v>180</v>
      </c>
      <c r="K9" s="10"/>
      <c r="L9" s="30" t="str">
        <f>"47,5"</f>
        <v>47,5</v>
      </c>
      <c r="M9" s="10" t="str">
        <f>"56,4443"</f>
        <v>56,4443</v>
      </c>
      <c r="N9" s="9" t="s">
        <v>247</v>
      </c>
    </row>
    <row r="10" spans="1:14">
      <c r="A10" s="12" t="s">
        <v>82</v>
      </c>
      <c r="B10" s="11" t="s">
        <v>252</v>
      </c>
      <c r="C10" s="11" t="s">
        <v>253</v>
      </c>
      <c r="D10" s="11" t="s">
        <v>254</v>
      </c>
      <c r="E10" s="11" t="s">
        <v>741</v>
      </c>
      <c r="F10" s="11" t="s">
        <v>49</v>
      </c>
      <c r="G10" s="11" t="s">
        <v>50</v>
      </c>
      <c r="H10" s="22" t="s">
        <v>159</v>
      </c>
      <c r="I10" s="22" t="s">
        <v>160</v>
      </c>
      <c r="J10" s="23" t="s">
        <v>135</v>
      </c>
      <c r="K10" s="12"/>
      <c r="L10" s="31" t="str">
        <f>"37,5"</f>
        <v>37,5</v>
      </c>
      <c r="M10" s="12" t="str">
        <f>"45,2663"</f>
        <v>45,2663</v>
      </c>
      <c r="N10" s="11" t="s">
        <v>255</v>
      </c>
    </row>
    <row r="11" spans="1:14">
      <c r="B11" s="5" t="s">
        <v>81</v>
      </c>
    </row>
    <row r="12" spans="1:14" ht="16">
      <c r="A12" s="34" t="s">
        <v>84</v>
      </c>
      <c r="B12" s="34"/>
      <c r="C12" s="35"/>
      <c r="D12" s="35"/>
      <c r="E12" s="35"/>
      <c r="F12" s="35"/>
      <c r="G12" s="35"/>
      <c r="H12" s="35"/>
      <c r="I12" s="35"/>
      <c r="J12" s="35"/>
      <c r="K12" s="35"/>
    </row>
    <row r="13" spans="1:14">
      <c r="A13" s="10" t="s">
        <v>80</v>
      </c>
      <c r="B13" s="9" t="s">
        <v>256</v>
      </c>
      <c r="C13" s="9" t="s">
        <v>257</v>
      </c>
      <c r="D13" s="9" t="s">
        <v>258</v>
      </c>
      <c r="E13" s="9" t="s">
        <v>741</v>
      </c>
      <c r="F13" s="9" t="s">
        <v>713</v>
      </c>
      <c r="G13" s="9" t="s">
        <v>89</v>
      </c>
      <c r="H13" s="21" t="s">
        <v>259</v>
      </c>
      <c r="I13" s="20" t="s">
        <v>142</v>
      </c>
      <c r="J13" s="20" t="s">
        <v>142</v>
      </c>
      <c r="K13" s="10"/>
      <c r="L13" s="30" t="str">
        <f>"72,5"</f>
        <v>72,5</v>
      </c>
      <c r="M13" s="10" t="str">
        <f>"78,5247"</f>
        <v>78,5247</v>
      </c>
      <c r="N13" s="9" t="s">
        <v>94</v>
      </c>
    </row>
    <row r="14" spans="1:14">
      <c r="A14" s="25" t="s">
        <v>82</v>
      </c>
      <c r="B14" s="24" t="s">
        <v>260</v>
      </c>
      <c r="C14" s="24" t="s">
        <v>261</v>
      </c>
      <c r="D14" s="24" t="s">
        <v>262</v>
      </c>
      <c r="E14" s="24" t="s">
        <v>741</v>
      </c>
      <c r="F14" s="24" t="s">
        <v>263</v>
      </c>
      <c r="G14" s="24" t="s">
        <v>50</v>
      </c>
      <c r="H14" s="26" t="s">
        <v>91</v>
      </c>
      <c r="I14" s="26" t="s">
        <v>92</v>
      </c>
      <c r="J14" s="27" t="s">
        <v>180</v>
      </c>
      <c r="K14" s="25"/>
      <c r="L14" s="33" t="str">
        <f>"47,5"</f>
        <v>47,5</v>
      </c>
      <c r="M14" s="25" t="str">
        <f>"51,2003"</f>
        <v>51,2003</v>
      </c>
      <c r="N14" s="24" t="s">
        <v>56</v>
      </c>
    </row>
    <row r="15" spans="1:14">
      <c r="A15" s="25" t="s">
        <v>80</v>
      </c>
      <c r="B15" s="24" t="s">
        <v>260</v>
      </c>
      <c r="C15" s="24" t="s">
        <v>264</v>
      </c>
      <c r="D15" s="24" t="s">
        <v>262</v>
      </c>
      <c r="E15" s="24" t="s">
        <v>744</v>
      </c>
      <c r="F15" s="24" t="s">
        <v>263</v>
      </c>
      <c r="G15" s="24" t="s">
        <v>50</v>
      </c>
      <c r="H15" s="26" t="s">
        <v>91</v>
      </c>
      <c r="I15" s="26" t="s">
        <v>92</v>
      </c>
      <c r="J15" s="27" t="s">
        <v>180</v>
      </c>
      <c r="K15" s="25"/>
      <c r="L15" s="33" t="str">
        <f>"47,5"</f>
        <v>47,5</v>
      </c>
      <c r="M15" s="25" t="str">
        <f>"51,9171"</f>
        <v>51,9171</v>
      </c>
      <c r="N15" s="24" t="s">
        <v>56</v>
      </c>
    </row>
    <row r="16" spans="1:14">
      <c r="A16" s="12" t="s">
        <v>82</v>
      </c>
      <c r="B16" s="11" t="s">
        <v>265</v>
      </c>
      <c r="C16" s="11" t="s">
        <v>266</v>
      </c>
      <c r="D16" s="11" t="s">
        <v>267</v>
      </c>
      <c r="E16" s="11" t="s">
        <v>744</v>
      </c>
      <c r="F16" s="11" t="s">
        <v>49</v>
      </c>
      <c r="G16" s="11" t="s">
        <v>50</v>
      </c>
      <c r="H16" s="22" t="s">
        <v>136</v>
      </c>
      <c r="I16" s="22" t="s">
        <v>92</v>
      </c>
      <c r="J16" s="23" t="s">
        <v>180</v>
      </c>
      <c r="K16" s="12"/>
      <c r="L16" s="31" t="str">
        <f>"47,5"</f>
        <v>47,5</v>
      </c>
      <c r="M16" s="12" t="str">
        <f>"52,0674"</f>
        <v>52,0674</v>
      </c>
      <c r="N16" s="11" t="s">
        <v>255</v>
      </c>
    </row>
    <row r="17" spans="1:14">
      <c r="B17" s="5" t="s">
        <v>81</v>
      </c>
    </row>
    <row r="18" spans="1:14" ht="16">
      <c r="A18" s="34" t="s">
        <v>268</v>
      </c>
      <c r="B18" s="34"/>
      <c r="C18" s="35"/>
      <c r="D18" s="35"/>
      <c r="E18" s="35"/>
      <c r="F18" s="35"/>
      <c r="G18" s="35"/>
      <c r="H18" s="35"/>
      <c r="I18" s="35"/>
      <c r="J18" s="35"/>
      <c r="K18" s="35"/>
    </row>
    <row r="19" spans="1:14">
      <c r="A19" s="10" t="s">
        <v>80</v>
      </c>
      <c r="B19" s="9" t="s">
        <v>269</v>
      </c>
      <c r="C19" s="9" t="s">
        <v>270</v>
      </c>
      <c r="D19" s="9" t="s">
        <v>271</v>
      </c>
      <c r="E19" s="9" t="s">
        <v>746</v>
      </c>
      <c r="F19" s="9" t="s">
        <v>272</v>
      </c>
      <c r="G19" s="9" t="s">
        <v>273</v>
      </c>
      <c r="H19" s="21" t="s">
        <v>188</v>
      </c>
      <c r="I19" s="21" t="s">
        <v>100</v>
      </c>
      <c r="J19" s="20" t="s">
        <v>157</v>
      </c>
      <c r="K19" s="10"/>
      <c r="L19" s="30" t="str">
        <f>"60,0"</f>
        <v>60,0</v>
      </c>
      <c r="M19" s="10" t="str">
        <f>"80,1240"</f>
        <v>80,1240</v>
      </c>
      <c r="N19" s="9" t="s">
        <v>274</v>
      </c>
    </row>
    <row r="20" spans="1:14">
      <c r="A20" s="25" t="s">
        <v>82</v>
      </c>
      <c r="B20" s="24" t="s">
        <v>275</v>
      </c>
      <c r="C20" s="24" t="s">
        <v>276</v>
      </c>
      <c r="D20" s="24" t="s">
        <v>277</v>
      </c>
      <c r="E20" s="24" t="s">
        <v>746</v>
      </c>
      <c r="F20" s="24" t="s">
        <v>278</v>
      </c>
      <c r="G20" s="24" t="s">
        <v>50</v>
      </c>
      <c r="H20" s="26" t="s">
        <v>279</v>
      </c>
      <c r="I20" s="26" t="s">
        <v>280</v>
      </c>
      <c r="J20" s="26" t="s">
        <v>281</v>
      </c>
      <c r="K20" s="25"/>
      <c r="L20" s="33" t="str">
        <f>"25,0"</f>
        <v>25,0</v>
      </c>
      <c r="M20" s="25" t="str">
        <f>"33,3850"</f>
        <v>33,3850</v>
      </c>
      <c r="N20" s="24" t="s">
        <v>282</v>
      </c>
    </row>
    <row r="21" spans="1:14">
      <c r="A21" s="12" t="s">
        <v>80</v>
      </c>
      <c r="B21" s="11" t="s">
        <v>275</v>
      </c>
      <c r="C21" s="11" t="s">
        <v>283</v>
      </c>
      <c r="D21" s="11" t="s">
        <v>277</v>
      </c>
      <c r="E21" s="11" t="s">
        <v>741</v>
      </c>
      <c r="F21" s="11" t="s">
        <v>278</v>
      </c>
      <c r="G21" s="11" t="s">
        <v>50</v>
      </c>
      <c r="H21" s="22" t="s">
        <v>279</v>
      </c>
      <c r="I21" s="22" t="s">
        <v>280</v>
      </c>
      <c r="J21" s="22" t="s">
        <v>281</v>
      </c>
      <c r="K21" s="12"/>
      <c r="L21" s="31" t="str">
        <f>"25,0"</f>
        <v>25,0</v>
      </c>
      <c r="M21" s="12" t="str">
        <f>"33,3850"</f>
        <v>33,3850</v>
      </c>
      <c r="N21" s="11" t="s">
        <v>282</v>
      </c>
    </row>
    <row r="22" spans="1:14">
      <c r="B22" s="5" t="s">
        <v>81</v>
      </c>
    </row>
    <row r="23" spans="1:14" ht="16">
      <c r="A23" s="34" t="s">
        <v>84</v>
      </c>
      <c r="B23" s="34"/>
      <c r="C23" s="35"/>
      <c r="D23" s="35"/>
      <c r="E23" s="35"/>
      <c r="F23" s="35"/>
      <c r="G23" s="35"/>
      <c r="H23" s="35"/>
      <c r="I23" s="35"/>
      <c r="J23" s="35"/>
      <c r="K23" s="35"/>
    </row>
    <row r="24" spans="1:14">
      <c r="A24" s="10" t="s">
        <v>80</v>
      </c>
      <c r="B24" s="9" t="s">
        <v>284</v>
      </c>
      <c r="C24" s="9" t="s">
        <v>285</v>
      </c>
      <c r="D24" s="9" t="s">
        <v>286</v>
      </c>
      <c r="E24" s="9" t="s">
        <v>746</v>
      </c>
      <c r="F24" s="9" t="s">
        <v>272</v>
      </c>
      <c r="G24" s="9" t="s">
        <v>239</v>
      </c>
      <c r="H24" s="21" t="s">
        <v>171</v>
      </c>
      <c r="I24" s="21" t="s">
        <v>162</v>
      </c>
      <c r="J24" s="21" t="s">
        <v>134</v>
      </c>
      <c r="K24" s="10"/>
      <c r="L24" s="30" t="str">
        <f>"90,0"</f>
        <v>90,0</v>
      </c>
      <c r="M24" s="10" t="str">
        <f>"75,6180"</f>
        <v>75,6180</v>
      </c>
      <c r="N24" s="9" t="s">
        <v>287</v>
      </c>
    </row>
    <row r="25" spans="1:14">
      <c r="A25" s="12" t="s">
        <v>83</v>
      </c>
      <c r="B25" s="11" t="s">
        <v>288</v>
      </c>
      <c r="C25" s="11" t="s">
        <v>289</v>
      </c>
      <c r="D25" s="11" t="s">
        <v>87</v>
      </c>
      <c r="E25" s="11" t="s">
        <v>746</v>
      </c>
      <c r="F25" s="11" t="s">
        <v>219</v>
      </c>
      <c r="G25" s="11" t="s">
        <v>50</v>
      </c>
      <c r="H25" s="23" t="s">
        <v>290</v>
      </c>
      <c r="I25" s="23" t="s">
        <v>290</v>
      </c>
      <c r="J25" s="23" t="s">
        <v>290</v>
      </c>
      <c r="K25" s="12"/>
      <c r="L25" s="31">
        <v>0</v>
      </c>
      <c r="M25" s="12" t="str">
        <f>"0,0000"</f>
        <v>0,0000</v>
      </c>
      <c r="N25" s="11" t="s">
        <v>291</v>
      </c>
    </row>
    <row r="26" spans="1:14">
      <c r="B26" s="5" t="s">
        <v>81</v>
      </c>
    </row>
    <row r="27" spans="1:14" ht="16">
      <c r="A27" s="34" t="s">
        <v>10</v>
      </c>
      <c r="B27" s="34"/>
      <c r="C27" s="35"/>
      <c r="D27" s="35"/>
      <c r="E27" s="35"/>
      <c r="F27" s="35"/>
      <c r="G27" s="35"/>
      <c r="H27" s="35"/>
      <c r="I27" s="35"/>
      <c r="J27" s="35"/>
      <c r="K27" s="35"/>
    </row>
    <row r="28" spans="1:14">
      <c r="A28" s="10" t="s">
        <v>80</v>
      </c>
      <c r="B28" s="9" t="s">
        <v>292</v>
      </c>
      <c r="C28" s="9" t="s">
        <v>293</v>
      </c>
      <c r="D28" s="9" t="s">
        <v>294</v>
      </c>
      <c r="E28" s="9" t="s">
        <v>743</v>
      </c>
      <c r="F28" s="9" t="s">
        <v>219</v>
      </c>
      <c r="G28" s="9" t="s">
        <v>50</v>
      </c>
      <c r="H28" s="21" t="s">
        <v>19</v>
      </c>
      <c r="I28" s="21" t="s">
        <v>99</v>
      </c>
      <c r="J28" s="21" t="s">
        <v>190</v>
      </c>
      <c r="K28" s="10"/>
      <c r="L28" s="30" t="str">
        <f>"127,5"</f>
        <v>127,5</v>
      </c>
      <c r="M28" s="10" t="str">
        <f>"91,4557"</f>
        <v>91,4557</v>
      </c>
      <c r="N28" s="9" t="s">
        <v>215</v>
      </c>
    </row>
    <row r="29" spans="1:14">
      <c r="A29" s="25" t="s">
        <v>80</v>
      </c>
      <c r="B29" s="24" t="s">
        <v>46</v>
      </c>
      <c r="C29" s="24" t="s">
        <v>212</v>
      </c>
      <c r="D29" s="24" t="s">
        <v>213</v>
      </c>
      <c r="E29" s="24" t="s">
        <v>741</v>
      </c>
      <c r="F29" s="24" t="s">
        <v>214</v>
      </c>
      <c r="G29" s="24" t="s">
        <v>50</v>
      </c>
      <c r="H29" s="26" t="s">
        <v>19</v>
      </c>
      <c r="I29" s="25"/>
      <c r="J29" s="25"/>
      <c r="K29" s="25"/>
      <c r="L29" s="33" t="str">
        <f>"110,0"</f>
        <v>110,0</v>
      </c>
      <c r="M29" s="25" t="str">
        <f>"80,3000"</f>
        <v>80,3000</v>
      </c>
      <c r="N29" s="24" t="s">
        <v>215</v>
      </c>
    </row>
    <row r="30" spans="1:14">
      <c r="A30" s="12" t="s">
        <v>80</v>
      </c>
      <c r="B30" s="11" t="s">
        <v>295</v>
      </c>
      <c r="C30" s="11" t="s">
        <v>296</v>
      </c>
      <c r="D30" s="11" t="s">
        <v>297</v>
      </c>
      <c r="E30" s="11" t="s">
        <v>744</v>
      </c>
      <c r="F30" s="11" t="s">
        <v>713</v>
      </c>
      <c r="G30" s="11" t="s">
        <v>50</v>
      </c>
      <c r="H30" s="23" t="s">
        <v>93</v>
      </c>
      <c r="I30" s="22" t="s">
        <v>18</v>
      </c>
      <c r="J30" s="23" t="s">
        <v>19</v>
      </c>
      <c r="K30" s="12"/>
      <c r="L30" s="31" t="str">
        <f>"105,0"</f>
        <v>105,0</v>
      </c>
      <c r="M30" s="12" t="str">
        <f>"84,3822"</f>
        <v>84,3822</v>
      </c>
      <c r="N30" s="11"/>
    </row>
    <row r="31" spans="1:14">
      <c r="B31" s="5" t="s">
        <v>81</v>
      </c>
    </row>
    <row r="32" spans="1:14" ht="16">
      <c r="A32" s="34" t="s">
        <v>130</v>
      </c>
      <c r="B32" s="34"/>
      <c r="C32" s="35"/>
      <c r="D32" s="35"/>
      <c r="E32" s="35"/>
      <c r="F32" s="35"/>
      <c r="G32" s="35"/>
      <c r="H32" s="35"/>
      <c r="I32" s="35"/>
      <c r="J32" s="35"/>
      <c r="K32" s="35"/>
    </row>
    <row r="33" spans="1:14">
      <c r="A33" s="10" t="s">
        <v>83</v>
      </c>
      <c r="B33" s="9" t="s">
        <v>298</v>
      </c>
      <c r="C33" s="9" t="s">
        <v>299</v>
      </c>
      <c r="D33" s="9" t="s">
        <v>300</v>
      </c>
      <c r="E33" s="9" t="s">
        <v>746</v>
      </c>
      <c r="F33" s="9" t="s">
        <v>301</v>
      </c>
      <c r="G33" s="9" t="s">
        <v>239</v>
      </c>
      <c r="H33" s="20" t="s">
        <v>19</v>
      </c>
      <c r="I33" s="20" t="s">
        <v>19</v>
      </c>
      <c r="J33" s="20" t="s">
        <v>19</v>
      </c>
      <c r="K33" s="10"/>
      <c r="L33" s="30">
        <v>0</v>
      </c>
      <c r="M33" s="10" t="str">
        <f>"0,0000"</f>
        <v>0,0000</v>
      </c>
      <c r="N33" s="9" t="s">
        <v>302</v>
      </c>
    </row>
    <row r="34" spans="1:14">
      <c r="A34" s="25" t="s">
        <v>80</v>
      </c>
      <c r="B34" s="24" t="s">
        <v>303</v>
      </c>
      <c r="C34" s="24" t="s">
        <v>304</v>
      </c>
      <c r="D34" s="24" t="s">
        <v>305</v>
      </c>
      <c r="E34" s="24" t="s">
        <v>743</v>
      </c>
      <c r="F34" s="24" t="s">
        <v>88</v>
      </c>
      <c r="G34" s="24" t="s">
        <v>89</v>
      </c>
      <c r="H34" s="26" t="s">
        <v>18</v>
      </c>
      <c r="I34" s="27" t="s">
        <v>173</v>
      </c>
      <c r="J34" s="27" t="s">
        <v>173</v>
      </c>
      <c r="K34" s="25"/>
      <c r="L34" s="33" t="str">
        <f>"105,0"</f>
        <v>105,0</v>
      </c>
      <c r="M34" s="25" t="str">
        <f>"71,0745"</f>
        <v>71,0745</v>
      </c>
      <c r="N34" s="24" t="s">
        <v>94</v>
      </c>
    </row>
    <row r="35" spans="1:14">
      <c r="A35" s="25" t="s">
        <v>80</v>
      </c>
      <c r="B35" s="24" t="s">
        <v>306</v>
      </c>
      <c r="C35" s="24" t="s">
        <v>307</v>
      </c>
      <c r="D35" s="24" t="s">
        <v>308</v>
      </c>
      <c r="E35" s="24" t="s">
        <v>741</v>
      </c>
      <c r="F35" s="24" t="s">
        <v>712</v>
      </c>
      <c r="G35" s="24" t="s">
        <v>309</v>
      </c>
      <c r="H35" s="26" t="s">
        <v>39</v>
      </c>
      <c r="I35" s="27" t="s">
        <v>29</v>
      </c>
      <c r="J35" s="26" t="s">
        <v>29</v>
      </c>
      <c r="K35" s="25"/>
      <c r="L35" s="33" t="str">
        <f>"202,5"</f>
        <v>202,5</v>
      </c>
      <c r="M35" s="25" t="str">
        <f>"137,5987"</f>
        <v>137,5987</v>
      </c>
      <c r="N35" s="24"/>
    </row>
    <row r="36" spans="1:14">
      <c r="A36" s="25" t="s">
        <v>82</v>
      </c>
      <c r="B36" s="24" t="s">
        <v>310</v>
      </c>
      <c r="C36" s="24" t="s">
        <v>311</v>
      </c>
      <c r="D36" s="24" t="s">
        <v>133</v>
      </c>
      <c r="E36" s="24" t="s">
        <v>741</v>
      </c>
      <c r="F36" s="24" t="s">
        <v>312</v>
      </c>
      <c r="G36" s="24" t="s">
        <v>50</v>
      </c>
      <c r="H36" s="26" t="s">
        <v>150</v>
      </c>
      <c r="I36" s="27" t="s">
        <v>28</v>
      </c>
      <c r="J36" s="27" t="s">
        <v>28</v>
      </c>
      <c r="K36" s="25"/>
      <c r="L36" s="33" t="str">
        <f>"192,5"</f>
        <v>192,5</v>
      </c>
      <c r="M36" s="25" t="str">
        <f>"128,9558"</f>
        <v>128,9558</v>
      </c>
      <c r="N36" s="24" t="s">
        <v>313</v>
      </c>
    </row>
    <row r="37" spans="1:14">
      <c r="A37" s="25" t="s">
        <v>390</v>
      </c>
      <c r="B37" s="24" t="s">
        <v>314</v>
      </c>
      <c r="C37" s="24" t="s">
        <v>315</v>
      </c>
      <c r="D37" s="24" t="s">
        <v>308</v>
      </c>
      <c r="E37" s="24" t="s">
        <v>741</v>
      </c>
      <c r="F37" s="24" t="s">
        <v>88</v>
      </c>
      <c r="G37" s="24" t="s">
        <v>89</v>
      </c>
      <c r="H37" s="26" t="s">
        <v>316</v>
      </c>
      <c r="I37" s="27" t="s">
        <v>15</v>
      </c>
      <c r="J37" s="27" t="s">
        <v>15</v>
      </c>
      <c r="K37" s="25"/>
      <c r="L37" s="33" t="str">
        <f>"155,0"</f>
        <v>155,0</v>
      </c>
      <c r="M37" s="25" t="str">
        <f>"105,3225"</f>
        <v>105,3225</v>
      </c>
      <c r="N37" s="24" t="s">
        <v>94</v>
      </c>
    </row>
    <row r="38" spans="1:14">
      <c r="A38" s="12" t="s">
        <v>80</v>
      </c>
      <c r="B38" s="11" t="s">
        <v>317</v>
      </c>
      <c r="C38" s="11" t="s">
        <v>318</v>
      </c>
      <c r="D38" s="11" t="s">
        <v>319</v>
      </c>
      <c r="E38" s="11" t="s">
        <v>748</v>
      </c>
      <c r="F38" s="11" t="s">
        <v>49</v>
      </c>
      <c r="G38" s="11" t="s">
        <v>50</v>
      </c>
      <c r="H38" s="22" t="s">
        <v>19</v>
      </c>
      <c r="I38" s="22" t="s">
        <v>20</v>
      </c>
      <c r="J38" s="23" t="s">
        <v>99</v>
      </c>
      <c r="K38" s="12"/>
      <c r="L38" s="31" t="str">
        <f>"115,0"</f>
        <v>115,0</v>
      </c>
      <c r="M38" s="12" t="str">
        <f>"111,7700"</f>
        <v>111,7700</v>
      </c>
      <c r="N38" s="11" t="s">
        <v>255</v>
      </c>
    </row>
    <row r="39" spans="1:14">
      <c r="B39" s="5" t="s">
        <v>81</v>
      </c>
    </row>
    <row r="40" spans="1:14" ht="16">
      <c r="A40" s="34" t="s">
        <v>21</v>
      </c>
      <c r="B40" s="34"/>
      <c r="C40" s="35"/>
      <c r="D40" s="35"/>
      <c r="E40" s="35"/>
      <c r="F40" s="35"/>
      <c r="G40" s="35"/>
      <c r="H40" s="35"/>
      <c r="I40" s="35"/>
      <c r="J40" s="35"/>
      <c r="K40" s="35"/>
    </row>
    <row r="41" spans="1:14">
      <c r="A41" s="10" t="s">
        <v>80</v>
      </c>
      <c r="B41" s="9" t="s">
        <v>320</v>
      </c>
      <c r="C41" s="9" t="s">
        <v>321</v>
      </c>
      <c r="D41" s="9" t="s">
        <v>322</v>
      </c>
      <c r="E41" s="9" t="s">
        <v>747</v>
      </c>
      <c r="F41" s="9" t="s">
        <v>88</v>
      </c>
      <c r="G41" s="9" t="s">
        <v>89</v>
      </c>
      <c r="H41" s="21" t="s">
        <v>93</v>
      </c>
      <c r="I41" s="20" t="s">
        <v>18</v>
      </c>
      <c r="J41" s="20" t="s">
        <v>18</v>
      </c>
      <c r="K41" s="10"/>
      <c r="L41" s="30" t="str">
        <f>"100,0"</f>
        <v>100,0</v>
      </c>
      <c r="M41" s="10" t="str">
        <f>"64,4400"</f>
        <v>64,4400</v>
      </c>
      <c r="N41" s="9" t="s">
        <v>94</v>
      </c>
    </row>
    <row r="42" spans="1:14">
      <c r="A42" s="25" t="s">
        <v>80</v>
      </c>
      <c r="B42" s="24" t="s">
        <v>22</v>
      </c>
      <c r="C42" s="24" t="s">
        <v>23</v>
      </c>
      <c r="D42" s="24" t="s">
        <v>24</v>
      </c>
      <c r="E42" s="24" t="s">
        <v>741</v>
      </c>
      <c r="F42" s="24" t="s">
        <v>713</v>
      </c>
      <c r="G42" s="24" t="s">
        <v>25</v>
      </c>
      <c r="H42" s="26" t="s">
        <v>27</v>
      </c>
      <c r="I42" s="26" t="s">
        <v>28</v>
      </c>
      <c r="J42" s="26" t="s">
        <v>29</v>
      </c>
      <c r="K42" s="25"/>
      <c r="L42" s="33" t="str">
        <f>"202,5"</f>
        <v>202,5</v>
      </c>
      <c r="M42" s="25" t="str">
        <f>"130,6327"</f>
        <v>130,6327</v>
      </c>
      <c r="N42" s="24"/>
    </row>
    <row r="43" spans="1:14">
      <c r="A43" s="25" t="s">
        <v>82</v>
      </c>
      <c r="B43" s="24" t="s">
        <v>323</v>
      </c>
      <c r="C43" s="24" t="s">
        <v>324</v>
      </c>
      <c r="D43" s="24" t="s">
        <v>325</v>
      </c>
      <c r="E43" s="24" t="s">
        <v>741</v>
      </c>
      <c r="F43" s="24" t="s">
        <v>326</v>
      </c>
      <c r="G43" s="24" t="s">
        <v>61</v>
      </c>
      <c r="H43" s="26" t="s">
        <v>290</v>
      </c>
      <c r="I43" s="26" t="s">
        <v>29</v>
      </c>
      <c r="J43" s="27" t="s">
        <v>40</v>
      </c>
      <c r="K43" s="25"/>
      <c r="L43" s="33" t="str">
        <f>"202,5"</f>
        <v>202,5</v>
      </c>
      <c r="M43" s="25" t="str">
        <f>"129,7215"</f>
        <v>129,7215</v>
      </c>
      <c r="N43" s="24" t="s">
        <v>327</v>
      </c>
    </row>
    <row r="44" spans="1:14">
      <c r="A44" s="25" t="s">
        <v>390</v>
      </c>
      <c r="B44" s="24" t="s">
        <v>328</v>
      </c>
      <c r="C44" s="24" t="s">
        <v>184</v>
      </c>
      <c r="D44" s="24" t="s">
        <v>329</v>
      </c>
      <c r="E44" s="24" t="s">
        <v>741</v>
      </c>
      <c r="F44" s="24" t="s">
        <v>312</v>
      </c>
      <c r="G44" s="24" t="s">
        <v>50</v>
      </c>
      <c r="H44" s="26" t="s">
        <v>39</v>
      </c>
      <c r="I44" s="27" t="s">
        <v>29</v>
      </c>
      <c r="J44" s="27" t="s">
        <v>29</v>
      </c>
      <c r="K44" s="25"/>
      <c r="L44" s="33" t="str">
        <f>"195,0"</f>
        <v>195,0</v>
      </c>
      <c r="M44" s="25" t="str">
        <f>"126,8085"</f>
        <v>126,8085</v>
      </c>
      <c r="N44" s="24" t="s">
        <v>330</v>
      </c>
    </row>
    <row r="45" spans="1:14">
      <c r="A45" s="25" t="s">
        <v>391</v>
      </c>
      <c r="B45" s="24" t="s">
        <v>331</v>
      </c>
      <c r="C45" s="24" t="s">
        <v>332</v>
      </c>
      <c r="D45" s="24" t="s">
        <v>333</v>
      </c>
      <c r="E45" s="24" t="s">
        <v>741</v>
      </c>
      <c r="F45" s="24" t="s">
        <v>713</v>
      </c>
      <c r="G45" s="24" t="s">
        <v>50</v>
      </c>
      <c r="H45" s="26" t="s">
        <v>112</v>
      </c>
      <c r="I45" s="26" t="s">
        <v>71</v>
      </c>
      <c r="J45" s="27" t="s">
        <v>334</v>
      </c>
      <c r="K45" s="25"/>
      <c r="L45" s="33" t="str">
        <f>"170,0"</f>
        <v>170,0</v>
      </c>
      <c r="M45" s="25" t="str">
        <f>"112,4550"</f>
        <v>112,4550</v>
      </c>
      <c r="N45" s="24"/>
    </row>
    <row r="46" spans="1:14">
      <c r="A46" s="25" t="s">
        <v>392</v>
      </c>
      <c r="B46" s="24" t="s">
        <v>335</v>
      </c>
      <c r="C46" s="24" t="s">
        <v>336</v>
      </c>
      <c r="D46" s="24" t="s">
        <v>337</v>
      </c>
      <c r="E46" s="24" t="s">
        <v>741</v>
      </c>
      <c r="F46" s="24" t="s">
        <v>713</v>
      </c>
      <c r="G46" s="24" t="s">
        <v>338</v>
      </c>
      <c r="H46" s="26" t="s">
        <v>67</v>
      </c>
      <c r="I46" s="27" t="s">
        <v>339</v>
      </c>
      <c r="J46" s="27" t="s">
        <v>339</v>
      </c>
      <c r="K46" s="25"/>
      <c r="L46" s="33" t="str">
        <f>"162,5"</f>
        <v>162,5</v>
      </c>
      <c r="M46" s="25" t="str">
        <f>"105,0888"</f>
        <v>105,0888</v>
      </c>
      <c r="N46" s="24"/>
    </row>
    <row r="47" spans="1:14">
      <c r="A47" s="12" t="s">
        <v>80</v>
      </c>
      <c r="B47" s="11" t="s">
        <v>340</v>
      </c>
      <c r="C47" s="11" t="s">
        <v>341</v>
      </c>
      <c r="D47" s="11" t="s">
        <v>342</v>
      </c>
      <c r="E47" s="11" t="s">
        <v>748</v>
      </c>
      <c r="F47" s="11" t="s">
        <v>713</v>
      </c>
      <c r="G47" s="11" t="s">
        <v>50</v>
      </c>
      <c r="H47" s="22" t="s">
        <v>93</v>
      </c>
      <c r="I47" s="22" t="s">
        <v>20</v>
      </c>
      <c r="J47" s="22" t="s">
        <v>174</v>
      </c>
      <c r="K47" s="12"/>
      <c r="L47" s="31" t="str">
        <f>"117,5"</f>
        <v>117,5</v>
      </c>
      <c r="M47" s="12" t="str">
        <f>"120,5448"</f>
        <v>120,5448</v>
      </c>
      <c r="N47" s="11"/>
    </row>
    <row r="48" spans="1:14">
      <c r="B48" s="5" t="s">
        <v>81</v>
      </c>
    </row>
    <row r="49" spans="1:14" ht="16">
      <c r="A49" s="34" t="s">
        <v>117</v>
      </c>
      <c r="B49" s="34"/>
      <c r="C49" s="35"/>
      <c r="D49" s="35"/>
      <c r="E49" s="35"/>
      <c r="F49" s="35"/>
      <c r="G49" s="35"/>
      <c r="H49" s="35"/>
      <c r="I49" s="35"/>
      <c r="J49" s="35"/>
      <c r="K49" s="35"/>
    </row>
    <row r="50" spans="1:14">
      <c r="A50" s="10" t="s">
        <v>80</v>
      </c>
      <c r="B50" s="9" t="s">
        <v>343</v>
      </c>
      <c r="C50" s="9" t="s">
        <v>344</v>
      </c>
      <c r="D50" s="9" t="s">
        <v>345</v>
      </c>
      <c r="E50" s="9" t="s">
        <v>743</v>
      </c>
      <c r="F50" s="9" t="s">
        <v>713</v>
      </c>
      <c r="G50" s="9" t="s">
        <v>179</v>
      </c>
      <c r="H50" s="21" t="s">
        <v>27</v>
      </c>
      <c r="I50" s="20" t="s">
        <v>39</v>
      </c>
      <c r="J50" s="20" t="s">
        <v>39</v>
      </c>
      <c r="K50" s="10"/>
      <c r="L50" s="30" t="str">
        <f>"190,0"</f>
        <v>190,0</v>
      </c>
      <c r="M50" s="10" t="str">
        <f>"116,2420"</f>
        <v>116,2420</v>
      </c>
      <c r="N50" s="9" t="s">
        <v>94</v>
      </c>
    </row>
    <row r="51" spans="1:14">
      <c r="A51" s="25" t="s">
        <v>80</v>
      </c>
      <c r="B51" s="24" t="s">
        <v>229</v>
      </c>
      <c r="C51" s="24" t="s">
        <v>230</v>
      </c>
      <c r="D51" s="24" t="s">
        <v>346</v>
      </c>
      <c r="E51" s="24" t="s">
        <v>741</v>
      </c>
      <c r="F51" s="24" t="s">
        <v>219</v>
      </c>
      <c r="G51" s="24" t="s">
        <v>50</v>
      </c>
      <c r="H51" s="26" t="s">
        <v>39</v>
      </c>
      <c r="I51" s="26" t="s">
        <v>41</v>
      </c>
      <c r="J51" s="27" t="s">
        <v>116</v>
      </c>
      <c r="K51" s="25"/>
      <c r="L51" s="33" t="str">
        <f>"210,0"</f>
        <v>210,0</v>
      </c>
      <c r="M51" s="25" t="str">
        <f>"129,4860"</f>
        <v>129,4860</v>
      </c>
      <c r="N51" s="24" t="s">
        <v>232</v>
      </c>
    </row>
    <row r="52" spans="1:14">
      <c r="A52" s="25" t="s">
        <v>82</v>
      </c>
      <c r="B52" s="24" t="s">
        <v>347</v>
      </c>
      <c r="C52" s="24" t="s">
        <v>348</v>
      </c>
      <c r="D52" s="24" t="s">
        <v>349</v>
      </c>
      <c r="E52" s="24" t="s">
        <v>741</v>
      </c>
      <c r="F52" s="24" t="s">
        <v>350</v>
      </c>
      <c r="G52" s="24" t="s">
        <v>61</v>
      </c>
      <c r="H52" s="26" t="s">
        <v>16</v>
      </c>
      <c r="I52" s="27" t="s">
        <v>351</v>
      </c>
      <c r="J52" s="27" t="s">
        <v>351</v>
      </c>
      <c r="K52" s="25"/>
      <c r="L52" s="33" t="str">
        <f>"175,0"</f>
        <v>175,0</v>
      </c>
      <c r="M52" s="25" t="str">
        <f>"108,8500"</f>
        <v>108,8500</v>
      </c>
      <c r="N52" s="24" t="s">
        <v>69</v>
      </c>
    </row>
    <row r="53" spans="1:14">
      <c r="A53" s="25" t="s">
        <v>390</v>
      </c>
      <c r="B53" s="24" t="s">
        <v>352</v>
      </c>
      <c r="C53" s="24" t="s">
        <v>353</v>
      </c>
      <c r="D53" s="24" t="s">
        <v>354</v>
      </c>
      <c r="E53" s="24" t="s">
        <v>741</v>
      </c>
      <c r="F53" s="24" t="s">
        <v>712</v>
      </c>
      <c r="G53" s="24" t="s">
        <v>50</v>
      </c>
      <c r="H53" s="26" t="s">
        <v>112</v>
      </c>
      <c r="I53" s="26" t="s">
        <v>339</v>
      </c>
      <c r="J53" s="26" t="s">
        <v>71</v>
      </c>
      <c r="K53" s="25"/>
      <c r="L53" s="33" t="str">
        <f>"170,0"</f>
        <v>170,0</v>
      </c>
      <c r="M53" s="25" t="str">
        <f>"106,1990"</f>
        <v>106,1990</v>
      </c>
      <c r="N53" s="24" t="s">
        <v>355</v>
      </c>
    </row>
    <row r="54" spans="1:14">
      <c r="A54" s="25" t="s">
        <v>391</v>
      </c>
      <c r="B54" s="24" t="s">
        <v>356</v>
      </c>
      <c r="C54" s="24" t="s">
        <v>357</v>
      </c>
      <c r="D54" s="24" t="s">
        <v>358</v>
      </c>
      <c r="E54" s="24" t="s">
        <v>741</v>
      </c>
      <c r="F54" s="24" t="s">
        <v>121</v>
      </c>
      <c r="G54" s="24" t="s">
        <v>50</v>
      </c>
      <c r="H54" s="26" t="s">
        <v>339</v>
      </c>
      <c r="I54" s="27" t="s">
        <v>16</v>
      </c>
      <c r="J54" s="27" t="s">
        <v>16</v>
      </c>
      <c r="K54" s="25"/>
      <c r="L54" s="33" t="str">
        <f>"167,5"</f>
        <v>167,5</v>
      </c>
      <c r="M54" s="25" t="str">
        <f>"104,4865"</f>
        <v>104,4865</v>
      </c>
      <c r="N54" s="24" t="s">
        <v>359</v>
      </c>
    </row>
    <row r="55" spans="1:14">
      <c r="A55" s="12" t="s">
        <v>80</v>
      </c>
      <c r="B55" s="11" t="s">
        <v>360</v>
      </c>
      <c r="C55" s="11" t="s">
        <v>361</v>
      </c>
      <c r="D55" s="11" t="s">
        <v>362</v>
      </c>
      <c r="E55" s="11" t="s">
        <v>745</v>
      </c>
      <c r="F55" s="11" t="s">
        <v>713</v>
      </c>
      <c r="G55" s="11" t="s">
        <v>50</v>
      </c>
      <c r="H55" s="23" t="s">
        <v>171</v>
      </c>
      <c r="I55" s="22" t="s">
        <v>171</v>
      </c>
      <c r="J55" s="23" t="s">
        <v>134</v>
      </c>
      <c r="K55" s="12"/>
      <c r="L55" s="31" t="str">
        <f>"85,0"</f>
        <v>85,0</v>
      </c>
      <c r="M55" s="12" t="str">
        <f>"99,8402"</f>
        <v>99,8402</v>
      </c>
      <c r="N55" s="11"/>
    </row>
    <row r="56" spans="1:14">
      <c r="B56" s="5" t="s">
        <v>81</v>
      </c>
    </row>
    <row r="57" spans="1:14" ht="16">
      <c r="A57" s="34" t="s">
        <v>32</v>
      </c>
      <c r="B57" s="34"/>
      <c r="C57" s="35"/>
      <c r="D57" s="35"/>
      <c r="E57" s="35"/>
      <c r="F57" s="35"/>
      <c r="G57" s="35"/>
      <c r="H57" s="35"/>
      <c r="I57" s="35"/>
      <c r="J57" s="35"/>
      <c r="K57" s="35"/>
    </row>
    <row r="58" spans="1:14">
      <c r="A58" s="10" t="s">
        <v>80</v>
      </c>
      <c r="B58" s="9" t="s">
        <v>363</v>
      </c>
      <c r="C58" s="9" t="s">
        <v>364</v>
      </c>
      <c r="D58" s="9" t="s">
        <v>365</v>
      </c>
      <c r="E58" s="9" t="s">
        <v>741</v>
      </c>
      <c r="F58" s="9" t="s">
        <v>326</v>
      </c>
      <c r="G58" s="9" t="s">
        <v>61</v>
      </c>
      <c r="H58" s="20" t="s">
        <v>41</v>
      </c>
      <c r="I58" s="21" t="s">
        <v>55</v>
      </c>
      <c r="J58" s="21" t="s">
        <v>366</v>
      </c>
      <c r="K58" s="10"/>
      <c r="L58" s="30" t="str">
        <f>"235,0"</f>
        <v>235,0</v>
      </c>
      <c r="M58" s="10" t="str">
        <f>"140,5300"</f>
        <v>140,5300</v>
      </c>
      <c r="N58" s="9" t="s">
        <v>327</v>
      </c>
    </row>
    <row r="59" spans="1:14">
      <c r="A59" s="25" t="s">
        <v>82</v>
      </c>
      <c r="B59" s="24" t="s">
        <v>367</v>
      </c>
      <c r="C59" s="24" t="s">
        <v>368</v>
      </c>
      <c r="D59" s="24" t="s">
        <v>369</v>
      </c>
      <c r="E59" s="24" t="s">
        <v>741</v>
      </c>
      <c r="F59" s="24" t="s">
        <v>312</v>
      </c>
      <c r="G59" s="24" t="s">
        <v>50</v>
      </c>
      <c r="H59" s="26" t="s">
        <v>39</v>
      </c>
      <c r="I59" s="27" t="s">
        <v>28</v>
      </c>
      <c r="J59" s="25"/>
      <c r="K59" s="25"/>
      <c r="L59" s="33" t="str">
        <f>"195,0"</f>
        <v>195,0</v>
      </c>
      <c r="M59" s="25" t="str">
        <f>"117,7605"</f>
        <v>117,7605</v>
      </c>
      <c r="N59" s="24" t="s">
        <v>370</v>
      </c>
    </row>
    <row r="60" spans="1:14">
      <c r="A60" s="25" t="s">
        <v>390</v>
      </c>
      <c r="B60" s="24" t="s">
        <v>371</v>
      </c>
      <c r="C60" s="24" t="s">
        <v>372</v>
      </c>
      <c r="D60" s="24" t="s">
        <v>373</v>
      </c>
      <c r="E60" s="24" t="s">
        <v>741</v>
      </c>
      <c r="F60" s="24" t="s">
        <v>219</v>
      </c>
      <c r="G60" s="24" t="s">
        <v>50</v>
      </c>
      <c r="H60" s="26" t="s">
        <v>316</v>
      </c>
      <c r="I60" s="26" t="s">
        <v>15</v>
      </c>
      <c r="J60" s="27" t="s">
        <v>71</v>
      </c>
      <c r="K60" s="25"/>
      <c r="L60" s="33" t="str">
        <f>"165,0"</f>
        <v>165,0</v>
      </c>
      <c r="M60" s="25" t="str">
        <f>"98,8020"</f>
        <v>98,8020</v>
      </c>
      <c r="N60" s="24" t="s">
        <v>215</v>
      </c>
    </row>
    <row r="61" spans="1:14">
      <c r="A61" s="25" t="s">
        <v>391</v>
      </c>
      <c r="B61" s="24" t="s">
        <v>374</v>
      </c>
      <c r="C61" s="24" t="s">
        <v>375</v>
      </c>
      <c r="D61" s="24" t="s">
        <v>376</v>
      </c>
      <c r="E61" s="24" t="s">
        <v>741</v>
      </c>
      <c r="F61" s="24" t="s">
        <v>712</v>
      </c>
      <c r="G61" s="24" t="s">
        <v>50</v>
      </c>
      <c r="H61" s="26" t="s">
        <v>316</v>
      </c>
      <c r="I61" s="27" t="s">
        <v>15</v>
      </c>
      <c r="J61" s="27" t="s">
        <v>15</v>
      </c>
      <c r="K61" s="25"/>
      <c r="L61" s="33" t="str">
        <f>"155,0"</f>
        <v>155,0</v>
      </c>
      <c r="M61" s="25" t="str">
        <f>"91,8530"</f>
        <v>91,8530</v>
      </c>
      <c r="N61" s="24"/>
    </row>
    <row r="62" spans="1:14">
      <c r="A62" s="12" t="s">
        <v>80</v>
      </c>
      <c r="B62" s="11" t="s">
        <v>377</v>
      </c>
      <c r="C62" s="11" t="s">
        <v>378</v>
      </c>
      <c r="D62" s="11" t="s">
        <v>379</v>
      </c>
      <c r="E62" s="11" t="s">
        <v>744</v>
      </c>
      <c r="F62" s="11" t="s">
        <v>712</v>
      </c>
      <c r="G62" s="11" t="s">
        <v>25</v>
      </c>
      <c r="H62" s="22" t="s">
        <v>52</v>
      </c>
      <c r="I62" s="22" t="s">
        <v>53</v>
      </c>
      <c r="J62" s="23" t="s">
        <v>200</v>
      </c>
      <c r="K62" s="12"/>
      <c r="L62" s="31" t="str">
        <f>"137,5"</f>
        <v>137,5</v>
      </c>
      <c r="M62" s="12" t="str">
        <f>"89,0486"</f>
        <v>89,0486</v>
      </c>
      <c r="N62" s="11"/>
    </row>
    <row r="63" spans="1:14">
      <c r="B63" s="5" t="s">
        <v>81</v>
      </c>
    </row>
    <row r="64" spans="1:14" ht="16">
      <c r="A64" s="34" t="s">
        <v>57</v>
      </c>
      <c r="B64" s="34"/>
      <c r="C64" s="35"/>
      <c r="D64" s="35"/>
      <c r="E64" s="35"/>
      <c r="F64" s="35"/>
      <c r="G64" s="35"/>
      <c r="H64" s="35"/>
      <c r="I64" s="35"/>
      <c r="J64" s="35"/>
      <c r="K64" s="35"/>
    </row>
    <row r="65" spans="1:14">
      <c r="A65" s="8" t="s">
        <v>80</v>
      </c>
      <c r="B65" s="7" t="s">
        <v>380</v>
      </c>
      <c r="C65" s="7" t="s">
        <v>381</v>
      </c>
      <c r="D65" s="7" t="s">
        <v>382</v>
      </c>
      <c r="E65" s="7" t="s">
        <v>741</v>
      </c>
      <c r="F65" s="7" t="s">
        <v>88</v>
      </c>
      <c r="G65" s="7" t="s">
        <v>89</v>
      </c>
      <c r="H65" s="18" t="s">
        <v>351</v>
      </c>
      <c r="I65" s="19" t="s">
        <v>150</v>
      </c>
      <c r="J65" s="19" t="s">
        <v>150</v>
      </c>
      <c r="K65" s="8"/>
      <c r="L65" s="29" t="str">
        <f>"182,5"</f>
        <v>182,5</v>
      </c>
      <c r="M65" s="8" t="str">
        <f>"105,6128"</f>
        <v>105,6128</v>
      </c>
      <c r="N65" s="7" t="s">
        <v>383</v>
      </c>
    </row>
    <row r="66" spans="1:14">
      <c r="B66" s="5" t="s">
        <v>81</v>
      </c>
    </row>
    <row r="67" spans="1:14" ht="16">
      <c r="A67" s="34" t="s">
        <v>70</v>
      </c>
      <c r="B67" s="34"/>
      <c r="C67" s="35"/>
      <c r="D67" s="35"/>
      <c r="E67" s="35"/>
      <c r="F67" s="35"/>
      <c r="G67" s="35"/>
      <c r="H67" s="35"/>
      <c r="I67" s="35"/>
      <c r="J67" s="35"/>
      <c r="K67" s="35"/>
    </row>
    <row r="68" spans="1:14">
      <c r="A68" s="8" t="s">
        <v>80</v>
      </c>
      <c r="B68" s="7" t="s">
        <v>384</v>
      </c>
      <c r="C68" s="7" t="s">
        <v>385</v>
      </c>
      <c r="D68" s="7" t="s">
        <v>386</v>
      </c>
      <c r="E68" s="7" t="s">
        <v>744</v>
      </c>
      <c r="F68" s="7" t="s">
        <v>350</v>
      </c>
      <c r="G68" s="7" t="s">
        <v>732</v>
      </c>
      <c r="H68" s="18" t="s">
        <v>39</v>
      </c>
      <c r="I68" s="18" t="s">
        <v>40</v>
      </c>
      <c r="J68" s="19" t="s">
        <v>41</v>
      </c>
      <c r="K68" s="8"/>
      <c r="L68" s="29" t="str">
        <f>"205,0"</f>
        <v>205,0</v>
      </c>
      <c r="M68" s="8" t="str">
        <f>"124,8593"</f>
        <v>124,8593</v>
      </c>
      <c r="N68" s="7"/>
    </row>
    <row r="69" spans="1:14">
      <c r="B69" s="5" t="s">
        <v>81</v>
      </c>
    </row>
    <row r="70" spans="1:14">
      <c r="B70" s="5" t="s">
        <v>81</v>
      </c>
    </row>
    <row r="71" spans="1:14">
      <c r="B71" s="5" t="s">
        <v>81</v>
      </c>
    </row>
    <row r="72" spans="1:14" ht="18">
      <c r="B72" s="13" t="s">
        <v>72</v>
      </c>
      <c r="C72" s="13"/>
    </row>
    <row r="73" spans="1:14" ht="16">
      <c r="B73" s="14" t="s">
        <v>73</v>
      </c>
      <c r="C73" s="14"/>
    </row>
    <row r="74" spans="1:14" ht="14">
      <c r="B74" s="15"/>
      <c r="C74" s="16" t="s">
        <v>74</v>
      </c>
    </row>
    <row r="75" spans="1:14" ht="14">
      <c r="B75" s="17" t="s">
        <v>75</v>
      </c>
      <c r="C75" s="17" t="s">
        <v>76</v>
      </c>
      <c r="D75" s="17" t="s">
        <v>731</v>
      </c>
      <c r="E75" s="17" t="s">
        <v>240</v>
      </c>
      <c r="F75" s="17" t="s">
        <v>77</v>
      </c>
    </row>
    <row r="76" spans="1:14">
      <c r="B76" s="5" t="s">
        <v>363</v>
      </c>
      <c r="C76" s="5" t="s">
        <v>74</v>
      </c>
      <c r="D76" s="6" t="s">
        <v>78</v>
      </c>
      <c r="E76" s="6" t="s">
        <v>366</v>
      </c>
      <c r="F76" s="6" t="s">
        <v>387</v>
      </c>
    </row>
    <row r="77" spans="1:14">
      <c r="B77" s="5" t="s">
        <v>306</v>
      </c>
      <c r="C77" s="5" t="s">
        <v>74</v>
      </c>
      <c r="D77" s="6" t="s">
        <v>152</v>
      </c>
      <c r="E77" s="6" t="s">
        <v>29</v>
      </c>
      <c r="F77" s="6" t="s">
        <v>388</v>
      </c>
    </row>
    <row r="78" spans="1:14">
      <c r="B78" s="5" t="s">
        <v>22</v>
      </c>
      <c r="C78" s="5" t="s">
        <v>74</v>
      </c>
      <c r="D78" s="6" t="s">
        <v>79</v>
      </c>
      <c r="E78" s="6" t="s">
        <v>29</v>
      </c>
      <c r="F78" s="6" t="s">
        <v>389</v>
      </c>
    </row>
    <row r="79" spans="1:14" customFormat="1">
      <c r="L79" s="32"/>
    </row>
    <row r="80" spans="1:14" customFormat="1">
      <c r="L80" s="32"/>
    </row>
    <row r="81" spans="12:12" customFormat="1">
      <c r="L81" s="32"/>
    </row>
    <row r="82" spans="12:12" customFormat="1">
      <c r="L82" s="32"/>
    </row>
    <row r="83" spans="12:12" customFormat="1">
      <c r="L83" s="32"/>
    </row>
    <row r="84" spans="12:12" customFormat="1">
      <c r="L84" s="32"/>
    </row>
  </sheetData>
  <mergeCells count="24">
    <mergeCell ref="A1:N2"/>
    <mergeCell ref="A3:A4"/>
    <mergeCell ref="C3:C4"/>
    <mergeCell ref="D3:D4"/>
    <mergeCell ref="E3:E4"/>
    <mergeCell ref="F3:F4"/>
    <mergeCell ref="G3:G4"/>
    <mergeCell ref="H3:K3"/>
    <mergeCell ref="A27:K27"/>
    <mergeCell ref="A32:K32"/>
    <mergeCell ref="L3:L4"/>
    <mergeCell ref="M3:M4"/>
    <mergeCell ref="N3:N4"/>
    <mergeCell ref="A5:K5"/>
    <mergeCell ref="B3:B4"/>
    <mergeCell ref="A8:K8"/>
    <mergeCell ref="A12:K12"/>
    <mergeCell ref="A18:K18"/>
    <mergeCell ref="A23:K23"/>
    <mergeCell ref="A40:K40"/>
    <mergeCell ref="A49:K49"/>
    <mergeCell ref="A57:K57"/>
    <mergeCell ref="A64:K64"/>
    <mergeCell ref="A67:K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A4EC4-708F-40FA-9DC1-2D18F6173265}">
  <dimension ref="A1:N35"/>
  <sheetViews>
    <sheetView zoomScaleNormal="100" workbookViewId="0">
      <selection sqref="A1:N2"/>
    </sheetView>
  </sheetViews>
  <sheetFormatPr baseColWidth="10" defaultColWidth="9.1640625" defaultRowHeight="13"/>
  <cols>
    <col min="1" max="1" width="7.5" style="5" bestFit="1" customWidth="1"/>
    <col min="2" max="2" width="17.332031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28.6640625" style="5" bestFit="1" customWidth="1"/>
    <col min="8" max="10" width="5.5" style="6" customWidth="1"/>
    <col min="11" max="11" width="4.83203125" style="6" customWidth="1"/>
    <col min="12" max="12" width="10.5" style="6" bestFit="1" customWidth="1"/>
    <col min="13" max="13" width="8.5" style="6" bestFit="1" customWidth="1"/>
    <col min="14" max="14" width="19.83203125" style="5" customWidth="1"/>
    <col min="15" max="16384" width="9.1640625" style="3"/>
  </cols>
  <sheetData>
    <row r="1" spans="1:14" s="2" customFormat="1" ht="29" customHeight="1">
      <c r="A1" s="46" t="s">
        <v>721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</row>
    <row r="2" spans="1:14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4" s="1" customFormat="1" ht="12.75" customHeight="1">
      <c r="A3" s="54" t="s">
        <v>736</v>
      </c>
      <c r="B3" s="44" t="s">
        <v>0</v>
      </c>
      <c r="C3" s="56" t="s">
        <v>738</v>
      </c>
      <c r="D3" s="56" t="s">
        <v>6</v>
      </c>
      <c r="E3" s="38" t="s">
        <v>739</v>
      </c>
      <c r="F3" s="38"/>
      <c r="G3" s="38" t="s">
        <v>5</v>
      </c>
      <c r="H3" s="38" t="s">
        <v>8</v>
      </c>
      <c r="I3" s="38"/>
      <c r="J3" s="38"/>
      <c r="K3" s="38"/>
      <c r="L3" s="38" t="s">
        <v>242</v>
      </c>
      <c r="M3" s="38" t="s">
        <v>3</v>
      </c>
      <c r="N3" s="40" t="s">
        <v>2</v>
      </c>
    </row>
    <row r="4" spans="1:14" s="1" customFormat="1" ht="21" customHeight="1" thickBot="1">
      <c r="A4" s="55"/>
      <c r="B4" s="45"/>
      <c r="C4" s="39"/>
      <c r="D4" s="39"/>
      <c r="E4" s="39"/>
      <c r="F4" s="39"/>
      <c r="G4" s="39"/>
      <c r="H4" s="4">
        <v>1</v>
      </c>
      <c r="I4" s="4">
        <v>2</v>
      </c>
      <c r="J4" s="4">
        <v>3</v>
      </c>
      <c r="K4" s="4" t="s">
        <v>4</v>
      </c>
      <c r="L4" s="39"/>
      <c r="M4" s="39"/>
      <c r="N4" s="41"/>
    </row>
    <row r="5" spans="1:14" ht="16">
      <c r="A5" s="42" t="s">
        <v>268</v>
      </c>
      <c r="B5" s="42"/>
      <c r="C5" s="43"/>
      <c r="D5" s="43"/>
      <c r="E5" s="43"/>
      <c r="F5" s="43"/>
      <c r="G5" s="43"/>
      <c r="H5" s="43"/>
      <c r="I5" s="43"/>
      <c r="J5" s="43"/>
      <c r="K5" s="43"/>
    </row>
    <row r="6" spans="1:14">
      <c r="A6" s="8" t="s">
        <v>80</v>
      </c>
      <c r="B6" s="7" t="s">
        <v>534</v>
      </c>
      <c r="C6" s="7" t="s">
        <v>535</v>
      </c>
      <c r="D6" s="7" t="s">
        <v>536</v>
      </c>
      <c r="E6" s="7" t="s">
        <v>746</v>
      </c>
      <c r="F6" s="7" t="s">
        <v>713</v>
      </c>
      <c r="G6" s="7" t="s">
        <v>239</v>
      </c>
      <c r="H6" s="19" t="s">
        <v>141</v>
      </c>
      <c r="I6" s="19" t="s">
        <v>141</v>
      </c>
      <c r="J6" s="18" t="s">
        <v>141</v>
      </c>
      <c r="K6" s="8"/>
      <c r="L6" s="8" t="str">
        <f>"70,0"</f>
        <v>70,0</v>
      </c>
      <c r="M6" s="8" t="str">
        <f>"78,7290"</f>
        <v>78,7290</v>
      </c>
      <c r="N6" s="7" t="s">
        <v>302</v>
      </c>
    </row>
    <row r="7" spans="1:14">
      <c r="B7" s="5" t="s">
        <v>81</v>
      </c>
    </row>
    <row r="8" spans="1:14" ht="16">
      <c r="A8" s="34" t="s">
        <v>182</v>
      </c>
      <c r="B8" s="34"/>
      <c r="C8" s="35"/>
      <c r="D8" s="35"/>
      <c r="E8" s="35"/>
      <c r="F8" s="35"/>
      <c r="G8" s="35"/>
      <c r="H8" s="35"/>
      <c r="I8" s="35"/>
      <c r="J8" s="35"/>
      <c r="K8" s="35"/>
    </row>
    <row r="9" spans="1:14">
      <c r="A9" s="8" t="s">
        <v>80</v>
      </c>
      <c r="B9" s="7" t="s">
        <v>537</v>
      </c>
      <c r="C9" s="7" t="s">
        <v>538</v>
      </c>
      <c r="D9" s="7" t="s">
        <v>539</v>
      </c>
      <c r="E9" s="7" t="s">
        <v>741</v>
      </c>
      <c r="F9" s="7" t="s">
        <v>713</v>
      </c>
      <c r="G9" s="7" t="s">
        <v>239</v>
      </c>
      <c r="H9" s="19" t="s">
        <v>190</v>
      </c>
      <c r="I9" s="19" t="s">
        <v>190</v>
      </c>
      <c r="J9" s="18" t="s">
        <v>190</v>
      </c>
      <c r="K9" s="8"/>
      <c r="L9" s="8" t="str">
        <f>"127,5"</f>
        <v>127,5</v>
      </c>
      <c r="M9" s="8" t="str">
        <f>"111,4503"</f>
        <v>111,4503</v>
      </c>
      <c r="N9" s="7" t="s">
        <v>302</v>
      </c>
    </row>
    <row r="10" spans="1:14">
      <c r="B10" s="5" t="s">
        <v>81</v>
      </c>
    </row>
    <row r="11" spans="1:14" ht="16">
      <c r="A11" s="34" t="s">
        <v>10</v>
      </c>
      <c r="B11" s="34"/>
      <c r="C11" s="35"/>
      <c r="D11" s="35"/>
      <c r="E11" s="35"/>
      <c r="F11" s="35"/>
      <c r="G11" s="35"/>
      <c r="H11" s="35"/>
      <c r="I11" s="35"/>
      <c r="J11" s="35"/>
      <c r="K11" s="35"/>
    </row>
    <row r="12" spans="1:14">
      <c r="A12" s="10" t="s">
        <v>80</v>
      </c>
      <c r="B12" s="9" t="s">
        <v>537</v>
      </c>
      <c r="C12" s="9" t="s">
        <v>540</v>
      </c>
      <c r="D12" s="9" t="s">
        <v>541</v>
      </c>
      <c r="E12" s="9" t="s">
        <v>741</v>
      </c>
      <c r="F12" s="9" t="s">
        <v>712</v>
      </c>
      <c r="G12" s="9" t="s">
        <v>273</v>
      </c>
      <c r="H12" s="21" t="s">
        <v>65</v>
      </c>
      <c r="I12" s="21" t="s">
        <v>15</v>
      </c>
      <c r="J12" s="21" t="s">
        <v>339</v>
      </c>
      <c r="K12" s="10"/>
      <c r="L12" s="10" t="str">
        <f>"167,5"</f>
        <v>167,5</v>
      </c>
      <c r="M12" s="10" t="str">
        <f>"118,0038"</f>
        <v>118,0038</v>
      </c>
      <c r="N12" s="9" t="s">
        <v>274</v>
      </c>
    </row>
    <row r="13" spans="1:14">
      <c r="A13" s="12" t="s">
        <v>82</v>
      </c>
      <c r="B13" s="11" t="s">
        <v>542</v>
      </c>
      <c r="C13" s="11" t="s">
        <v>543</v>
      </c>
      <c r="D13" s="11" t="s">
        <v>213</v>
      </c>
      <c r="E13" s="11" t="s">
        <v>741</v>
      </c>
      <c r="F13" s="11" t="s">
        <v>527</v>
      </c>
      <c r="G13" s="11" t="s">
        <v>14</v>
      </c>
      <c r="H13" s="22" t="s">
        <v>102</v>
      </c>
      <c r="I13" s="23" t="s">
        <v>67</v>
      </c>
      <c r="J13" s="23" t="s">
        <v>67</v>
      </c>
      <c r="K13" s="12"/>
      <c r="L13" s="12" t="str">
        <f>"140,0"</f>
        <v>140,0</v>
      </c>
      <c r="M13" s="12" t="str">
        <f>"98,8960"</f>
        <v>98,8960</v>
      </c>
      <c r="N13" s="11"/>
    </row>
    <row r="14" spans="1:14">
      <c r="B14" s="5" t="s">
        <v>81</v>
      </c>
    </row>
    <row r="15" spans="1:14" ht="16">
      <c r="A15" s="34" t="s">
        <v>21</v>
      </c>
      <c r="B15" s="34"/>
      <c r="C15" s="35"/>
      <c r="D15" s="35"/>
      <c r="E15" s="35"/>
      <c r="F15" s="35"/>
      <c r="G15" s="35"/>
      <c r="H15" s="35"/>
      <c r="I15" s="35"/>
      <c r="J15" s="35"/>
      <c r="K15" s="35"/>
    </row>
    <row r="16" spans="1:14">
      <c r="A16" s="8" t="s">
        <v>80</v>
      </c>
      <c r="B16" s="7" t="s">
        <v>544</v>
      </c>
      <c r="C16" s="7" t="s">
        <v>545</v>
      </c>
      <c r="D16" s="7" t="s">
        <v>546</v>
      </c>
      <c r="E16" s="7" t="s">
        <v>741</v>
      </c>
      <c r="F16" s="7" t="s">
        <v>527</v>
      </c>
      <c r="G16" s="7" t="s">
        <v>14</v>
      </c>
      <c r="H16" s="18" t="s">
        <v>28</v>
      </c>
      <c r="I16" s="19" t="s">
        <v>202</v>
      </c>
      <c r="J16" s="18" t="s">
        <v>202</v>
      </c>
      <c r="K16" s="8"/>
      <c r="L16" s="8" t="str">
        <f>"217,5"</f>
        <v>217,5</v>
      </c>
      <c r="M16" s="8" t="str">
        <f>"135,4590"</f>
        <v>135,4590</v>
      </c>
      <c r="N16" s="7"/>
    </row>
    <row r="17" spans="1:14">
      <c r="B17" s="5" t="s">
        <v>81</v>
      </c>
    </row>
    <row r="18" spans="1:14" ht="16">
      <c r="A18" s="34" t="s">
        <v>117</v>
      </c>
      <c r="B18" s="34"/>
      <c r="C18" s="35"/>
      <c r="D18" s="35"/>
      <c r="E18" s="35"/>
      <c r="F18" s="35"/>
      <c r="G18" s="35"/>
      <c r="H18" s="35"/>
      <c r="I18" s="35"/>
      <c r="J18" s="35"/>
      <c r="K18" s="35"/>
    </row>
    <row r="19" spans="1:14">
      <c r="A19" s="10" t="s">
        <v>80</v>
      </c>
      <c r="B19" s="9" t="s">
        <v>547</v>
      </c>
      <c r="C19" s="9" t="s">
        <v>548</v>
      </c>
      <c r="D19" s="9" t="s">
        <v>549</v>
      </c>
      <c r="E19" s="9" t="s">
        <v>741</v>
      </c>
      <c r="F19" s="9" t="s">
        <v>527</v>
      </c>
      <c r="G19" s="9" t="s">
        <v>14</v>
      </c>
      <c r="H19" s="21" t="s">
        <v>51</v>
      </c>
      <c r="I19" s="21" t="s">
        <v>26</v>
      </c>
      <c r="J19" s="21" t="s">
        <v>68</v>
      </c>
      <c r="K19" s="10"/>
      <c r="L19" s="10" t="str">
        <f>"270,0"</f>
        <v>270,0</v>
      </c>
      <c r="M19" s="10" t="str">
        <f>"157,5585"</f>
        <v>157,5585</v>
      </c>
      <c r="N19" s="9"/>
    </row>
    <row r="20" spans="1:14">
      <c r="A20" s="25" t="s">
        <v>82</v>
      </c>
      <c r="B20" s="24" t="s">
        <v>550</v>
      </c>
      <c r="C20" s="24" t="s">
        <v>551</v>
      </c>
      <c r="D20" s="24" t="s">
        <v>362</v>
      </c>
      <c r="E20" s="24" t="s">
        <v>741</v>
      </c>
      <c r="F20" s="24" t="s">
        <v>219</v>
      </c>
      <c r="G20" s="24" t="s">
        <v>50</v>
      </c>
      <c r="H20" s="26" t="s">
        <v>41</v>
      </c>
      <c r="I20" s="26" t="s">
        <v>51</v>
      </c>
      <c r="J20" s="26" t="s">
        <v>552</v>
      </c>
      <c r="K20" s="25"/>
      <c r="L20" s="25" t="str">
        <f>"232,5"</f>
        <v>232,5</v>
      </c>
      <c r="M20" s="25" t="str">
        <f>"140,5928"</f>
        <v>140,5928</v>
      </c>
      <c r="N20" s="24" t="s">
        <v>215</v>
      </c>
    </row>
    <row r="21" spans="1:14">
      <c r="A21" s="25" t="s">
        <v>390</v>
      </c>
      <c r="B21" s="24" t="s">
        <v>553</v>
      </c>
      <c r="C21" s="24" t="s">
        <v>554</v>
      </c>
      <c r="D21" s="24" t="s">
        <v>555</v>
      </c>
      <c r="E21" s="24" t="s">
        <v>741</v>
      </c>
      <c r="F21" s="24" t="s">
        <v>713</v>
      </c>
      <c r="G21" s="24" t="s">
        <v>50</v>
      </c>
      <c r="H21" s="26" t="s">
        <v>27</v>
      </c>
      <c r="I21" s="27" t="s">
        <v>28</v>
      </c>
      <c r="J21" s="26" t="s">
        <v>41</v>
      </c>
      <c r="K21" s="25"/>
      <c r="L21" s="25" t="str">
        <f>"210,0"</f>
        <v>210,0</v>
      </c>
      <c r="M21" s="25" t="str">
        <f>"123,7425"</f>
        <v>123,7425</v>
      </c>
      <c r="N21" s="24" t="s">
        <v>434</v>
      </c>
    </row>
    <row r="22" spans="1:14">
      <c r="A22" s="12" t="s">
        <v>391</v>
      </c>
      <c r="B22" s="11" t="s">
        <v>556</v>
      </c>
      <c r="C22" s="11" t="s">
        <v>557</v>
      </c>
      <c r="D22" s="11" t="s">
        <v>558</v>
      </c>
      <c r="E22" s="11" t="s">
        <v>741</v>
      </c>
      <c r="F22" s="11" t="s">
        <v>527</v>
      </c>
      <c r="G22" s="11" t="s">
        <v>14</v>
      </c>
      <c r="H22" s="22" t="s">
        <v>27</v>
      </c>
      <c r="I22" s="22" t="s">
        <v>40</v>
      </c>
      <c r="J22" s="23" t="s">
        <v>202</v>
      </c>
      <c r="K22" s="12"/>
      <c r="L22" s="12" t="str">
        <f>"205,0"</f>
        <v>205,0</v>
      </c>
      <c r="M22" s="12" t="str">
        <f>"119,8840"</f>
        <v>119,8840</v>
      </c>
      <c r="N22" s="11"/>
    </row>
    <row r="23" spans="1:14">
      <c r="B23" s="5" t="s">
        <v>81</v>
      </c>
    </row>
    <row r="24" spans="1:14" ht="16">
      <c r="A24" s="34" t="s">
        <v>523</v>
      </c>
      <c r="B24" s="34"/>
      <c r="C24" s="35"/>
      <c r="D24" s="35"/>
      <c r="E24" s="35"/>
      <c r="F24" s="35"/>
      <c r="G24" s="35"/>
      <c r="H24" s="35"/>
      <c r="I24" s="35"/>
      <c r="J24" s="35"/>
      <c r="K24" s="35"/>
    </row>
    <row r="25" spans="1:14">
      <c r="A25" s="8" t="s">
        <v>80</v>
      </c>
      <c r="B25" s="7" t="s">
        <v>559</v>
      </c>
      <c r="C25" s="7" t="s">
        <v>560</v>
      </c>
      <c r="D25" s="7" t="s">
        <v>561</v>
      </c>
      <c r="E25" s="7" t="s">
        <v>741</v>
      </c>
      <c r="F25" s="7" t="s">
        <v>527</v>
      </c>
      <c r="G25" s="7" t="s">
        <v>14</v>
      </c>
      <c r="H25" s="18" t="s">
        <v>62</v>
      </c>
      <c r="I25" s="18" t="s">
        <v>562</v>
      </c>
      <c r="J25" s="19" t="s">
        <v>63</v>
      </c>
      <c r="K25" s="8"/>
      <c r="L25" s="8" t="str">
        <f>"285,0"</f>
        <v>285,0</v>
      </c>
      <c r="M25" s="8" t="str">
        <f>"149,5609"</f>
        <v>149,5609</v>
      </c>
      <c r="N25" s="7" t="s">
        <v>563</v>
      </c>
    </row>
    <row r="26" spans="1:14">
      <c r="B26" s="5" t="s">
        <v>81</v>
      </c>
    </row>
    <row r="27" spans="1:14">
      <c r="B27" s="5" t="s">
        <v>81</v>
      </c>
    </row>
    <row r="28" spans="1:14">
      <c r="B28" s="5" t="s">
        <v>81</v>
      </c>
    </row>
    <row r="29" spans="1:14" ht="18">
      <c r="B29" s="13" t="s">
        <v>72</v>
      </c>
      <c r="C29" s="13"/>
    </row>
    <row r="30" spans="1:14" ht="16">
      <c r="B30" s="14" t="s">
        <v>73</v>
      </c>
      <c r="C30" s="14"/>
    </row>
    <row r="31" spans="1:14" ht="14">
      <c r="B31" s="15"/>
      <c r="C31" s="16" t="s">
        <v>74</v>
      </c>
    </row>
    <row r="32" spans="1:14" ht="14">
      <c r="B32" s="17" t="s">
        <v>75</v>
      </c>
      <c r="C32" s="17" t="s">
        <v>76</v>
      </c>
      <c r="D32" s="17" t="s">
        <v>731</v>
      </c>
      <c r="E32" s="17" t="s">
        <v>240</v>
      </c>
      <c r="F32" s="17" t="s">
        <v>241</v>
      </c>
    </row>
    <row r="33" spans="2:6">
      <c r="B33" s="5" t="s">
        <v>547</v>
      </c>
      <c r="C33" s="5" t="s">
        <v>74</v>
      </c>
      <c r="D33" s="6" t="s">
        <v>129</v>
      </c>
      <c r="E33" s="6" t="s">
        <v>68</v>
      </c>
      <c r="F33" s="6" t="s">
        <v>564</v>
      </c>
    </row>
    <row r="34" spans="2:6">
      <c r="B34" s="5" t="s">
        <v>559</v>
      </c>
      <c r="C34" s="5" t="s">
        <v>74</v>
      </c>
      <c r="D34" s="6" t="s">
        <v>565</v>
      </c>
      <c r="E34" s="6" t="s">
        <v>562</v>
      </c>
      <c r="F34" s="6" t="s">
        <v>566</v>
      </c>
    </row>
    <row r="35" spans="2:6">
      <c r="B35" s="5" t="s">
        <v>550</v>
      </c>
      <c r="C35" s="5" t="s">
        <v>74</v>
      </c>
      <c r="D35" s="6" t="s">
        <v>129</v>
      </c>
      <c r="E35" s="6" t="s">
        <v>552</v>
      </c>
      <c r="F35" s="6" t="s">
        <v>567</v>
      </c>
    </row>
  </sheetData>
  <mergeCells count="18">
    <mergeCell ref="A1:N2"/>
    <mergeCell ref="A3:A4"/>
    <mergeCell ref="C3:C4"/>
    <mergeCell ref="D3:D4"/>
    <mergeCell ref="E3:E4"/>
    <mergeCell ref="F3:F4"/>
    <mergeCell ref="G3:G4"/>
    <mergeCell ref="H3:K3"/>
    <mergeCell ref="B3:B4"/>
    <mergeCell ref="L3:L4"/>
    <mergeCell ref="M3:M4"/>
    <mergeCell ref="N3:N4"/>
    <mergeCell ref="A24:K24"/>
    <mergeCell ref="A5:K5"/>
    <mergeCell ref="A8:K8"/>
    <mergeCell ref="A11:K11"/>
    <mergeCell ref="A15:K15"/>
    <mergeCell ref="A18:K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FAAFB-7BB0-4108-B5DC-A6B3DDC78779}">
  <dimension ref="A1:N41"/>
  <sheetViews>
    <sheetView zoomScaleNormal="100" workbookViewId="0">
      <selection sqref="A1:N2"/>
    </sheetView>
  </sheetViews>
  <sheetFormatPr baseColWidth="10" defaultColWidth="9.1640625" defaultRowHeight="13"/>
  <cols>
    <col min="1" max="1" width="7.5" style="5" bestFit="1" customWidth="1"/>
    <col min="2" max="2" width="20.3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4.5" style="5" bestFit="1" customWidth="1"/>
    <col min="7" max="7" width="24.6640625" style="5" customWidth="1"/>
    <col min="8" max="10" width="5.5" style="6" customWidth="1"/>
    <col min="11" max="11" width="4.83203125" style="6" customWidth="1"/>
    <col min="12" max="12" width="10.5" style="28" bestFit="1" customWidth="1"/>
    <col min="13" max="13" width="8.5" style="6" bestFit="1" customWidth="1"/>
    <col min="14" max="14" width="20.1640625" style="5" customWidth="1"/>
    <col min="15" max="16384" width="9.1640625" style="3"/>
  </cols>
  <sheetData>
    <row r="1" spans="1:14" s="2" customFormat="1" ht="29" customHeight="1">
      <c r="A1" s="46" t="s">
        <v>722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</row>
    <row r="2" spans="1:14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4" s="1" customFormat="1" ht="12.75" customHeight="1">
      <c r="A3" s="54" t="s">
        <v>736</v>
      </c>
      <c r="B3" s="44" t="s">
        <v>0</v>
      </c>
      <c r="C3" s="56" t="s">
        <v>738</v>
      </c>
      <c r="D3" s="56" t="s">
        <v>6</v>
      </c>
      <c r="E3" s="38" t="s">
        <v>739</v>
      </c>
      <c r="F3" s="38"/>
      <c r="G3" s="38" t="s">
        <v>5</v>
      </c>
      <c r="H3" s="38" t="s">
        <v>8</v>
      </c>
      <c r="I3" s="38"/>
      <c r="J3" s="38"/>
      <c r="K3" s="38"/>
      <c r="L3" s="36" t="s">
        <v>242</v>
      </c>
      <c r="M3" s="38" t="s">
        <v>3</v>
      </c>
      <c r="N3" s="40" t="s">
        <v>2</v>
      </c>
    </row>
    <row r="4" spans="1:14" s="1" customFormat="1" ht="21" customHeight="1" thickBot="1">
      <c r="A4" s="55"/>
      <c r="B4" s="45"/>
      <c r="C4" s="39"/>
      <c r="D4" s="39"/>
      <c r="E4" s="39"/>
      <c r="F4" s="39"/>
      <c r="G4" s="39"/>
      <c r="H4" s="4">
        <v>1</v>
      </c>
      <c r="I4" s="4">
        <v>2</v>
      </c>
      <c r="J4" s="4">
        <v>3</v>
      </c>
      <c r="K4" s="4" t="s">
        <v>4</v>
      </c>
      <c r="L4" s="37"/>
      <c r="M4" s="39"/>
      <c r="N4" s="41"/>
    </row>
    <row r="5" spans="1:14" ht="16">
      <c r="A5" s="42" t="s">
        <v>10</v>
      </c>
      <c r="B5" s="42"/>
      <c r="C5" s="43"/>
      <c r="D5" s="43"/>
      <c r="E5" s="43"/>
      <c r="F5" s="43"/>
      <c r="G5" s="43"/>
      <c r="H5" s="43"/>
      <c r="I5" s="43"/>
      <c r="J5" s="43"/>
      <c r="K5" s="43"/>
    </row>
    <row r="6" spans="1:14">
      <c r="A6" s="8" t="s">
        <v>80</v>
      </c>
      <c r="B6" s="7" t="s">
        <v>46</v>
      </c>
      <c r="C6" s="7" t="s">
        <v>212</v>
      </c>
      <c r="D6" s="7" t="s">
        <v>213</v>
      </c>
      <c r="E6" s="7" t="s">
        <v>741</v>
      </c>
      <c r="F6" s="7" t="s">
        <v>733</v>
      </c>
      <c r="G6" s="7" t="s">
        <v>50</v>
      </c>
      <c r="H6" s="18" t="s">
        <v>65</v>
      </c>
      <c r="I6" s="19" t="s">
        <v>112</v>
      </c>
      <c r="J6" s="19" t="s">
        <v>112</v>
      </c>
      <c r="K6" s="8"/>
      <c r="L6" s="29" t="str">
        <f>"150,0"</f>
        <v>150,0</v>
      </c>
      <c r="M6" s="8" t="str">
        <f>"105,9600"</f>
        <v>105,9600</v>
      </c>
      <c r="N6" s="7" t="s">
        <v>215</v>
      </c>
    </row>
    <row r="7" spans="1:14">
      <c r="B7" s="5" t="s">
        <v>81</v>
      </c>
    </row>
    <row r="8" spans="1:14" ht="16">
      <c r="A8" s="34" t="s">
        <v>130</v>
      </c>
      <c r="B8" s="34"/>
      <c r="C8" s="35"/>
      <c r="D8" s="35"/>
      <c r="E8" s="35"/>
      <c r="F8" s="35"/>
      <c r="G8" s="35"/>
      <c r="H8" s="35"/>
      <c r="I8" s="35"/>
      <c r="J8" s="35"/>
      <c r="K8" s="35"/>
    </row>
    <row r="9" spans="1:14">
      <c r="A9" s="10" t="s">
        <v>80</v>
      </c>
      <c r="B9" s="9" t="s">
        <v>216</v>
      </c>
      <c r="C9" s="9" t="s">
        <v>217</v>
      </c>
      <c r="D9" s="9" t="s">
        <v>218</v>
      </c>
      <c r="E9" s="9" t="s">
        <v>741</v>
      </c>
      <c r="F9" s="9" t="s">
        <v>219</v>
      </c>
      <c r="G9" s="9" t="s">
        <v>50</v>
      </c>
      <c r="H9" s="21" t="s">
        <v>41</v>
      </c>
      <c r="I9" s="21" t="s">
        <v>124</v>
      </c>
      <c r="J9" s="20" t="s">
        <v>122</v>
      </c>
      <c r="K9" s="10"/>
      <c r="L9" s="30" t="str">
        <f>"230,0"</f>
        <v>230,0</v>
      </c>
      <c r="M9" s="10" t="str">
        <f>"153,2720"</f>
        <v>153,2720</v>
      </c>
      <c r="N9" s="9" t="s">
        <v>215</v>
      </c>
    </row>
    <row r="10" spans="1:14">
      <c r="A10" s="12" t="s">
        <v>83</v>
      </c>
      <c r="B10" s="11" t="s">
        <v>220</v>
      </c>
      <c r="C10" s="11" t="s">
        <v>221</v>
      </c>
      <c r="D10" s="11" t="s">
        <v>222</v>
      </c>
      <c r="E10" s="11" t="s">
        <v>741</v>
      </c>
      <c r="F10" s="11" t="s">
        <v>712</v>
      </c>
      <c r="G10" s="11" t="s">
        <v>50</v>
      </c>
      <c r="H10" s="23" t="s">
        <v>28</v>
      </c>
      <c r="I10" s="23" t="s">
        <v>223</v>
      </c>
      <c r="J10" s="23" t="s">
        <v>223</v>
      </c>
      <c r="K10" s="12"/>
      <c r="L10" s="31">
        <v>0</v>
      </c>
      <c r="M10" s="12" t="str">
        <f>"0,0000"</f>
        <v>0,0000</v>
      </c>
      <c r="N10" s="11"/>
    </row>
    <row r="11" spans="1:14">
      <c r="B11" s="5" t="s">
        <v>81</v>
      </c>
    </row>
    <row r="12" spans="1:14" ht="16">
      <c r="A12" s="34" t="s">
        <v>21</v>
      </c>
      <c r="B12" s="34"/>
      <c r="C12" s="35"/>
      <c r="D12" s="35"/>
      <c r="E12" s="35"/>
      <c r="F12" s="35"/>
      <c r="G12" s="35"/>
      <c r="H12" s="35"/>
      <c r="I12" s="35"/>
      <c r="J12" s="35"/>
      <c r="K12" s="35"/>
    </row>
    <row r="13" spans="1:14">
      <c r="A13" s="8" t="s">
        <v>80</v>
      </c>
      <c r="B13" s="7" t="s">
        <v>224</v>
      </c>
      <c r="C13" s="7" t="s">
        <v>225</v>
      </c>
      <c r="D13" s="7" t="s">
        <v>226</v>
      </c>
      <c r="E13" s="7" t="s">
        <v>748</v>
      </c>
      <c r="F13" s="7" t="s">
        <v>712</v>
      </c>
      <c r="G13" s="7" t="s">
        <v>50</v>
      </c>
      <c r="H13" s="18" t="s">
        <v>227</v>
      </c>
      <c r="I13" s="18" t="s">
        <v>150</v>
      </c>
      <c r="J13" s="18" t="s">
        <v>228</v>
      </c>
      <c r="K13" s="8"/>
      <c r="L13" s="29" t="str">
        <f>"197,5"</f>
        <v>197,5</v>
      </c>
      <c r="M13" s="8" t="str">
        <f>"196,3496"</f>
        <v>196,3496</v>
      </c>
      <c r="N13" s="7"/>
    </row>
    <row r="14" spans="1:14">
      <c r="B14" s="5" t="s">
        <v>81</v>
      </c>
    </row>
    <row r="15" spans="1:14" ht="16">
      <c r="A15" s="34" t="s">
        <v>117</v>
      </c>
      <c r="B15" s="34"/>
      <c r="C15" s="35"/>
      <c r="D15" s="35"/>
      <c r="E15" s="35"/>
      <c r="F15" s="35"/>
      <c r="G15" s="35"/>
      <c r="H15" s="35"/>
      <c r="I15" s="35"/>
      <c r="J15" s="35"/>
      <c r="K15" s="35"/>
    </row>
    <row r="16" spans="1:14">
      <c r="A16" s="10" t="s">
        <v>80</v>
      </c>
      <c r="B16" s="9" t="s">
        <v>229</v>
      </c>
      <c r="C16" s="9" t="s">
        <v>230</v>
      </c>
      <c r="D16" s="9" t="s">
        <v>231</v>
      </c>
      <c r="E16" s="9" t="s">
        <v>741</v>
      </c>
      <c r="F16" s="9" t="s">
        <v>219</v>
      </c>
      <c r="G16" s="9" t="s">
        <v>50</v>
      </c>
      <c r="H16" s="21" t="s">
        <v>62</v>
      </c>
      <c r="I16" s="20" t="s">
        <v>64</v>
      </c>
      <c r="J16" s="10"/>
      <c r="K16" s="10"/>
      <c r="L16" s="30" t="str">
        <f>"280,0"</f>
        <v>280,0</v>
      </c>
      <c r="M16" s="10" t="str">
        <f>"165,0670"</f>
        <v>165,0670</v>
      </c>
      <c r="N16" s="9" t="s">
        <v>232</v>
      </c>
    </row>
    <row r="17" spans="1:14">
      <c r="A17" s="12" t="s">
        <v>82</v>
      </c>
      <c r="B17" s="11" t="s">
        <v>233</v>
      </c>
      <c r="C17" s="11" t="s">
        <v>234</v>
      </c>
      <c r="D17" s="11" t="s">
        <v>235</v>
      </c>
      <c r="E17" s="11" t="s">
        <v>741</v>
      </c>
      <c r="F17" s="11" t="s">
        <v>712</v>
      </c>
      <c r="G17" s="11" t="s">
        <v>50</v>
      </c>
      <c r="H17" s="22" t="s">
        <v>71</v>
      </c>
      <c r="I17" s="22" t="s">
        <v>17</v>
      </c>
      <c r="J17" s="22" t="s">
        <v>27</v>
      </c>
      <c r="K17" s="12"/>
      <c r="L17" s="31" t="str">
        <f>"190,0"</f>
        <v>190,0</v>
      </c>
      <c r="M17" s="12" t="str">
        <f>"115,8668"</f>
        <v>115,8668</v>
      </c>
      <c r="N17" s="11" t="s">
        <v>215</v>
      </c>
    </row>
    <row r="18" spans="1:14">
      <c r="B18" s="5" t="s">
        <v>81</v>
      </c>
    </row>
    <row r="19" spans="1:14" ht="16">
      <c r="A19" s="34" t="s">
        <v>32</v>
      </c>
      <c r="B19" s="34"/>
      <c r="C19" s="35"/>
      <c r="D19" s="35"/>
      <c r="E19" s="35"/>
      <c r="F19" s="35"/>
      <c r="G19" s="35"/>
      <c r="H19" s="35"/>
      <c r="I19" s="35"/>
      <c r="J19" s="35"/>
      <c r="K19" s="35"/>
    </row>
    <row r="20" spans="1:14">
      <c r="A20" s="8" t="s">
        <v>80</v>
      </c>
      <c r="B20" s="7" t="s">
        <v>236</v>
      </c>
      <c r="C20" s="7" t="s">
        <v>237</v>
      </c>
      <c r="D20" s="7" t="s">
        <v>238</v>
      </c>
      <c r="E20" s="7" t="s">
        <v>741</v>
      </c>
      <c r="F20" s="7" t="s">
        <v>713</v>
      </c>
      <c r="G20" s="7" t="s">
        <v>239</v>
      </c>
      <c r="H20" s="19" t="s">
        <v>63</v>
      </c>
      <c r="I20" s="18" t="s">
        <v>63</v>
      </c>
      <c r="J20" s="18" t="s">
        <v>64</v>
      </c>
      <c r="K20" s="8"/>
      <c r="L20" s="29" t="str">
        <f>"300,0"</f>
        <v>300,0</v>
      </c>
      <c r="M20" s="8" t="str">
        <f>"169,6500"</f>
        <v>169,6500</v>
      </c>
      <c r="N20" s="7"/>
    </row>
    <row r="21" spans="1:14">
      <c r="B21" s="5" t="s">
        <v>81</v>
      </c>
    </row>
    <row r="22" spans="1:14" customFormat="1">
      <c r="L22" s="32"/>
    </row>
    <row r="23" spans="1:14" customFormat="1">
      <c r="L23" s="32"/>
    </row>
    <row r="24" spans="1:14" customFormat="1">
      <c r="L24" s="32"/>
    </row>
    <row r="25" spans="1:14" customFormat="1">
      <c r="L25" s="32"/>
    </row>
    <row r="26" spans="1:14" customFormat="1">
      <c r="L26" s="32"/>
    </row>
    <row r="27" spans="1:14" customFormat="1">
      <c r="L27" s="32"/>
    </row>
    <row r="28" spans="1:14" customFormat="1">
      <c r="L28" s="32"/>
    </row>
    <row r="29" spans="1:14" customFormat="1">
      <c r="L29" s="32"/>
    </row>
    <row r="30" spans="1:14" customFormat="1">
      <c r="L30" s="32"/>
    </row>
    <row r="31" spans="1:14" customFormat="1">
      <c r="L31" s="32"/>
    </row>
    <row r="32" spans="1:14" customFormat="1">
      <c r="L32" s="32"/>
    </row>
    <row r="33" spans="12:12" customFormat="1">
      <c r="L33" s="32"/>
    </row>
    <row r="34" spans="12:12" customFormat="1">
      <c r="L34" s="32"/>
    </row>
    <row r="35" spans="12:12" customFormat="1">
      <c r="L35" s="32"/>
    </row>
    <row r="36" spans="12:12" customFormat="1">
      <c r="L36" s="32"/>
    </row>
    <row r="37" spans="12:12" customFormat="1">
      <c r="L37" s="32"/>
    </row>
    <row r="38" spans="12:12" customFormat="1">
      <c r="L38" s="32"/>
    </row>
    <row r="39" spans="12:12" customFormat="1">
      <c r="L39" s="32"/>
    </row>
    <row r="40" spans="12:12" customFormat="1">
      <c r="L40" s="32"/>
    </row>
    <row r="41" spans="12:12" customFormat="1">
      <c r="L41" s="32"/>
    </row>
  </sheetData>
  <mergeCells count="17"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  <mergeCell ref="A8:K8"/>
    <mergeCell ref="A12:K12"/>
    <mergeCell ref="A15:K15"/>
    <mergeCell ref="A19:K19"/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 ДК</vt:lpstr>
      <vt:lpstr>WRPF Жим лежа без экип ДК</vt:lpstr>
      <vt:lpstr>WRPF Жим лежа без экип</vt:lpstr>
      <vt:lpstr>WEPF Жим софт однопетельная ДК</vt:lpstr>
      <vt:lpstr>WEPF Жим софт однопетельная</vt:lpstr>
      <vt:lpstr>WEPF Жим софт многопетельная</vt:lpstr>
      <vt:lpstr>WRPF Жим СФО</vt:lpstr>
      <vt:lpstr>WRPF Тяга без экипировки ДК</vt:lpstr>
      <vt:lpstr>WRPF Тяга без экипировки</vt:lpstr>
      <vt:lpstr>WEPF Тяга экип</vt:lpstr>
      <vt:lpstr>WRPF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2021-05-31T20:29:54Z</dcterms:modified>
</cp:coreProperties>
</file>