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Май/"/>
    </mc:Choice>
  </mc:AlternateContent>
  <xr:revisionPtr revIDLastSave="0" documentId="13_ncr:1_{57E2C3F7-B66A-9C41-AE50-DFEB5FBAF05D}" xr6:coauthVersionLast="45" xr6:coauthVersionMax="45" xr10:uidLastSave="{00000000-0000-0000-0000-000000000000}"/>
  <bookViews>
    <workbookView xWindow="480" yWindow="460" windowWidth="28220" windowHeight="16040" xr2:uid="{00000000-000D-0000-FFFF-FFFF00000000}"/>
  </bookViews>
  <sheets>
    <sheet name="IPL ПЛ без экипировки ДК" sheetId="6" r:id="rId1"/>
    <sheet name="IPL ПЛ без экипировки" sheetId="5" r:id="rId2"/>
    <sheet name="IPL ПЛ в бинтах ДК" sheetId="8" r:id="rId3"/>
    <sheet name="IPL Двоеборье без экип ДК" sheetId="18" r:id="rId4"/>
    <sheet name="IPL Двоеборье без экип" sheetId="17" r:id="rId5"/>
    <sheet name="IPL Присед без экипировки ДК" sheetId="15" r:id="rId6"/>
    <sheet name="IPL Присед без экипировки" sheetId="14" r:id="rId7"/>
    <sheet name="IPL Жим без экипировки ДК" sheetId="10" r:id="rId8"/>
    <sheet name="IPL Жим без экипировки" sheetId="9" r:id="rId9"/>
    <sheet name="IPL Жим однослой ДК" sheetId="11" r:id="rId10"/>
    <sheet name="IPL Тяга без экипировки ДК" sheetId="13" r:id="rId11"/>
    <sheet name="IPL Тяга без экипировки" sheetId="12" r:id="rId12"/>
    <sheet name="СПР Пауэрспорт ДК" sheetId="28" r:id="rId13"/>
    <sheet name="СПР Жим стоя ДК" sheetId="25" r:id="rId14"/>
    <sheet name="СПР Подъем на бицепс ДК" sheetId="27" r:id="rId15"/>
    <sheet name="СПР Подъем на бицепс" sheetId="26" r:id="rId16"/>
  </sheets>
  <definedNames>
    <definedName name="_FilterDatabase" localSheetId="1" hidden="1">'IPL ПЛ без экипировки'!$A$1:$S$3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28" l="1"/>
  <c r="O12" i="28"/>
  <c r="P9" i="28"/>
  <c r="O9" i="28"/>
  <c r="P6" i="28"/>
  <c r="O6" i="28"/>
  <c r="L30" i="27"/>
  <c r="K30" i="27"/>
  <c r="L27" i="27"/>
  <c r="K27" i="27"/>
  <c r="L24" i="27"/>
  <c r="K24" i="27"/>
  <c r="L23" i="27"/>
  <c r="K23" i="27"/>
  <c r="L22" i="27"/>
  <c r="K22" i="27"/>
  <c r="L19" i="27"/>
  <c r="K19" i="27"/>
  <c r="L16" i="27"/>
  <c r="K16" i="27"/>
  <c r="L15" i="27"/>
  <c r="K15" i="27"/>
  <c r="L14" i="27"/>
  <c r="K14" i="27"/>
  <c r="L13" i="27"/>
  <c r="K13" i="27"/>
  <c r="L10" i="27"/>
  <c r="K10" i="27"/>
  <c r="L7" i="27"/>
  <c r="K7" i="27"/>
  <c r="L6" i="27"/>
  <c r="K6" i="27"/>
  <c r="L9" i="26"/>
  <c r="K9" i="26"/>
  <c r="L6" i="26"/>
  <c r="K6" i="26"/>
  <c r="L9" i="25"/>
  <c r="K9" i="25"/>
  <c r="L6" i="25"/>
  <c r="K6" i="25"/>
  <c r="P6" i="18"/>
  <c r="O6" i="18"/>
  <c r="P9" i="17"/>
  <c r="O9" i="17"/>
  <c r="P6" i="17"/>
  <c r="O6" i="17"/>
  <c r="L14" i="15"/>
  <c r="K14" i="15"/>
  <c r="L13" i="15"/>
  <c r="K13" i="15"/>
  <c r="L10" i="15"/>
  <c r="K10" i="15"/>
  <c r="L9" i="15"/>
  <c r="K9" i="15"/>
  <c r="L6" i="15"/>
  <c r="K6" i="15"/>
  <c r="L6" i="14"/>
  <c r="K6" i="14"/>
  <c r="L32" i="13"/>
  <c r="K32" i="13"/>
  <c r="L29" i="13"/>
  <c r="K29" i="13"/>
  <c r="L28" i="13"/>
  <c r="K28" i="13"/>
  <c r="L25" i="13"/>
  <c r="K25" i="13"/>
  <c r="L24" i="13"/>
  <c r="K24" i="13"/>
  <c r="L23" i="13"/>
  <c r="L22" i="13"/>
  <c r="L21" i="13"/>
  <c r="K21" i="13"/>
  <c r="L18" i="13"/>
  <c r="K18" i="13"/>
  <c r="L17" i="13"/>
  <c r="K17" i="13"/>
  <c r="L16" i="13"/>
  <c r="K16" i="13"/>
  <c r="L15" i="13"/>
  <c r="K15" i="13"/>
  <c r="L12" i="13"/>
  <c r="K12" i="13"/>
  <c r="L9" i="13"/>
  <c r="K9" i="13"/>
  <c r="L6" i="13"/>
  <c r="K6" i="13"/>
  <c r="L12" i="12"/>
  <c r="K12" i="12"/>
  <c r="L9" i="12"/>
  <c r="K9" i="12"/>
  <c r="L6" i="12"/>
  <c r="K6" i="12"/>
  <c r="L6" i="11"/>
  <c r="L33" i="10"/>
  <c r="L30" i="10"/>
  <c r="K30" i="10"/>
  <c r="L29" i="10"/>
  <c r="K29" i="10"/>
  <c r="L26" i="10"/>
  <c r="K26" i="10"/>
  <c r="L25" i="10"/>
  <c r="K25" i="10"/>
  <c r="L24" i="10"/>
  <c r="K24" i="10"/>
  <c r="L21" i="10"/>
  <c r="K21" i="10"/>
  <c r="L20" i="10"/>
  <c r="K20" i="10"/>
  <c r="L17" i="10"/>
  <c r="K17" i="10"/>
  <c r="L14" i="10"/>
  <c r="K14" i="10"/>
  <c r="L13" i="10"/>
  <c r="K13" i="10"/>
  <c r="L10" i="10"/>
  <c r="K10" i="10"/>
  <c r="L9" i="10"/>
  <c r="K9" i="10"/>
  <c r="L6" i="10"/>
  <c r="K6" i="10"/>
  <c r="L19" i="9"/>
  <c r="K19" i="9"/>
  <c r="L16" i="9"/>
  <c r="K16" i="9"/>
  <c r="L13" i="9"/>
  <c r="K13" i="9"/>
  <c r="L12" i="9"/>
  <c r="K12" i="9"/>
  <c r="L9" i="9"/>
  <c r="K9" i="9"/>
  <c r="L6" i="9"/>
  <c r="K6" i="9"/>
  <c r="T9" i="8"/>
  <c r="S9" i="8"/>
  <c r="T6" i="8"/>
  <c r="S6" i="8"/>
  <c r="T37" i="6"/>
  <c r="S37" i="6"/>
  <c r="T34" i="6"/>
  <c r="T33" i="6"/>
  <c r="S33" i="6"/>
  <c r="T30" i="6"/>
  <c r="T29" i="6"/>
  <c r="T28" i="6"/>
  <c r="S28" i="6"/>
  <c r="T27" i="6"/>
  <c r="S27" i="6"/>
  <c r="T26" i="6"/>
  <c r="S26" i="6"/>
  <c r="T23" i="6"/>
  <c r="S23" i="6"/>
  <c r="T20" i="6"/>
  <c r="S20" i="6"/>
  <c r="T19" i="6"/>
  <c r="S19" i="6"/>
  <c r="T18" i="6"/>
  <c r="S18" i="6"/>
  <c r="T15" i="6"/>
  <c r="S15" i="6"/>
  <c r="T12" i="6"/>
  <c r="S12" i="6"/>
  <c r="T9" i="6"/>
  <c r="S9" i="6"/>
  <c r="T6" i="6"/>
  <c r="S6" i="6"/>
  <c r="T13" i="5"/>
  <c r="S13" i="5"/>
  <c r="T10" i="5"/>
  <c r="T9" i="5"/>
  <c r="S9" i="5"/>
  <c r="T6" i="5"/>
  <c r="S6" i="5"/>
</calcChain>
</file>

<file path=xl/sharedStrings.xml><?xml version="1.0" encoding="utf-8"?>
<sst xmlns="http://schemas.openxmlformats.org/spreadsheetml/2006/main" count="1311" uniqueCount="422">
  <si>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</si>
  <si>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</si>
  <si>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</si>
  <si>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</si>
  <si>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</si>
  <si>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</si>
  <si>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</si>
  <si>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</si>
  <si>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</si>
  <si>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</si>
  <si>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67.5</t>
  </si>
  <si>
    <t>Рек Александр</t>
  </si>
  <si>
    <t>Открытая (13.07.1987)/33</t>
  </si>
  <si>
    <t>66,40</t>
  </si>
  <si>
    <t>200,0</t>
  </si>
  <si>
    <t>210,0</t>
  </si>
  <si>
    <t>212,5</t>
  </si>
  <si>
    <t>117,5</t>
  </si>
  <si>
    <t>122,5</t>
  </si>
  <si>
    <t>125,0</t>
  </si>
  <si>
    <t>195,0</t>
  </si>
  <si>
    <t>205,0</t>
  </si>
  <si>
    <t>ВЕСОВАЯ КАТЕГОРИЯ   90</t>
  </si>
  <si>
    <t>Алымов Илья</t>
  </si>
  <si>
    <t>88,60</t>
  </si>
  <si>
    <t xml:space="preserve">Серпухов/Московская область </t>
  </si>
  <si>
    <t>225,0</t>
  </si>
  <si>
    <t>150,0</t>
  </si>
  <si>
    <t>160,0</t>
  </si>
  <si>
    <t>170,0</t>
  </si>
  <si>
    <t>240,0</t>
  </si>
  <si>
    <t>255,0</t>
  </si>
  <si>
    <t>270,0</t>
  </si>
  <si>
    <t>Сорокин Андрей</t>
  </si>
  <si>
    <t>Открытая (25.02.1988)/33</t>
  </si>
  <si>
    <t>88,40</t>
  </si>
  <si>
    <t>190,0</t>
  </si>
  <si>
    <t>132,5</t>
  </si>
  <si>
    <t>145,0</t>
  </si>
  <si>
    <t>217,5</t>
  </si>
  <si>
    <t>222,5</t>
  </si>
  <si>
    <t>ВЕСОВАЯ КАТЕГОРИЯ   100</t>
  </si>
  <si>
    <t>Бозов Тимур</t>
  </si>
  <si>
    <t>Открытая (13.11.1992)/28</t>
  </si>
  <si>
    <t>99,50</t>
  </si>
  <si>
    <t xml:space="preserve">Каменка/Пензенская область </t>
  </si>
  <si>
    <t>260,0</t>
  </si>
  <si>
    <t>280,0</t>
  </si>
  <si>
    <t>175,0</t>
  </si>
  <si>
    <t>177,5</t>
  </si>
  <si>
    <t>310,0</t>
  </si>
  <si>
    <t>327,5</t>
  </si>
  <si>
    <t>1</t>
  </si>
  <si>
    <t/>
  </si>
  <si>
    <t>-</t>
  </si>
  <si>
    <t>ВЕСОВАЯ КАТЕГОРИЯ   52</t>
  </si>
  <si>
    <t>Накопия Фируза</t>
  </si>
  <si>
    <t>Открытая (04.09.1985)/35</t>
  </si>
  <si>
    <t>51,20</t>
  </si>
  <si>
    <t xml:space="preserve">Люберцы/Московская область </t>
  </si>
  <si>
    <t>65,0</t>
  </si>
  <si>
    <t>67,5</t>
  </si>
  <si>
    <t>72,5</t>
  </si>
  <si>
    <t>45,0</t>
  </si>
  <si>
    <t>47,5</t>
  </si>
  <si>
    <t>50,0</t>
  </si>
  <si>
    <t>87,5</t>
  </si>
  <si>
    <t>92,5</t>
  </si>
  <si>
    <t>102,5</t>
  </si>
  <si>
    <t>ВЕСОВАЯ КАТЕГОРИЯ   60</t>
  </si>
  <si>
    <t>Подольская Кристина</t>
  </si>
  <si>
    <t>Открытая (09.05.1990)/31</t>
  </si>
  <si>
    <t>59,00</t>
  </si>
  <si>
    <t xml:space="preserve">Реутов/Московская область </t>
  </si>
  <si>
    <t>95,0</t>
  </si>
  <si>
    <t>100,0</t>
  </si>
  <si>
    <t>55,0</t>
  </si>
  <si>
    <t>57,5</t>
  </si>
  <si>
    <t>60,0</t>
  </si>
  <si>
    <t>140,0</t>
  </si>
  <si>
    <t>142,5</t>
  </si>
  <si>
    <t>Крупская Екатерина</t>
  </si>
  <si>
    <t>Открытая (20.02.1999)/22</t>
  </si>
  <si>
    <t>62,90</t>
  </si>
  <si>
    <t>110,0</t>
  </si>
  <si>
    <t>115,0</t>
  </si>
  <si>
    <t>120,0</t>
  </si>
  <si>
    <t>70,0</t>
  </si>
  <si>
    <t>155,0</t>
  </si>
  <si>
    <t>Столяров Павел</t>
  </si>
  <si>
    <t>Открытая (05.12.1989)/31</t>
  </si>
  <si>
    <t>67,20</t>
  </si>
  <si>
    <t>130,0</t>
  </si>
  <si>
    <t>75,0</t>
  </si>
  <si>
    <t>85,0</t>
  </si>
  <si>
    <t>165,0</t>
  </si>
  <si>
    <t>ВЕСОВАЯ КАТЕГОРИЯ   75</t>
  </si>
  <si>
    <t>Малютин Семен</t>
  </si>
  <si>
    <t>Открытая (28.10.1993)/27</t>
  </si>
  <si>
    <t>74,30</t>
  </si>
  <si>
    <t>167,5</t>
  </si>
  <si>
    <t>Фоменко Кирилл</t>
  </si>
  <si>
    <t>Открытая (25.11.1989)/31</t>
  </si>
  <si>
    <t>73,80</t>
  </si>
  <si>
    <t>135,0</t>
  </si>
  <si>
    <t>105,0</t>
  </si>
  <si>
    <t>180,0</t>
  </si>
  <si>
    <t>74,70</t>
  </si>
  <si>
    <t>82,5</t>
  </si>
  <si>
    <t>90,0</t>
  </si>
  <si>
    <t>147,5</t>
  </si>
  <si>
    <t>ВЕСОВАЯ КАТЕГОРИЯ   82.5</t>
  </si>
  <si>
    <t>Демидов Егор</t>
  </si>
  <si>
    <t>Юноши 15-19 (20.08.2003)/17</t>
  </si>
  <si>
    <t>81,00</t>
  </si>
  <si>
    <t xml:space="preserve">Буянов Е. </t>
  </si>
  <si>
    <t>Коробейко Егор</t>
  </si>
  <si>
    <t>Юноши 15-19 (09.03.2002)/19</t>
  </si>
  <si>
    <t>89,40</t>
  </si>
  <si>
    <t>215,0</t>
  </si>
  <si>
    <t>242,5</t>
  </si>
  <si>
    <t>Толстов Роман</t>
  </si>
  <si>
    <t>Юноши 15-19 (10.12.2002)/18</t>
  </si>
  <si>
    <t>86,40</t>
  </si>
  <si>
    <t xml:space="preserve">Химки/Московская область </t>
  </si>
  <si>
    <t>152,5</t>
  </si>
  <si>
    <t>Гагнидзе Георгий</t>
  </si>
  <si>
    <t>Юноши 15-19 (23.10.2002)/18</t>
  </si>
  <si>
    <t>Даниелян Самвел</t>
  </si>
  <si>
    <t>Открытая (17.04.1991)/30</t>
  </si>
  <si>
    <t>89,80</t>
  </si>
  <si>
    <t>220,0</t>
  </si>
  <si>
    <t>230,0</t>
  </si>
  <si>
    <t>Шуриков Вячеслав</t>
  </si>
  <si>
    <t>Открытая (29.12.1995)/25</t>
  </si>
  <si>
    <t>90,00</t>
  </si>
  <si>
    <t>182,5</t>
  </si>
  <si>
    <t>192,5</t>
  </si>
  <si>
    <t>Павлов Андрей</t>
  </si>
  <si>
    <t>95,60</t>
  </si>
  <si>
    <t xml:space="preserve">Кольчугино/Владимирская область </t>
  </si>
  <si>
    <t>Шкель Алексей</t>
  </si>
  <si>
    <t>99,60</t>
  </si>
  <si>
    <t>185,0</t>
  </si>
  <si>
    <t>ВЕСОВАЯ КАТЕГОРИЯ   125</t>
  </si>
  <si>
    <t>Мищенко Сергей</t>
  </si>
  <si>
    <t>Открытая (21.07.1988)/32</t>
  </si>
  <si>
    <t>119,60</t>
  </si>
  <si>
    <t>295,0</t>
  </si>
  <si>
    <t>250,0</t>
  </si>
  <si>
    <t>2</t>
  </si>
  <si>
    <t>3</t>
  </si>
  <si>
    <t>Стрижов Виталий</t>
  </si>
  <si>
    <t>Открытая (25.11.1986)/34</t>
  </si>
  <si>
    <t>66,50</t>
  </si>
  <si>
    <t xml:space="preserve">Калуга/Калужская область </t>
  </si>
  <si>
    <t>Лукьянов Сергей</t>
  </si>
  <si>
    <t>Открытая (07.04.1983)/38</t>
  </si>
  <si>
    <t>82,30</t>
  </si>
  <si>
    <t xml:space="preserve">Апрелевка/Московская область </t>
  </si>
  <si>
    <t>112,5</t>
  </si>
  <si>
    <t>235,0</t>
  </si>
  <si>
    <t>Зиньковский Роман</t>
  </si>
  <si>
    <t>73,60</t>
  </si>
  <si>
    <t>Зиннатов Руслан</t>
  </si>
  <si>
    <t>Открытая (21.12.1986)/34</t>
  </si>
  <si>
    <t>85,10</t>
  </si>
  <si>
    <t xml:space="preserve">Москва </t>
  </si>
  <si>
    <t>Филимонов Олег</t>
  </si>
  <si>
    <t>Открытая (12.03.1987)/34</t>
  </si>
  <si>
    <t>94,30</t>
  </si>
  <si>
    <t>262,5</t>
  </si>
  <si>
    <t>272,5</t>
  </si>
  <si>
    <t>277,5</t>
  </si>
  <si>
    <t>Продан Сергей</t>
  </si>
  <si>
    <t>Открытая (02.06.1961)/59</t>
  </si>
  <si>
    <t>97,70</t>
  </si>
  <si>
    <t xml:space="preserve">Сочи/Краснодарский край </t>
  </si>
  <si>
    <t>172,5</t>
  </si>
  <si>
    <t>ВЕСОВАЯ КАТЕГОРИЯ   110</t>
  </si>
  <si>
    <t>Модонов Юрий</t>
  </si>
  <si>
    <t>Открытая (01.06.1995)/25</t>
  </si>
  <si>
    <t>106,10</t>
  </si>
  <si>
    <t xml:space="preserve">Подольск/Московская область </t>
  </si>
  <si>
    <t>Родин Дмитрий</t>
  </si>
  <si>
    <t>116,10</t>
  </si>
  <si>
    <t xml:space="preserve">Одинцово/Московская область </t>
  </si>
  <si>
    <t>197,5</t>
  </si>
  <si>
    <t>202,5</t>
  </si>
  <si>
    <t>Результат</t>
  </si>
  <si>
    <t>Локтионова Валентина</t>
  </si>
  <si>
    <t>Открытая (15.11.1992)/28</t>
  </si>
  <si>
    <t>59,40</t>
  </si>
  <si>
    <t>52,5</t>
  </si>
  <si>
    <t>Коростелева Екатерина</t>
  </si>
  <si>
    <t>67,00</t>
  </si>
  <si>
    <t>30,0</t>
  </si>
  <si>
    <t>37,5</t>
  </si>
  <si>
    <t>42,5</t>
  </si>
  <si>
    <t>Юдина Евгения</t>
  </si>
  <si>
    <t>Открытая (17.05.1994)/27</t>
  </si>
  <si>
    <t>Грешняков Артем</t>
  </si>
  <si>
    <t>Юноши 15-19 (03.11.2006)/14</t>
  </si>
  <si>
    <t>65,90</t>
  </si>
  <si>
    <t>Лебедик Павел</t>
  </si>
  <si>
    <t>66,10</t>
  </si>
  <si>
    <t>107,5</t>
  </si>
  <si>
    <t>Григорьев Сергей</t>
  </si>
  <si>
    <t>Открытая (20.05.1985)/36</t>
  </si>
  <si>
    <t>73,10</t>
  </si>
  <si>
    <t>Евсеев Игорь</t>
  </si>
  <si>
    <t>Открытая (30.07.1988)/32</t>
  </si>
  <si>
    <t>82,50</t>
  </si>
  <si>
    <t xml:space="preserve">Тула/Тульская область </t>
  </si>
  <si>
    <t>Куксин Сергей</t>
  </si>
  <si>
    <t>Открытая (03.10.1983)/37</t>
  </si>
  <si>
    <t>81,40</t>
  </si>
  <si>
    <t>Боков Иван</t>
  </si>
  <si>
    <t>88,50</t>
  </si>
  <si>
    <t>127,5</t>
  </si>
  <si>
    <t>Волнухин Артем</t>
  </si>
  <si>
    <t>Открытая (20.01.1981)/40</t>
  </si>
  <si>
    <t>87,80</t>
  </si>
  <si>
    <t xml:space="preserve">Долгопрудный/Московская область </t>
  </si>
  <si>
    <t>Родионов Евгений</t>
  </si>
  <si>
    <t>Открытая (02.10.1985)/35</t>
  </si>
  <si>
    <t>90,80</t>
  </si>
  <si>
    <t>Лукьянов Кирилл</t>
  </si>
  <si>
    <t>Открытая (30.05.1992)/28</t>
  </si>
  <si>
    <t>92,40</t>
  </si>
  <si>
    <t>Кулебякин Руслан</t>
  </si>
  <si>
    <t>Открытая (26.02.1991)/30</t>
  </si>
  <si>
    <t>107,00</t>
  </si>
  <si>
    <t xml:space="preserve">Таганрог/Ростовская область </t>
  </si>
  <si>
    <t>Некрасов Марат</t>
  </si>
  <si>
    <t>Открытая (14.08.1990)/30</t>
  </si>
  <si>
    <t>100,00</t>
  </si>
  <si>
    <t>Лоскутова Дарья</t>
  </si>
  <si>
    <t>Открытая (16.10.1986)/34</t>
  </si>
  <si>
    <t>58,50</t>
  </si>
  <si>
    <t>Пацков Алексей</t>
  </si>
  <si>
    <t>Открытая (19.08.1985)/35</t>
  </si>
  <si>
    <t>94,00</t>
  </si>
  <si>
    <t>Гущин Дмитрий</t>
  </si>
  <si>
    <t>100,40</t>
  </si>
  <si>
    <t>Полойникова Вера</t>
  </si>
  <si>
    <t>Открытая (20.05.1986)/35</t>
  </si>
  <si>
    <t>51,50</t>
  </si>
  <si>
    <t xml:space="preserve">Архангельск/Архангельская область </t>
  </si>
  <si>
    <t>Костина Мария</t>
  </si>
  <si>
    <t>Открытая (18.05.1990)/31</t>
  </si>
  <si>
    <t>67,30</t>
  </si>
  <si>
    <t>Акульчев Дмитрий</t>
  </si>
  <si>
    <t>Открытая (16.05.1990)/31</t>
  </si>
  <si>
    <t>72,90</t>
  </si>
  <si>
    <t xml:space="preserve">Красногорск/Московская область </t>
  </si>
  <si>
    <t>207,5</t>
  </si>
  <si>
    <t>Никитин Никита</t>
  </si>
  <si>
    <t>77,80</t>
  </si>
  <si>
    <t>Суров Вячеслав</t>
  </si>
  <si>
    <t>80,80</t>
  </si>
  <si>
    <t>Верещагин Артем</t>
  </si>
  <si>
    <t>Открытая (17.09.1988)/32</t>
  </si>
  <si>
    <t>Першутов Павел</t>
  </si>
  <si>
    <t>Открытая (30.04.1987)/34</t>
  </si>
  <si>
    <t>85,50</t>
  </si>
  <si>
    <t>162,5</t>
  </si>
  <si>
    <t>Панфилов Роман</t>
  </si>
  <si>
    <t>Открытая (15.07.1976)/44</t>
  </si>
  <si>
    <t xml:space="preserve">Сертолово/Ленинградская область </t>
  </si>
  <si>
    <t>Амиров Олег</t>
  </si>
  <si>
    <t>Макаров Михаил</t>
  </si>
  <si>
    <t>ВЕСОВАЯ КАТЕГОРИЯ   140+</t>
  </si>
  <si>
    <t>Кислицын Иван</t>
  </si>
  <si>
    <t>Юноши 15-19 (10.12.2003)/17</t>
  </si>
  <si>
    <t>175,00</t>
  </si>
  <si>
    <t xml:space="preserve">Савченко А. </t>
  </si>
  <si>
    <t>Лавриненко Роман</t>
  </si>
  <si>
    <t>Открытая (25.09.1992)/28</t>
  </si>
  <si>
    <t>89,20</t>
  </si>
  <si>
    <t>Введенская Елена</t>
  </si>
  <si>
    <t>51,30</t>
  </si>
  <si>
    <t>89,50</t>
  </si>
  <si>
    <t>Леонтьев Ярослав</t>
  </si>
  <si>
    <t>Воробьев Дмитрий</t>
  </si>
  <si>
    <t>106,20</t>
  </si>
  <si>
    <t>Козлов Илья</t>
  </si>
  <si>
    <t>Открытая (28.02.1995)/26</t>
  </si>
  <si>
    <t>98,60</t>
  </si>
  <si>
    <t>232,5</t>
  </si>
  <si>
    <t>247,5</t>
  </si>
  <si>
    <t>35,0</t>
  </si>
  <si>
    <t>Серов Александр</t>
  </si>
  <si>
    <t>64,60</t>
  </si>
  <si>
    <t>32,5</t>
  </si>
  <si>
    <t>Соболева Екатерина</t>
  </si>
  <si>
    <t>Открытая (19.09.1988)/32</t>
  </si>
  <si>
    <t>65,10</t>
  </si>
  <si>
    <t>Кантор Андрей</t>
  </si>
  <si>
    <t>73,30</t>
  </si>
  <si>
    <t>Пенько Константин</t>
  </si>
  <si>
    <t>82,80</t>
  </si>
  <si>
    <t>Сербин Анатолий</t>
  </si>
  <si>
    <t>Открытая (26.07.1990)/30</t>
  </si>
  <si>
    <t>122,60</t>
  </si>
  <si>
    <t>Никулина Илона</t>
  </si>
  <si>
    <t>Открытая (12.02.1992)/29</t>
  </si>
  <si>
    <t>66,90</t>
  </si>
  <si>
    <t>Медведева Дарья</t>
  </si>
  <si>
    <t>Открытая (14.08.1993)/27</t>
  </si>
  <si>
    <t>40,0</t>
  </si>
  <si>
    <t>58,70</t>
  </si>
  <si>
    <t xml:space="preserve">Сорокин С. </t>
  </si>
  <si>
    <t>Шабан Павел</t>
  </si>
  <si>
    <t>65,00</t>
  </si>
  <si>
    <t>Сапожников Никита</t>
  </si>
  <si>
    <t>25,0</t>
  </si>
  <si>
    <t>Барсуков Данил</t>
  </si>
  <si>
    <t>81,70</t>
  </si>
  <si>
    <t>82,40</t>
  </si>
  <si>
    <t>62,5</t>
  </si>
  <si>
    <t>Сырбу Алексей</t>
  </si>
  <si>
    <t>Открытая (16.01.1988)/33</t>
  </si>
  <si>
    <t>78,80</t>
  </si>
  <si>
    <t>Морошкин Николай</t>
  </si>
  <si>
    <t>Лебедко Дмитрий</t>
  </si>
  <si>
    <t>97,00</t>
  </si>
  <si>
    <t>Лин-Го-Дян</t>
  </si>
  <si>
    <t>4</t>
  </si>
  <si>
    <t>Манусевич Владимир</t>
  </si>
  <si>
    <t>Мастера 60+ (26.03.1946)/75</t>
  </si>
  <si>
    <t>77,20</t>
  </si>
  <si>
    <t>Куликов Андрей</t>
  </si>
  <si>
    <t>Открытая (16.02.1982)/39</t>
  </si>
  <si>
    <t>97,30</t>
  </si>
  <si>
    <t>80,0</t>
  </si>
  <si>
    <t>Юниоры 20-23 (29.12.1998)/22</t>
  </si>
  <si>
    <t>Юноши 13-19 (06.05.2004)/17</t>
  </si>
  <si>
    <t>Юноши 13-19 (01.08.2004)/16</t>
  </si>
  <si>
    <t>Юноши 13-19 (23.06.2004)/16</t>
  </si>
  <si>
    <t>Юноши 13-19 (03.11.2006)/14</t>
  </si>
  <si>
    <t>Юноши 13-19 (16.02.2006)/15</t>
  </si>
  <si>
    <t>Юноши 13-19 (21.08.2001)/19</t>
  </si>
  <si>
    <t>Мастера 40-49 (14.06.1980)/40</t>
  </si>
  <si>
    <t>Мастера 40-49 (26.03.1973)/48</t>
  </si>
  <si>
    <t>Мастера 50-59 (10.05.1962)/59</t>
  </si>
  <si>
    <t>Юниоры 20-23 (29.05.1999)/22</t>
  </si>
  <si>
    <t>Мастера 40-44 (10.06.1976)/44</t>
  </si>
  <si>
    <t>Юниорки 20-23 (15.12.2000)/20</t>
  </si>
  <si>
    <t>Мастера 40-44 (15.07.1976)/44</t>
  </si>
  <si>
    <t>Юниоры 20-23 (29.05.2000)/21</t>
  </si>
  <si>
    <t>Юниоры 20-23 (25.06.1998)/22</t>
  </si>
  <si>
    <t>Мастера 45-49 (19.02.1975)/46</t>
  </si>
  <si>
    <t>Мастера 50-54 (07.01.1969)/52</t>
  </si>
  <si>
    <t>Юниоры 20-23 (10.08.2000)/20</t>
  </si>
  <si>
    <t>Юниорки 20-23 (11.08.1998)/22</t>
  </si>
  <si>
    <t>Юниоры 20-23 (04.08.2000)/20</t>
  </si>
  <si>
    <t>Юниоры 20-23 (03.06.1998)/22</t>
  </si>
  <si>
    <t>Мастера 40-44 (20.01.1981)/40</t>
  </si>
  <si>
    <t>Мастера 50-54 (01.10.1967)/53</t>
  </si>
  <si>
    <t>Мастера 45-49 (12.06.1971)/49</t>
  </si>
  <si>
    <t>Мастера 65-69 (15.09.1952)/68</t>
  </si>
  <si>
    <t>Мастера 40-44 (12.04.1980)/41</t>
  </si>
  <si>
    <t>Мастера 40-44 (07.09.1977)/43</t>
  </si>
  <si>
    <t>Юниоры 20-23 (02.08.1997)/23</t>
  </si>
  <si>
    <t>Кубок Центрального федерального округа
СПР Пауэрспорт ДК
Москва, 29 мая 2021 года</t>
  </si>
  <si>
    <t>Кубок Центрального федерального округа
СПР Строгий подъем штанги на бицепс ДК
Москва, 29 мая 2021 года</t>
  </si>
  <si>
    <t>Кубок Центрального федерального округа
СПР Строгий подъем штанги на бицепс
Москва, 29 мая 2021 года</t>
  </si>
  <si>
    <t>Кубок Центрального федерального округа
СПР Жим штанги стоя ДК
Москва, 29 мая 2021 года</t>
  </si>
  <si>
    <t>Кубок Центрального федерального округа
IPL Силовое двоеборье без экипировки ДК
Москва, 29 мая 2021 года</t>
  </si>
  <si>
    <t>Кубок Центрального федерального округа
IPL Силовое двоеборье без экипировки
Москва, 29 мая 2021 года</t>
  </si>
  <si>
    <t>Кубок Центрального федерального округа
IPL Присед без экипировки ДК
Москва, 29 мая 2021 года</t>
  </si>
  <si>
    <t>Кубок Центрального федерального округа
IPL Присед без экипировки
Москва, 29 мая 2021 года</t>
  </si>
  <si>
    <t>Кубок Центрального федерального округа
IPL Становая тяга без экипировки ДК
Москва, 29 мая 2021 года</t>
  </si>
  <si>
    <t>Кубок Центрального федерального округа
IPL Становая тяга без экипировки
Москва, 29 мая 2021 года</t>
  </si>
  <si>
    <t>Кубок Центрального федерального округа
IPL Жим лежа в однослойной экипировке ДК
Москва, 29 мая 2021 года</t>
  </si>
  <si>
    <t>Кубок Центрального федерального округа
IPL Жим лежа без экипировки ДК
Москва, 29 мая 2021 года</t>
  </si>
  <si>
    <t>Кубок Центрального федерального округа
IPL Жим лежа без экипировки
Москва, 29 мая 2021 года</t>
  </si>
  <si>
    <t>Кубок Центрального федерального округа
IPL Пауэрлифтинг в бинтах ДК
Москва, 29 мая 2021 года</t>
  </si>
  <si>
    <t>Кубок Центрального федерального округа
IPL Пауэрлифтинг без экипировки ДК
Москва, 29 мая 2021 года</t>
  </si>
  <si>
    <t>Кубок Центрального федерального округа
IPL Пауэрлифтинг без экипировки
Москва, 29 мая 2021 года</t>
  </si>
  <si>
    <t>Сорокин С.</t>
  </si>
  <si>
    <t>Гомель/Беларусь</t>
  </si>
  <si>
    <t>Сербин А.</t>
  </si>
  <si>
    <t>Плаксин А.</t>
  </si>
  <si>
    <t>Гончаров В.</t>
  </si>
  <si>
    <t>Скорятин А.</t>
  </si>
  <si>
    <t>Пацков А.</t>
  </si>
  <si>
    <t>Горбунов А.</t>
  </si>
  <si>
    <t>Харьков/Украина</t>
  </si>
  <si>
    <t>Молчанов А.</t>
  </si>
  <si>
    <t>Могильников К.</t>
  </si>
  <si>
    <t>Аниканов А.</t>
  </si>
  <si>
    <t>Федоренко А.</t>
  </si>
  <si>
    <t>Агафонов Д.</t>
  </si>
  <si>
    <t>Шишлянников Д.</t>
  </si>
  <si>
    <t>Андреев Т.</t>
  </si>
  <si>
    <t>Жакин Владимир</t>
  </si>
  <si>
    <t>Кончакова Н.</t>
  </si>
  <si>
    <t>Ряховский Д.</t>
  </si>
  <si>
    <t>Моргулец Д.</t>
  </si>
  <si>
    <t>Конюхов Д.</t>
  </si>
  <si>
    <t>Даниелян С.</t>
  </si>
  <si>
    <t>Золотаренок А.</t>
  </si>
  <si>
    <t>Козырев О.</t>
  </si>
  <si>
    <t>Шпак А.</t>
  </si>
  <si>
    <t>Мищенко С.</t>
  </si>
  <si>
    <t>Бородий В.</t>
  </si>
  <si>
    <t>Верещагин А.</t>
  </si>
  <si>
    <t>Костин Д.</t>
  </si>
  <si>
    <t>Стародубский С.</t>
  </si>
  <si>
    <t>Жим</t>
  </si>
  <si>
    <t>Тяга</t>
  </si>
  <si>
    <t xml:space="preserve">
Дата рождения/Возраст</t>
  </si>
  <si>
    <t>Возрастная группа</t>
  </si>
  <si>
    <t>M2</t>
  </si>
  <si>
    <t>O</t>
  </si>
  <si>
    <t>T</t>
  </si>
  <si>
    <t>J</t>
  </si>
  <si>
    <t>M1</t>
  </si>
  <si>
    <t>M3</t>
  </si>
  <si>
    <t>M6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</si>
</sst>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17"/>
  <dimension ref="A1:U39"/>
  <sheetViews>
    <sheetView tabSelected="1" topLeftCell="A10" workbookViewId="0">
      <selection activeCell="E38" sqref="E38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2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5" bestFit="1" customWidth="1"/>
    <col min="20" max="20" width="8.5" style="6" bestFit="1" customWidth="1"/>
    <col min="21" max="21" width="27.1640625" style="5" bestFit="1" customWidth="1"/>
    <col min="22" max="16384" width="9.1640625" style="3"/>
  </cols>
  <sheetData>
    <row r="1" spans="1:21" s="2" customFormat="1" ht="29" customHeight="1">
      <c r="A1" s="48" t="s">
        <v>379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1"/>
    </row>
    <row r="2" spans="1:21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</row>
    <row r="3" spans="1:21" s="1" customFormat="1" ht="12.75" customHeight="1">
      <c r="A3" s="56"/>
      <c r="B3" s="38" t="s">
        <v>0</v>
      </c>
      <c r="C3" s="58" t="s">
        <v>413</v>
      </c>
      <c r="D3" s="58" t="s">
        <v>6</v>
      </c>
      <c r="E3" s="42" t="s">
        <v>414</v>
      </c>
      <c r="F3" s="42" t="s">
        <v>5</v>
      </c>
      <c r="G3" s="42" t="s">
        <v>7</v>
      </c>
      <c r="H3" s="42"/>
      <c r="I3" s="42"/>
      <c r="J3" s="42"/>
      <c r="K3" s="42" t="s">
        <v>8</v>
      </c>
      <c r="L3" s="42"/>
      <c r="M3" s="42"/>
      <c r="N3" s="42"/>
      <c r="O3" s="42" t="s">
        <v>9</v>
      </c>
      <c r="P3" s="42"/>
      <c r="Q3" s="42"/>
      <c r="R3" s="42"/>
      <c r="S3" s="40" t="s">
        <v>1</v>
      </c>
      <c r="T3" s="42" t="s">
        <v>3</v>
      </c>
      <c r="U3" s="44" t="s">
        <v>2</v>
      </c>
    </row>
    <row r="4" spans="1:21" s="1" customFormat="1" ht="21" customHeight="1" thickBot="1">
      <c r="A4" s="57"/>
      <c r="B4" s="39"/>
      <c r="C4" s="43"/>
      <c r="D4" s="43"/>
      <c r="E4" s="43"/>
      <c r="F4" s="4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1"/>
      <c r="T4" s="43"/>
      <c r="U4" s="45"/>
    </row>
    <row r="5" spans="1:21" ht="16">
      <c r="A5" s="46" t="s">
        <v>55</v>
      </c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21">
      <c r="A6" s="8" t="s">
        <v>52</v>
      </c>
      <c r="B6" s="7" t="s">
        <v>56</v>
      </c>
      <c r="C6" s="7" t="s">
        <v>57</v>
      </c>
      <c r="D6" s="7" t="s">
        <v>58</v>
      </c>
      <c r="E6" s="7" t="s">
        <v>416</v>
      </c>
      <c r="F6" s="7" t="s">
        <v>59</v>
      </c>
      <c r="G6" s="14" t="s">
        <v>60</v>
      </c>
      <c r="H6" s="13" t="s">
        <v>61</v>
      </c>
      <c r="I6" s="13" t="s">
        <v>62</v>
      </c>
      <c r="J6" s="8"/>
      <c r="K6" s="13" t="s">
        <v>63</v>
      </c>
      <c r="L6" s="13" t="s">
        <v>64</v>
      </c>
      <c r="M6" s="13" t="s">
        <v>65</v>
      </c>
      <c r="N6" s="8"/>
      <c r="O6" s="13" t="s">
        <v>66</v>
      </c>
      <c r="P6" s="13" t="s">
        <v>67</v>
      </c>
      <c r="Q6" s="13" t="s">
        <v>68</v>
      </c>
      <c r="R6" s="8"/>
      <c r="S6" s="26" t="str">
        <f>"225,0"</f>
        <v>225,0</v>
      </c>
      <c r="T6" s="8" t="str">
        <f>"283,8600"</f>
        <v>283,8600</v>
      </c>
      <c r="U6" s="7" t="s">
        <v>398</v>
      </c>
    </row>
    <row r="7" spans="1:21">
      <c r="B7" s="5" t="s">
        <v>53</v>
      </c>
    </row>
    <row r="8" spans="1:21" ht="16">
      <c r="A8" s="36" t="s">
        <v>69</v>
      </c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21">
      <c r="A9" s="8" t="s">
        <v>52</v>
      </c>
      <c r="B9" s="7" t="s">
        <v>70</v>
      </c>
      <c r="C9" s="7" t="s">
        <v>71</v>
      </c>
      <c r="D9" s="7" t="s">
        <v>72</v>
      </c>
      <c r="E9" s="7" t="s">
        <v>416</v>
      </c>
      <c r="F9" s="7" t="s">
        <v>73</v>
      </c>
      <c r="G9" s="13" t="s">
        <v>74</v>
      </c>
      <c r="H9" s="14" t="s">
        <v>75</v>
      </c>
      <c r="I9" s="14" t="s">
        <v>75</v>
      </c>
      <c r="J9" s="8"/>
      <c r="K9" s="13" t="s">
        <v>76</v>
      </c>
      <c r="L9" s="13" t="s">
        <v>77</v>
      </c>
      <c r="M9" s="13" t="s">
        <v>78</v>
      </c>
      <c r="N9" s="8"/>
      <c r="O9" s="13" t="s">
        <v>79</v>
      </c>
      <c r="P9" s="13" t="s">
        <v>80</v>
      </c>
      <c r="Q9" s="8"/>
      <c r="R9" s="8"/>
      <c r="S9" s="26" t="str">
        <f>"297,5"</f>
        <v>297,5</v>
      </c>
      <c r="T9" s="8" t="str">
        <f>"336,0263"</f>
        <v>336,0263</v>
      </c>
      <c r="U9" s="7" t="s">
        <v>399</v>
      </c>
    </row>
    <row r="10" spans="1:21">
      <c r="B10" s="5" t="s">
        <v>53</v>
      </c>
    </row>
    <row r="11" spans="1:21" ht="16">
      <c r="A11" s="36" t="s">
        <v>10</v>
      </c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21">
      <c r="A12" s="8" t="s">
        <v>52</v>
      </c>
      <c r="B12" s="7" t="s">
        <v>81</v>
      </c>
      <c r="C12" s="7" t="s">
        <v>82</v>
      </c>
      <c r="D12" s="7" t="s">
        <v>83</v>
      </c>
      <c r="E12" s="7" t="s">
        <v>416</v>
      </c>
      <c r="F12" s="7" t="s">
        <v>167</v>
      </c>
      <c r="G12" s="13" t="s">
        <v>84</v>
      </c>
      <c r="H12" s="13" t="s">
        <v>85</v>
      </c>
      <c r="I12" s="13" t="s">
        <v>86</v>
      </c>
      <c r="J12" s="8"/>
      <c r="K12" s="13" t="s">
        <v>60</v>
      </c>
      <c r="L12" s="13" t="s">
        <v>87</v>
      </c>
      <c r="M12" s="14" t="s">
        <v>62</v>
      </c>
      <c r="N12" s="8"/>
      <c r="O12" s="13" t="s">
        <v>38</v>
      </c>
      <c r="P12" s="13" t="s">
        <v>27</v>
      </c>
      <c r="Q12" s="14" t="s">
        <v>88</v>
      </c>
      <c r="R12" s="8"/>
      <c r="S12" s="26" t="str">
        <f>"340,0"</f>
        <v>340,0</v>
      </c>
      <c r="T12" s="8" t="str">
        <f>"365,6020"</f>
        <v>365,6020</v>
      </c>
      <c r="U12" s="7" t="s">
        <v>400</v>
      </c>
    </row>
    <row r="13" spans="1:21">
      <c r="B13" s="5" t="s">
        <v>53</v>
      </c>
    </row>
    <row r="14" spans="1:21" ht="16">
      <c r="A14" s="36" t="s">
        <v>10</v>
      </c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1:21">
      <c r="A15" s="8" t="s">
        <v>52</v>
      </c>
      <c r="B15" s="7" t="s">
        <v>89</v>
      </c>
      <c r="C15" s="7" t="s">
        <v>90</v>
      </c>
      <c r="D15" s="7" t="s">
        <v>91</v>
      </c>
      <c r="E15" s="7" t="s">
        <v>416</v>
      </c>
      <c r="F15" s="7" t="s">
        <v>167</v>
      </c>
      <c r="G15" s="13" t="s">
        <v>84</v>
      </c>
      <c r="H15" s="13" t="s">
        <v>86</v>
      </c>
      <c r="I15" s="13" t="s">
        <v>92</v>
      </c>
      <c r="J15" s="8"/>
      <c r="K15" s="13" t="s">
        <v>93</v>
      </c>
      <c r="L15" s="13" t="s">
        <v>94</v>
      </c>
      <c r="M15" s="13" t="s">
        <v>67</v>
      </c>
      <c r="N15" s="8"/>
      <c r="O15" s="13" t="s">
        <v>86</v>
      </c>
      <c r="P15" s="13" t="s">
        <v>38</v>
      </c>
      <c r="Q15" s="14" t="s">
        <v>95</v>
      </c>
      <c r="R15" s="8"/>
      <c r="S15" s="26" t="str">
        <f>"367,5"</f>
        <v>367,5</v>
      </c>
      <c r="T15" s="8" t="str">
        <f>"284,3715"</f>
        <v>284,3715</v>
      </c>
      <c r="U15" s="7"/>
    </row>
    <row r="16" spans="1:21">
      <c r="B16" s="5" t="s">
        <v>53</v>
      </c>
    </row>
    <row r="17" spans="1:21" ht="16">
      <c r="A17" s="36" t="s">
        <v>96</v>
      </c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  <row r="18" spans="1:21">
      <c r="A18" s="10" t="s">
        <v>52</v>
      </c>
      <c r="B18" s="9" t="s">
        <v>97</v>
      </c>
      <c r="C18" s="9" t="s">
        <v>98</v>
      </c>
      <c r="D18" s="9" t="s">
        <v>99</v>
      </c>
      <c r="E18" s="9" t="s">
        <v>416</v>
      </c>
      <c r="F18" s="9" t="s">
        <v>167</v>
      </c>
      <c r="G18" s="15" t="s">
        <v>88</v>
      </c>
      <c r="H18" s="15" t="s">
        <v>28</v>
      </c>
      <c r="I18" s="15" t="s">
        <v>95</v>
      </c>
      <c r="J18" s="10"/>
      <c r="K18" s="15" t="s">
        <v>86</v>
      </c>
      <c r="L18" s="15" t="s">
        <v>19</v>
      </c>
      <c r="M18" s="15" t="s">
        <v>37</v>
      </c>
      <c r="N18" s="10"/>
      <c r="O18" s="15" t="s">
        <v>100</v>
      </c>
      <c r="P18" s="20" t="s">
        <v>48</v>
      </c>
      <c r="Q18" s="15" t="s">
        <v>49</v>
      </c>
      <c r="R18" s="10"/>
      <c r="S18" s="23" t="str">
        <f>"475,0"</f>
        <v>475,0</v>
      </c>
      <c r="T18" s="10" t="str">
        <f>"340,7175"</f>
        <v>340,7175</v>
      </c>
      <c r="U18" s="9" t="s">
        <v>400</v>
      </c>
    </row>
    <row r="19" spans="1:21">
      <c r="A19" s="19" t="s">
        <v>150</v>
      </c>
      <c r="B19" s="18" t="s">
        <v>101</v>
      </c>
      <c r="C19" s="18" t="s">
        <v>102</v>
      </c>
      <c r="D19" s="18" t="s">
        <v>103</v>
      </c>
      <c r="E19" s="18" t="s">
        <v>416</v>
      </c>
      <c r="F19" s="18" t="s">
        <v>167</v>
      </c>
      <c r="G19" s="21" t="s">
        <v>104</v>
      </c>
      <c r="H19" s="22" t="s">
        <v>79</v>
      </c>
      <c r="I19" s="22" t="s">
        <v>79</v>
      </c>
      <c r="J19" s="19"/>
      <c r="K19" s="21" t="s">
        <v>105</v>
      </c>
      <c r="L19" s="21" t="s">
        <v>84</v>
      </c>
      <c r="M19" s="22" t="s">
        <v>85</v>
      </c>
      <c r="N19" s="19"/>
      <c r="O19" s="21" t="s">
        <v>27</v>
      </c>
      <c r="P19" s="21" t="s">
        <v>95</v>
      </c>
      <c r="Q19" s="22" t="s">
        <v>106</v>
      </c>
      <c r="R19" s="19"/>
      <c r="S19" s="35" t="str">
        <f>"410,0"</f>
        <v>410,0</v>
      </c>
      <c r="T19" s="19" t="str">
        <f>"295,4870"</f>
        <v>295,4870</v>
      </c>
      <c r="U19" s="18"/>
    </row>
    <row r="20" spans="1:21">
      <c r="A20" s="12" t="s">
        <v>52</v>
      </c>
      <c r="B20" s="11" t="s">
        <v>397</v>
      </c>
      <c r="C20" s="11" t="s">
        <v>361</v>
      </c>
      <c r="D20" s="11" t="s">
        <v>107</v>
      </c>
      <c r="E20" s="11" t="s">
        <v>421</v>
      </c>
      <c r="F20" s="11" t="s">
        <v>167</v>
      </c>
      <c r="G20" s="16" t="s">
        <v>84</v>
      </c>
      <c r="H20" s="16" t="s">
        <v>85</v>
      </c>
      <c r="I20" s="16" t="s">
        <v>17</v>
      </c>
      <c r="J20" s="12"/>
      <c r="K20" s="16" t="s">
        <v>108</v>
      </c>
      <c r="L20" s="16" t="s">
        <v>66</v>
      </c>
      <c r="M20" s="17" t="s">
        <v>109</v>
      </c>
      <c r="N20" s="12"/>
      <c r="O20" s="16" t="s">
        <v>79</v>
      </c>
      <c r="P20" s="16" t="s">
        <v>110</v>
      </c>
      <c r="Q20" s="12"/>
      <c r="R20" s="12"/>
      <c r="S20" s="24" t="str">
        <f>"352,5"</f>
        <v>352,5</v>
      </c>
      <c r="T20" s="12" t="str">
        <f>"410,5913"</f>
        <v>410,5913</v>
      </c>
      <c r="U20" s="11"/>
    </row>
    <row r="21" spans="1:21">
      <c r="B21" s="5" t="s">
        <v>53</v>
      </c>
    </row>
    <row r="22" spans="1:21" ht="16">
      <c r="A22" s="36" t="s">
        <v>111</v>
      </c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</row>
    <row r="23" spans="1:21">
      <c r="A23" s="8" t="s">
        <v>52</v>
      </c>
      <c r="B23" s="7" t="s">
        <v>112</v>
      </c>
      <c r="C23" s="7" t="s">
        <v>113</v>
      </c>
      <c r="D23" s="7" t="s">
        <v>114</v>
      </c>
      <c r="E23" s="7" t="s">
        <v>417</v>
      </c>
      <c r="F23" s="7" t="s">
        <v>167</v>
      </c>
      <c r="G23" s="13" t="s">
        <v>19</v>
      </c>
      <c r="H23" s="13" t="s">
        <v>104</v>
      </c>
      <c r="I23" s="14" t="s">
        <v>27</v>
      </c>
      <c r="J23" s="8"/>
      <c r="K23" s="13" t="s">
        <v>93</v>
      </c>
      <c r="L23" s="13" t="s">
        <v>94</v>
      </c>
      <c r="M23" s="13" t="s">
        <v>109</v>
      </c>
      <c r="N23" s="8"/>
      <c r="O23" s="13" t="s">
        <v>28</v>
      </c>
      <c r="P23" s="14" t="s">
        <v>36</v>
      </c>
      <c r="Q23" s="14" t="s">
        <v>36</v>
      </c>
      <c r="R23" s="8"/>
      <c r="S23" s="26" t="str">
        <f>"385,0"</f>
        <v>385,0</v>
      </c>
      <c r="T23" s="8" t="str">
        <f>"260,7990"</f>
        <v>260,7990</v>
      </c>
      <c r="U23" s="7" t="s">
        <v>115</v>
      </c>
    </row>
    <row r="24" spans="1:21">
      <c r="B24" s="5" t="s">
        <v>53</v>
      </c>
    </row>
    <row r="25" spans="1:21" ht="16">
      <c r="A25" s="36" t="s">
        <v>22</v>
      </c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  <row r="26" spans="1:21">
      <c r="A26" s="10" t="s">
        <v>52</v>
      </c>
      <c r="B26" s="9" t="s">
        <v>116</v>
      </c>
      <c r="C26" s="9" t="s">
        <v>117</v>
      </c>
      <c r="D26" s="9" t="s">
        <v>118</v>
      </c>
      <c r="E26" s="9" t="s">
        <v>417</v>
      </c>
      <c r="F26" s="9" t="s">
        <v>167</v>
      </c>
      <c r="G26" s="15" t="s">
        <v>106</v>
      </c>
      <c r="H26" s="15" t="s">
        <v>14</v>
      </c>
      <c r="I26" s="15" t="s">
        <v>15</v>
      </c>
      <c r="J26" s="10"/>
      <c r="K26" s="20" t="s">
        <v>79</v>
      </c>
      <c r="L26" s="15" t="s">
        <v>79</v>
      </c>
      <c r="M26" s="15" t="s">
        <v>38</v>
      </c>
      <c r="N26" s="10"/>
      <c r="O26" s="15" t="s">
        <v>119</v>
      </c>
      <c r="P26" s="15" t="s">
        <v>30</v>
      </c>
      <c r="Q26" s="20" t="s">
        <v>120</v>
      </c>
      <c r="R26" s="10"/>
      <c r="S26" s="23" t="str">
        <f>"595,0"</f>
        <v>595,0</v>
      </c>
      <c r="T26" s="10" t="str">
        <f>"381,1570"</f>
        <v>381,1570</v>
      </c>
      <c r="U26" s="9" t="s">
        <v>401</v>
      </c>
    </row>
    <row r="27" spans="1:21">
      <c r="A27" s="19" t="s">
        <v>150</v>
      </c>
      <c r="B27" s="18" t="s">
        <v>121</v>
      </c>
      <c r="C27" s="18" t="s">
        <v>122</v>
      </c>
      <c r="D27" s="18" t="s">
        <v>123</v>
      </c>
      <c r="E27" s="18" t="s">
        <v>417</v>
      </c>
      <c r="F27" s="18" t="s">
        <v>124</v>
      </c>
      <c r="G27" s="21" t="s">
        <v>104</v>
      </c>
      <c r="H27" s="21" t="s">
        <v>80</v>
      </c>
      <c r="I27" s="22" t="s">
        <v>125</v>
      </c>
      <c r="J27" s="19"/>
      <c r="K27" s="21" t="s">
        <v>74</v>
      </c>
      <c r="L27" s="21" t="s">
        <v>75</v>
      </c>
      <c r="M27" s="21" t="s">
        <v>105</v>
      </c>
      <c r="N27" s="19"/>
      <c r="O27" s="21" t="s">
        <v>38</v>
      </c>
      <c r="P27" s="21" t="s">
        <v>88</v>
      </c>
      <c r="Q27" s="21" t="s">
        <v>95</v>
      </c>
      <c r="R27" s="19"/>
      <c r="S27" s="35" t="str">
        <f>"412,5"</f>
        <v>412,5</v>
      </c>
      <c r="T27" s="19" t="str">
        <f>"269,0738"</f>
        <v>269,0738</v>
      </c>
      <c r="U27" s="18" t="s">
        <v>393</v>
      </c>
    </row>
    <row r="28" spans="1:21">
      <c r="A28" s="19" t="s">
        <v>151</v>
      </c>
      <c r="B28" s="18" t="s">
        <v>126</v>
      </c>
      <c r="C28" s="18" t="s">
        <v>127</v>
      </c>
      <c r="D28" s="18" t="s">
        <v>118</v>
      </c>
      <c r="E28" s="18" t="s">
        <v>417</v>
      </c>
      <c r="F28" s="18" t="s">
        <v>167</v>
      </c>
      <c r="G28" s="21" t="s">
        <v>84</v>
      </c>
      <c r="H28" s="21" t="s">
        <v>17</v>
      </c>
      <c r="I28" s="21" t="s">
        <v>18</v>
      </c>
      <c r="J28" s="19"/>
      <c r="K28" s="21" t="s">
        <v>94</v>
      </c>
      <c r="L28" s="21" t="s">
        <v>67</v>
      </c>
      <c r="M28" s="22" t="s">
        <v>75</v>
      </c>
      <c r="N28" s="19"/>
      <c r="O28" s="21" t="s">
        <v>79</v>
      </c>
      <c r="P28" s="21" t="s">
        <v>88</v>
      </c>
      <c r="Q28" s="21" t="s">
        <v>29</v>
      </c>
      <c r="R28" s="19"/>
      <c r="S28" s="35" t="str">
        <f>"385,0"</f>
        <v>385,0</v>
      </c>
      <c r="T28" s="19" t="str">
        <f>"246,6310"</f>
        <v>246,6310</v>
      </c>
      <c r="U28" s="18"/>
    </row>
    <row r="29" spans="1:21">
      <c r="A29" s="19" t="s">
        <v>54</v>
      </c>
      <c r="B29" s="18" t="s">
        <v>128</v>
      </c>
      <c r="C29" s="18" t="s">
        <v>129</v>
      </c>
      <c r="D29" s="18" t="s">
        <v>130</v>
      </c>
      <c r="E29" s="18" t="s">
        <v>416</v>
      </c>
      <c r="F29" s="18" t="s">
        <v>167</v>
      </c>
      <c r="G29" s="21" t="s">
        <v>131</v>
      </c>
      <c r="H29" s="22" t="s">
        <v>132</v>
      </c>
      <c r="I29" s="19"/>
      <c r="J29" s="19"/>
      <c r="K29" s="22" t="s">
        <v>125</v>
      </c>
      <c r="L29" s="19"/>
      <c r="M29" s="19"/>
      <c r="N29" s="19"/>
      <c r="O29" s="22"/>
      <c r="P29" s="19"/>
      <c r="Q29" s="19"/>
      <c r="R29" s="19"/>
      <c r="S29" s="35">
        <v>0</v>
      </c>
      <c r="T29" s="19" t="str">
        <f>"0,0000"</f>
        <v>0,0000</v>
      </c>
      <c r="U29" s="18"/>
    </row>
    <row r="30" spans="1:21">
      <c r="A30" s="12" t="s">
        <v>54</v>
      </c>
      <c r="B30" s="11" t="s">
        <v>133</v>
      </c>
      <c r="C30" s="11" t="s">
        <v>134</v>
      </c>
      <c r="D30" s="11" t="s">
        <v>135</v>
      </c>
      <c r="E30" s="11" t="s">
        <v>416</v>
      </c>
      <c r="F30" s="11" t="s">
        <v>59</v>
      </c>
      <c r="G30" s="16" t="s">
        <v>136</v>
      </c>
      <c r="H30" s="16" t="s">
        <v>36</v>
      </c>
      <c r="I30" s="16" t="s">
        <v>14</v>
      </c>
      <c r="J30" s="12"/>
      <c r="K30" s="17" t="s">
        <v>79</v>
      </c>
      <c r="L30" s="17" t="s">
        <v>79</v>
      </c>
      <c r="M30" s="17" t="s">
        <v>79</v>
      </c>
      <c r="N30" s="12"/>
      <c r="O30" s="17"/>
      <c r="P30" s="12"/>
      <c r="Q30" s="12"/>
      <c r="R30" s="12"/>
      <c r="S30" s="24">
        <v>0</v>
      </c>
      <c r="T30" s="12" t="str">
        <f>"0,0000"</f>
        <v>0,0000</v>
      </c>
      <c r="U30" s="11" t="s">
        <v>402</v>
      </c>
    </row>
    <row r="31" spans="1:21">
      <c r="B31" s="5" t="s">
        <v>53</v>
      </c>
    </row>
    <row r="32" spans="1:21" ht="16">
      <c r="A32" s="36" t="s">
        <v>41</v>
      </c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</row>
    <row r="33" spans="1:21">
      <c r="A33" s="10" t="s">
        <v>52</v>
      </c>
      <c r="B33" s="9" t="s">
        <v>138</v>
      </c>
      <c r="C33" s="9" t="s">
        <v>362</v>
      </c>
      <c r="D33" s="9" t="s">
        <v>139</v>
      </c>
      <c r="E33" s="9" t="s">
        <v>419</v>
      </c>
      <c r="F33" s="9" t="s">
        <v>140</v>
      </c>
      <c r="G33" s="15" t="s">
        <v>36</v>
      </c>
      <c r="H33" s="15" t="s">
        <v>14</v>
      </c>
      <c r="I33" s="20" t="s">
        <v>21</v>
      </c>
      <c r="J33" s="10"/>
      <c r="K33" s="15" t="s">
        <v>85</v>
      </c>
      <c r="L33" s="15" t="s">
        <v>86</v>
      </c>
      <c r="M33" s="15" t="s">
        <v>18</v>
      </c>
      <c r="N33" s="10"/>
      <c r="O33" s="15" t="s">
        <v>36</v>
      </c>
      <c r="P33" s="15" t="s">
        <v>15</v>
      </c>
      <c r="Q33" s="20" t="s">
        <v>40</v>
      </c>
      <c r="R33" s="10"/>
      <c r="S33" s="23" t="str">
        <f>"532,5"</f>
        <v>532,5</v>
      </c>
      <c r="T33" s="10" t="str">
        <f>"331,9613"</f>
        <v>331,9613</v>
      </c>
      <c r="U33" s="9"/>
    </row>
    <row r="34" spans="1:21">
      <c r="A34" s="12" t="s">
        <v>54</v>
      </c>
      <c r="B34" s="11" t="s">
        <v>141</v>
      </c>
      <c r="C34" s="11" t="s">
        <v>363</v>
      </c>
      <c r="D34" s="11" t="s">
        <v>142</v>
      </c>
      <c r="E34" s="11" t="s">
        <v>419</v>
      </c>
      <c r="F34" s="11" t="s">
        <v>167</v>
      </c>
      <c r="G34" s="16" t="s">
        <v>143</v>
      </c>
      <c r="H34" s="16" t="s">
        <v>14</v>
      </c>
      <c r="I34" s="17" t="s">
        <v>21</v>
      </c>
      <c r="J34" s="12"/>
      <c r="K34" s="16" t="s">
        <v>104</v>
      </c>
      <c r="L34" s="17" t="s">
        <v>79</v>
      </c>
      <c r="M34" s="17" t="s">
        <v>79</v>
      </c>
      <c r="N34" s="12"/>
      <c r="O34" s="17" t="s">
        <v>119</v>
      </c>
      <c r="P34" s="17" t="s">
        <v>119</v>
      </c>
      <c r="Q34" s="17" t="s">
        <v>26</v>
      </c>
      <c r="R34" s="12"/>
      <c r="S34" s="24">
        <v>0</v>
      </c>
      <c r="T34" s="12" t="str">
        <f>"0,0000"</f>
        <v>0,0000</v>
      </c>
      <c r="U34" s="11"/>
    </row>
    <row r="35" spans="1:21">
      <c r="B35" s="5" t="s">
        <v>53</v>
      </c>
    </row>
    <row r="36" spans="1:21" ht="16">
      <c r="A36" s="36" t="s">
        <v>144</v>
      </c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</row>
    <row r="37" spans="1:21">
      <c r="A37" s="8" t="s">
        <v>52</v>
      </c>
      <c r="B37" s="7" t="s">
        <v>145</v>
      </c>
      <c r="C37" s="7" t="s">
        <v>146</v>
      </c>
      <c r="D37" s="7" t="s">
        <v>147</v>
      </c>
      <c r="E37" s="7" t="s">
        <v>416</v>
      </c>
      <c r="F37" s="7" t="s">
        <v>389</v>
      </c>
      <c r="G37" s="13" t="s">
        <v>46</v>
      </c>
      <c r="H37" s="13" t="s">
        <v>47</v>
      </c>
      <c r="I37" s="14" t="s">
        <v>148</v>
      </c>
      <c r="J37" s="8"/>
      <c r="K37" s="13" t="s">
        <v>28</v>
      </c>
      <c r="L37" s="13" t="s">
        <v>29</v>
      </c>
      <c r="M37" s="13" t="s">
        <v>106</v>
      </c>
      <c r="N37" s="8"/>
      <c r="O37" s="13" t="s">
        <v>149</v>
      </c>
      <c r="P37" s="13" t="s">
        <v>46</v>
      </c>
      <c r="Q37" s="13" t="s">
        <v>47</v>
      </c>
      <c r="R37" s="8"/>
      <c r="S37" s="26" t="str">
        <f>"740,0"</f>
        <v>740,0</v>
      </c>
      <c r="T37" s="8" t="str">
        <f>"425,7960"</f>
        <v>425,7960</v>
      </c>
      <c r="U37" s="7"/>
    </row>
    <row r="38" spans="1:21">
      <c r="B38" s="5" t="s">
        <v>53</v>
      </c>
    </row>
    <row r="39" spans="1:21">
      <c r="B39" s="5" t="s">
        <v>53</v>
      </c>
    </row>
  </sheetData>
  <mergeCells count="22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32:R32"/>
    <mergeCell ref="A36:R36"/>
    <mergeCell ref="B3:B4"/>
    <mergeCell ref="A8:R8"/>
    <mergeCell ref="A11:R11"/>
    <mergeCell ref="A14:R14"/>
    <mergeCell ref="A17:R17"/>
    <mergeCell ref="A22:R22"/>
    <mergeCell ref="A25:R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14"/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.5" style="5" customWidth="1"/>
    <col min="3" max="3" width="26.33203125" style="5" bestFit="1" customWidth="1"/>
    <col min="4" max="4" width="15.5" style="5" bestFit="1" customWidth="1"/>
    <col min="5" max="5" width="10.83203125" style="5" customWidth="1"/>
    <col min="6" max="6" width="17.33203125" style="5" bestFit="1" customWidth="1"/>
    <col min="7" max="9" width="5.5" style="6" customWidth="1"/>
    <col min="10" max="10" width="4.83203125" style="6" customWidth="1"/>
    <col min="11" max="11" width="10.5" style="25" bestFit="1" customWidth="1"/>
    <col min="12" max="12" width="9.83203125" style="6" customWidth="1"/>
    <col min="13" max="13" width="21.83203125" style="5" bestFit="1" customWidth="1"/>
    <col min="14" max="16384" width="9.1640625" style="3"/>
  </cols>
  <sheetData>
    <row r="1" spans="1:13" s="2" customFormat="1" ht="29" customHeight="1">
      <c r="A1" s="48" t="s">
        <v>375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/>
      <c r="B3" s="38" t="s">
        <v>0</v>
      </c>
      <c r="C3" s="58" t="s">
        <v>413</v>
      </c>
      <c r="D3" s="58" t="s">
        <v>6</v>
      </c>
      <c r="E3" s="42" t="s">
        <v>414</v>
      </c>
      <c r="F3" s="42" t="s">
        <v>5</v>
      </c>
      <c r="G3" s="42" t="s">
        <v>8</v>
      </c>
      <c r="H3" s="42"/>
      <c r="I3" s="42"/>
      <c r="J3" s="42"/>
      <c r="K3" s="40" t="s">
        <v>189</v>
      </c>
      <c r="L3" s="42" t="s">
        <v>3</v>
      </c>
      <c r="M3" s="44" t="s">
        <v>2</v>
      </c>
    </row>
    <row r="4" spans="1:13" s="1" customFormat="1" ht="21" customHeight="1" thickBot="1">
      <c r="A4" s="57"/>
      <c r="B4" s="39"/>
      <c r="C4" s="43"/>
      <c r="D4" s="43"/>
      <c r="E4" s="43"/>
      <c r="F4" s="43"/>
      <c r="G4" s="4">
        <v>1</v>
      </c>
      <c r="H4" s="4">
        <v>2</v>
      </c>
      <c r="I4" s="4">
        <v>3</v>
      </c>
      <c r="J4" s="4" t="s">
        <v>4</v>
      </c>
      <c r="K4" s="41"/>
      <c r="L4" s="43"/>
      <c r="M4" s="45"/>
    </row>
    <row r="5" spans="1:13" ht="16">
      <c r="A5" s="46" t="s">
        <v>41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8" t="s">
        <v>54</v>
      </c>
      <c r="B6" s="7" t="s">
        <v>234</v>
      </c>
      <c r="C6" s="7" t="s">
        <v>235</v>
      </c>
      <c r="D6" s="7" t="s">
        <v>236</v>
      </c>
      <c r="E6" s="7" t="s">
        <v>416</v>
      </c>
      <c r="F6" s="7" t="s">
        <v>167</v>
      </c>
      <c r="G6" s="14" t="s">
        <v>119</v>
      </c>
      <c r="H6" s="14" t="s">
        <v>119</v>
      </c>
      <c r="I6" s="14" t="s">
        <v>131</v>
      </c>
      <c r="J6" s="8"/>
      <c r="K6" s="26">
        <v>0</v>
      </c>
      <c r="L6" s="8" t="str">
        <f>"0,0000"</f>
        <v>0,0000</v>
      </c>
      <c r="M6" s="7" t="s">
        <v>395</v>
      </c>
    </row>
    <row r="7" spans="1:13">
      <c r="B7" s="5" t="s">
        <v>53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2"/>
  <dimension ref="A1:M34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4" style="5" bestFit="1" customWidth="1"/>
    <col min="7" max="9" width="5.5" style="6" customWidth="1"/>
    <col min="10" max="10" width="4.83203125" style="6" customWidth="1"/>
    <col min="11" max="11" width="10.5" style="25" bestFit="1" customWidth="1"/>
    <col min="12" max="12" width="8.5" style="6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48" t="s">
        <v>373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/>
      <c r="B3" s="38" t="s">
        <v>0</v>
      </c>
      <c r="C3" s="58" t="s">
        <v>413</v>
      </c>
      <c r="D3" s="58" t="s">
        <v>6</v>
      </c>
      <c r="E3" s="42" t="s">
        <v>414</v>
      </c>
      <c r="F3" s="42" t="s">
        <v>5</v>
      </c>
      <c r="G3" s="42" t="s">
        <v>9</v>
      </c>
      <c r="H3" s="42"/>
      <c r="I3" s="42"/>
      <c r="J3" s="42"/>
      <c r="K3" s="40" t="s">
        <v>189</v>
      </c>
      <c r="L3" s="42" t="s">
        <v>3</v>
      </c>
      <c r="M3" s="44" t="s">
        <v>2</v>
      </c>
    </row>
    <row r="4" spans="1:13" s="1" customFormat="1" ht="21" customHeight="1" thickBot="1">
      <c r="A4" s="57"/>
      <c r="B4" s="39"/>
      <c r="C4" s="43"/>
      <c r="D4" s="43"/>
      <c r="E4" s="43"/>
      <c r="F4" s="43"/>
      <c r="G4" s="4">
        <v>1</v>
      </c>
      <c r="H4" s="4">
        <v>2</v>
      </c>
      <c r="I4" s="4">
        <v>3</v>
      </c>
      <c r="J4" s="4" t="s">
        <v>4</v>
      </c>
      <c r="K4" s="41"/>
      <c r="L4" s="43"/>
      <c r="M4" s="45"/>
    </row>
    <row r="5" spans="1:13" ht="16">
      <c r="A5" s="46" t="s">
        <v>55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8" t="s">
        <v>52</v>
      </c>
      <c r="B6" s="7" t="s">
        <v>245</v>
      </c>
      <c r="C6" s="7" t="s">
        <v>246</v>
      </c>
      <c r="D6" s="7" t="s">
        <v>247</v>
      </c>
      <c r="E6" s="7" t="s">
        <v>416</v>
      </c>
      <c r="F6" s="7" t="s">
        <v>248</v>
      </c>
      <c r="G6" s="13" t="s">
        <v>84</v>
      </c>
      <c r="H6" s="14" t="s">
        <v>17</v>
      </c>
      <c r="I6" s="14" t="s">
        <v>17</v>
      </c>
      <c r="J6" s="8"/>
      <c r="K6" s="26" t="str">
        <f>"110,0"</f>
        <v>110,0</v>
      </c>
      <c r="L6" s="8" t="str">
        <f>"138,1600"</f>
        <v>138,1600</v>
      </c>
      <c r="M6" s="7" t="s">
        <v>392</v>
      </c>
    </row>
    <row r="7" spans="1:13">
      <c r="B7" s="5" t="s">
        <v>53</v>
      </c>
    </row>
    <row r="8" spans="1:13" ht="16">
      <c r="A8" s="36" t="s">
        <v>10</v>
      </c>
      <c r="B8" s="36"/>
      <c r="C8" s="37"/>
      <c r="D8" s="37"/>
      <c r="E8" s="37"/>
      <c r="F8" s="37"/>
      <c r="G8" s="37"/>
      <c r="H8" s="37"/>
      <c r="I8" s="37"/>
      <c r="J8" s="37"/>
    </row>
    <row r="9" spans="1:13">
      <c r="A9" s="8" t="s">
        <v>52</v>
      </c>
      <c r="B9" s="7" t="s">
        <v>249</v>
      </c>
      <c r="C9" s="7" t="s">
        <v>250</v>
      </c>
      <c r="D9" s="7" t="s">
        <v>251</v>
      </c>
      <c r="E9" s="7" t="s">
        <v>416</v>
      </c>
      <c r="F9" s="7" t="s">
        <v>167</v>
      </c>
      <c r="G9" s="13" t="s">
        <v>75</v>
      </c>
      <c r="H9" s="14" t="s">
        <v>105</v>
      </c>
      <c r="I9" s="14" t="s">
        <v>105</v>
      </c>
      <c r="J9" s="8"/>
      <c r="K9" s="26" t="str">
        <f>"100,0"</f>
        <v>100,0</v>
      </c>
      <c r="L9" s="8" t="str">
        <f>"102,2800"</f>
        <v>102,2800</v>
      </c>
      <c r="M9" s="7" t="s">
        <v>393</v>
      </c>
    </row>
    <row r="10" spans="1:13">
      <c r="B10" s="5" t="s">
        <v>53</v>
      </c>
    </row>
    <row r="11" spans="1:13" ht="16">
      <c r="A11" s="36" t="s">
        <v>96</v>
      </c>
      <c r="B11" s="36"/>
      <c r="C11" s="37"/>
      <c r="D11" s="37"/>
      <c r="E11" s="37"/>
      <c r="F11" s="37"/>
      <c r="G11" s="37"/>
      <c r="H11" s="37"/>
      <c r="I11" s="37"/>
      <c r="J11" s="37"/>
    </row>
    <row r="12" spans="1:13">
      <c r="A12" s="8" t="s">
        <v>52</v>
      </c>
      <c r="B12" s="7" t="s">
        <v>252</v>
      </c>
      <c r="C12" s="7" t="s">
        <v>253</v>
      </c>
      <c r="D12" s="7" t="s">
        <v>254</v>
      </c>
      <c r="E12" s="7" t="s">
        <v>416</v>
      </c>
      <c r="F12" s="7" t="s">
        <v>255</v>
      </c>
      <c r="G12" s="13" t="s">
        <v>36</v>
      </c>
      <c r="H12" s="14" t="s">
        <v>256</v>
      </c>
      <c r="I12" s="14" t="s">
        <v>256</v>
      </c>
      <c r="J12" s="8"/>
      <c r="K12" s="26" t="str">
        <f>"190,0"</f>
        <v>190,0</v>
      </c>
      <c r="L12" s="8" t="str">
        <f>"138,1490"</f>
        <v>138,1490</v>
      </c>
      <c r="M12" s="7" t="s">
        <v>394</v>
      </c>
    </row>
    <row r="13" spans="1:13">
      <c r="B13" s="5" t="s">
        <v>53</v>
      </c>
    </row>
    <row r="14" spans="1:13" ht="16">
      <c r="A14" s="36" t="s">
        <v>111</v>
      </c>
      <c r="B14" s="36"/>
      <c r="C14" s="37"/>
      <c r="D14" s="37"/>
      <c r="E14" s="37"/>
      <c r="F14" s="37"/>
      <c r="G14" s="37"/>
      <c r="H14" s="37"/>
      <c r="I14" s="37"/>
      <c r="J14" s="37"/>
    </row>
    <row r="15" spans="1:13">
      <c r="A15" s="10" t="s">
        <v>52</v>
      </c>
      <c r="B15" s="9" t="s">
        <v>112</v>
      </c>
      <c r="C15" s="9" t="s">
        <v>113</v>
      </c>
      <c r="D15" s="9" t="s">
        <v>114</v>
      </c>
      <c r="E15" s="9" t="s">
        <v>417</v>
      </c>
      <c r="F15" s="9" t="s">
        <v>167</v>
      </c>
      <c r="G15" s="15" t="s">
        <v>28</v>
      </c>
      <c r="H15" s="20" t="s">
        <v>36</v>
      </c>
      <c r="I15" s="20" t="s">
        <v>36</v>
      </c>
      <c r="J15" s="10"/>
      <c r="K15" s="23" t="str">
        <f>"160,0"</f>
        <v>160,0</v>
      </c>
      <c r="L15" s="10" t="str">
        <f>"108,3840"</f>
        <v>108,3840</v>
      </c>
      <c r="M15" s="9" t="s">
        <v>115</v>
      </c>
    </row>
    <row r="16" spans="1:13">
      <c r="A16" s="19" t="s">
        <v>52</v>
      </c>
      <c r="B16" s="18" t="s">
        <v>257</v>
      </c>
      <c r="C16" s="18" t="s">
        <v>350</v>
      </c>
      <c r="D16" s="18" t="s">
        <v>258</v>
      </c>
      <c r="E16" s="18" t="s">
        <v>418</v>
      </c>
      <c r="F16" s="18" t="s">
        <v>167</v>
      </c>
      <c r="G16" s="22" t="s">
        <v>106</v>
      </c>
      <c r="H16" s="21" t="s">
        <v>36</v>
      </c>
      <c r="I16" s="21" t="s">
        <v>20</v>
      </c>
      <c r="J16" s="19"/>
      <c r="K16" s="35" t="str">
        <f>"195,0"</f>
        <v>195,0</v>
      </c>
      <c r="L16" s="19" t="str">
        <f>"135,5445"</f>
        <v>135,5445</v>
      </c>
      <c r="M16" s="18"/>
    </row>
    <row r="17" spans="1:13">
      <c r="A17" s="19" t="s">
        <v>150</v>
      </c>
      <c r="B17" s="18" t="s">
        <v>259</v>
      </c>
      <c r="C17" s="18" t="s">
        <v>351</v>
      </c>
      <c r="D17" s="18" t="s">
        <v>260</v>
      </c>
      <c r="E17" s="18" t="s">
        <v>418</v>
      </c>
      <c r="F17" s="18" t="s">
        <v>167</v>
      </c>
      <c r="G17" s="21" t="s">
        <v>49</v>
      </c>
      <c r="H17" s="21" t="s">
        <v>36</v>
      </c>
      <c r="I17" s="19"/>
      <c r="J17" s="19"/>
      <c r="K17" s="35" t="str">
        <f>"190,0"</f>
        <v>190,0</v>
      </c>
      <c r="L17" s="19" t="str">
        <f>"128,9150"</f>
        <v>128,9150</v>
      </c>
      <c r="M17" s="18"/>
    </row>
    <row r="18" spans="1:13">
      <c r="A18" s="12" t="s">
        <v>52</v>
      </c>
      <c r="B18" s="11" t="s">
        <v>261</v>
      </c>
      <c r="C18" s="11" t="s">
        <v>262</v>
      </c>
      <c r="D18" s="11" t="s">
        <v>212</v>
      </c>
      <c r="E18" s="11" t="s">
        <v>416</v>
      </c>
      <c r="F18" s="11" t="s">
        <v>167</v>
      </c>
      <c r="G18" s="16" t="s">
        <v>15</v>
      </c>
      <c r="H18" s="16" t="s">
        <v>131</v>
      </c>
      <c r="I18" s="17" t="s">
        <v>132</v>
      </c>
      <c r="J18" s="12"/>
      <c r="K18" s="24" t="str">
        <f>"220,0"</f>
        <v>220,0</v>
      </c>
      <c r="L18" s="12" t="str">
        <f>"147,3780"</f>
        <v>147,3780</v>
      </c>
      <c r="M18" s="11"/>
    </row>
    <row r="19" spans="1:13">
      <c r="B19" s="5" t="s">
        <v>53</v>
      </c>
    </row>
    <row r="20" spans="1:13" ht="16">
      <c r="A20" s="36" t="s">
        <v>22</v>
      </c>
      <c r="B20" s="36"/>
      <c r="C20" s="37"/>
      <c r="D20" s="37"/>
      <c r="E20" s="37"/>
      <c r="F20" s="37"/>
      <c r="G20" s="37"/>
      <c r="H20" s="37"/>
      <c r="I20" s="37"/>
      <c r="J20" s="37"/>
    </row>
    <row r="21" spans="1:13">
      <c r="A21" s="10" t="s">
        <v>52</v>
      </c>
      <c r="B21" s="9" t="s">
        <v>263</v>
      </c>
      <c r="C21" s="9" t="s">
        <v>264</v>
      </c>
      <c r="D21" s="9" t="s">
        <v>265</v>
      </c>
      <c r="E21" s="9" t="s">
        <v>416</v>
      </c>
      <c r="F21" s="9" t="s">
        <v>167</v>
      </c>
      <c r="G21" s="15" t="s">
        <v>88</v>
      </c>
      <c r="H21" s="15" t="s">
        <v>266</v>
      </c>
      <c r="I21" s="20" t="s">
        <v>49</v>
      </c>
      <c r="J21" s="10"/>
      <c r="K21" s="23" t="str">
        <f>"162,5"</f>
        <v>162,5</v>
      </c>
      <c r="L21" s="10" t="str">
        <f>"106,6325"</f>
        <v>106,6325</v>
      </c>
      <c r="M21" s="9"/>
    </row>
    <row r="22" spans="1:13">
      <c r="A22" s="19" t="s">
        <v>54</v>
      </c>
      <c r="B22" s="18" t="s">
        <v>267</v>
      </c>
      <c r="C22" s="18" t="s">
        <v>268</v>
      </c>
      <c r="D22" s="18" t="s">
        <v>130</v>
      </c>
      <c r="E22" s="18" t="s">
        <v>416</v>
      </c>
      <c r="F22" s="18" t="s">
        <v>269</v>
      </c>
      <c r="G22" s="22" t="s">
        <v>132</v>
      </c>
      <c r="H22" s="19"/>
      <c r="I22" s="19"/>
      <c r="J22" s="19"/>
      <c r="K22" s="35">
        <v>0</v>
      </c>
      <c r="L22" s="19" t="str">
        <f>"0,0000"</f>
        <v>0,0000</v>
      </c>
      <c r="M22" s="18"/>
    </row>
    <row r="23" spans="1:13">
      <c r="A23" s="19" t="s">
        <v>54</v>
      </c>
      <c r="B23" s="18" t="s">
        <v>267</v>
      </c>
      <c r="C23" s="18" t="s">
        <v>349</v>
      </c>
      <c r="D23" s="18" t="s">
        <v>130</v>
      </c>
      <c r="E23" s="18" t="s">
        <v>419</v>
      </c>
      <c r="F23" s="18" t="s">
        <v>269</v>
      </c>
      <c r="G23" s="22" t="s">
        <v>132</v>
      </c>
      <c r="H23" s="19"/>
      <c r="I23" s="19"/>
      <c r="J23" s="19"/>
      <c r="K23" s="35">
        <v>0</v>
      </c>
      <c r="L23" s="19" t="str">
        <f>"0,0000"</f>
        <v>0,0000</v>
      </c>
      <c r="M23" s="18"/>
    </row>
    <row r="24" spans="1:13">
      <c r="A24" s="19" t="s">
        <v>52</v>
      </c>
      <c r="B24" s="18" t="s">
        <v>270</v>
      </c>
      <c r="C24" s="18" t="s">
        <v>352</v>
      </c>
      <c r="D24" s="18" t="s">
        <v>24</v>
      </c>
      <c r="E24" s="18" t="s">
        <v>415</v>
      </c>
      <c r="F24" s="18" t="s">
        <v>167</v>
      </c>
      <c r="G24" s="21" t="s">
        <v>106</v>
      </c>
      <c r="H24" s="21" t="s">
        <v>36</v>
      </c>
      <c r="I24" s="22" t="s">
        <v>187</v>
      </c>
      <c r="J24" s="19"/>
      <c r="K24" s="35" t="str">
        <f>"190,0"</f>
        <v>190,0</v>
      </c>
      <c r="L24" s="19" t="str">
        <f>"131,8221"</f>
        <v>131,8221</v>
      </c>
      <c r="M24" s="18" t="s">
        <v>392</v>
      </c>
    </row>
    <row r="25" spans="1:13">
      <c r="A25" s="12" t="s">
        <v>52</v>
      </c>
      <c r="B25" s="11" t="s">
        <v>271</v>
      </c>
      <c r="C25" s="11" t="s">
        <v>353</v>
      </c>
      <c r="D25" s="11" t="s">
        <v>218</v>
      </c>
      <c r="E25" s="11" t="s">
        <v>420</v>
      </c>
      <c r="F25" s="11" t="s">
        <v>167</v>
      </c>
      <c r="G25" s="16" t="s">
        <v>131</v>
      </c>
      <c r="H25" s="16" t="s">
        <v>132</v>
      </c>
      <c r="I25" s="16" t="s">
        <v>161</v>
      </c>
      <c r="J25" s="12"/>
      <c r="K25" s="24" t="str">
        <f>"235,0"</f>
        <v>235,0</v>
      </c>
      <c r="L25" s="12" t="str">
        <f>"179,6406"</f>
        <v>179,6406</v>
      </c>
      <c r="M25" s="11" t="s">
        <v>392</v>
      </c>
    </row>
    <row r="26" spans="1:13">
      <c r="B26" s="5" t="s">
        <v>53</v>
      </c>
    </row>
    <row r="27" spans="1:13" ht="16">
      <c r="A27" s="36" t="s">
        <v>144</v>
      </c>
      <c r="B27" s="36"/>
      <c r="C27" s="37"/>
      <c r="D27" s="37"/>
      <c r="E27" s="37"/>
      <c r="F27" s="37"/>
      <c r="G27" s="37"/>
      <c r="H27" s="37"/>
      <c r="I27" s="37"/>
      <c r="J27" s="37"/>
    </row>
    <row r="28" spans="1:13">
      <c r="A28" s="10" t="s">
        <v>52</v>
      </c>
      <c r="B28" s="9" t="s">
        <v>145</v>
      </c>
      <c r="C28" s="9" t="s">
        <v>146</v>
      </c>
      <c r="D28" s="9" t="s">
        <v>147</v>
      </c>
      <c r="E28" s="9" t="s">
        <v>416</v>
      </c>
      <c r="F28" s="27" t="s">
        <v>389</v>
      </c>
      <c r="G28" s="31" t="s">
        <v>149</v>
      </c>
      <c r="H28" s="15" t="s">
        <v>46</v>
      </c>
      <c r="I28" s="32" t="s">
        <v>47</v>
      </c>
      <c r="J28" s="29"/>
      <c r="K28" s="23" t="str">
        <f>"280,0"</f>
        <v>280,0</v>
      </c>
      <c r="L28" s="10" t="str">
        <f>"161,1120"</f>
        <v>161,1120</v>
      </c>
      <c r="M28" s="9"/>
    </row>
    <row r="29" spans="1:13">
      <c r="A29" s="12" t="s">
        <v>150</v>
      </c>
      <c r="B29" s="11" t="s">
        <v>145</v>
      </c>
      <c r="C29" s="11" t="s">
        <v>146</v>
      </c>
      <c r="D29" s="11" t="s">
        <v>147</v>
      </c>
      <c r="E29" s="11" t="s">
        <v>416</v>
      </c>
      <c r="F29" s="28" t="s">
        <v>389</v>
      </c>
      <c r="G29" s="33" t="s">
        <v>149</v>
      </c>
      <c r="H29" s="16" t="s">
        <v>46</v>
      </c>
      <c r="I29" s="34" t="s">
        <v>47</v>
      </c>
      <c r="J29" s="30"/>
      <c r="K29" s="24" t="str">
        <f>"250,0"</f>
        <v>250,0</v>
      </c>
      <c r="L29" s="12" t="str">
        <f>"143,8500"</f>
        <v>143,8500</v>
      </c>
      <c r="M29" s="11"/>
    </row>
    <row r="30" spans="1:13">
      <c r="B30" s="5" t="s">
        <v>53</v>
      </c>
    </row>
    <row r="31" spans="1:13" ht="16">
      <c r="A31" s="36" t="s">
        <v>272</v>
      </c>
      <c r="B31" s="36"/>
      <c r="C31" s="37"/>
      <c r="D31" s="37"/>
      <c r="E31" s="37"/>
      <c r="F31" s="37"/>
      <c r="G31" s="37"/>
      <c r="H31" s="37"/>
      <c r="I31" s="37"/>
      <c r="J31" s="37"/>
    </row>
    <row r="32" spans="1:13">
      <c r="A32" s="8" t="s">
        <v>52</v>
      </c>
      <c r="B32" s="7" t="s">
        <v>273</v>
      </c>
      <c r="C32" s="7" t="s">
        <v>274</v>
      </c>
      <c r="D32" s="7" t="s">
        <v>275</v>
      </c>
      <c r="E32" s="7" t="s">
        <v>417</v>
      </c>
      <c r="F32" s="7" t="s">
        <v>167</v>
      </c>
      <c r="G32" s="13" t="s">
        <v>161</v>
      </c>
      <c r="H32" s="14" t="s">
        <v>31</v>
      </c>
      <c r="I32" s="14" t="s">
        <v>31</v>
      </c>
      <c r="J32" s="8"/>
      <c r="K32" s="26" t="str">
        <f>"235,0"</f>
        <v>235,0</v>
      </c>
      <c r="L32" s="8" t="str">
        <f>"127,0410"</f>
        <v>127,0410</v>
      </c>
      <c r="M32" s="7" t="s">
        <v>276</v>
      </c>
    </row>
    <row r="33" spans="2:2">
      <c r="B33" s="5" t="s">
        <v>53</v>
      </c>
    </row>
    <row r="34" spans="2:2">
      <c r="B34" s="5" t="s">
        <v>53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31:J31"/>
    <mergeCell ref="K3:K4"/>
    <mergeCell ref="L3:L4"/>
    <mergeCell ref="M3:M4"/>
    <mergeCell ref="A5:J5"/>
    <mergeCell ref="B3:B4"/>
    <mergeCell ref="A8:J8"/>
    <mergeCell ref="A11:J11"/>
    <mergeCell ref="A14:J14"/>
    <mergeCell ref="A20:J20"/>
    <mergeCell ref="A27:J2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3"/>
  <dimension ref="A1:M1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16406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6" style="5" bestFit="1" customWidth="1"/>
    <col min="14" max="16384" width="9.1640625" style="3"/>
  </cols>
  <sheetData>
    <row r="1" spans="1:13" s="2" customFormat="1" ht="29" customHeight="1">
      <c r="A1" s="48" t="s">
        <v>374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/>
      <c r="B3" s="38" t="s">
        <v>0</v>
      </c>
      <c r="C3" s="58" t="s">
        <v>413</v>
      </c>
      <c r="D3" s="58" t="s">
        <v>6</v>
      </c>
      <c r="E3" s="42" t="s">
        <v>414</v>
      </c>
      <c r="F3" s="42" t="s">
        <v>5</v>
      </c>
      <c r="G3" s="42" t="s">
        <v>9</v>
      </c>
      <c r="H3" s="42"/>
      <c r="I3" s="42"/>
      <c r="J3" s="42"/>
      <c r="K3" s="42" t="s">
        <v>189</v>
      </c>
      <c r="L3" s="42" t="s">
        <v>3</v>
      </c>
      <c r="M3" s="44" t="s">
        <v>2</v>
      </c>
    </row>
    <row r="4" spans="1:13" s="1" customFormat="1" ht="21" customHeight="1" thickBot="1">
      <c r="A4" s="57"/>
      <c r="B4" s="39"/>
      <c r="C4" s="43"/>
      <c r="D4" s="43"/>
      <c r="E4" s="43"/>
      <c r="F4" s="43"/>
      <c r="G4" s="4">
        <v>1</v>
      </c>
      <c r="H4" s="4">
        <v>2</v>
      </c>
      <c r="I4" s="4">
        <v>3</v>
      </c>
      <c r="J4" s="4" t="s">
        <v>4</v>
      </c>
      <c r="K4" s="43"/>
      <c r="L4" s="43"/>
      <c r="M4" s="45"/>
    </row>
    <row r="5" spans="1:13" ht="16">
      <c r="A5" s="46" t="s">
        <v>69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8" t="s">
        <v>52</v>
      </c>
      <c r="B6" s="7" t="s">
        <v>237</v>
      </c>
      <c r="C6" s="7" t="s">
        <v>238</v>
      </c>
      <c r="D6" s="7" t="s">
        <v>239</v>
      </c>
      <c r="E6" s="7" t="s">
        <v>416</v>
      </c>
      <c r="F6" s="7" t="s">
        <v>167</v>
      </c>
      <c r="G6" s="13" t="s">
        <v>84</v>
      </c>
      <c r="H6" s="13" t="s">
        <v>86</v>
      </c>
      <c r="I6" s="13" t="s">
        <v>92</v>
      </c>
      <c r="J6" s="8"/>
      <c r="K6" s="8" t="str">
        <f>"130,0"</f>
        <v>130,0</v>
      </c>
      <c r="L6" s="8" t="str">
        <f>"147,8230"</f>
        <v>147,8230</v>
      </c>
      <c r="M6" s="7" t="s">
        <v>387</v>
      </c>
    </row>
    <row r="7" spans="1:13">
      <c r="B7" s="5" t="s">
        <v>53</v>
      </c>
    </row>
    <row r="8" spans="1:13" ht="16">
      <c r="A8" s="36" t="s">
        <v>41</v>
      </c>
      <c r="B8" s="36"/>
      <c r="C8" s="37"/>
      <c r="D8" s="37"/>
      <c r="E8" s="37"/>
      <c r="F8" s="37"/>
      <c r="G8" s="37"/>
      <c r="H8" s="37"/>
      <c r="I8" s="37"/>
      <c r="J8" s="37"/>
    </row>
    <row r="9" spans="1:13">
      <c r="A9" s="8" t="s">
        <v>52</v>
      </c>
      <c r="B9" s="7" t="s">
        <v>240</v>
      </c>
      <c r="C9" s="7" t="s">
        <v>241</v>
      </c>
      <c r="D9" s="7" t="s">
        <v>242</v>
      </c>
      <c r="E9" s="7" t="s">
        <v>416</v>
      </c>
      <c r="F9" s="7" t="s">
        <v>167</v>
      </c>
      <c r="G9" s="13" t="s">
        <v>46</v>
      </c>
      <c r="H9" s="13" t="s">
        <v>172</v>
      </c>
      <c r="I9" s="14" t="s">
        <v>173</v>
      </c>
      <c r="J9" s="8"/>
      <c r="K9" s="8" t="str">
        <f>"272,5"</f>
        <v>272,5</v>
      </c>
      <c r="L9" s="8" t="str">
        <f>"170,3125"</f>
        <v>170,3125</v>
      </c>
      <c r="M9" s="7"/>
    </row>
    <row r="10" spans="1:13">
      <c r="B10" s="5" t="s">
        <v>53</v>
      </c>
    </row>
    <row r="11" spans="1:13" ht="16">
      <c r="A11" s="36" t="s">
        <v>179</v>
      </c>
      <c r="B11" s="36"/>
      <c r="C11" s="37"/>
      <c r="D11" s="37"/>
      <c r="E11" s="37"/>
      <c r="F11" s="37"/>
      <c r="G11" s="37"/>
      <c r="H11" s="37"/>
      <c r="I11" s="37"/>
      <c r="J11" s="37"/>
    </row>
    <row r="12" spans="1:13">
      <c r="A12" s="8" t="s">
        <v>52</v>
      </c>
      <c r="B12" s="7" t="s">
        <v>243</v>
      </c>
      <c r="C12" s="7" t="s">
        <v>354</v>
      </c>
      <c r="D12" s="7" t="s">
        <v>244</v>
      </c>
      <c r="E12" s="7" t="s">
        <v>418</v>
      </c>
      <c r="F12" s="7" t="s">
        <v>167</v>
      </c>
      <c r="G12" s="14" t="s">
        <v>15</v>
      </c>
      <c r="H12" s="14" t="s">
        <v>15</v>
      </c>
      <c r="I12" s="13" t="s">
        <v>15</v>
      </c>
      <c r="J12" s="8"/>
      <c r="K12" s="8" t="str">
        <f>"210,0"</f>
        <v>210,0</v>
      </c>
      <c r="L12" s="8" t="str">
        <f>"127,5960"</f>
        <v>127,5960</v>
      </c>
      <c r="M12" s="7" t="s">
        <v>387</v>
      </c>
    </row>
    <row r="13" spans="1:13">
      <c r="B13" s="5" t="s">
        <v>53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Q13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4.5" style="6" customWidth="1"/>
    <col min="10" max="10" width="4.83203125" style="6" customWidth="1"/>
    <col min="11" max="13" width="4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5.5" style="5" bestFit="1" customWidth="1"/>
    <col min="18" max="16384" width="9.1640625" style="3"/>
  </cols>
  <sheetData>
    <row r="1" spans="1:17" s="2" customFormat="1" ht="29" customHeight="1">
      <c r="A1" s="48" t="s">
        <v>365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/>
    </row>
    <row r="2" spans="1:17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5"/>
    </row>
    <row r="3" spans="1:17" s="1" customFormat="1" ht="12.75" customHeight="1">
      <c r="A3" s="56"/>
      <c r="B3" s="38" t="s">
        <v>0</v>
      </c>
      <c r="C3" s="58" t="s">
        <v>413</v>
      </c>
      <c r="D3" s="58" t="s">
        <v>6</v>
      </c>
      <c r="E3" s="42" t="s">
        <v>414</v>
      </c>
      <c r="F3" s="42" t="s">
        <v>5</v>
      </c>
      <c r="G3" s="42" t="s">
        <v>411</v>
      </c>
      <c r="H3" s="42"/>
      <c r="I3" s="42"/>
      <c r="J3" s="42"/>
      <c r="K3" s="42" t="s">
        <v>412</v>
      </c>
      <c r="L3" s="42"/>
      <c r="M3" s="42"/>
      <c r="N3" s="42"/>
      <c r="O3" s="42" t="s">
        <v>1</v>
      </c>
      <c r="P3" s="42" t="s">
        <v>3</v>
      </c>
      <c r="Q3" s="44" t="s">
        <v>2</v>
      </c>
    </row>
    <row r="4" spans="1:17" s="1" customFormat="1" ht="21" customHeight="1" thickBot="1">
      <c r="A4" s="57"/>
      <c r="B4" s="39"/>
      <c r="C4" s="43"/>
      <c r="D4" s="43"/>
      <c r="E4" s="43"/>
      <c r="F4" s="4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3"/>
      <c r="P4" s="43"/>
      <c r="Q4" s="45"/>
    </row>
    <row r="5" spans="1:17" ht="16">
      <c r="A5" s="46" t="s">
        <v>96</v>
      </c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7">
      <c r="A6" s="8" t="s">
        <v>52</v>
      </c>
      <c r="B6" s="7" t="s">
        <v>298</v>
      </c>
      <c r="C6" s="7" t="s">
        <v>336</v>
      </c>
      <c r="D6" s="7" t="s">
        <v>299</v>
      </c>
      <c r="E6" s="7" t="s">
        <v>418</v>
      </c>
      <c r="F6" s="7" t="s">
        <v>167</v>
      </c>
      <c r="G6" s="13" t="s">
        <v>65</v>
      </c>
      <c r="H6" s="13" t="s">
        <v>76</v>
      </c>
      <c r="I6" s="13" t="s">
        <v>78</v>
      </c>
      <c r="J6" s="8"/>
      <c r="K6" s="13" t="s">
        <v>65</v>
      </c>
      <c r="L6" s="13" t="s">
        <v>76</v>
      </c>
      <c r="M6" s="13" t="s">
        <v>77</v>
      </c>
      <c r="N6" s="8"/>
      <c r="O6" s="8" t="str">
        <f>"117,5"</f>
        <v>117,5</v>
      </c>
      <c r="P6" s="8" t="str">
        <f>"82,3029"</f>
        <v>82,3029</v>
      </c>
      <c r="Q6" s="7" t="s">
        <v>381</v>
      </c>
    </row>
    <row r="7" spans="1:17">
      <c r="B7" s="5" t="s">
        <v>53</v>
      </c>
    </row>
    <row r="8" spans="1:17" ht="16">
      <c r="A8" s="36" t="s">
        <v>111</v>
      </c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7">
      <c r="A9" s="8" t="s">
        <v>52</v>
      </c>
      <c r="B9" s="7" t="s">
        <v>329</v>
      </c>
      <c r="C9" s="7" t="s">
        <v>330</v>
      </c>
      <c r="D9" s="7" t="s">
        <v>331</v>
      </c>
      <c r="E9" s="7" t="s">
        <v>420</v>
      </c>
      <c r="F9" s="7" t="s">
        <v>167</v>
      </c>
      <c r="G9" s="13" t="s">
        <v>198</v>
      </c>
      <c r="H9" s="13" t="s">
        <v>64</v>
      </c>
      <c r="I9" s="13" t="s">
        <v>193</v>
      </c>
      <c r="J9" s="8"/>
      <c r="K9" s="13" t="s">
        <v>291</v>
      </c>
      <c r="L9" s="13" t="s">
        <v>310</v>
      </c>
      <c r="M9" s="13" t="s">
        <v>63</v>
      </c>
      <c r="N9" s="8"/>
      <c r="O9" s="8" t="str">
        <f>"97,5"</f>
        <v>97,5</v>
      </c>
      <c r="P9" s="8" t="str">
        <f>"120,6318"</f>
        <v>120,6318</v>
      </c>
      <c r="Q9" s="7" t="s">
        <v>381</v>
      </c>
    </row>
    <row r="10" spans="1:17">
      <c r="B10" s="5" t="s">
        <v>53</v>
      </c>
    </row>
    <row r="11" spans="1:17" ht="16">
      <c r="A11" s="36" t="s">
        <v>41</v>
      </c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</row>
    <row r="12" spans="1:17">
      <c r="A12" s="8" t="s">
        <v>52</v>
      </c>
      <c r="B12" s="7" t="s">
        <v>332</v>
      </c>
      <c r="C12" s="7" t="s">
        <v>333</v>
      </c>
      <c r="D12" s="7" t="s">
        <v>334</v>
      </c>
      <c r="E12" s="7" t="s">
        <v>416</v>
      </c>
      <c r="F12" s="7" t="s">
        <v>167</v>
      </c>
      <c r="G12" s="14" t="s">
        <v>93</v>
      </c>
      <c r="H12" s="13" t="s">
        <v>93</v>
      </c>
      <c r="I12" s="14" t="s">
        <v>335</v>
      </c>
      <c r="J12" s="8"/>
      <c r="K12" s="13" t="s">
        <v>76</v>
      </c>
      <c r="L12" s="13" t="s">
        <v>78</v>
      </c>
      <c r="M12" s="13" t="s">
        <v>60</v>
      </c>
      <c r="N12" s="8"/>
      <c r="O12" s="8" t="str">
        <f>"140,0"</f>
        <v>140,0</v>
      </c>
      <c r="P12" s="8" t="str">
        <f>"82,3550"</f>
        <v>82,3550</v>
      </c>
      <c r="Q12" s="7"/>
    </row>
    <row r="13" spans="1:17">
      <c r="B13" s="5" t="s">
        <v>53</v>
      </c>
    </row>
  </sheetData>
  <mergeCells count="15"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B3:B4"/>
    <mergeCell ref="O3:O4"/>
    <mergeCell ref="P3:P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/>
  <dimension ref="A1:M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19.1640625" style="5" customWidth="1"/>
    <col min="14" max="16384" width="9.1640625" style="3"/>
  </cols>
  <sheetData>
    <row r="1" spans="1:13" s="2" customFormat="1" ht="29" customHeight="1">
      <c r="A1" s="48" t="s">
        <v>368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/>
      <c r="B3" s="38" t="s">
        <v>0</v>
      </c>
      <c r="C3" s="58" t="s">
        <v>413</v>
      </c>
      <c r="D3" s="58" t="s">
        <v>6</v>
      </c>
      <c r="E3" s="42" t="s">
        <v>414</v>
      </c>
      <c r="F3" s="42" t="s">
        <v>5</v>
      </c>
      <c r="G3" s="42" t="s">
        <v>411</v>
      </c>
      <c r="H3" s="42"/>
      <c r="I3" s="42"/>
      <c r="J3" s="42"/>
      <c r="K3" s="42" t="s">
        <v>189</v>
      </c>
      <c r="L3" s="42" t="s">
        <v>3</v>
      </c>
      <c r="M3" s="44" t="s">
        <v>2</v>
      </c>
    </row>
    <row r="4" spans="1:13" s="1" customFormat="1" ht="21" customHeight="1" thickBot="1">
      <c r="A4" s="57"/>
      <c r="B4" s="39"/>
      <c r="C4" s="43"/>
      <c r="D4" s="43"/>
      <c r="E4" s="43"/>
      <c r="F4" s="43"/>
      <c r="G4" s="4">
        <v>1</v>
      </c>
      <c r="H4" s="4">
        <v>2</v>
      </c>
      <c r="I4" s="4">
        <v>3</v>
      </c>
      <c r="J4" s="4" t="s">
        <v>4</v>
      </c>
      <c r="K4" s="43"/>
      <c r="L4" s="43"/>
      <c r="M4" s="45"/>
    </row>
    <row r="5" spans="1:13" ht="16">
      <c r="A5" s="46" t="s">
        <v>10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8" t="s">
        <v>52</v>
      </c>
      <c r="B6" s="7" t="s">
        <v>295</v>
      </c>
      <c r="C6" s="7" t="s">
        <v>296</v>
      </c>
      <c r="D6" s="7" t="s">
        <v>297</v>
      </c>
      <c r="E6" s="7" t="s">
        <v>416</v>
      </c>
      <c r="F6" s="7" t="s">
        <v>167</v>
      </c>
      <c r="G6" s="14" t="s">
        <v>64</v>
      </c>
      <c r="H6" s="14" t="s">
        <v>64</v>
      </c>
      <c r="I6" s="13" t="s">
        <v>64</v>
      </c>
      <c r="J6" s="8"/>
      <c r="K6" s="8" t="str">
        <f>"47,5"</f>
        <v>47,5</v>
      </c>
      <c r="L6" s="8" t="str">
        <f>"43,9612"</f>
        <v>43,9612</v>
      </c>
      <c r="M6" s="7"/>
    </row>
    <row r="7" spans="1:13">
      <c r="B7" s="5" t="s">
        <v>53</v>
      </c>
    </row>
    <row r="8" spans="1:13" ht="16">
      <c r="A8" s="36" t="s">
        <v>96</v>
      </c>
      <c r="B8" s="36"/>
      <c r="C8" s="37"/>
      <c r="D8" s="37"/>
      <c r="E8" s="37"/>
      <c r="F8" s="37"/>
      <c r="G8" s="37"/>
      <c r="H8" s="37"/>
      <c r="I8" s="37"/>
      <c r="J8" s="37"/>
    </row>
    <row r="9" spans="1:13">
      <c r="A9" s="8" t="s">
        <v>52</v>
      </c>
      <c r="B9" s="7" t="s">
        <v>298</v>
      </c>
      <c r="C9" s="7" t="s">
        <v>336</v>
      </c>
      <c r="D9" s="7" t="s">
        <v>299</v>
      </c>
      <c r="E9" s="7" t="s">
        <v>418</v>
      </c>
      <c r="F9" s="7" t="s">
        <v>167</v>
      </c>
      <c r="G9" s="13" t="s">
        <v>65</v>
      </c>
      <c r="H9" s="13" t="s">
        <v>76</v>
      </c>
      <c r="I9" s="13" t="s">
        <v>78</v>
      </c>
      <c r="J9" s="8"/>
      <c r="K9" s="8" t="str">
        <f>"60,0"</f>
        <v>60,0</v>
      </c>
      <c r="L9" s="8" t="str">
        <f>"42,0270"</f>
        <v>42,0270</v>
      </c>
      <c r="M9" s="7" t="s">
        <v>381</v>
      </c>
    </row>
    <row r="10" spans="1:13">
      <c r="B10" s="5" t="s">
        <v>53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/>
  <dimension ref="A1:M31"/>
  <sheetViews>
    <sheetView workbookViewId="0">
      <selection activeCell="E31" sqref="E31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.6640625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5.5" style="5" bestFit="1" customWidth="1"/>
    <col min="14" max="16384" width="9.1640625" style="3"/>
  </cols>
  <sheetData>
    <row r="1" spans="1:13" s="2" customFormat="1" ht="29" customHeight="1">
      <c r="A1" s="48" t="s">
        <v>366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/>
      <c r="B3" s="38" t="s">
        <v>0</v>
      </c>
      <c r="C3" s="58" t="s">
        <v>413</v>
      </c>
      <c r="D3" s="58" t="s">
        <v>6</v>
      </c>
      <c r="E3" s="42" t="s">
        <v>414</v>
      </c>
      <c r="F3" s="42" t="s">
        <v>5</v>
      </c>
      <c r="G3" s="42" t="s">
        <v>411</v>
      </c>
      <c r="H3" s="42"/>
      <c r="I3" s="42"/>
      <c r="J3" s="42"/>
      <c r="K3" s="42" t="s">
        <v>189</v>
      </c>
      <c r="L3" s="42" t="s">
        <v>3</v>
      </c>
      <c r="M3" s="44" t="s">
        <v>2</v>
      </c>
    </row>
    <row r="4" spans="1:13" s="1" customFormat="1" ht="21" customHeight="1" thickBot="1">
      <c r="A4" s="57"/>
      <c r="B4" s="39"/>
      <c r="C4" s="43"/>
      <c r="D4" s="43"/>
      <c r="E4" s="43"/>
      <c r="F4" s="43"/>
      <c r="G4" s="4">
        <v>1</v>
      </c>
      <c r="H4" s="4">
        <v>2</v>
      </c>
      <c r="I4" s="4">
        <v>3</v>
      </c>
      <c r="J4" s="4" t="s">
        <v>4</v>
      </c>
      <c r="K4" s="43"/>
      <c r="L4" s="43"/>
      <c r="M4" s="45"/>
    </row>
    <row r="5" spans="1:13" ht="16">
      <c r="A5" s="46" t="s">
        <v>10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10" t="s">
        <v>52</v>
      </c>
      <c r="B6" s="9" t="s">
        <v>305</v>
      </c>
      <c r="C6" s="9" t="s">
        <v>306</v>
      </c>
      <c r="D6" s="9" t="s">
        <v>307</v>
      </c>
      <c r="E6" s="9" t="s">
        <v>416</v>
      </c>
      <c r="F6" s="9" t="s">
        <v>167</v>
      </c>
      <c r="G6" s="15" t="s">
        <v>198</v>
      </c>
      <c r="H6" s="15" t="s">
        <v>64</v>
      </c>
      <c r="I6" s="20" t="s">
        <v>65</v>
      </c>
      <c r="J6" s="10"/>
      <c r="K6" s="10" t="str">
        <f>"47,5"</f>
        <v>47,5</v>
      </c>
      <c r="L6" s="10" t="str">
        <f>"43,0326"</f>
        <v>43,0326</v>
      </c>
      <c r="M6" s="9" t="s">
        <v>383</v>
      </c>
    </row>
    <row r="7" spans="1:13">
      <c r="A7" s="12" t="s">
        <v>150</v>
      </c>
      <c r="B7" s="11" t="s">
        <v>308</v>
      </c>
      <c r="C7" s="11" t="s">
        <v>309</v>
      </c>
      <c r="D7" s="11" t="s">
        <v>13</v>
      </c>
      <c r="E7" s="11" t="s">
        <v>416</v>
      </c>
      <c r="F7" s="11" t="s">
        <v>382</v>
      </c>
      <c r="G7" s="16" t="s">
        <v>291</v>
      </c>
      <c r="H7" s="16" t="s">
        <v>197</v>
      </c>
      <c r="I7" s="17" t="s">
        <v>310</v>
      </c>
      <c r="J7" s="12"/>
      <c r="K7" s="12" t="str">
        <f>"37,5"</f>
        <v>37,5</v>
      </c>
      <c r="L7" s="12" t="str">
        <f>"34,1738"</f>
        <v>34,1738</v>
      </c>
      <c r="M7" s="11" t="s">
        <v>384</v>
      </c>
    </row>
    <row r="8" spans="1:13">
      <c r="B8" s="5" t="s">
        <v>53</v>
      </c>
    </row>
    <row r="9" spans="1:13" ht="16">
      <c r="A9" s="36" t="s">
        <v>69</v>
      </c>
      <c r="B9" s="36"/>
      <c r="C9" s="37"/>
      <c r="D9" s="37"/>
      <c r="E9" s="37"/>
      <c r="F9" s="37"/>
      <c r="G9" s="37"/>
      <c r="H9" s="37"/>
      <c r="I9" s="37"/>
      <c r="J9" s="37"/>
    </row>
    <row r="10" spans="1:13">
      <c r="A10" s="8" t="s">
        <v>52</v>
      </c>
      <c r="B10" s="7" t="s">
        <v>327</v>
      </c>
      <c r="C10" s="7" t="s">
        <v>337</v>
      </c>
      <c r="D10" s="7" t="s">
        <v>311</v>
      </c>
      <c r="E10" s="7" t="s">
        <v>417</v>
      </c>
      <c r="F10" s="7" t="s">
        <v>167</v>
      </c>
      <c r="G10" s="13" t="s">
        <v>291</v>
      </c>
      <c r="H10" s="14" t="s">
        <v>310</v>
      </c>
      <c r="I10" s="13" t="s">
        <v>310</v>
      </c>
      <c r="J10" s="8"/>
      <c r="K10" s="8" t="str">
        <f>"40,0"</f>
        <v>40,0</v>
      </c>
      <c r="L10" s="8" t="str">
        <f>"34,0380"</f>
        <v>34,0380</v>
      </c>
      <c r="M10" s="7" t="s">
        <v>312</v>
      </c>
    </row>
    <row r="11" spans="1:13">
      <c r="B11" s="5" t="s">
        <v>53</v>
      </c>
    </row>
    <row r="12" spans="1:13" ht="16">
      <c r="A12" s="36" t="s">
        <v>10</v>
      </c>
      <c r="B12" s="36"/>
      <c r="C12" s="37"/>
      <c r="D12" s="37"/>
      <c r="E12" s="37"/>
      <c r="F12" s="37"/>
      <c r="G12" s="37"/>
      <c r="H12" s="37"/>
      <c r="I12" s="37"/>
      <c r="J12" s="37"/>
    </row>
    <row r="13" spans="1:13">
      <c r="A13" s="10" t="s">
        <v>52</v>
      </c>
      <c r="B13" s="9" t="s">
        <v>313</v>
      </c>
      <c r="C13" s="9" t="s">
        <v>338</v>
      </c>
      <c r="D13" s="9" t="s">
        <v>314</v>
      </c>
      <c r="E13" s="9" t="s">
        <v>417</v>
      </c>
      <c r="F13" s="9" t="s">
        <v>167</v>
      </c>
      <c r="G13" s="15" t="s">
        <v>197</v>
      </c>
      <c r="H13" s="15" t="s">
        <v>198</v>
      </c>
      <c r="I13" s="15" t="s">
        <v>63</v>
      </c>
      <c r="J13" s="10"/>
      <c r="K13" s="10" t="str">
        <f>"45,0"</f>
        <v>45,0</v>
      </c>
      <c r="L13" s="10" t="str">
        <f>"34,7985"</f>
        <v>34,7985</v>
      </c>
      <c r="M13" s="9" t="s">
        <v>381</v>
      </c>
    </row>
    <row r="14" spans="1:13">
      <c r="A14" s="19" t="s">
        <v>150</v>
      </c>
      <c r="B14" s="18" t="s">
        <v>315</v>
      </c>
      <c r="C14" s="18" t="s">
        <v>339</v>
      </c>
      <c r="D14" s="18" t="s">
        <v>195</v>
      </c>
      <c r="E14" s="18" t="s">
        <v>417</v>
      </c>
      <c r="F14" s="18" t="s">
        <v>167</v>
      </c>
      <c r="G14" s="21" t="s">
        <v>197</v>
      </c>
      <c r="H14" s="21" t="s">
        <v>198</v>
      </c>
      <c r="I14" s="21" t="s">
        <v>63</v>
      </c>
      <c r="J14" s="19"/>
      <c r="K14" s="19" t="str">
        <f>"45,0"</f>
        <v>45,0</v>
      </c>
      <c r="L14" s="19" t="str">
        <f>"33,8917"</f>
        <v>33,8917</v>
      </c>
      <c r="M14" s="18" t="s">
        <v>381</v>
      </c>
    </row>
    <row r="15" spans="1:13">
      <c r="A15" s="19" t="s">
        <v>151</v>
      </c>
      <c r="B15" s="18" t="s">
        <v>201</v>
      </c>
      <c r="C15" s="18" t="s">
        <v>340</v>
      </c>
      <c r="D15" s="18" t="s">
        <v>203</v>
      </c>
      <c r="E15" s="18" t="s">
        <v>417</v>
      </c>
      <c r="F15" s="18" t="s">
        <v>167</v>
      </c>
      <c r="G15" s="21" t="s">
        <v>291</v>
      </c>
      <c r="H15" s="21" t="s">
        <v>310</v>
      </c>
      <c r="I15" s="22" t="s">
        <v>198</v>
      </c>
      <c r="J15" s="19"/>
      <c r="K15" s="19" t="str">
        <f>"40,0"</f>
        <v>40,0</v>
      </c>
      <c r="L15" s="19" t="str">
        <f>"30,5600"</f>
        <v>30,5600</v>
      </c>
      <c r="M15" s="18" t="s">
        <v>385</v>
      </c>
    </row>
    <row r="16" spans="1:13">
      <c r="A16" s="12" t="s">
        <v>328</v>
      </c>
      <c r="B16" s="11" t="s">
        <v>292</v>
      </c>
      <c r="C16" s="11" t="s">
        <v>341</v>
      </c>
      <c r="D16" s="11" t="s">
        <v>293</v>
      </c>
      <c r="E16" s="11" t="s">
        <v>417</v>
      </c>
      <c r="F16" s="11" t="s">
        <v>167</v>
      </c>
      <c r="G16" s="17" t="s">
        <v>316</v>
      </c>
      <c r="H16" s="16" t="s">
        <v>294</v>
      </c>
      <c r="I16" s="17" t="s">
        <v>310</v>
      </c>
      <c r="J16" s="12"/>
      <c r="K16" s="12" t="str">
        <f>"32,5"</f>
        <v>32,5</v>
      </c>
      <c r="L16" s="12" t="str">
        <f>"25,2687"</f>
        <v>25,2687</v>
      </c>
      <c r="M16" s="11" t="s">
        <v>385</v>
      </c>
    </row>
    <row r="17" spans="1:13">
      <c r="B17" s="5" t="s">
        <v>53</v>
      </c>
    </row>
    <row r="18" spans="1:13" ht="16">
      <c r="A18" s="36" t="s">
        <v>96</v>
      </c>
      <c r="B18" s="36"/>
      <c r="C18" s="37"/>
      <c r="D18" s="37"/>
      <c r="E18" s="37"/>
      <c r="F18" s="37"/>
      <c r="G18" s="37"/>
      <c r="H18" s="37"/>
      <c r="I18" s="37"/>
      <c r="J18" s="37"/>
    </row>
    <row r="19" spans="1:13">
      <c r="A19" s="8" t="s">
        <v>52</v>
      </c>
      <c r="B19" s="7" t="s">
        <v>298</v>
      </c>
      <c r="C19" s="7" t="s">
        <v>336</v>
      </c>
      <c r="D19" s="7" t="s">
        <v>299</v>
      </c>
      <c r="E19" s="7" t="s">
        <v>418</v>
      </c>
      <c r="F19" s="7" t="s">
        <v>167</v>
      </c>
      <c r="G19" s="13" t="s">
        <v>65</v>
      </c>
      <c r="H19" s="13" t="s">
        <v>76</v>
      </c>
      <c r="I19" s="13" t="s">
        <v>77</v>
      </c>
      <c r="J19" s="8"/>
      <c r="K19" s="8" t="str">
        <f>"57,5"</f>
        <v>57,5</v>
      </c>
      <c r="L19" s="8" t="str">
        <f>"40,2759"</f>
        <v>40,2759</v>
      </c>
      <c r="M19" s="7" t="s">
        <v>381</v>
      </c>
    </row>
    <row r="20" spans="1:13">
      <c r="B20" s="5" t="s">
        <v>53</v>
      </c>
    </row>
    <row r="21" spans="1:13" ht="16">
      <c r="A21" s="36" t="s">
        <v>111</v>
      </c>
      <c r="B21" s="36"/>
      <c r="C21" s="37"/>
      <c r="D21" s="37"/>
      <c r="E21" s="37"/>
      <c r="F21" s="37"/>
      <c r="G21" s="37"/>
      <c r="H21" s="37"/>
      <c r="I21" s="37"/>
      <c r="J21" s="37"/>
    </row>
    <row r="22" spans="1:13">
      <c r="A22" s="10" t="s">
        <v>52</v>
      </c>
      <c r="B22" s="9" t="s">
        <v>317</v>
      </c>
      <c r="C22" s="9" t="s">
        <v>342</v>
      </c>
      <c r="D22" s="9" t="s">
        <v>318</v>
      </c>
      <c r="E22" s="9" t="s">
        <v>417</v>
      </c>
      <c r="F22" s="9" t="s">
        <v>213</v>
      </c>
      <c r="G22" s="15" t="s">
        <v>65</v>
      </c>
      <c r="H22" s="15" t="s">
        <v>77</v>
      </c>
      <c r="I22" s="15" t="s">
        <v>78</v>
      </c>
      <c r="J22" s="10"/>
      <c r="K22" s="10" t="str">
        <f>"60,0"</f>
        <v>60,0</v>
      </c>
      <c r="L22" s="10" t="str">
        <f>"38,9220"</f>
        <v>38,9220</v>
      </c>
      <c r="M22" s="9" t="s">
        <v>386</v>
      </c>
    </row>
    <row r="23" spans="1:13">
      <c r="A23" s="19" t="s">
        <v>52</v>
      </c>
      <c r="B23" s="18" t="s">
        <v>210</v>
      </c>
      <c r="C23" s="18" t="s">
        <v>211</v>
      </c>
      <c r="D23" s="18" t="s">
        <v>319</v>
      </c>
      <c r="E23" s="18" t="s">
        <v>416</v>
      </c>
      <c r="F23" s="18" t="s">
        <v>213</v>
      </c>
      <c r="G23" s="21" t="s">
        <v>77</v>
      </c>
      <c r="H23" s="21" t="s">
        <v>320</v>
      </c>
      <c r="I23" s="21" t="s">
        <v>60</v>
      </c>
      <c r="J23" s="19"/>
      <c r="K23" s="19" t="str">
        <f>"65,0"</f>
        <v>65,0</v>
      </c>
      <c r="L23" s="19" t="str">
        <f>"41,9315"</f>
        <v>41,9315</v>
      </c>
      <c r="M23" s="18" t="s">
        <v>386</v>
      </c>
    </row>
    <row r="24" spans="1:13">
      <c r="A24" s="12" t="s">
        <v>150</v>
      </c>
      <c r="B24" s="11" t="s">
        <v>321</v>
      </c>
      <c r="C24" s="11" t="s">
        <v>322</v>
      </c>
      <c r="D24" s="11" t="s">
        <v>323</v>
      </c>
      <c r="E24" s="11" t="s">
        <v>416</v>
      </c>
      <c r="F24" s="11" t="s">
        <v>167</v>
      </c>
      <c r="G24" s="16" t="s">
        <v>77</v>
      </c>
      <c r="H24" s="16" t="s">
        <v>320</v>
      </c>
      <c r="I24" s="17" t="s">
        <v>60</v>
      </c>
      <c r="J24" s="12"/>
      <c r="K24" s="12" t="str">
        <f>"62,5"</f>
        <v>62,5</v>
      </c>
      <c r="L24" s="12" t="str">
        <f>"41,5375"</f>
        <v>41,5375</v>
      </c>
      <c r="M24" s="11" t="s">
        <v>384</v>
      </c>
    </row>
    <row r="25" spans="1:13">
      <c r="B25" s="5" t="s">
        <v>53</v>
      </c>
    </row>
    <row r="26" spans="1:13" ht="16">
      <c r="A26" s="36" t="s">
        <v>22</v>
      </c>
      <c r="B26" s="36"/>
      <c r="C26" s="37"/>
      <c r="D26" s="37"/>
      <c r="E26" s="37"/>
      <c r="F26" s="37"/>
      <c r="G26" s="37"/>
      <c r="H26" s="37"/>
      <c r="I26" s="37"/>
      <c r="J26" s="37"/>
    </row>
    <row r="27" spans="1:13">
      <c r="A27" s="8" t="s">
        <v>52</v>
      </c>
      <c r="B27" s="7" t="s">
        <v>324</v>
      </c>
      <c r="C27" s="7" t="s">
        <v>343</v>
      </c>
      <c r="D27" s="7" t="s">
        <v>24</v>
      </c>
      <c r="E27" s="7" t="s">
        <v>419</v>
      </c>
      <c r="F27" s="7" t="s">
        <v>167</v>
      </c>
      <c r="G27" s="13" t="s">
        <v>63</v>
      </c>
      <c r="H27" s="13" t="s">
        <v>65</v>
      </c>
      <c r="I27" s="13" t="s">
        <v>76</v>
      </c>
      <c r="J27" s="8"/>
      <c r="K27" s="8" t="str">
        <f>"55,0"</f>
        <v>55,0</v>
      </c>
      <c r="L27" s="8" t="str">
        <f>"33,9515"</f>
        <v>33,9515</v>
      </c>
      <c r="M27" s="7" t="s">
        <v>381</v>
      </c>
    </row>
    <row r="28" spans="1:13">
      <c r="B28" s="5" t="s">
        <v>53</v>
      </c>
    </row>
    <row r="29" spans="1:13" ht="16">
      <c r="A29" s="36" t="s">
        <v>41</v>
      </c>
      <c r="B29" s="36"/>
      <c r="C29" s="37"/>
      <c r="D29" s="37"/>
      <c r="E29" s="37"/>
      <c r="F29" s="37"/>
      <c r="G29" s="37"/>
      <c r="H29" s="37"/>
      <c r="I29" s="37"/>
      <c r="J29" s="37"/>
    </row>
    <row r="30" spans="1:13">
      <c r="A30" s="8" t="s">
        <v>52</v>
      </c>
      <c r="B30" s="7" t="s">
        <v>325</v>
      </c>
      <c r="C30" s="7" t="s">
        <v>344</v>
      </c>
      <c r="D30" s="7" t="s">
        <v>326</v>
      </c>
      <c r="E30" s="7" t="s">
        <v>419</v>
      </c>
      <c r="F30" s="7" t="s">
        <v>167</v>
      </c>
      <c r="G30" s="13" t="s">
        <v>60</v>
      </c>
      <c r="H30" s="13" t="s">
        <v>87</v>
      </c>
      <c r="I30" s="13" t="s">
        <v>62</v>
      </c>
      <c r="J30" s="8"/>
      <c r="K30" s="8" t="str">
        <f>"72,5"</f>
        <v>72,5</v>
      </c>
      <c r="L30" s="8" t="str">
        <f>"46,8526"</f>
        <v>46,8526</v>
      </c>
      <c r="M30" s="7" t="s">
        <v>381</v>
      </c>
    </row>
    <row r="31" spans="1:13">
      <c r="B31" s="5" t="s">
        <v>53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29:J29"/>
    <mergeCell ref="K3:K4"/>
    <mergeCell ref="L3:L4"/>
    <mergeCell ref="M3:M4"/>
    <mergeCell ref="A5:J5"/>
    <mergeCell ref="B3:B4"/>
    <mergeCell ref="A9:J9"/>
    <mergeCell ref="A12:J12"/>
    <mergeCell ref="A18:J18"/>
    <mergeCell ref="A21:J21"/>
    <mergeCell ref="A26:J2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/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8.33203125" style="5" bestFit="1" customWidth="1"/>
    <col min="7" max="8" width="5.5" style="6" customWidth="1"/>
    <col min="9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48" t="s">
        <v>367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/>
      <c r="B3" s="38" t="s">
        <v>0</v>
      </c>
      <c r="C3" s="58" t="s">
        <v>413</v>
      </c>
      <c r="D3" s="58" t="s">
        <v>6</v>
      </c>
      <c r="E3" s="42" t="s">
        <v>414</v>
      </c>
      <c r="F3" s="42" t="s">
        <v>5</v>
      </c>
      <c r="G3" s="42" t="s">
        <v>411</v>
      </c>
      <c r="H3" s="42"/>
      <c r="I3" s="42"/>
      <c r="J3" s="42"/>
      <c r="K3" s="42" t="s">
        <v>189</v>
      </c>
      <c r="L3" s="42" t="s">
        <v>3</v>
      </c>
      <c r="M3" s="44" t="s">
        <v>2</v>
      </c>
    </row>
    <row r="4" spans="1:13" s="1" customFormat="1" ht="21" customHeight="1" thickBot="1">
      <c r="A4" s="57"/>
      <c r="B4" s="39"/>
      <c r="C4" s="43"/>
      <c r="D4" s="43"/>
      <c r="E4" s="43"/>
      <c r="F4" s="43"/>
      <c r="G4" s="4">
        <v>1</v>
      </c>
      <c r="H4" s="4">
        <v>2</v>
      </c>
      <c r="I4" s="4">
        <v>3</v>
      </c>
      <c r="J4" s="4" t="s">
        <v>4</v>
      </c>
      <c r="K4" s="43"/>
      <c r="L4" s="43"/>
      <c r="M4" s="45"/>
    </row>
    <row r="5" spans="1:13" ht="16">
      <c r="A5" s="46" t="s">
        <v>22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8" t="s">
        <v>52</v>
      </c>
      <c r="B6" s="7" t="s">
        <v>300</v>
      </c>
      <c r="C6" s="7" t="s">
        <v>345</v>
      </c>
      <c r="D6" s="7" t="s">
        <v>301</v>
      </c>
      <c r="E6" s="7" t="s">
        <v>415</v>
      </c>
      <c r="F6" s="7" t="s">
        <v>167</v>
      </c>
      <c r="G6" s="13" t="s">
        <v>65</v>
      </c>
      <c r="H6" s="13" t="s">
        <v>76</v>
      </c>
      <c r="I6" s="13" t="s">
        <v>77</v>
      </c>
      <c r="J6" s="8"/>
      <c r="K6" s="8" t="str">
        <f>"57,5"</f>
        <v>57,5</v>
      </c>
      <c r="L6" s="8" t="str">
        <f>"48,6264"</f>
        <v>48,6264</v>
      </c>
      <c r="M6" s="7"/>
    </row>
    <row r="7" spans="1:13">
      <c r="B7" s="5" t="s">
        <v>53</v>
      </c>
    </row>
    <row r="8" spans="1:13" ht="16">
      <c r="A8" s="36" t="s">
        <v>144</v>
      </c>
      <c r="B8" s="36"/>
      <c r="C8" s="37"/>
      <c r="D8" s="37"/>
      <c r="E8" s="37"/>
      <c r="F8" s="37"/>
      <c r="G8" s="37"/>
      <c r="H8" s="37"/>
      <c r="I8" s="37"/>
      <c r="J8" s="37"/>
    </row>
    <row r="9" spans="1:13">
      <c r="A9" s="8" t="s">
        <v>52</v>
      </c>
      <c r="B9" s="7" t="s">
        <v>302</v>
      </c>
      <c r="C9" s="7" t="s">
        <v>303</v>
      </c>
      <c r="D9" s="7" t="s">
        <v>304</v>
      </c>
      <c r="E9" s="7" t="s">
        <v>416</v>
      </c>
      <c r="F9" s="7" t="s">
        <v>59</v>
      </c>
      <c r="G9" s="13" t="s">
        <v>75</v>
      </c>
      <c r="H9" s="13" t="s">
        <v>160</v>
      </c>
      <c r="I9" s="8"/>
      <c r="J9" s="8"/>
      <c r="K9" s="8" t="str">
        <f>"112,5"</f>
        <v>112,5</v>
      </c>
      <c r="L9" s="8" t="str">
        <f>"61,6725"</f>
        <v>61,6725</v>
      </c>
      <c r="M9" s="7"/>
    </row>
    <row r="10" spans="1:13">
      <c r="B10" s="5" t="s">
        <v>53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5">
    <pageSetUpPr fitToPage="1"/>
  </sheetPr>
  <dimension ref="A1:U14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1.16406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5" bestFit="1" customWidth="1"/>
    <col min="20" max="20" width="8.5" style="6" bestFit="1" customWidth="1"/>
    <col min="21" max="21" width="15.6640625" style="5" bestFit="1" customWidth="1"/>
    <col min="22" max="16384" width="9.1640625" style="3"/>
  </cols>
  <sheetData>
    <row r="1" spans="1:21" s="2" customFormat="1" ht="29" customHeight="1">
      <c r="A1" s="48" t="s">
        <v>380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1"/>
    </row>
    <row r="2" spans="1:21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</row>
    <row r="3" spans="1:21" s="1" customFormat="1" ht="12.75" customHeight="1">
      <c r="A3" s="56"/>
      <c r="B3" s="38" t="s">
        <v>0</v>
      </c>
      <c r="C3" s="58" t="s">
        <v>413</v>
      </c>
      <c r="D3" s="58" t="s">
        <v>6</v>
      </c>
      <c r="E3" s="42" t="s">
        <v>414</v>
      </c>
      <c r="F3" s="42" t="s">
        <v>5</v>
      </c>
      <c r="G3" s="42" t="s">
        <v>7</v>
      </c>
      <c r="H3" s="42"/>
      <c r="I3" s="42"/>
      <c r="J3" s="42"/>
      <c r="K3" s="42" t="s">
        <v>8</v>
      </c>
      <c r="L3" s="42"/>
      <c r="M3" s="42"/>
      <c r="N3" s="42"/>
      <c r="O3" s="42" t="s">
        <v>9</v>
      </c>
      <c r="P3" s="42"/>
      <c r="Q3" s="42"/>
      <c r="R3" s="42"/>
      <c r="S3" s="40" t="s">
        <v>1</v>
      </c>
      <c r="T3" s="42" t="s">
        <v>3</v>
      </c>
      <c r="U3" s="44" t="s">
        <v>2</v>
      </c>
    </row>
    <row r="4" spans="1:21" s="1" customFormat="1" ht="21" customHeight="1" thickBot="1">
      <c r="A4" s="57"/>
      <c r="B4" s="39"/>
      <c r="C4" s="43"/>
      <c r="D4" s="43"/>
      <c r="E4" s="43"/>
      <c r="F4" s="4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1"/>
      <c r="T4" s="43"/>
      <c r="U4" s="45"/>
    </row>
    <row r="5" spans="1:21" ht="16">
      <c r="A5" s="46" t="s">
        <v>10</v>
      </c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21">
      <c r="A6" s="8" t="s">
        <v>52</v>
      </c>
      <c r="B6" s="7" t="s">
        <v>11</v>
      </c>
      <c r="C6" s="7" t="s">
        <v>12</v>
      </c>
      <c r="D6" s="7" t="s">
        <v>13</v>
      </c>
      <c r="E6" s="7" t="s">
        <v>416</v>
      </c>
      <c r="F6" s="7" t="s">
        <v>167</v>
      </c>
      <c r="G6" s="13" t="s">
        <v>14</v>
      </c>
      <c r="H6" s="14" t="s">
        <v>15</v>
      </c>
      <c r="I6" s="13" t="s">
        <v>16</v>
      </c>
      <c r="J6" s="8"/>
      <c r="K6" s="13" t="s">
        <v>17</v>
      </c>
      <c r="L6" s="13" t="s">
        <v>18</v>
      </c>
      <c r="M6" s="13" t="s">
        <v>19</v>
      </c>
      <c r="N6" s="8"/>
      <c r="O6" s="13" t="s">
        <v>20</v>
      </c>
      <c r="P6" s="13" t="s">
        <v>21</v>
      </c>
      <c r="Q6" s="13" t="s">
        <v>16</v>
      </c>
      <c r="R6" s="8"/>
      <c r="S6" s="26" t="str">
        <f>"550,0"</f>
        <v>550,0</v>
      </c>
      <c r="T6" s="8" t="str">
        <f>"429,7150"</f>
        <v>429,7150</v>
      </c>
      <c r="U6" s="7"/>
    </row>
    <row r="7" spans="1:21">
      <c r="B7" s="5" t="s">
        <v>53</v>
      </c>
    </row>
    <row r="8" spans="1:21" ht="16">
      <c r="A8" s="36" t="s">
        <v>22</v>
      </c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21">
      <c r="A9" s="10" t="s">
        <v>52</v>
      </c>
      <c r="B9" s="9" t="s">
        <v>23</v>
      </c>
      <c r="C9" s="9" t="s">
        <v>364</v>
      </c>
      <c r="D9" s="9" t="s">
        <v>24</v>
      </c>
      <c r="E9" s="9" t="s">
        <v>418</v>
      </c>
      <c r="F9" s="9" t="s">
        <v>25</v>
      </c>
      <c r="G9" s="15" t="s">
        <v>14</v>
      </c>
      <c r="H9" s="15" t="s">
        <v>16</v>
      </c>
      <c r="I9" s="15" t="s">
        <v>26</v>
      </c>
      <c r="J9" s="10"/>
      <c r="K9" s="15" t="s">
        <v>27</v>
      </c>
      <c r="L9" s="15" t="s">
        <v>28</v>
      </c>
      <c r="M9" s="15" t="s">
        <v>29</v>
      </c>
      <c r="N9" s="10"/>
      <c r="O9" s="15" t="s">
        <v>30</v>
      </c>
      <c r="P9" s="15" t="s">
        <v>31</v>
      </c>
      <c r="Q9" s="15" t="s">
        <v>32</v>
      </c>
      <c r="R9" s="10"/>
      <c r="S9" s="23" t="str">
        <f>"665,0"</f>
        <v>665,0</v>
      </c>
      <c r="T9" s="10" t="str">
        <f>"427,9940"</f>
        <v>427,9940</v>
      </c>
      <c r="U9" s="9"/>
    </row>
    <row r="10" spans="1:21">
      <c r="A10" s="12" t="s">
        <v>54</v>
      </c>
      <c r="B10" s="11" t="s">
        <v>33</v>
      </c>
      <c r="C10" s="11" t="s">
        <v>34</v>
      </c>
      <c r="D10" s="11" t="s">
        <v>35</v>
      </c>
      <c r="E10" s="11" t="s">
        <v>416</v>
      </c>
      <c r="F10" s="11" t="s">
        <v>167</v>
      </c>
      <c r="G10" s="16" t="s">
        <v>36</v>
      </c>
      <c r="H10" s="17" t="s">
        <v>14</v>
      </c>
      <c r="I10" s="16" t="s">
        <v>15</v>
      </c>
      <c r="J10" s="12"/>
      <c r="K10" s="16" t="s">
        <v>37</v>
      </c>
      <c r="L10" s="16" t="s">
        <v>38</v>
      </c>
      <c r="M10" s="17" t="s">
        <v>27</v>
      </c>
      <c r="N10" s="12"/>
      <c r="O10" s="17" t="s">
        <v>14</v>
      </c>
      <c r="P10" s="17" t="s">
        <v>39</v>
      </c>
      <c r="Q10" s="17" t="s">
        <v>40</v>
      </c>
      <c r="R10" s="12"/>
      <c r="S10" s="24">
        <v>0</v>
      </c>
      <c r="T10" s="12" t="str">
        <f>"0,0000"</f>
        <v>0,0000</v>
      </c>
      <c r="U10" s="11" t="s">
        <v>381</v>
      </c>
    </row>
    <row r="11" spans="1:21">
      <c r="B11" s="5" t="s">
        <v>53</v>
      </c>
    </row>
    <row r="12" spans="1:21" ht="16">
      <c r="A12" s="36" t="s">
        <v>41</v>
      </c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21">
      <c r="A13" s="8" t="s">
        <v>52</v>
      </c>
      <c r="B13" s="7" t="s">
        <v>42</v>
      </c>
      <c r="C13" s="7" t="s">
        <v>43</v>
      </c>
      <c r="D13" s="7" t="s">
        <v>44</v>
      </c>
      <c r="E13" s="7" t="s">
        <v>416</v>
      </c>
      <c r="F13" s="7" t="s">
        <v>45</v>
      </c>
      <c r="G13" s="13" t="s">
        <v>46</v>
      </c>
      <c r="H13" s="13" t="s">
        <v>32</v>
      </c>
      <c r="I13" s="14" t="s">
        <v>47</v>
      </c>
      <c r="J13" s="8"/>
      <c r="K13" s="13" t="s">
        <v>29</v>
      </c>
      <c r="L13" s="13" t="s">
        <v>48</v>
      </c>
      <c r="M13" s="13" t="s">
        <v>49</v>
      </c>
      <c r="N13" s="8"/>
      <c r="O13" s="13" t="s">
        <v>50</v>
      </c>
      <c r="P13" s="14" t="s">
        <v>51</v>
      </c>
      <c r="Q13" s="14" t="s">
        <v>51</v>
      </c>
      <c r="R13" s="8"/>
      <c r="S13" s="26" t="str">
        <f>"757,5"</f>
        <v>757,5</v>
      </c>
      <c r="T13" s="8" t="str">
        <f>"461,9235"</f>
        <v>461,9235</v>
      </c>
      <c r="U13" s="7" t="s">
        <v>396</v>
      </c>
    </row>
    <row r="14" spans="1:21">
      <c r="B14" s="5" t="s">
        <v>53</v>
      </c>
    </row>
  </sheetData>
  <mergeCells count="16"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A8:R8"/>
    <mergeCell ref="A12:R12"/>
    <mergeCell ref="B3:B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18"/>
  <dimension ref="A1:U10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6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9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5.5" style="5" bestFit="1" customWidth="1"/>
    <col min="22" max="16384" width="9.1640625" style="3"/>
  </cols>
  <sheetData>
    <row r="1" spans="1:21" s="2" customFormat="1" ht="29" customHeight="1">
      <c r="A1" s="48" t="s">
        <v>378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1"/>
    </row>
    <row r="2" spans="1:21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</row>
    <row r="3" spans="1:21" s="1" customFormat="1" ht="12.75" customHeight="1">
      <c r="A3" s="56"/>
      <c r="B3" s="38" t="s">
        <v>0</v>
      </c>
      <c r="C3" s="58" t="s">
        <v>413</v>
      </c>
      <c r="D3" s="58" t="s">
        <v>6</v>
      </c>
      <c r="E3" s="42" t="s">
        <v>414</v>
      </c>
      <c r="F3" s="42" t="s">
        <v>5</v>
      </c>
      <c r="G3" s="42" t="s">
        <v>7</v>
      </c>
      <c r="H3" s="42"/>
      <c r="I3" s="42"/>
      <c r="J3" s="42"/>
      <c r="K3" s="42" t="s">
        <v>8</v>
      </c>
      <c r="L3" s="42"/>
      <c r="M3" s="42"/>
      <c r="N3" s="42"/>
      <c r="O3" s="42" t="s">
        <v>9</v>
      </c>
      <c r="P3" s="42"/>
      <c r="Q3" s="42"/>
      <c r="R3" s="42"/>
      <c r="S3" s="42" t="s">
        <v>1</v>
      </c>
      <c r="T3" s="42" t="s">
        <v>3</v>
      </c>
      <c r="U3" s="44" t="s">
        <v>2</v>
      </c>
    </row>
    <row r="4" spans="1:21" s="1" customFormat="1" ht="21" customHeight="1" thickBot="1">
      <c r="A4" s="57"/>
      <c r="B4" s="39"/>
      <c r="C4" s="43"/>
      <c r="D4" s="43"/>
      <c r="E4" s="43"/>
      <c r="F4" s="4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3"/>
      <c r="T4" s="43"/>
      <c r="U4" s="45"/>
    </row>
    <row r="5" spans="1:21" ht="16">
      <c r="A5" s="46" t="s">
        <v>10</v>
      </c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21">
      <c r="A6" s="8" t="s">
        <v>52</v>
      </c>
      <c r="B6" s="7" t="s">
        <v>152</v>
      </c>
      <c r="C6" s="7" t="s">
        <v>153</v>
      </c>
      <c r="D6" s="7" t="s">
        <v>154</v>
      </c>
      <c r="E6" s="7" t="s">
        <v>416</v>
      </c>
      <c r="F6" s="7" t="s">
        <v>155</v>
      </c>
      <c r="G6" s="14" t="s">
        <v>29</v>
      </c>
      <c r="H6" s="13" t="s">
        <v>29</v>
      </c>
      <c r="I6" s="14" t="s">
        <v>106</v>
      </c>
      <c r="J6" s="8"/>
      <c r="K6" s="13" t="s">
        <v>86</v>
      </c>
      <c r="L6" s="13" t="s">
        <v>92</v>
      </c>
      <c r="M6" s="14" t="s">
        <v>79</v>
      </c>
      <c r="N6" s="8"/>
      <c r="O6" s="13" t="s">
        <v>29</v>
      </c>
      <c r="P6" s="13" t="s">
        <v>106</v>
      </c>
      <c r="Q6" s="13" t="s">
        <v>143</v>
      </c>
      <c r="R6" s="8"/>
      <c r="S6" s="8" t="str">
        <f>"485,0"</f>
        <v>485,0</v>
      </c>
      <c r="T6" s="8" t="str">
        <f>"378,4940"</f>
        <v>378,4940</v>
      </c>
      <c r="U6" s="7"/>
    </row>
    <row r="7" spans="1:21">
      <c r="B7" s="5" t="s">
        <v>53</v>
      </c>
    </row>
    <row r="8" spans="1:21" ht="16">
      <c r="A8" s="36" t="s">
        <v>111</v>
      </c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21">
      <c r="A9" s="8" t="s">
        <v>52</v>
      </c>
      <c r="B9" s="7" t="s">
        <v>156</v>
      </c>
      <c r="C9" s="7" t="s">
        <v>157</v>
      </c>
      <c r="D9" s="7" t="s">
        <v>158</v>
      </c>
      <c r="E9" s="7" t="s">
        <v>416</v>
      </c>
      <c r="F9" s="7" t="s">
        <v>159</v>
      </c>
      <c r="G9" s="13" t="s">
        <v>48</v>
      </c>
      <c r="H9" s="13" t="s">
        <v>36</v>
      </c>
      <c r="I9" s="13" t="s">
        <v>20</v>
      </c>
      <c r="J9" s="8"/>
      <c r="K9" s="13" t="s">
        <v>160</v>
      </c>
      <c r="L9" s="13" t="s">
        <v>17</v>
      </c>
      <c r="M9" s="13" t="s">
        <v>86</v>
      </c>
      <c r="N9" s="8"/>
      <c r="O9" s="13" t="s">
        <v>26</v>
      </c>
      <c r="P9" s="13" t="s">
        <v>132</v>
      </c>
      <c r="Q9" s="14" t="s">
        <v>161</v>
      </c>
      <c r="R9" s="8"/>
      <c r="S9" s="8" t="str">
        <f>"545,0"</f>
        <v>545,0</v>
      </c>
      <c r="T9" s="8" t="str">
        <f>"365,6405"</f>
        <v>365,6405</v>
      </c>
      <c r="U9" s="7"/>
    </row>
    <row r="10" spans="1:21">
      <c r="B10" s="5" t="s">
        <v>53</v>
      </c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B3:B4"/>
    <mergeCell ref="S3:S4"/>
    <mergeCell ref="T3:T4"/>
    <mergeCell ref="U3:U4"/>
    <mergeCell ref="A5:R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8"/>
  <dimension ref="A1:Q7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9.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8" style="5" customWidth="1"/>
    <col min="18" max="16384" width="9.1640625" style="3"/>
  </cols>
  <sheetData>
    <row r="1" spans="1:17" s="2" customFormat="1" ht="29" customHeight="1">
      <c r="A1" s="48" t="s">
        <v>369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/>
    </row>
    <row r="2" spans="1:17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5"/>
    </row>
    <row r="3" spans="1:17" s="1" customFormat="1" ht="12.75" customHeight="1">
      <c r="A3" s="56"/>
      <c r="B3" s="38" t="s">
        <v>0</v>
      </c>
      <c r="C3" s="58" t="s">
        <v>413</v>
      </c>
      <c r="D3" s="58" t="s">
        <v>6</v>
      </c>
      <c r="E3" s="42" t="s">
        <v>414</v>
      </c>
      <c r="F3" s="42" t="s">
        <v>5</v>
      </c>
      <c r="G3" s="42" t="s">
        <v>8</v>
      </c>
      <c r="H3" s="42"/>
      <c r="I3" s="42"/>
      <c r="J3" s="42"/>
      <c r="K3" s="42" t="s">
        <v>9</v>
      </c>
      <c r="L3" s="42"/>
      <c r="M3" s="42"/>
      <c r="N3" s="42"/>
      <c r="O3" s="42" t="s">
        <v>1</v>
      </c>
      <c r="P3" s="42" t="s">
        <v>3</v>
      </c>
      <c r="Q3" s="44" t="s">
        <v>2</v>
      </c>
    </row>
    <row r="4" spans="1:17" s="1" customFormat="1" ht="21" customHeight="1" thickBot="1">
      <c r="A4" s="57"/>
      <c r="B4" s="39"/>
      <c r="C4" s="43"/>
      <c r="D4" s="43"/>
      <c r="E4" s="43"/>
      <c r="F4" s="4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3"/>
      <c r="P4" s="43"/>
      <c r="Q4" s="45"/>
    </row>
    <row r="5" spans="1:17" ht="16">
      <c r="A5" s="46" t="s">
        <v>41</v>
      </c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7">
      <c r="A6" s="8" t="s">
        <v>52</v>
      </c>
      <c r="B6" s="7" t="s">
        <v>286</v>
      </c>
      <c r="C6" s="7" t="s">
        <v>287</v>
      </c>
      <c r="D6" s="7" t="s">
        <v>288</v>
      </c>
      <c r="E6" s="7" t="s">
        <v>416</v>
      </c>
      <c r="F6" s="7" t="s">
        <v>167</v>
      </c>
      <c r="G6" s="13" t="s">
        <v>38</v>
      </c>
      <c r="H6" s="13" t="s">
        <v>110</v>
      </c>
      <c r="I6" s="14" t="s">
        <v>27</v>
      </c>
      <c r="J6" s="8"/>
      <c r="K6" s="13" t="s">
        <v>289</v>
      </c>
      <c r="L6" s="14" t="s">
        <v>290</v>
      </c>
      <c r="M6" s="14" t="s">
        <v>290</v>
      </c>
      <c r="N6" s="8"/>
      <c r="O6" s="8" t="str">
        <f>"380,0"</f>
        <v>380,0</v>
      </c>
      <c r="P6" s="8" t="str">
        <f>"232,5980"</f>
        <v>232,5980</v>
      </c>
      <c r="Q6" s="7"/>
    </row>
    <row r="7" spans="1:17">
      <c r="B7" s="5" t="s">
        <v>53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9"/>
  <dimension ref="A1:Q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6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0.33203125" style="5" customWidth="1"/>
    <col min="18" max="16384" width="9.1640625" style="3"/>
  </cols>
  <sheetData>
    <row r="1" spans="1:17" s="2" customFormat="1" ht="29" customHeight="1">
      <c r="A1" s="48" t="s">
        <v>370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/>
    </row>
    <row r="2" spans="1:17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5"/>
    </row>
    <row r="3" spans="1:17" s="1" customFormat="1" ht="12.75" customHeight="1">
      <c r="A3" s="56"/>
      <c r="B3" s="38" t="s">
        <v>0</v>
      </c>
      <c r="C3" s="58" t="s">
        <v>413</v>
      </c>
      <c r="D3" s="58" t="s">
        <v>6</v>
      </c>
      <c r="E3" s="42" t="s">
        <v>414</v>
      </c>
      <c r="F3" s="42" t="s">
        <v>5</v>
      </c>
      <c r="G3" s="42" t="s">
        <v>8</v>
      </c>
      <c r="H3" s="42"/>
      <c r="I3" s="42"/>
      <c r="J3" s="42"/>
      <c r="K3" s="42" t="s">
        <v>9</v>
      </c>
      <c r="L3" s="42"/>
      <c r="M3" s="42"/>
      <c r="N3" s="42"/>
      <c r="O3" s="42" t="s">
        <v>1</v>
      </c>
      <c r="P3" s="42" t="s">
        <v>3</v>
      </c>
      <c r="Q3" s="44" t="s">
        <v>2</v>
      </c>
    </row>
    <row r="4" spans="1:17" s="1" customFormat="1" ht="21" customHeight="1" thickBot="1">
      <c r="A4" s="57"/>
      <c r="B4" s="39"/>
      <c r="C4" s="43"/>
      <c r="D4" s="43"/>
      <c r="E4" s="43"/>
      <c r="F4" s="4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3"/>
      <c r="P4" s="43"/>
      <c r="Q4" s="45"/>
    </row>
    <row r="5" spans="1:17" ht="16">
      <c r="A5" s="46" t="s">
        <v>22</v>
      </c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7">
      <c r="A6" s="8" t="s">
        <v>52</v>
      </c>
      <c r="B6" s="7" t="s">
        <v>283</v>
      </c>
      <c r="C6" s="7" t="s">
        <v>346</v>
      </c>
      <c r="D6" s="7" t="s">
        <v>218</v>
      </c>
      <c r="E6" s="7" t="s">
        <v>418</v>
      </c>
      <c r="F6" s="7" t="s">
        <v>73</v>
      </c>
      <c r="G6" s="13" t="s">
        <v>92</v>
      </c>
      <c r="H6" s="14" t="s">
        <v>79</v>
      </c>
      <c r="I6" s="14" t="s">
        <v>79</v>
      </c>
      <c r="J6" s="8"/>
      <c r="K6" s="13" t="s">
        <v>132</v>
      </c>
      <c r="L6" s="14" t="s">
        <v>149</v>
      </c>
      <c r="M6" s="14" t="s">
        <v>149</v>
      </c>
      <c r="N6" s="8"/>
      <c r="O6" s="8" t="str">
        <f>"360,0"</f>
        <v>360,0</v>
      </c>
      <c r="P6" s="8" t="str">
        <f>"231,8400"</f>
        <v>231,8400</v>
      </c>
      <c r="Q6" s="7" t="s">
        <v>388</v>
      </c>
    </row>
    <row r="7" spans="1:17">
      <c r="B7" s="5" t="s">
        <v>53</v>
      </c>
    </row>
    <row r="8" spans="1:17" ht="16">
      <c r="A8" s="36" t="s">
        <v>179</v>
      </c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7">
      <c r="A9" s="8" t="s">
        <v>52</v>
      </c>
      <c r="B9" s="7" t="s">
        <v>284</v>
      </c>
      <c r="C9" s="7" t="s">
        <v>347</v>
      </c>
      <c r="D9" s="7" t="s">
        <v>285</v>
      </c>
      <c r="E9" s="7" t="s">
        <v>419</v>
      </c>
      <c r="F9" s="7" t="s">
        <v>167</v>
      </c>
      <c r="G9" s="13" t="s">
        <v>27</v>
      </c>
      <c r="H9" s="13" t="s">
        <v>88</v>
      </c>
      <c r="I9" s="14" t="s">
        <v>28</v>
      </c>
      <c r="J9" s="8"/>
      <c r="K9" s="13" t="s">
        <v>106</v>
      </c>
      <c r="L9" s="13" t="s">
        <v>14</v>
      </c>
      <c r="M9" s="14" t="s">
        <v>15</v>
      </c>
      <c r="N9" s="8"/>
      <c r="O9" s="8" t="str">
        <f>"355,0"</f>
        <v>355,0</v>
      </c>
      <c r="P9" s="8" t="str">
        <f>"220,5930"</f>
        <v>220,5930</v>
      </c>
      <c r="Q9" s="7"/>
    </row>
    <row r="10" spans="1:17">
      <c r="B10" s="5" t="s">
        <v>53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0"/>
  <dimension ref="A1:M15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2.1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6640625" style="5" customWidth="1"/>
    <col min="14" max="16384" width="9.1640625" style="3"/>
  </cols>
  <sheetData>
    <row r="1" spans="1:13" s="2" customFormat="1" ht="29" customHeight="1">
      <c r="A1" s="48" t="s">
        <v>371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/>
      <c r="B3" s="38" t="s">
        <v>0</v>
      </c>
      <c r="C3" s="58" t="s">
        <v>413</v>
      </c>
      <c r="D3" s="58" t="s">
        <v>6</v>
      </c>
      <c r="E3" s="42" t="s">
        <v>414</v>
      </c>
      <c r="F3" s="42" t="s">
        <v>5</v>
      </c>
      <c r="G3" s="42" t="s">
        <v>7</v>
      </c>
      <c r="H3" s="42"/>
      <c r="I3" s="42"/>
      <c r="J3" s="42"/>
      <c r="K3" s="42" t="s">
        <v>189</v>
      </c>
      <c r="L3" s="42" t="s">
        <v>3</v>
      </c>
      <c r="M3" s="44" t="s">
        <v>2</v>
      </c>
    </row>
    <row r="4" spans="1:13" s="1" customFormat="1" ht="21" customHeight="1" thickBot="1">
      <c r="A4" s="57"/>
      <c r="B4" s="39"/>
      <c r="C4" s="43"/>
      <c r="D4" s="43"/>
      <c r="E4" s="43"/>
      <c r="F4" s="43"/>
      <c r="G4" s="4">
        <v>1</v>
      </c>
      <c r="H4" s="4">
        <v>2</v>
      </c>
      <c r="I4" s="4">
        <v>3</v>
      </c>
      <c r="J4" s="4" t="s">
        <v>4</v>
      </c>
      <c r="K4" s="43"/>
      <c r="L4" s="43"/>
      <c r="M4" s="45"/>
    </row>
    <row r="5" spans="1:13" ht="16">
      <c r="A5" s="46" t="s">
        <v>55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8" t="s">
        <v>52</v>
      </c>
      <c r="B6" s="7" t="s">
        <v>280</v>
      </c>
      <c r="C6" s="7" t="s">
        <v>348</v>
      </c>
      <c r="D6" s="7" t="s">
        <v>281</v>
      </c>
      <c r="E6" s="7" t="s">
        <v>418</v>
      </c>
      <c r="F6" s="7" t="s">
        <v>167</v>
      </c>
      <c r="G6" s="13" t="s">
        <v>93</v>
      </c>
      <c r="H6" s="14" t="s">
        <v>108</v>
      </c>
      <c r="I6" s="13" t="s">
        <v>108</v>
      </c>
      <c r="J6" s="8"/>
      <c r="K6" s="8" t="str">
        <f>"82,5"</f>
        <v>82,5</v>
      </c>
      <c r="L6" s="8" t="str">
        <f>"103,9252"</f>
        <v>103,9252</v>
      </c>
      <c r="M6" s="7" t="s">
        <v>390</v>
      </c>
    </row>
    <row r="7" spans="1:13">
      <c r="B7" s="5" t="s">
        <v>53</v>
      </c>
    </row>
    <row r="8" spans="1:13" ht="16">
      <c r="A8" s="36" t="s">
        <v>22</v>
      </c>
      <c r="B8" s="36"/>
      <c r="C8" s="37"/>
      <c r="D8" s="37"/>
      <c r="E8" s="37"/>
      <c r="F8" s="37"/>
      <c r="G8" s="37"/>
      <c r="H8" s="37"/>
      <c r="I8" s="37"/>
      <c r="J8" s="37"/>
    </row>
    <row r="9" spans="1:13">
      <c r="A9" s="10" t="s">
        <v>52</v>
      </c>
      <c r="B9" s="9" t="s">
        <v>267</v>
      </c>
      <c r="C9" s="9" t="s">
        <v>268</v>
      </c>
      <c r="D9" s="9" t="s">
        <v>282</v>
      </c>
      <c r="E9" s="9" t="s">
        <v>416</v>
      </c>
      <c r="F9" s="9" t="s">
        <v>269</v>
      </c>
      <c r="G9" s="20" t="s">
        <v>256</v>
      </c>
      <c r="H9" s="20" t="s">
        <v>119</v>
      </c>
      <c r="I9" s="15" t="s">
        <v>119</v>
      </c>
      <c r="J9" s="10"/>
      <c r="K9" s="10" t="str">
        <f>"215,0"</f>
        <v>215,0</v>
      </c>
      <c r="L9" s="10" t="str">
        <f>"137,6430"</f>
        <v>137,6430</v>
      </c>
      <c r="M9" s="9"/>
    </row>
    <row r="10" spans="1:13">
      <c r="A10" s="12" t="s">
        <v>52</v>
      </c>
      <c r="B10" s="11" t="s">
        <v>267</v>
      </c>
      <c r="C10" s="11" t="s">
        <v>349</v>
      </c>
      <c r="D10" s="11" t="s">
        <v>282</v>
      </c>
      <c r="E10" s="11" t="s">
        <v>419</v>
      </c>
      <c r="F10" s="11" t="s">
        <v>269</v>
      </c>
      <c r="G10" s="17" t="s">
        <v>256</v>
      </c>
      <c r="H10" s="17" t="s">
        <v>119</v>
      </c>
      <c r="I10" s="16" t="s">
        <v>119</v>
      </c>
      <c r="J10" s="12"/>
      <c r="K10" s="12" t="str">
        <f>"215,0"</f>
        <v>215,0</v>
      </c>
      <c r="L10" s="12" t="str">
        <f>"143,6993"</f>
        <v>143,6993</v>
      </c>
      <c r="M10" s="11"/>
    </row>
    <row r="11" spans="1:13">
      <c r="B11" s="5" t="s">
        <v>53</v>
      </c>
    </row>
    <row r="12" spans="1:13" ht="16">
      <c r="A12" s="36" t="s">
        <v>144</v>
      </c>
      <c r="B12" s="36"/>
      <c r="C12" s="37"/>
      <c r="D12" s="37"/>
      <c r="E12" s="37"/>
      <c r="F12" s="37"/>
      <c r="G12" s="37"/>
      <c r="H12" s="37"/>
      <c r="I12" s="37"/>
      <c r="J12" s="37"/>
    </row>
    <row r="13" spans="1:13">
      <c r="A13" s="10" t="s">
        <v>52</v>
      </c>
      <c r="B13" s="9" t="s">
        <v>145</v>
      </c>
      <c r="C13" s="9" t="s">
        <v>146</v>
      </c>
      <c r="D13" s="9" t="s">
        <v>147</v>
      </c>
      <c r="E13" s="9" t="s">
        <v>416</v>
      </c>
      <c r="F13" s="9" t="s">
        <v>389</v>
      </c>
      <c r="G13" s="15" t="s">
        <v>46</v>
      </c>
      <c r="H13" s="15" t="s">
        <v>47</v>
      </c>
      <c r="I13" s="20" t="s">
        <v>148</v>
      </c>
      <c r="J13" s="10"/>
      <c r="K13" s="10" t="str">
        <f>"280,0"</f>
        <v>280,0</v>
      </c>
      <c r="L13" s="10" t="str">
        <f>"161,1120"</f>
        <v>161,1120</v>
      </c>
      <c r="M13" s="9"/>
    </row>
    <row r="14" spans="1:13">
      <c r="A14" s="12" t="s">
        <v>150</v>
      </c>
      <c r="B14" s="11" t="s">
        <v>145</v>
      </c>
      <c r="C14" s="11" t="s">
        <v>146</v>
      </c>
      <c r="D14" s="11" t="s">
        <v>147</v>
      </c>
      <c r="E14" s="11" t="s">
        <v>416</v>
      </c>
      <c r="F14" s="11" t="s">
        <v>389</v>
      </c>
      <c r="G14" s="16" t="s">
        <v>46</v>
      </c>
      <c r="H14" s="16" t="s">
        <v>47</v>
      </c>
      <c r="I14" s="17" t="s">
        <v>148</v>
      </c>
      <c r="J14" s="12"/>
      <c r="K14" s="12" t="str">
        <f>"280,0"</f>
        <v>280,0</v>
      </c>
      <c r="L14" s="12" t="str">
        <f>"161,1120"</f>
        <v>161,1120</v>
      </c>
      <c r="M14" s="11"/>
    </row>
    <row r="15" spans="1:13">
      <c r="B15" s="5" t="s">
        <v>53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B3:B4"/>
    <mergeCell ref="K3:K4"/>
    <mergeCell ref="L3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1"/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6640625" style="5" bestFit="1" customWidth="1"/>
    <col min="14" max="16384" width="9.1640625" style="3"/>
  </cols>
  <sheetData>
    <row r="1" spans="1:13" s="2" customFormat="1" ht="29" customHeight="1">
      <c r="A1" s="48" t="s">
        <v>372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/>
      <c r="B3" s="38" t="s">
        <v>0</v>
      </c>
      <c r="C3" s="58" t="s">
        <v>413</v>
      </c>
      <c r="D3" s="58" t="s">
        <v>6</v>
      </c>
      <c r="E3" s="42" t="s">
        <v>414</v>
      </c>
      <c r="F3" s="42" t="s">
        <v>5</v>
      </c>
      <c r="G3" s="42" t="s">
        <v>7</v>
      </c>
      <c r="H3" s="42"/>
      <c r="I3" s="42"/>
      <c r="J3" s="42"/>
      <c r="K3" s="42" t="s">
        <v>189</v>
      </c>
      <c r="L3" s="42" t="s">
        <v>3</v>
      </c>
      <c r="M3" s="44" t="s">
        <v>2</v>
      </c>
    </row>
    <row r="4" spans="1:13" s="1" customFormat="1" ht="21" customHeight="1" thickBot="1">
      <c r="A4" s="57"/>
      <c r="B4" s="39"/>
      <c r="C4" s="43"/>
      <c r="D4" s="43"/>
      <c r="E4" s="43"/>
      <c r="F4" s="43"/>
      <c r="G4" s="4">
        <v>1</v>
      </c>
      <c r="H4" s="4">
        <v>2</v>
      </c>
      <c r="I4" s="4">
        <v>3</v>
      </c>
      <c r="J4" s="4" t="s">
        <v>4</v>
      </c>
      <c r="K4" s="43"/>
      <c r="L4" s="43"/>
      <c r="M4" s="45"/>
    </row>
    <row r="5" spans="1:13" ht="16">
      <c r="A5" s="46" t="s">
        <v>22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8" t="s">
        <v>52</v>
      </c>
      <c r="B6" s="7" t="s">
        <v>277</v>
      </c>
      <c r="C6" s="7" t="s">
        <v>278</v>
      </c>
      <c r="D6" s="7" t="s">
        <v>279</v>
      </c>
      <c r="E6" s="7" t="s">
        <v>416</v>
      </c>
      <c r="F6" s="7" t="s">
        <v>167</v>
      </c>
      <c r="G6" s="14" t="s">
        <v>20</v>
      </c>
      <c r="H6" s="13" t="s">
        <v>20</v>
      </c>
      <c r="I6" s="14" t="s">
        <v>119</v>
      </c>
      <c r="J6" s="8"/>
      <c r="K6" s="8" t="str">
        <f>"195,0"</f>
        <v>195,0</v>
      </c>
      <c r="L6" s="8" t="str">
        <f>"125,0535"</f>
        <v>125,0535</v>
      </c>
      <c r="M6" s="7" t="s">
        <v>391</v>
      </c>
    </row>
    <row r="7" spans="1:13">
      <c r="B7" s="5" t="s">
        <v>53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15"/>
  <dimension ref="A1:M35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664062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2.83203125" style="5" bestFit="1" customWidth="1"/>
    <col min="7" max="9" width="5.5" style="6" customWidth="1"/>
    <col min="10" max="10" width="4.83203125" style="6" customWidth="1"/>
    <col min="11" max="11" width="10.5" style="25" bestFit="1" customWidth="1"/>
    <col min="12" max="12" width="7.5" style="6" bestFit="1" customWidth="1"/>
    <col min="13" max="13" width="31.33203125" style="5" bestFit="1" customWidth="1"/>
    <col min="14" max="16384" width="9.1640625" style="3"/>
  </cols>
  <sheetData>
    <row r="1" spans="1:13" s="2" customFormat="1" ht="29" customHeight="1">
      <c r="A1" s="48" t="s">
        <v>376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/>
      <c r="B3" s="38" t="s">
        <v>0</v>
      </c>
      <c r="C3" s="58" t="s">
        <v>413</v>
      </c>
      <c r="D3" s="58" t="s">
        <v>6</v>
      </c>
      <c r="E3" s="42" t="s">
        <v>414</v>
      </c>
      <c r="F3" s="42" t="s">
        <v>5</v>
      </c>
      <c r="G3" s="42" t="s">
        <v>8</v>
      </c>
      <c r="H3" s="42"/>
      <c r="I3" s="42"/>
      <c r="J3" s="42"/>
      <c r="K3" s="40" t="s">
        <v>189</v>
      </c>
      <c r="L3" s="42" t="s">
        <v>3</v>
      </c>
      <c r="M3" s="44" t="s">
        <v>2</v>
      </c>
    </row>
    <row r="4" spans="1:13" s="1" customFormat="1" ht="21" customHeight="1" thickBot="1">
      <c r="A4" s="57"/>
      <c r="B4" s="39"/>
      <c r="C4" s="43"/>
      <c r="D4" s="43"/>
      <c r="E4" s="43"/>
      <c r="F4" s="43"/>
      <c r="G4" s="4">
        <v>1</v>
      </c>
      <c r="H4" s="4">
        <v>2</v>
      </c>
      <c r="I4" s="4">
        <v>3</v>
      </c>
      <c r="J4" s="4" t="s">
        <v>4</v>
      </c>
      <c r="K4" s="41"/>
      <c r="L4" s="43"/>
      <c r="M4" s="45"/>
    </row>
    <row r="5" spans="1:13" ht="16">
      <c r="A5" s="46" t="s">
        <v>69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8" t="s">
        <v>52</v>
      </c>
      <c r="B6" s="7" t="s">
        <v>190</v>
      </c>
      <c r="C6" s="7" t="s">
        <v>191</v>
      </c>
      <c r="D6" s="7" t="s">
        <v>192</v>
      </c>
      <c r="E6" s="7" t="s">
        <v>416</v>
      </c>
      <c r="F6" s="7" t="s">
        <v>159</v>
      </c>
      <c r="G6" s="13" t="s">
        <v>64</v>
      </c>
      <c r="H6" s="14" t="s">
        <v>193</v>
      </c>
      <c r="I6" s="14" t="s">
        <v>193</v>
      </c>
      <c r="J6" s="8"/>
      <c r="K6" s="26" t="str">
        <f>"47,5"</f>
        <v>47,5</v>
      </c>
      <c r="L6" s="8" t="str">
        <f>"53,3710"</f>
        <v>53,3710</v>
      </c>
      <c r="M6" s="7" t="s">
        <v>406</v>
      </c>
    </row>
    <row r="7" spans="1:13">
      <c r="B7" s="5" t="s">
        <v>53</v>
      </c>
    </row>
    <row r="8" spans="1:13" ht="16">
      <c r="A8" s="36" t="s">
        <v>10</v>
      </c>
      <c r="B8" s="36"/>
      <c r="C8" s="37"/>
      <c r="D8" s="37"/>
      <c r="E8" s="37"/>
      <c r="F8" s="37"/>
      <c r="G8" s="37"/>
      <c r="H8" s="37"/>
      <c r="I8" s="37"/>
      <c r="J8" s="37"/>
    </row>
    <row r="9" spans="1:13">
      <c r="A9" s="10" t="s">
        <v>52</v>
      </c>
      <c r="B9" s="9" t="s">
        <v>194</v>
      </c>
      <c r="C9" s="9" t="s">
        <v>355</v>
      </c>
      <c r="D9" s="9" t="s">
        <v>195</v>
      </c>
      <c r="E9" s="9" t="s">
        <v>418</v>
      </c>
      <c r="F9" s="9" t="s">
        <v>167</v>
      </c>
      <c r="G9" s="15" t="s">
        <v>196</v>
      </c>
      <c r="H9" s="15" t="s">
        <v>197</v>
      </c>
      <c r="I9" s="20" t="s">
        <v>198</v>
      </c>
      <c r="J9" s="10"/>
      <c r="K9" s="23" t="str">
        <f>"37,5"</f>
        <v>37,5</v>
      </c>
      <c r="L9" s="10" t="str">
        <f>"38,4788"</f>
        <v>38,4788</v>
      </c>
      <c r="M9" s="9" t="s">
        <v>407</v>
      </c>
    </row>
    <row r="10" spans="1:13">
      <c r="A10" s="12" t="s">
        <v>52</v>
      </c>
      <c r="B10" s="11" t="s">
        <v>199</v>
      </c>
      <c r="C10" s="11" t="s">
        <v>200</v>
      </c>
      <c r="D10" s="11" t="s">
        <v>154</v>
      </c>
      <c r="E10" s="11" t="s">
        <v>416</v>
      </c>
      <c r="F10" s="11" t="s">
        <v>167</v>
      </c>
      <c r="G10" s="16" t="s">
        <v>63</v>
      </c>
      <c r="H10" s="17" t="s">
        <v>65</v>
      </c>
      <c r="I10" s="17" t="s">
        <v>65</v>
      </c>
      <c r="J10" s="12"/>
      <c r="K10" s="24" t="str">
        <f>"45,0"</f>
        <v>45,0</v>
      </c>
      <c r="L10" s="12" t="str">
        <f>"46,4265"</f>
        <v>46,4265</v>
      </c>
      <c r="M10" s="11" t="s">
        <v>406</v>
      </c>
    </row>
    <row r="11" spans="1:13">
      <c r="B11" s="5" t="s">
        <v>53</v>
      </c>
    </row>
    <row r="12" spans="1:13" ht="16">
      <c r="A12" s="36" t="s">
        <v>10</v>
      </c>
      <c r="B12" s="36"/>
      <c r="C12" s="37"/>
      <c r="D12" s="37"/>
      <c r="E12" s="37"/>
      <c r="F12" s="37"/>
      <c r="G12" s="37"/>
      <c r="H12" s="37"/>
      <c r="I12" s="37"/>
      <c r="J12" s="37"/>
    </row>
    <row r="13" spans="1:13">
      <c r="A13" s="10" t="s">
        <v>52</v>
      </c>
      <c r="B13" s="9" t="s">
        <v>201</v>
      </c>
      <c r="C13" s="9" t="s">
        <v>202</v>
      </c>
      <c r="D13" s="9" t="s">
        <v>203</v>
      </c>
      <c r="E13" s="9" t="s">
        <v>417</v>
      </c>
      <c r="F13" s="9" t="s">
        <v>167</v>
      </c>
      <c r="G13" s="15" t="s">
        <v>108</v>
      </c>
      <c r="H13" s="20" t="s">
        <v>66</v>
      </c>
      <c r="I13" s="20" t="s">
        <v>66</v>
      </c>
      <c r="J13" s="10"/>
      <c r="K13" s="23" t="str">
        <f>"82,5"</f>
        <v>82,5</v>
      </c>
      <c r="L13" s="10" t="str">
        <f>"64,8615"</f>
        <v>64,8615</v>
      </c>
      <c r="M13" s="9" t="s">
        <v>385</v>
      </c>
    </row>
    <row r="14" spans="1:13">
      <c r="A14" s="12" t="s">
        <v>52</v>
      </c>
      <c r="B14" s="11" t="s">
        <v>204</v>
      </c>
      <c r="C14" s="11" t="s">
        <v>356</v>
      </c>
      <c r="D14" s="11" t="s">
        <v>205</v>
      </c>
      <c r="E14" s="11" t="s">
        <v>418</v>
      </c>
      <c r="F14" s="11" t="s">
        <v>167</v>
      </c>
      <c r="G14" s="17" t="s">
        <v>206</v>
      </c>
      <c r="H14" s="16" t="s">
        <v>206</v>
      </c>
      <c r="I14" s="16" t="s">
        <v>160</v>
      </c>
      <c r="J14" s="12"/>
      <c r="K14" s="24" t="str">
        <f>"112,5"</f>
        <v>112,5</v>
      </c>
      <c r="L14" s="12" t="str">
        <f>"88,2225"</f>
        <v>88,2225</v>
      </c>
      <c r="M14" s="11"/>
    </row>
    <row r="15" spans="1:13">
      <c r="B15" s="5" t="s">
        <v>53</v>
      </c>
    </row>
    <row r="16" spans="1:13" ht="16">
      <c r="A16" s="36" t="s">
        <v>96</v>
      </c>
      <c r="B16" s="36"/>
      <c r="C16" s="37"/>
      <c r="D16" s="37"/>
      <c r="E16" s="37"/>
      <c r="F16" s="37"/>
      <c r="G16" s="37"/>
      <c r="H16" s="37"/>
      <c r="I16" s="37"/>
      <c r="J16" s="37"/>
    </row>
    <row r="17" spans="1:13">
      <c r="A17" s="8" t="s">
        <v>52</v>
      </c>
      <c r="B17" s="7" t="s">
        <v>207</v>
      </c>
      <c r="C17" s="7" t="s">
        <v>208</v>
      </c>
      <c r="D17" s="7" t="s">
        <v>209</v>
      </c>
      <c r="E17" s="7" t="s">
        <v>416</v>
      </c>
      <c r="F17" s="7" t="s">
        <v>167</v>
      </c>
      <c r="G17" s="14" t="s">
        <v>74</v>
      </c>
      <c r="H17" s="13" t="s">
        <v>74</v>
      </c>
      <c r="I17" s="14" t="s">
        <v>75</v>
      </c>
      <c r="J17" s="8"/>
      <c r="K17" s="26" t="str">
        <f>"95,0"</f>
        <v>95,0</v>
      </c>
      <c r="L17" s="8" t="str">
        <f>"68,9320"</f>
        <v>68,9320</v>
      </c>
      <c r="M17" s="7" t="s">
        <v>408</v>
      </c>
    </row>
    <row r="18" spans="1:13">
      <c r="B18" s="5" t="s">
        <v>53</v>
      </c>
    </row>
    <row r="19" spans="1:13" ht="16">
      <c r="A19" s="36" t="s">
        <v>111</v>
      </c>
      <c r="B19" s="36"/>
      <c r="C19" s="37"/>
      <c r="D19" s="37"/>
      <c r="E19" s="37"/>
      <c r="F19" s="37"/>
      <c r="G19" s="37"/>
      <c r="H19" s="37"/>
      <c r="I19" s="37"/>
      <c r="J19" s="37"/>
    </row>
    <row r="20" spans="1:13">
      <c r="A20" s="10" t="s">
        <v>52</v>
      </c>
      <c r="B20" s="9" t="s">
        <v>210</v>
      </c>
      <c r="C20" s="9" t="s">
        <v>211</v>
      </c>
      <c r="D20" s="9" t="s">
        <v>212</v>
      </c>
      <c r="E20" s="9" t="s">
        <v>416</v>
      </c>
      <c r="F20" s="9" t="s">
        <v>213</v>
      </c>
      <c r="G20" s="15" t="s">
        <v>92</v>
      </c>
      <c r="H20" s="15" t="s">
        <v>104</v>
      </c>
      <c r="I20" s="15" t="s">
        <v>79</v>
      </c>
      <c r="J20" s="10"/>
      <c r="K20" s="23" t="str">
        <f>"140,0"</f>
        <v>140,0</v>
      </c>
      <c r="L20" s="10" t="str">
        <f>"93,7860"</f>
        <v>93,7860</v>
      </c>
      <c r="M20" s="9" t="s">
        <v>386</v>
      </c>
    </row>
    <row r="21" spans="1:13">
      <c r="A21" s="12" t="s">
        <v>150</v>
      </c>
      <c r="B21" s="11" t="s">
        <v>214</v>
      </c>
      <c r="C21" s="11" t="s">
        <v>215</v>
      </c>
      <c r="D21" s="11" t="s">
        <v>216</v>
      </c>
      <c r="E21" s="11" t="s">
        <v>416</v>
      </c>
      <c r="F21" s="11" t="s">
        <v>167</v>
      </c>
      <c r="G21" s="16" t="s">
        <v>74</v>
      </c>
      <c r="H21" s="16" t="s">
        <v>105</v>
      </c>
      <c r="I21" s="17" t="s">
        <v>160</v>
      </c>
      <c r="J21" s="12"/>
      <c r="K21" s="24" t="str">
        <f>"105,0"</f>
        <v>105,0</v>
      </c>
      <c r="L21" s="12" t="str">
        <f>"70,9170"</f>
        <v>70,9170</v>
      </c>
      <c r="M21" s="11" t="s">
        <v>406</v>
      </c>
    </row>
    <row r="22" spans="1:13">
      <c r="B22" s="5" t="s">
        <v>53</v>
      </c>
    </row>
    <row r="23" spans="1:13" ht="16">
      <c r="A23" s="36" t="s">
        <v>22</v>
      </c>
      <c r="B23" s="36"/>
      <c r="C23" s="37"/>
      <c r="D23" s="37"/>
      <c r="E23" s="37"/>
      <c r="F23" s="37"/>
      <c r="G23" s="37"/>
      <c r="H23" s="37"/>
      <c r="I23" s="37"/>
      <c r="J23" s="37"/>
    </row>
    <row r="24" spans="1:13">
      <c r="A24" s="10" t="s">
        <v>52</v>
      </c>
      <c r="B24" s="9" t="s">
        <v>217</v>
      </c>
      <c r="C24" s="9" t="s">
        <v>357</v>
      </c>
      <c r="D24" s="9" t="s">
        <v>218</v>
      </c>
      <c r="E24" s="9" t="s">
        <v>418</v>
      </c>
      <c r="F24" s="9" t="s">
        <v>167</v>
      </c>
      <c r="G24" s="15" t="s">
        <v>86</v>
      </c>
      <c r="H24" s="20" t="s">
        <v>219</v>
      </c>
      <c r="I24" s="20" t="s">
        <v>219</v>
      </c>
      <c r="J24" s="10"/>
      <c r="K24" s="23" t="str">
        <f>"120,0"</f>
        <v>120,0</v>
      </c>
      <c r="L24" s="10" t="str">
        <f>"77,2800"</f>
        <v>77,2800</v>
      </c>
      <c r="M24" s="9"/>
    </row>
    <row r="25" spans="1:13">
      <c r="A25" s="19" t="s">
        <v>52</v>
      </c>
      <c r="B25" s="18" t="s">
        <v>220</v>
      </c>
      <c r="C25" s="18" t="s">
        <v>221</v>
      </c>
      <c r="D25" s="18" t="s">
        <v>222</v>
      </c>
      <c r="E25" s="18" t="s">
        <v>416</v>
      </c>
      <c r="F25" s="18" t="s">
        <v>223</v>
      </c>
      <c r="G25" s="21" t="s">
        <v>219</v>
      </c>
      <c r="H25" s="21" t="s">
        <v>37</v>
      </c>
      <c r="I25" s="22" t="s">
        <v>104</v>
      </c>
      <c r="J25" s="19"/>
      <c r="K25" s="35" t="str">
        <f>"132,5"</f>
        <v>132,5</v>
      </c>
      <c r="L25" s="19" t="str">
        <f>"85,6878"</f>
        <v>85,6878</v>
      </c>
      <c r="M25" s="18" t="s">
        <v>409</v>
      </c>
    </row>
    <row r="26" spans="1:13">
      <c r="A26" s="12" t="s">
        <v>52</v>
      </c>
      <c r="B26" s="11" t="s">
        <v>220</v>
      </c>
      <c r="C26" s="11" t="s">
        <v>358</v>
      </c>
      <c r="D26" s="11" t="s">
        <v>222</v>
      </c>
      <c r="E26" s="11" t="s">
        <v>419</v>
      </c>
      <c r="F26" s="11" t="s">
        <v>223</v>
      </c>
      <c r="G26" s="16" t="s">
        <v>219</v>
      </c>
      <c r="H26" s="16" t="s">
        <v>37</v>
      </c>
      <c r="I26" s="17" t="s">
        <v>104</v>
      </c>
      <c r="J26" s="12"/>
      <c r="K26" s="24" t="str">
        <f>"132,5"</f>
        <v>132,5</v>
      </c>
      <c r="L26" s="12" t="str">
        <f>"85,6878"</f>
        <v>85,6878</v>
      </c>
      <c r="M26" s="11" t="s">
        <v>409</v>
      </c>
    </row>
    <row r="27" spans="1:13">
      <c r="B27" s="5" t="s">
        <v>53</v>
      </c>
    </row>
    <row r="28" spans="1:13" ht="16">
      <c r="A28" s="36" t="s">
        <v>41</v>
      </c>
      <c r="B28" s="36"/>
      <c r="C28" s="37"/>
      <c r="D28" s="37"/>
      <c r="E28" s="37"/>
      <c r="F28" s="37"/>
      <c r="G28" s="37"/>
      <c r="H28" s="37"/>
      <c r="I28" s="37"/>
      <c r="J28" s="37"/>
    </row>
    <row r="29" spans="1:13">
      <c r="A29" s="10" t="s">
        <v>52</v>
      </c>
      <c r="B29" s="9" t="s">
        <v>224</v>
      </c>
      <c r="C29" s="9" t="s">
        <v>225</v>
      </c>
      <c r="D29" s="9" t="s">
        <v>226</v>
      </c>
      <c r="E29" s="9" t="s">
        <v>416</v>
      </c>
      <c r="F29" s="9" t="s">
        <v>213</v>
      </c>
      <c r="G29" s="15" t="s">
        <v>80</v>
      </c>
      <c r="H29" s="15" t="s">
        <v>27</v>
      </c>
      <c r="I29" s="15" t="s">
        <v>125</v>
      </c>
      <c r="J29" s="10"/>
      <c r="K29" s="23" t="str">
        <f>"152,5"</f>
        <v>152,5</v>
      </c>
      <c r="L29" s="10" t="str">
        <f>"96,9290"</f>
        <v>96,9290</v>
      </c>
      <c r="M29" s="9"/>
    </row>
    <row r="30" spans="1:13">
      <c r="A30" s="12" t="s">
        <v>150</v>
      </c>
      <c r="B30" s="11" t="s">
        <v>227</v>
      </c>
      <c r="C30" s="11" t="s">
        <v>228</v>
      </c>
      <c r="D30" s="11" t="s">
        <v>229</v>
      </c>
      <c r="E30" s="11" t="s">
        <v>416</v>
      </c>
      <c r="F30" s="11" t="s">
        <v>167</v>
      </c>
      <c r="G30" s="16" t="s">
        <v>86</v>
      </c>
      <c r="H30" s="16" t="s">
        <v>92</v>
      </c>
      <c r="I30" s="16" t="s">
        <v>79</v>
      </c>
      <c r="J30" s="12"/>
      <c r="K30" s="24" t="str">
        <f>"140,0"</f>
        <v>140,0</v>
      </c>
      <c r="L30" s="12" t="str">
        <f>"88,2140"</f>
        <v>88,2140</v>
      </c>
      <c r="M30" s="11" t="s">
        <v>407</v>
      </c>
    </row>
    <row r="31" spans="1:13">
      <c r="B31" s="5" t="s">
        <v>53</v>
      </c>
    </row>
    <row r="32" spans="1:13" ht="16">
      <c r="A32" s="36" t="s">
        <v>179</v>
      </c>
      <c r="B32" s="36"/>
      <c r="C32" s="37"/>
      <c r="D32" s="37"/>
      <c r="E32" s="37"/>
      <c r="F32" s="37"/>
      <c r="G32" s="37"/>
      <c r="H32" s="37"/>
      <c r="I32" s="37"/>
      <c r="J32" s="37"/>
    </row>
    <row r="33" spans="1:13">
      <c r="A33" s="8" t="s">
        <v>54</v>
      </c>
      <c r="B33" s="7" t="s">
        <v>230</v>
      </c>
      <c r="C33" s="7" t="s">
        <v>231</v>
      </c>
      <c r="D33" s="7" t="s">
        <v>232</v>
      </c>
      <c r="E33" s="7" t="s">
        <v>416</v>
      </c>
      <c r="F33" s="7" t="s">
        <v>233</v>
      </c>
      <c r="G33" s="14" t="s">
        <v>29</v>
      </c>
      <c r="H33" s="14" t="s">
        <v>29</v>
      </c>
      <c r="I33" s="14" t="s">
        <v>29</v>
      </c>
      <c r="J33" s="8"/>
      <c r="K33" s="26">
        <v>0</v>
      </c>
      <c r="L33" s="8" t="str">
        <f>"0,0000"</f>
        <v>0,0000</v>
      </c>
      <c r="M33" s="7" t="s">
        <v>410</v>
      </c>
    </row>
    <row r="34" spans="1:13">
      <c r="B34" s="5" t="s">
        <v>53</v>
      </c>
    </row>
    <row r="35" spans="1:13">
      <c r="B35" s="5" t="s">
        <v>53</v>
      </c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2:J32"/>
    <mergeCell ref="B3:B4"/>
    <mergeCell ref="A8:J8"/>
    <mergeCell ref="A12:J12"/>
    <mergeCell ref="A16:J16"/>
    <mergeCell ref="A19:J19"/>
    <mergeCell ref="A23:J23"/>
    <mergeCell ref="A28:J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16"/>
  <dimension ref="A1:M20"/>
  <sheetViews>
    <sheetView workbookViewId="0">
      <selection activeCell="E20" sqref="E20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8.8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5" style="5" bestFit="1" customWidth="1"/>
    <col min="14" max="16384" width="9.1640625" style="3"/>
  </cols>
  <sheetData>
    <row r="1" spans="1:13" s="2" customFormat="1" ht="29" customHeight="1">
      <c r="A1" s="48" t="s">
        <v>377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/>
      <c r="B3" s="38" t="s">
        <v>0</v>
      </c>
      <c r="C3" s="58" t="s">
        <v>413</v>
      </c>
      <c r="D3" s="58" t="s">
        <v>6</v>
      </c>
      <c r="E3" s="42" t="s">
        <v>414</v>
      </c>
      <c r="F3" s="42" t="s">
        <v>5</v>
      </c>
      <c r="G3" s="42" t="s">
        <v>8</v>
      </c>
      <c r="H3" s="42"/>
      <c r="I3" s="42"/>
      <c r="J3" s="42"/>
      <c r="K3" s="42" t="s">
        <v>189</v>
      </c>
      <c r="L3" s="42" t="s">
        <v>3</v>
      </c>
      <c r="M3" s="44" t="s">
        <v>2</v>
      </c>
    </row>
    <row r="4" spans="1:13" s="1" customFormat="1" ht="21" customHeight="1" thickBot="1">
      <c r="A4" s="57"/>
      <c r="B4" s="39"/>
      <c r="C4" s="43"/>
      <c r="D4" s="43"/>
      <c r="E4" s="43"/>
      <c r="F4" s="43"/>
      <c r="G4" s="4">
        <v>1</v>
      </c>
      <c r="H4" s="4">
        <v>2</v>
      </c>
      <c r="I4" s="4">
        <v>3</v>
      </c>
      <c r="J4" s="4" t="s">
        <v>4</v>
      </c>
      <c r="K4" s="43"/>
      <c r="L4" s="43"/>
      <c r="M4" s="45"/>
    </row>
    <row r="5" spans="1:13" ht="16">
      <c r="A5" s="46" t="s">
        <v>96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8" t="s">
        <v>52</v>
      </c>
      <c r="B6" s="7" t="s">
        <v>162</v>
      </c>
      <c r="C6" s="7" t="s">
        <v>359</v>
      </c>
      <c r="D6" s="7" t="s">
        <v>163</v>
      </c>
      <c r="E6" s="7" t="s">
        <v>420</v>
      </c>
      <c r="F6" s="7" t="s">
        <v>167</v>
      </c>
      <c r="G6" s="13" t="s">
        <v>38</v>
      </c>
      <c r="H6" s="14" t="s">
        <v>27</v>
      </c>
      <c r="I6" s="14" t="s">
        <v>88</v>
      </c>
      <c r="J6" s="8"/>
      <c r="K6" s="8" t="str">
        <f>"145,0"</f>
        <v>145,0</v>
      </c>
      <c r="L6" s="8" t="str">
        <f>"126,3783"</f>
        <v>126,3783</v>
      </c>
      <c r="M6" s="7"/>
    </row>
    <row r="7" spans="1:13">
      <c r="B7" s="5" t="s">
        <v>53</v>
      </c>
    </row>
    <row r="8" spans="1:13" ht="16">
      <c r="A8" s="36" t="s">
        <v>22</v>
      </c>
      <c r="B8" s="36"/>
      <c r="C8" s="37"/>
      <c r="D8" s="37"/>
      <c r="E8" s="37"/>
      <c r="F8" s="37"/>
      <c r="G8" s="37"/>
      <c r="H8" s="37"/>
      <c r="I8" s="37"/>
      <c r="J8" s="37"/>
    </row>
    <row r="9" spans="1:13">
      <c r="A9" s="8" t="s">
        <v>52</v>
      </c>
      <c r="B9" s="7" t="s">
        <v>164</v>
      </c>
      <c r="C9" s="7" t="s">
        <v>165</v>
      </c>
      <c r="D9" s="7" t="s">
        <v>166</v>
      </c>
      <c r="E9" s="7" t="s">
        <v>416</v>
      </c>
      <c r="F9" s="7" t="s">
        <v>167</v>
      </c>
      <c r="G9" s="13" t="s">
        <v>80</v>
      </c>
      <c r="H9" s="13" t="s">
        <v>110</v>
      </c>
      <c r="I9" s="14" t="s">
        <v>125</v>
      </c>
      <c r="J9" s="8"/>
      <c r="K9" s="8" t="str">
        <f>"147,5"</f>
        <v>147,5</v>
      </c>
      <c r="L9" s="8" t="str">
        <f>"97,0402"</f>
        <v>97,0402</v>
      </c>
      <c r="M9" s="7" t="s">
        <v>403</v>
      </c>
    </row>
    <row r="10" spans="1:13">
      <c r="B10" s="5" t="s">
        <v>53</v>
      </c>
    </row>
    <row r="11" spans="1:13" ht="16">
      <c r="A11" s="36" t="s">
        <v>41</v>
      </c>
      <c r="B11" s="36"/>
      <c r="C11" s="37"/>
      <c r="D11" s="37"/>
      <c r="E11" s="37"/>
      <c r="F11" s="37"/>
      <c r="G11" s="37"/>
      <c r="H11" s="37"/>
      <c r="I11" s="37"/>
      <c r="J11" s="37"/>
    </row>
    <row r="12" spans="1:13">
      <c r="A12" s="10" t="s">
        <v>52</v>
      </c>
      <c r="B12" s="9" t="s">
        <v>168</v>
      </c>
      <c r="C12" s="9" t="s">
        <v>169</v>
      </c>
      <c r="D12" s="9" t="s">
        <v>170</v>
      </c>
      <c r="E12" s="9" t="s">
        <v>416</v>
      </c>
      <c r="F12" s="9" t="s">
        <v>167</v>
      </c>
      <c r="G12" s="15" t="s">
        <v>171</v>
      </c>
      <c r="H12" s="15" t="s">
        <v>172</v>
      </c>
      <c r="I12" s="20" t="s">
        <v>173</v>
      </c>
      <c r="J12" s="10"/>
      <c r="K12" s="10" t="str">
        <f>"272,5"</f>
        <v>272,5</v>
      </c>
      <c r="L12" s="10" t="str">
        <f>"170,0673"</f>
        <v>170,0673</v>
      </c>
      <c r="M12" s="9" t="s">
        <v>404</v>
      </c>
    </row>
    <row r="13" spans="1:13">
      <c r="A13" s="12" t="s">
        <v>150</v>
      </c>
      <c r="B13" s="11" t="s">
        <v>174</v>
      </c>
      <c r="C13" s="11" t="s">
        <v>175</v>
      </c>
      <c r="D13" s="11" t="s">
        <v>176</v>
      </c>
      <c r="E13" s="11" t="s">
        <v>416</v>
      </c>
      <c r="F13" s="11" t="s">
        <v>177</v>
      </c>
      <c r="G13" s="16" t="s">
        <v>178</v>
      </c>
      <c r="H13" s="17" t="s">
        <v>143</v>
      </c>
      <c r="I13" s="17" t="s">
        <v>143</v>
      </c>
      <c r="J13" s="12"/>
      <c r="K13" s="12" t="str">
        <f>"172,5"</f>
        <v>172,5</v>
      </c>
      <c r="L13" s="12" t="str">
        <f>"105,9840"</f>
        <v>105,9840</v>
      </c>
      <c r="M13" s="11"/>
    </row>
    <row r="14" spans="1:13">
      <c r="B14" s="5" t="s">
        <v>53</v>
      </c>
    </row>
    <row r="15" spans="1:13" ht="16">
      <c r="A15" s="36" t="s">
        <v>179</v>
      </c>
      <c r="B15" s="36"/>
      <c r="C15" s="37"/>
      <c r="D15" s="37"/>
      <c r="E15" s="37"/>
      <c r="F15" s="37"/>
      <c r="G15" s="37"/>
      <c r="H15" s="37"/>
      <c r="I15" s="37"/>
      <c r="J15" s="37"/>
    </row>
    <row r="16" spans="1:13">
      <c r="A16" s="8" t="s">
        <v>52</v>
      </c>
      <c r="B16" s="7" t="s">
        <v>180</v>
      </c>
      <c r="C16" s="7" t="s">
        <v>181</v>
      </c>
      <c r="D16" s="7" t="s">
        <v>182</v>
      </c>
      <c r="E16" s="7" t="s">
        <v>416</v>
      </c>
      <c r="F16" s="7" t="s">
        <v>183</v>
      </c>
      <c r="G16" s="13" t="s">
        <v>106</v>
      </c>
      <c r="H16" s="13" t="s">
        <v>137</v>
      </c>
      <c r="I16" s="14" t="s">
        <v>14</v>
      </c>
      <c r="J16" s="8"/>
      <c r="K16" s="8" t="str">
        <f>"192,5"</f>
        <v>192,5</v>
      </c>
      <c r="L16" s="8" t="str">
        <f>"114,6145"</f>
        <v>114,6145</v>
      </c>
      <c r="M16" s="7"/>
    </row>
    <row r="17" spans="1:13">
      <c r="B17" s="5" t="s">
        <v>53</v>
      </c>
    </row>
    <row r="18" spans="1:13" ht="16">
      <c r="A18" s="36" t="s">
        <v>144</v>
      </c>
      <c r="B18" s="36"/>
      <c r="C18" s="37"/>
      <c r="D18" s="37"/>
      <c r="E18" s="37"/>
      <c r="F18" s="37"/>
      <c r="G18" s="37"/>
      <c r="H18" s="37"/>
      <c r="I18" s="37"/>
      <c r="J18" s="37"/>
    </row>
    <row r="19" spans="1:13">
      <c r="A19" s="8" t="s">
        <v>52</v>
      </c>
      <c r="B19" s="7" t="s">
        <v>184</v>
      </c>
      <c r="C19" s="7" t="s">
        <v>360</v>
      </c>
      <c r="D19" s="7" t="s">
        <v>185</v>
      </c>
      <c r="E19" s="7" t="s">
        <v>415</v>
      </c>
      <c r="F19" s="7" t="s">
        <v>186</v>
      </c>
      <c r="G19" s="13" t="s">
        <v>36</v>
      </c>
      <c r="H19" s="14" t="s">
        <v>187</v>
      </c>
      <c r="I19" s="13" t="s">
        <v>188</v>
      </c>
      <c r="J19" s="8"/>
      <c r="K19" s="8" t="str">
        <f>"202,5"</f>
        <v>202,5</v>
      </c>
      <c r="L19" s="8" t="str">
        <f>"132,8617"</f>
        <v>132,8617</v>
      </c>
      <c r="M19" s="7" t="s">
        <v>405</v>
      </c>
    </row>
    <row r="20" spans="1:13">
      <c r="B20" s="5" t="s">
        <v>53</v>
      </c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5:J15"/>
    <mergeCell ref="A18:J18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IPL ПЛ без экипировки ДК</vt:lpstr>
      <vt:lpstr>IPL ПЛ без экипировки</vt:lpstr>
      <vt:lpstr>IPL ПЛ в бинтах ДК</vt:lpstr>
      <vt:lpstr>IPL Двоеборье без экип ДК</vt:lpstr>
      <vt:lpstr>IPL Двоеборье без экип</vt:lpstr>
      <vt:lpstr>IPL Присед без экипировки ДК</vt:lpstr>
      <vt:lpstr>IPL Присед без экипировки</vt:lpstr>
      <vt:lpstr>IPL Жим без экипировки ДК</vt:lpstr>
      <vt:lpstr>IPL Жим без экипировки</vt:lpstr>
      <vt:lpstr>IPL Жим однослой ДК</vt:lpstr>
      <vt:lpstr>IPL Тяга без экипировки ДК</vt:lpstr>
      <vt:lpstr>IPL Тяга без экипировки</vt:lpstr>
      <vt:lpstr>СПР Пауэрспорт ДК</vt:lpstr>
      <vt:lpstr>СПР Жим стоя ДК</vt:lpstr>
      <vt:lpstr>СПР Подъем на бицепс ДК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2021-06-10T10:28:02Z</dcterms:modified>
</cp:coreProperties>
</file>