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Сентябрь/"/>
    </mc:Choice>
  </mc:AlternateContent>
  <xr:revisionPtr revIDLastSave="0" documentId="13_ncr:1_{BAE63C47-A1CB-8F4A-BD18-83E8F70A2A6B}" xr6:coauthVersionLast="45" xr6:coauthVersionMax="45" xr10:uidLastSave="{00000000-0000-0000-0000-000000000000}"/>
  <bookViews>
    <workbookView xWindow="480" yWindow="460" windowWidth="28020" windowHeight="16020" tabRatio="876" xr2:uid="{00000000-000D-0000-FFFF-FFFF00000000}"/>
  </bookViews>
  <sheets>
    <sheet name="WRPF ПЛ без экипировки ДК" sheetId="13" r:id="rId1"/>
    <sheet name="WRPF ПЛ без экипировки" sheetId="12" r:id="rId2"/>
    <sheet name="WRPF ПЛ в бинтах ДК" sheetId="11" r:id="rId3"/>
    <sheet name="WRPF ПЛ в бинтах" sheetId="10" r:id="rId4"/>
    <sheet name="WRPF Двоеборье без экип ДК" sheetId="23" r:id="rId5"/>
    <sheet name="WRPF Двоеборье без экип" sheetId="22" r:id="rId6"/>
    <sheet name="WRPF Жим лежа без экип ДК" sheetId="16" r:id="rId7"/>
    <sheet name="WRPF Жим лежа без экип" sheetId="15" r:id="rId8"/>
    <sheet name="WEPF Жим софт однопетельная ДК" sheetId="17" r:id="rId9"/>
    <sheet name="WEPF Жим софт однопетельная" sheetId="14" r:id="rId10"/>
    <sheet name="WEPF Жим софт многопетельнаяДК" sheetId="19" r:id="rId11"/>
    <sheet name="WEPF Жим софт многопетельная" sheetId="18" r:id="rId12"/>
    <sheet name="WRPF Тяга без экипировки ДК" sheetId="21" r:id="rId13"/>
    <sheet name="WRPF Тяга без экипировки" sheetId="20" r:id="rId14"/>
    <sheet name="WRPF Подъем на бицепс" sheetId="28" r:id="rId15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28" l="1"/>
  <c r="L9" i="28"/>
  <c r="M6" i="28"/>
  <c r="L6" i="28"/>
  <c r="Q26" i="23"/>
  <c r="P26" i="23"/>
  <c r="Q23" i="23"/>
  <c r="P23" i="23"/>
  <c r="Q20" i="23"/>
  <c r="P20" i="23"/>
  <c r="Q19" i="23"/>
  <c r="P19" i="23"/>
  <c r="Q16" i="23"/>
  <c r="P16" i="23"/>
  <c r="Q13" i="23"/>
  <c r="P13" i="23"/>
  <c r="Q12" i="23"/>
  <c r="P12" i="23"/>
  <c r="Q9" i="23"/>
  <c r="P9" i="23"/>
  <c r="Q6" i="23"/>
  <c r="P6" i="23"/>
  <c r="Q18" i="22"/>
  <c r="P18" i="22"/>
  <c r="Q15" i="22"/>
  <c r="P15" i="22"/>
  <c r="Q12" i="22"/>
  <c r="P12" i="22"/>
  <c r="Q9" i="22"/>
  <c r="P9" i="22"/>
  <c r="Q6" i="22"/>
  <c r="P6" i="22"/>
  <c r="M35" i="21"/>
  <c r="L35" i="21"/>
  <c r="M32" i="21"/>
  <c r="L32" i="21"/>
  <c r="M29" i="21"/>
  <c r="L29" i="21"/>
  <c r="M28" i="21"/>
  <c r="L28" i="21"/>
  <c r="M27" i="21"/>
  <c r="L27" i="21"/>
  <c r="M24" i="21"/>
  <c r="L24" i="21"/>
  <c r="M21" i="21"/>
  <c r="L21" i="21"/>
  <c r="M20" i="21"/>
  <c r="L20" i="21"/>
  <c r="M19" i="21"/>
  <c r="L19" i="21"/>
  <c r="M18" i="21"/>
  <c r="L18" i="21"/>
  <c r="M15" i="21"/>
  <c r="L15" i="21"/>
  <c r="M12" i="21"/>
  <c r="L12" i="21"/>
  <c r="M11" i="21"/>
  <c r="L11" i="21"/>
  <c r="M10" i="21"/>
  <c r="L10" i="21"/>
  <c r="M7" i="21"/>
  <c r="L7" i="21"/>
  <c r="M6" i="21"/>
  <c r="L6" i="21"/>
  <c r="M21" i="20"/>
  <c r="L21" i="20"/>
  <c r="M20" i="20"/>
  <c r="L20" i="20"/>
  <c r="M19" i="20"/>
  <c r="L19" i="20"/>
  <c r="M16" i="20"/>
  <c r="L16" i="20"/>
  <c r="M15" i="20"/>
  <c r="L15" i="20"/>
  <c r="M12" i="20"/>
  <c r="L12" i="20"/>
  <c r="M9" i="20"/>
  <c r="L9" i="20"/>
  <c r="M6" i="20"/>
  <c r="L6" i="20"/>
  <c r="M10" i="19"/>
  <c r="L10" i="19"/>
  <c r="M9" i="19"/>
  <c r="L9" i="19"/>
  <c r="M6" i="19"/>
  <c r="L6" i="19"/>
  <c r="M7" i="18"/>
  <c r="L7" i="18"/>
  <c r="M6" i="18"/>
  <c r="L6" i="18"/>
  <c r="M14" i="17"/>
  <c r="L14" i="17"/>
  <c r="M11" i="17"/>
  <c r="L11" i="17"/>
  <c r="M10" i="17"/>
  <c r="L10" i="17"/>
  <c r="M7" i="17"/>
  <c r="L7" i="17"/>
  <c r="M6" i="17"/>
  <c r="L6" i="17"/>
  <c r="M55" i="16"/>
  <c r="L55" i="16"/>
  <c r="M52" i="16"/>
  <c r="L52" i="16"/>
  <c r="M51" i="16"/>
  <c r="L51" i="16"/>
  <c r="M48" i="16"/>
  <c r="L48" i="16"/>
  <c r="M47" i="16"/>
  <c r="L47" i="16"/>
  <c r="M46" i="16"/>
  <c r="L46" i="16"/>
  <c r="M43" i="16"/>
  <c r="L43" i="16"/>
  <c r="M42" i="16"/>
  <c r="L42" i="16"/>
  <c r="M41" i="16"/>
  <c r="L41" i="16"/>
  <c r="M40" i="16"/>
  <c r="L40" i="16"/>
  <c r="M37" i="16"/>
  <c r="L37" i="16"/>
  <c r="M36" i="16"/>
  <c r="L36" i="16"/>
  <c r="M35" i="16"/>
  <c r="L35" i="16"/>
  <c r="M34" i="16"/>
  <c r="L34" i="16"/>
  <c r="M31" i="16"/>
  <c r="L31" i="16"/>
  <c r="M30" i="16"/>
  <c r="L30" i="16"/>
  <c r="M29" i="16"/>
  <c r="L29" i="16"/>
  <c r="M28" i="16"/>
  <c r="L28" i="16"/>
  <c r="M27" i="16"/>
  <c r="L27" i="16"/>
  <c r="M26" i="16"/>
  <c r="L26" i="16"/>
  <c r="M23" i="16"/>
  <c r="L23" i="16"/>
  <c r="M22" i="16"/>
  <c r="L22" i="16"/>
  <c r="M21" i="16"/>
  <c r="L21" i="16"/>
  <c r="M18" i="16"/>
  <c r="L18" i="16"/>
  <c r="M15" i="16"/>
  <c r="L15" i="16"/>
  <c r="M14" i="16"/>
  <c r="L14" i="16"/>
  <c r="M11" i="16"/>
  <c r="L11" i="16"/>
  <c r="M10" i="16"/>
  <c r="L10" i="16"/>
  <c r="M7" i="16"/>
  <c r="L7" i="16"/>
  <c r="M6" i="16"/>
  <c r="L6" i="16"/>
  <c r="M22" i="15"/>
  <c r="L22" i="15"/>
  <c r="M21" i="15"/>
  <c r="L21" i="15"/>
  <c r="M20" i="15"/>
  <c r="L20" i="15"/>
  <c r="M17" i="15"/>
  <c r="L17" i="15"/>
  <c r="M14" i="15"/>
  <c r="L14" i="15"/>
  <c r="M13" i="15"/>
  <c r="L13" i="15"/>
  <c r="M10" i="15"/>
  <c r="L10" i="15"/>
  <c r="M7" i="15"/>
  <c r="L7" i="15"/>
  <c r="M6" i="15"/>
  <c r="L6" i="15"/>
  <c r="M7" i="14"/>
  <c r="L7" i="14"/>
  <c r="M6" i="14"/>
  <c r="L6" i="14"/>
  <c r="U46" i="13"/>
  <c r="T46" i="13"/>
  <c r="U43" i="13"/>
  <c r="T43" i="13"/>
  <c r="U40" i="13"/>
  <c r="T40" i="13"/>
  <c r="U39" i="13"/>
  <c r="T39" i="13"/>
  <c r="U36" i="13"/>
  <c r="T36" i="13"/>
  <c r="U35" i="13"/>
  <c r="T35" i="13"/>
  <c r="U32" i="13"/>
  <c r="T32" i="13"/>
  <c r="U31" i="13"/>
  <c r="T31" i="13"/>
  <c r="U28" i="13"/>
  <c r="T28" i="13"/>
  <c r="U25" i="13"/>
  <c r="T25" i="13"/>
  <c r="U24" i="13"/>
  <c r="T24" i="13"/>
  <c r="U23" i="13"/>
  <c r="T23" i="13"/>
  <c r="U20" i="13"/>
  <c r="T20" i="13"/>
  <c r="U17" i="13"/>
  <c r="U16" i="13"/>
  <c r="T16" i="13"/>
  <c r="U15" i="13"/>
  <c r="T15" i="13"/>
  <c r="U12" i="13"/>
  <c r="T12" i="13"/>
  <c r="U9" i="13"/>
  <c r="T9" i="13"/>
  <c r="U6" i="13"/>
  <c r="T6" i="13"/>
  <c r="U29" i="12"/>
  <c r="T29" i="12"/>
  <c r="U26" i="12"/>
  <c r="T26" i="12"/>
  <c r="U25" i="12"/>
  <c r="T25" i="12"/>
  <c r="U22" i="12"/>
  <c r="T22" i="12"/>
  <c r="U21" i="12"/>
  <c r="T21" i="12"/>
  <c r="U18" i="12"/>
  <c r="T18" i="12"/>
  <c r="U15" i="12"/>
  <c r="T15" i="12"/>
  <c r="U12" i="12"/>
  <c r="T12" i="12"/>
  <c r="U9" i="12"/>
  <c r="T9" i="12"/>
  <c r="U6" i="12"/>
  <c r="T6" i="12"/>
  <c r="U15" i="11"/>
  <c r="T15" i="11"/>
  <c r="U12" i="11"/>
  <c r="T12" i="11"/>
  <c r="U9" i="11"/>
  <c r="T9" i="11"/>
  <c r="U6" i="11"/>
  <c r="T6" i="11"/>
  <c r="U13" i="10"/>
  <c r="T13" i="10"/>
  <c r="U12" i="10"/>
  <c r="T12" i="10"/>
  <c r="U9" i="10"/>
  <c r="T9" i="10"/>
  <c r="U6" i="10"/>
  <c r="T6" i="10"/>
</calcChain>
</file>

<file path=xl/sharedStrings.xml><?xml version="1.0" encoding="utf-8"?>
<sst xmlns="http://schemas.openxmlformats.org/spreadsheetml/2006/main" count="2214" uniqueCount="482">
  <si>
    <t>ФИО</t>
  </si>
  <si>
    <t>Сумма</t>
  </si>
  <si>
    <t>Тренер</t>
  </si>
  <si>
    <t>Очки</t>
  </si>
  <si>
    <t>Команда</t>
  </si>
  <si>
    <t>Рек</t>
  </si>
  <si>
    <t>Город/Область</t>
  </si>
  <si>
    <t>Собственный 
вес</t>
  </si>
  <si>
    <t xml:space="preserve">Абсолютный зачёт </t>
  </si>
  <si>
    <t>Результат</t>
  </si>
  <si>
    <t/>
  </si>
  <si>
    <t>ВЕСОВАЯ КАТЕГОРИЯ   75</t>
  </si>
  <si>
    <t>Мелкумян Виктория</t>
  </si>
  <si>
    <t>Юниорки (05.02.2001)/20</t>
  </si>
  <si>
    <t>67,50</t>
  </si>
  <si>
    <t xml:space="preserve">Ставрополь/Ставропольский край </t>
  </si>
  <si>
    <t>ВЕСОВАЯ КАТЕГОРИЯ   110</t>
  </si>
  <si>
    <t xml:space="preserve">ФИО </t>
  </si>
  <si>
    <t xml:space="preserve">Возрастная группа </t>
  </si>
  <si>
    <t xml:space="preserve">Сумма </t>
  </si>
  <si>
    <t xml:space="preserve">Результат </t>
  </si>
  <si>
    <t>75</t>
  </si>
  <si>
    <t xml:space="preserve">Открытая </t>
  </si>
  <si>
    <t xml:space="preserve">Мужчины </t>
  </si>
  <si>
    <t>110</t>
  </si>
  <si>
    <t>1</t>
  </si>
  <si>
    <t>Приседание</t>
  </si>
  <si>
    <t>Жим лёжа</t>
  </si>
  <si>
    <t>Становая тяга</t>
  </si>
  <si>
    <t>ВЕСОВАЯ КАТЕГОРИЯ   90</t>
  </si>
  <si>
    <t>Асриян Виталий</t>
  </si>
  <si>
    <t>Открытая (26.11.1988)/32</t>
  </si>
  <si>
    <t>89,80</t>
  </si>
  <si>
    <t xml:space="preserve">Ессентуки/Ставропольский край </t>
  </si>
  <si>
    <t>190,0</t>
  </si>
  <si>
    <t>200,0</t>
  </si>
  <si>
    <t>210,0</t>
  </si>
  <si>
    <t>140,0</t>
  </si>
  <si>
    <t>150,0</t>
  </si>
  <si>
    <t>240,0</t>
  </si>
  <si>
    <t>250,0</t>
  </si>
  <si>
    <t>ВЕСОВАЯ КАТЕГОРИЯ   100</t>
  </si>
  <si>
    <t>Мазанаев Керим</t>
  </si>
  <si>
    <t>Открытая (28.02.1982)/39</t>
  </si>
  <si>
    <t>100,00</t>
  </si>
  <si>
    <t>265,0</t>
  </si>
  <si>
    <t>270,0</t>
  </si>
  <si>
    <t>160,0</t>
  </si>
  <si>
    <t>167,5</t>
  </si>
  <si>
    <t>172,5</t>
  </si>
  <si>
    <t>282,5</t>
  </si>
  <si>
    <t>290,0</t>
  </si>
  <si>
    <t xml:space="preserve">Ступников Р. </t>
  </si>
  <si>
    <t>ВЕСОВАЯ КАТЕГОРИЯ   125</t>
  </si>
  <si>
    <t>Алиев Исамудин</t>
  </si>
  <si>
    <t>Открытая (06.08.1978)/43</t>
  </si>
  <si>
    <t>122,00</t>
  </si>
  <si>
    <t xml:space="preserve">Ахмат </t>
  </si>
  <si>
    <t>260,0</t>
  </si>
  <si>
    <t>280,0</t>
  </si>
  <si>
    <t>300,0</t>
  </si>
  <si>
    <t>180,0</t>
  </si>
  <si>
    <t>195,0</t>
  </si>
  <si>
    <t>205,0</t>
  </si>
  <si>
    <t>295,0</t>
  </si>
  <si>
    <t>305,0</t>
  </si>
  <si>
    <t xml:space="preserve">Рамазанов И. </t>
  </si>
  <si>
    <t>Мастера 40-49 (06.08.1978)/43</t>
  </si>
  <si>
    <t xml:space="preserve">Wilks </t>
  </si>
  <si>
    <t>125</t>
  </si>
  <si>
    <t>810,0</t>
  </si>
  <si>
    <t>463,9680</t>
  </si>
  <si>
    <t>100</t>
  </si>
  <si>
    <t>732,5</t>
  </si>
  <si>
    <t>445,7995</t>
  </si>
  <si>
    <t>90</t>
  </si>
  <si>
    <t>610,0</t>
  </si>
  <si>
    <t>389,8510</t>
  </si>
  <si>
    <t>ВЕСОВАЯ КАТЕГОРИЯ   67.5</t>
  </si>
  <si>
    <t>Урдуханов Урдухан</t>
  </si>
  <si>
    <t>Юноши 14-16 (26.07.2005)/16</t>
  </si>
  <si>
    <t>65,80</t>
  </si>
  <si>
    <t xml:space="preserve">Universal </t>
  </si>
  <si>
    <t>80,0</t>
  </si>
  <si>
    <t>95,0</t>
  </si>
  <si>
    <t>105,0</t>
  </si>
  <si>
    <t>55,0</t>
  </si>
  <si>
    <t>65,0</t>
  </si>
  <si>
    <t>75,0</t>
  </si>
  <si>
    <t>120,0</t>
  </si>
  <si>
    <t>130,0</t>
  </si>
  <si>
    <t>145,0</t>
  </si>
  <si>
    <t>Селимсултанов Альви</t>
  </si>
  <si>
    <t>Открытая (18.11.1981)/39</t>
  </si>
  <si>
    <t>90,00</t>
  </si>
  <si>
    <t>152,5</t>
  </si>
  <si>
    <t>222,5</t>
  </si>
  <si>
    <t xml:space="preserve">Алиев И. </t>
  </si>
  <si>
    <t>Дзапаров Руслан</t>
  </si>
  <si>
    <t>Открытая (27.07.1991)/30</t>
  </si>
  <si>
    <t>104,00</t>
  </si>
  <si>
    <t xml:space="preserve">КБР </t>
  </si>
  <si>
    <t>230,0</t>
  </si>
  <si>
    <t xml:space="preserve">Тхамитлоков К. </t>
  </si>
  <si>
    <t>ВЕСОВАЯ КАТЕГОРИЯ   140</t>
  </si>
  <si>
    <t>Тхамитлоков Казбек</t>
  </si>
  <si>
    <t>Открытая (22.03.1985)/36</t>
  </si>
  <si>
    <t>140,00</t>
  </si>
  <si>
    <t xml:space="preserve">Баксан/Кабардино-Балкария </t>
  </si>
  <si>
    <t>275,0</t>
  </si>
  <si>
    <t>277,5</t>
  </si>
  <si>
    <t xml:space="preserve">Юноши </t>
  </si>
  <si>
    <t xml:space="preserve">Юноши 14-16 </t>
  </si>
  <si>
    <t>67.5</t>
  </si>
  <si>
    <t>315,0</t>
  </si>
  <si>
    <t>140</t>
  </si>
  <si>
    <t>ВЕСОВАЯ КАТЕГОРИЯ   56</t>
  </si>
  <si>
    <t>Мовради Марина</t>
  </si>
  <si>
    <t>Мастера 40-49 (18.01.1981)/40</t>
  </si>
  <si>
    <t>56,00</t>
  </si>
  <si>
    <t>125,0</t>
  </si>
  <si>
    <t>132,5</t>
  </si>
  <si>
    <t>57,5</t>
  </si>
  <si>
    <t>62,5</t>
  </si>
  <si>
    <t xml:space="preserve">Тарасов А. </t>
  </si>
  <si>
    <t>Косенко Екатерина</t>
  </si>
  <si>
    <t>Мастера 40-49 (24.02.1978)/43</t>
  </si>
  <si>
    <t>72,70</t>
  </si>
  <si>
    <t xml:space="preserve">100kg </t>
  </si>
  <si>
    <t xml:space="preserve">Армавир/Краснодарский край </t>
  </si>
  <si>
    <t>157,5</t>
  </si>
  <si>
    <t>165,0</t>
  </si>
  <si>
    <t>85,0</t>
  </si>
  <si>
    <t>90,0</t>
  </si>
  <si>
    <t>92,5</t>
  </si>
  <si>
    <t>177,5</t>
  </si>
  <si>
    <t>187,5</t>
  </si>
  <si>
    <t>192,5</t>
  </si>
  <si>
    <t xml:space="preserve">Кашпаров Д. </t>
  </si>
  <si>
    <t>Валиванский Владимир</t>
  </si>
  <si>
    <t>Юноши 17-19 (23.06.2003)/18</t>
  </si>
  <si>
    <t>64,30</t>
  </si>
  <si>
    <t>110,0</t>
  </si>
  <si>
    <t>117,5</t>
  </si>
  <si>
    <t>122,5</t>
  </si>
  <si>
    <t xml:space="preserve">Пойда Р. </t>
  </si>
  <si>
    <t>Аммаев Насрулла</t>
  </si>
  <si>
    <t>Мастера 50-59 (18.05.1964)/57</t>
  </si>
  <si>
    <t>71,50</t>
  </si>
  <si>
    <t xml:space="preserve">Каспийск </t>
  </si>
  <si>
    <t>97,5</t>
  </si>
  <si>
    <t>ВЕСОВАЯ КАТЕГОРИЯ   82.5</t>
  </si>
  <si>
    <t>Хохлов Эдуард</t>
  </si>
  <si>
    <t>Мастера 40-49 (13.09.1972)/48</t>
  </si>
  <si>
    <t>82,00</t>
  </si>
  <si>
    <t>135,0</t>
  </si>
  <si>
    <t>115,0</t>
  </si>
  <si>
    <t>170,0</t>
  </si>
  <si>
    <t>Рамазанов Ислам</t>
  </si>
  <si>
    <t>Открытая (01.05.1991)/30</t>
  </si>
  <si>
    <t>285,0</t>
  </si>
  <si>
    <t>207,5</t>
  </si>
  <si>
    <t>325,0</t>
  </si>
  <si>
    <t xml:space="preserve">Тултаров Ш. </t>
  </si>
  <si>
    <t>Крастилевский Денис</t>
  </si>
  <si>
    <t>Открытая (07.06.1990)/31</t>
  </si>
  <si>
    <t>89,70</t>
  </si>
  <si>
    <t xml:space="preserve">Ск Перец </t>
  </si>
  <si>
    <t>175,0</t>
  </si>
  <si>
    <t>182,5</t>
  </si>
  <si>
    <t>267,5</t>
  </si>
  <si>
    <t>Туманов Андрей</t>
  </si>
  <si>
    <t>Открытая (02.04.1995)/26</t>
  </si>
  <si>
    <t>110,00</t>
  </si>
  <si>
    <t>Коротких Александр</t>
  </si>
  <si>
    <t>Открытая (12.08.1990)/31</t>
  </si>
  <si>
    <t>105,70</t>
  </si>
  <si>
    <t xml:space="preserve">Краснодар/Краснодарский край </t>
  </si>
  <si>
    <t>220,0</t>
  </si>
  <si>
    <t>237,5</t>
  </si>
  <si>
    <t xml:space="preserve">Шалоха А. </t>
  </si>
  <si>
    <t>Казачков Вадим</t>
  </si>
  <si>
    <t>Открытая (26.01.1990)/31</t>
  </si>
  <si>
    <t>116,00</t>
  </si>
  <si>
    <t>310,0</t>
  </si>
  <si>
    <t>442,5</t>
  </si>
  <si>
    <t>56</t>
  </si>
  <si>
    <t>807,5</t>
  </si>
  <si>
    <t>515,5080</t>
  </si>
  <si>
    <t>730,0</t>
  </si>
  <si>
    <t>423,1810</t>
  </si>
  <si>
    <t>717,5</t>
  </si>
  <si>
    <t>422,2488</t>
  </si>
  <si>
    <t>82.5</t>
  </si>
  <si>
    <t>2</t>
  </si>
  <si>
    <t>ВЕСОВАЯ КАТЕГОРИЯ   52</t>
  </si>
  <si>
    <t>Балацкая Ольга</t>
  </si>
  <si>
    <t>Открытая (06.03.1988)/33</t>
  </si>
  <si>
    <t>51,50</t>
  </si>
  <si>
    <t>70,0</t>
  </si>
  <si>
    <t>45,0</t>
  </si>
  <si>
    <t>50,0</t>
  </si>
  <si>
    <t>102,5</t>
  </si>
  <si>
    <t>107,5</t>
  </si>
  <si>
    <t xml:space="preserve">Картинин В. </t>
  </si>
  <si>
    <t>Голуб Виктория</t>
  </si>
  <si>
    <t>Открытая (08.02.1997)/24</t>
  </si>
  <si>
    <t>54,30</t>
  </si>
  <si>
    <t>100,0</t>
  </si>
  <si>
    <t>127,5</t>
  </si>
  <si>
    <t>ВЕСОВАЯ КАТЕГОРИЯ   60</t>
  </si>
  <si>
    <t>Сулейманова Разия</t>
  </si>
  <si>
    <t>Открытая (31.08.1995)/26</t>
  </si>
  <si>
    <t>59,00</t>
  </si>
  <si>
    <t xml:space="preserve">Мирзоев А. </t>
  </si>
  <si>
    <t>47,5</t>
  </si>
  <si>
    <t>52,5</t>
  </si>
  <si>
    <t>Горобец Елена</t>
  </si>
  <si>
    <t>Открытая (10.11.1994)/26</t>
  </si>
  <si>
    <t xml:space="preserve">Минеральные Воды/Ставропольский край </t>
  </si>
  <si>
    <t>185,0</t>
  </si>
  <si>
    <t xml:space="preserve">Мусаев Р. </t>
  </si>
  <si>
    <t>Уголева Елена</t>
  </si>
  <si>
    <t>Мастера 40-49 (07.01.1973)/48</t>
  </si>
  <si>
    <t>63,30</t>
  </si>
  <si>
    <t xml:space="preserve">Кисловодск/Ставропольский край </t>
  </si>
  <si>
    <t>112,5</t>
  </si>
  <si>
    <t xml:space="preserve">Аносенко А. </t>
  </si>
  <si>
    <t>Османов Амир</t>
  </si>
  <si>
    <t>Юноши 14-16 (31.12.2005)/15</t>
  </si>
  <si>
    <t>52,00</t>
  </si>
  <si>
    <t>60,0</t>
  </si>
  <si>
    <t>67,5</t>
  </si>
  <si>
    <t xml:space="preserve">Рамазанов </t>
  </si>
  <si>
    <t>Багов Алим</t>
  </si>
  <si>
    <t>Юноши 14-16 (28.03.2005)/16</t>
  </si>
  <si>
    <t>57,10</t>
  </si>
  <si>
    <t>Цоколов Артём</t>
  </si>
  <si>
    <t>Юноши 14-16 (09.10.2007)/13</t>
  </si>
  <si>
    <t>57,00</t>
  </si>
  <si>
    <t>77,5</t>
  </si>
  <si>
    <t>82,5</t>
  </si>
  <si>
    <t>72,5</t>
  </si>
  <si>
    <t>Лобанов Дмитрий</t>
  </si>
  <si>
    <t>Открытая (15.10.1992)/28</t>
  </si>
  <si>
    <t>58,00</t>
  </si>
  <si>
    <t>87,5</t>
  </si>
  <si>
    <t>137,5</t>
  </si>
  <si>
    <t>Османов Умар</t>
  </si>
  <si>
    <t>Юноши 14-16 (31.07.2006)/15</t>
  </si>
  <si>
    <t>65,30</t>
  </si>
  <si>
    <t>155,0</t>
  </si>
  <si>
    <t>Демин Данил</t>
  </si>
  <si>
    <t>Юноши 17-19 (29.08.2004)/17</t>
  </si>
  <si>
    <t>69,20</t>
  </si>
  <si>
    <t>215,0</t>
  </si>
  <si>
    <t>Тагибеков Асхаб</t>
  </si>
  <si>
    <t>Открытая (03.10.1990)/30</t>
  </si>
  <si>
    <t>75,00</t>
  </si>
  <si>
    <t>142,5</t>
  </si>
  <si>
    <t>Спирин Илья</t>
  </si>
  <si>
    <t>Открытая (03.09.1988)/33</t>
  </si>
  <si>
    <t>78,10</t>
  </si>
  <si>
    <t>Османов Рамиз</t>
  </si>
  <si>
    <t>Мастера 40-49 (15.06.1976)/45</t>
  </si>
  <si>
    <t>82,50</t>
  </si>
  <si>
    <t>Газаев Мухадин</t>
  </si>
  <si>
    <t>Открытая (29.03.1993)/28</t>
  </si>
  <si>
    <t>84,80</t>
  </si>
  <si>
    <t>Османов Алим</t>
  </si>
  <si>
    <t>Мастера 40-49 (07.02.1979)/42</t>
  </si>
  <si>
    <t>88,80</t>
  </si>
  <si>
    <t>Мирзоев Арсен</t>
  </si>
  <si>
    <t>Мастера 40-49 (31.08.1979)/42</t>
  </si>
  <si>
    <t>245,0</t>
  </si>
  <si>
    <t>Галстян Самвел</t>
  </si>
  <si>
    <t>Открытая (05.12.1987)/33</t>
  </si>
  <si>
    <t>120,70</t>
  </si>
  <si>
    <t xml:space="preserve">С/к перец </t>
  </si>
  <si>
    <t xml:space="preserve">Георгиевск/Ставропольский край </t>
  </si>
  <si>
    <t>387,5</t>
  </si>
  <si>
    <t>395,4825</t>
  </si>
  <si>
    <t>349,5660</t>
  </si>
  <si>
    <t>52</t>
  </si>
  <si>
    <t>232,5</t>
  </si>
  <si>
    <t>292,0200</t>
  </si>
  <si>
    <t>567,5</t>
  </si>
  <si>
    <t>404,4005</t>
  </si>
  <si>
    <t>690,0</t>
  </si>
  <si>
    <t>396,1980</t>
  </si>
  <si>
    <t>470,0</t>
  </si>
  <si>
    <t>309,8240</t>
  </si>
  <si>
    <t>-</t>
  </si>
  <si>
    <t>Исрапилов Магомедамин</t>
  </si>
  <si>
    <t>Открытая (03.05.1975)/46</t>
  </si>
  <si>
    <t>105,00</t>
  </si>
  <si>
    <t>Мастера 40-49 (03.05.1975)/46</t>
  </si>
  <si>
    <t>Муртазалиев Лёма</t>
  </si>
  <si>
    <t>Открытая (28.02.1988)/33</t>
  </si>
  <si>
    <t>62,20</t>
  </si>
  <si>
    <t>Плотников Анатолий</t>
  </si>
  <si>
    <t>Открытая (05.09.1983)/38</t>
  </si>
  <si>
    <t>81,90</t>
  </si>
  <si>
    <t>Осередько Виталий</t>
  </si>
  <si>
    <t>Открытая (03.06.1992)/29</t>
  </si>
  <si>
    <t>Арутюнов Тигран</t>
  </si>
  <si>
    <t>Открытая (02.07.1993)/28</t>
  </si>
  <si>
    <t>95,10</t>
  </si>
  <si>
    <t>225,0</t>
  </si>
  <si>
    <t>Саиев Мухтар</t>
  </si>
  <si>
    <t>Открытая (06.05.1991)/30</t>
  </si>
  <si>
    <t>108,50</t>
  </si>
  <si>
    <t>247,5</t>
  </si>
  <si>
    <t>141,8400</t>
  </si>
  <si>
    <t>139,8825</t>
  </si>
  <si>
    <t>119,2400</t>
  </si>
  <si>
    <t>Ухлинова Ольга</t>
  </si>
  <si>
    <t>Мастера 40-49 (25.04.1978)/43</t>
  </si>
  <si>
    <t>54,90</t>
  </si>
  <si>
    <t xml:space="preserve">Пятигорск/Ставропольский край </t>
  </si>
  <si>
    <t>Мещерикова Наталья</t>
  </si>
  <si>
    <t>Открытая (27.09.1986)/34</t>
  </si>
  <si>
    <t>67,10</t>
  </si>
  <si>
    <t>Журтов Ислам</t>
  </si>
  <si>
    <t>Открытая (24.08.1995)/26</t>
  </si>
  <si>
    <t>59,80</t>
  </si>
  <si>
    <t>202,5</t>
  </si>
  <si>
    <t>217,5</t>
  </si>
  <si>
    <t xml:space="preserve">Алоев А. </t>
  </si>
  <si>
    <t>Аксельрод Богдан</t>
  </si>
  <si>
    <t>Юноши 14-16 (13.10.2005)/15</t>
  </si>
  <si>
    <t>74,90</t>
  </si>
  <si>
    <t>Насуханов Шамиль</t>
  </si>
  <si>
    <t>Открытая (28.09.1996)/24</t>
  </si>
  <si>
    <t>Рабаданов Рашид</t>
  </si>
  <si>
    <t>Открытая (11.11.1993)/27</t>
  </si>
  <si>
    <t>74,20</t>
  </si>
  <si>
    <t xml:space="preserve">Даштиев Р. </t>
  </si>
  <si>
    <t>Джаутханов Башир</t>
  </si>
  <si>
    <t>Юниоры (19.08.1999)/22</t>
  </si>
  <si>
    <t xml:space="preserve">Джаутханов Х. </t>
  </si>
  <si>
    <t>Муртазалиев Джапар</t>
  </si>
  <si>
    <t>Открытая (30.07.1980)/41</t>
  </si>
  <si>
    <t>82,40</t>
  </si>
  <si>
    <t xml:space="preserve">Исабеков Р. </t>
  </si>
  <si>
    <t>Джабаев Мовсар</t>
  </si>
  <si>
    <t>Открытая (08.08.1995)/26</t>
  </si>
  <si>
    <t>Алоев Анзор</t>
  </si>
  <si>
    <t>Открытая (10.08.1996)/25</t>
  </si>
  <si>
    <t>235,0</t>
  </si>
  <si>
    <t xml:space="preserve">Касимов Ф. </t>
  </si>
  <si>
    <t>Кадыров Биатли</t>
  </si>
  <si>
    <t>Открытая (04.12.1985)/35</t>
  </si>
  <si>
    <t>Мастера 40-49 (30.07.1980)/41</t>
  </si>
  <si>
    <t>Алисханов Руслан</t>
  </si>
  <si>
    <t>Открытая (19.09.1988)/32</t>
  </si>
  <si>
    <t>Магомедов Курбан</t>
  </si>
  <si>
    <t>Открытая (16.05.1984)/37</t>
  </si>
  <si>
    <t>162,5</t>
  </si>
  <si>
    <t>Малушко Александр</t>
  </si>
  <si>
    <t>Мастера 40-49 (25.09.1979)/41</t>
  </si>
  <si>
    <t>87,60</t>
  </si>
  <si>
    <t>Гаджиахмедов Заур</t>
  </si>
  <si>
    <t>Открытая (18.10.1984)/36</t>
  </si>
  <si>
    <t>95,60</t>
  </si>
  <si>
    <t>Перковский Даниил</t>
  </si>
  <si>
    <t>Открытая (26.03.1996)/25</t>
  </si>
  <si>
    <t>97,50</t>
  </si>
  <si>
    <t xml:space="preserve">Годзоев В. </t>
  </si>
  <si>
    <t>Кумратов Алексей</t>
  </si>
  <si>
    <t>Открытая (21.07.1985)/36</t>
  </si>
  <si>
    <t>94,70</t>
  </si>
  <si>
    <t>Черкасский Сергей</t>
  </si>
  <si>
    <t>Мастера 40-49 (25.11.1973)/47</t>
  </si>
  <si>
    <t>98,20</t>
  </si>
  <si>
    <t xml:space="preserve">Energy армавир </t>
  </si>
  <si>
    <t xml:space="preserve">Сухоруков З. </t>
  </si>
  <si>
    <t>Шепелев Сергей</t>
  </si>
  <si>
    <t>Мастера 40-49 (15.04.1978)/43</t>
  </si>
  <si>
    <t>108,70</t>
  </si>
  <si>
    <t>Цыбульский Александр</t>
  </si>
  <si>
    <t>Открытая (28.06.1989)/32</t>
  </si>
  <si>
    <t>125,00</t>
  </si>
  <si>
    <t xml:space="preserve">Зеленокумск/Ставропольский кра </t>
  </si>
  <si>
    <t xml:space="preserve">Сарычев К. </t>
  </si>
  <si>
    <t>60</t>
  </si>
  <si>
    <t>121,2960</t>
  </si>
  <si>
    <t>117,8570</t>
  </si>
  <si>
    <t>117,3480</t>
  </si>
  <si>
    <t>3</t>
  </si>
  <si>
    <t>Прокопова Елена</t>
  </si>
  <si>
    <t>Открытая (07.03.1966)/55</t>
  </si>
  <si>
    <t>66,10</t>
  </si>
  <si>
    <t xml:space="preserve">Любера </t>
  </si>
  <si>
    <t xml:space="preserve">Москва </t>
  </si>
  <si>
    <t xml:space="preserve">Прокопов М. </t>
  </si>
  <si>
    <t>Мастера 50-59 (07.03.1966)/55</t>
  </si>
  <si>
    <t>227,5</t>
  </si>
  <si>
    <t>176,4940</t>
  </si>
  <si>
    <t>174,7040</t>
  </si>
  <si>
    <t>171,0663</t>
  </si>
  <si>
    <t>Кумыков Дамирлан</t>
  </si>
  <si>
    <t>Юноши 14-16 (11.06.2007)/14</t>
  </si>
  <si>
    <t>55,50</t>
  </si>
  <si>
    <t>Должиков Кирилл</t>
  </si>
  <si>
    <t>Юноши 14-16 (06.02.2007)/14</t>
  </si>
  <si>
    <t>58,30</t>
  </si>
  <si>
    <t>Кипов Рамазан</t>
  </si>
  <si>
    <t>Юноши 14-16 (09.09.2009)/11</t>
  </si>
  <si>
    <t>67,00</t>
  </si>
  <si>
    <t>Тхакумачев Хажмухамед</t>
  </si>
  <si>
    <t>Юноши 14-16 (18.01.2007)/14</t>
  </si>
  <si>
    <t>78,70</t>
  </si>
  <si>
    <t>Машезов Кантемир</t>
  </si>
  <si>
    <t>Юноши 14-16 (09.10.2006)/14</t>
  </si>
  <si>
    <t>78,50</t>
  </si>
  <si>
    <t>102,9135</t>
  </si>
  <si>
    <t>101,0240</t>
  </si>
  <si>
    <t>89,6870</t>
  </si>
  <si>
    <t>282,9788</t>
  </si>
  <si>
    <t>462,5</t>
  </si>
  <si>
    <t>281,4775</t>
  </si>
  <si>
    <t>465,0</t>
  </si>
  <si>
    <t>277,2330</t>
  </si>
  <si>
    <t>Кунашев Эдуард</t>
  </si>
  <si>
    <t>Открытая (11.07.1985)/36</t>
  </si>
  <si>
    <t>105,80</t>
  </si>
  <si>
    <t>Калентьев А.</t>
  </si>
  <si>
    <t xml:space="preserve">Лично </t>
  </si>
  <si>
    <t>Юниверсал</t>
  </si>
  <si>
    <t xml:space="preserve">С/к Перец </t>
  </si>
  <si>
    <t xml:space="preserve">Карагашев П. </t>
  </si>
  <si>
    <t xml:space="preserve"> Юниверсал </t>
  </si>
  <si>
    <t>Ступников Р.</t>
  </si>
  <si>
    <t>Веригин В.</t>
  </si>
  <si>
    <t>Шеин В.</t>
  </si>
  <si>
    <t>Даштиев Р.</t>
  </si>
  <si>
    <t>Рамазанов И.</t>
  </si>
  <si>
    <t>Национальный Кубок
WRPF Строгий подъем штанги на бицепс
Ставрополь/Ставропольский край, 4-5 сентября 2021 года</t>
  </si>
  <si>
    <t>Национальный Кубок
WRPF любители Силовое двоеборье без экипировки ДК
Ставрополь/Ставропольский край, 4-5 сентября 2021 года</t>
  </si>
  <si>
    <t>Национальный Кубок
WRPF любители Силовое двоеборье без экипировки
Ставрополь/Ставропольский край, 4-5 сентября 2021 года</t>
  </si>
  <si>
    <t>Национальный Кубок
WRPF любители Становая тяга без экипировки ДК
Ставрополь/Ставропольский край, 4-5 сентября 2021 года</t>
  </si>
  <si>
    <t>Национальный Кубок
WRPF любители Становая тяга без экипировки
Ставрополь/Ставропольский край, 4-5 сентября 2021 года</t>
  </si>
  <si>
    <t>Национальный Кубок
WEPF Жим лежа в многопетельной софт экипировке ДК
Ставрополь/Ставропольский край, 4-5 сентября 2021 года</t>
  </si>
  <si>
    <t>Национальный Кубок
WEPF Жим лежа в многопетельной софт экипировке
Ставрополь/Ставропольский край, 4-5 сентября 2021 года</t>
  </si>
  <si>
    <t>Национальный Кубок
WEPF Жим лежа в однопетельной софт экипировке ДК
Ставрополь/Ставропольский край, 4-5 сентября 2021 года</t>
  </si>
  <si>
    <t>Национальный Кубок
WRPF любители Жим лежа без экипировки ДК
Ставрополь/Ставропольский край, 4-5 сентября 2021 года</t>
  </si>
  <si>
    <t>Национальный Кубок
WRPF любители Жим лежа без экипировки
Ставрополь/Ставропольский край, 4-5 сентября 2021 года</t>
  </si>
  <si>
    <t>Национальный Кубок
WEPF Жим лежа в однопетельной софт экипировке
Ставрополь/Ставропольский край, 4-5 сентября 2021 года</t>
  </si>
  <si>
    <t>Национальный Кубок
WRPF любители Пауэрлифтинг без экипировки ДК
Ставрополь/Ставропольский край, 4-5 сентября 2021 года</t>
  </si>
  <si>
    <t>Национальный Кубок
WRPF любители Пауэрлифтинг без экипировки
Ставрополь/Ставропольский край, 4-5 сентября 2021 года</t>
  </si>
  <si>
    <t>Национальный Кубок
WRPF любители Пауэрлифтинг классический в бинтах ДК
Ставрополь/Ставропольский край, 4-5 сентября 2021 года</t>
  </si>
  <si>
    <t>Национальный Кубок
WRPF любители Пауэрлифтинг классический в бинтах
Ставрополь/Ставропольский край, 4-5 сентября 2021 года</t>
  </si>
  <si>
    <t xml:space="preserve">Грозный/Республика Чечня </t>
  </si>
  <si>
    <t xml:space="preserve">Моздок/Северная Осетия-Алания </t>
  </si>
  <si>
    <t xml:space="preserve">Владикавказ/Северная Осетия-Алания   </t>
  </si>
  <si>
    <t>Весовая категория</t>
  </si>
  <si>
    <t xml:space="preserve">Нальчик/Республика Кабардино-Балкария </t>
  </si>
  <si>
    <t xml:space="preserve">Нальчик/Республика Кабардино-Балкария   </t>
  </si>
  <si>
    <t xml:space="preserve">Гудермес/Республика Чечня     </t>
  </si>
  <si>
    <t xml:space="preserve">Гудермес/Республика Чечня   </t>
  </si>
  <si>
    <t xml:space="preserve">Каспийск/Республика Дагестан </t>
  </si>
  <si>
    <t xml:space="preserve">Махачкала/Республика Дагестан </t>
  </si>
  <si>
    <t xml:space="preserve">Дербент/Республика Дагестан </t>
  </si>
  <si>
    <t xml:space="preserve">Назрань/Республика Ингушетия </t>
  </si>
  <si>
    <t xml:space="preserve">Баксан/Республика Кабардино-Балкария   </t>
  </si>
  <si>
    <t xml:space="preserve">Моздок/Республика Северная Осетия-Алания </t>
  </si>
  <si>
    <t>Минеральные Воды/Ставропольский край</t>
  </si>
  <si>
    <t xml:space="preserve">Волгоград/Волгоградская область </t>
  </si>
  <si>
    <t>Железноводск/Ставропольский край</t>
  </si>
  <si>
    <t>Женщины</t>
  </si>
  <si>
    <t xml:space="preserve">Баксан/Республика Кабардино-Балкария </t>
  </si>
  <si>
    <t>№</t>
  </si>
  <si>
    <t>Жим</t>
  </si>
  <si>
    <t xml:space="preserve">
Дата рождения/Возраст</t>
  </si>
  <si>
    <t>Возрастная группа</t>
  </si>
  <si>
    <t>O</t>
  </si>
  <si>
    <t>M1</t>
  </si>
  <si>
    <t>J</t>
  </si>
  <si>
    <t>T1</t>
  </si>
  <si>
    <t>M2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</si>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</sst>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63"/>
  <sheetViews>
    <sheetView tabSelected="1" zoomScaleNormal="100" workbookViewId="0">
      <selection activeCell="D16" sqref="D16"/>
    </sheetView>
  </sheetViews>
  <sheetFormatPr baseColWidth="10" defaultColWidth="9.1640625" defaultRowHeight="13"/>
  <cols>
    <col min="1" max="1" width="7.1640625" style="5" bestFit="1" customWidth="1"/>
    <col min="2" max="2" width="18.1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2.6640625" style="5" bestFit="1" customWidth="1"/>
    <col min="7" max="7" width="38.1640625" style="5" bestFit="1" customWidth="1"/>
    <col min="8" max="10" width="5.33203125" style="6" customWidth="1"/>
    <col min="11" max="11" width="4.6640625" style="6" customWidth="1"/>
    <col min="12" max="14" width="5.33203125" style="6" customWidth="1"/>
    <col min="15" max="15" width="4.6640625" style="6" customWidth="1"/>
    <col min="16" max="18" width="5.33203125" style="6" customWidth="1"/>
    <col min="19" max="19" width="4.6640625" style="6" customWidth="1"/>
    <col min="20" max="20" width="7.6640625" style="33" bestFit="1" customWidth="1"/>
    <col min="21" max="21" width="8.33203125" style="6" bestFit="1" customWidth="1"/>
    <col min="22" max="22" width="17.1640625" style="5" bestFit="1" customWidth="1"/>
    <col min="23" max="16384" width="9.1640625" style="3"/>
  </cols>
  <sheetData>
    <row r="1" spans="1:22" s="2" customFormat="1" ht="29" customHeight="1">
      <c r="A1" s="55" t="s">
        <v>449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2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</row>
    <row r="3" spans="1:22" s="1" customFormat="1" ht="12.75" customHeight="1">
      <c r="A3" s="63" t="s">
        <v>472</v>
      </c>
      <c r="B3" s="53" t="s">
        <v>0</v>
      </c>
      <c r="C3" s="65" t="s">
        <v>474</v>
      </c>
      <c r="D3" s="65" t="s">
        <v>7</v>
      </c>
      <c r="E3" s="47" t="s">
        <v>475</v>
      </c>
      <c r="F3" s="47" t="s">
        <v>4</v>
      </c>
      <c r="G3" s="47" t="s">
        <v>6</v>
      </c>
      <c r="H3" s="47" t="s">
        <v>26</v>
      </c>
      <c r="I3" s="47"/>
      <c r="J3" s="47"/>
      <c r="K3" s="47"/>
      <c r="L3" s="47" t="s">
        <v>27</v>
      </c>
      <c r="M3" s="47"/>
      <c r="N3" s="47"/>
      <c r="O3" s="47"/>
      <c r="P3" s="47" t="s">
        <v>28</v>
      </c>
      <c r="Q3" s="47"/>
      <c r="R3" s="47"/>
      <c r="S3" s="47"/>
      <c r="T3" s="45" t="s">
        <v>1</v>
      </c>
      <c r="U3" s="47" t="s">
        <v>3</v>
      </c>
      <c r="V3" s="49" t="s">
        <v>2</v>
      </c>
    </row>
    <row r="4" spans="1:22" s="1" customFormat="1" ht="21" customHeight="1" thickBot="1">
      <c r="A4" s="64"/>
      <c r="B4" s="54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46"/>
      <c r="U4" s="48"/>
      <c r="V4" s="50"/>
    </row>
    <row r="5" spans="1:22" ht="16">
      <c r="A5" s="51" t="s">
        <v>195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22">
      <c r="A6" s="10" t="s">
        <v>25</v>
      </c>
      <c r="B6" s="9" t="s">
        <v>196</v>
      </c>
      <c r="C6" s="9" t="s">
        <v>197</v>
      </c>
      <c r="D6" s="9" t="s">
        <v>198</v>
      </c>
      <c r="E6" s="9" t="s">
        <v>476</v>
      </c>
      <c r="F6" s="9" t="s">
        <v>428</v>
      </c>
      <c r="G6" s="9" t="s">
        <v>15</v>
      </c>
      <c r="H6" s="20" t="s">
        <v>199</v>
      </c>
      <c r="I6" s="19" t="s">
        <v>88</v>
      </c>
      <c r="J6" s="19" t="s">
        <v>83</v>
      </c>
      <c r="K6" s="10"/>
      <c r="L6" s="19" t="s">
        <v>200</v>
      </c>
      <c r="M6" s="20" t="s">
        <v>201</v>
      </c>
      <c r="N6" s="20" t="s">
        <v>201</v>
      </c>
      <c r="O6" s="10"/>
      <c r="P6" s="19" t="s">
        <v>84</v>
      </c>
      <c r="Q6" s="19" t="s">
        <v>202</v>
      </c>
      <c r="R6" s="19" t="s">
        <v>203</v>
      </c>
      <c r="S6" s="10"/>
      <c r="T6" s="30" t="str">
        <f>"232,5"</f>
        <v>232,5</v>
      </c>
      <c r="U6" s="10" t="str">
        <f>"292,0200"</f>
        <v>292,0200</v>
      </c>
      <c r="V6" s="9" t="s">
        <v>204</v>
      </c>
    </row>
    <row r="7" spans="1:22">
      <c r="B7" s="5" t="s">
        <v>10</v>
      </c>
    </row>
    <row r="8" spans="1:22" ht="16">
      <c r="A8" s="43" t="s">
        <v>116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2">
      <c r="A9" s="10" t="s">
        <v>25</v>
      </c>
      <c r="B9" s="9" t="s">
        <v>205</v>
      </c>
      <c r="C9" s="9" t="s">
        <v>206</v>
      </c>
      <c r="D9" s="9" t="s">
        <v>207</v>
      </c>
      <c r="E9" s="9" t="s">
        <v>476</v>
      </c>
      <c r="F9" s="9" t="s">
        <v>428</v>
      </c>
      <c r="G9" s="9" t="s">
        <v>177</v>
      </c>
      <c r="H9" s="19" t="s">
        <v>208</v>
      </c>
      <c r="I9" s="19" t="s">
        <v>85</v>
      </c>
      <c r="J9" s="20" t="s">
        <v>142</v>
      </c>
      <c r="K9" s="10"/>
      <c r="L9" s="19" t="s">
        <v>201</v>
      </c>
      <c r="M9" s="20" t="s">
        <v>86</v>
      </c>
      <c r="N9" s="19" t="s">
        <v>86</v>
      </c>
      <c r="O9" s="10"/>
      <c r="P9" s="19" t="s">
        <v>120</v>
      </c>
      <c r="Q9" s="19" t="s">
        <v>209</v>
      </c>
      <c r="R9" s="19" t="s">
        <v>90</v>
      </c>
      <c r="S9" s="10"/>
      <c r="T9" s="30" t="str">
        <f>"290,0"</f>
        <v>290,0</v>
      </c>
      <c r="U9" s="10" t="str">
        <f>"349,5660"</f>
        <v>349,5660</v>
      </c>
      <c r="V9" s="9"/>
    </row>
    <row r="10" spans="1:22">
      <c r="B10" s="5" t="s">
        <v>10</v>
      </c>
    </row>
    <row r="11" spans="1:22" ht="16">
      <c r="A11" s="43" t="s">
        <v>210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22">
      <c r="A12" s="10" t="s">
        <v>25</v>
      </c>
      <c r="B12" s="9" t="s">
        <v>211</v>
      </c>
      <c r="C12" s="9" t="s">
        <v>212</v>
      </c>
      <c r="D12" s="9" t="s">
        <v>213</v>
      </c>
      <c r="E12" s="9" t="s">
        <v>476</v>
      </c>
      <c r="F12" s="9" t="s">
        <v>82</v>
      </c>
      <c r="G12" s="9" t="s">
        <v>462</v>
      </c>
      <c r="H12" s="20" t="s">
        <v>133</v>
      </c>
      <c r="I12" s="19" t="s">
        <v>133</v>
      </c>
      <c r="J12" s="19" t="s">
        <v>84</v>
      </c>
      <c r="K12" s="10"/>
      <c r="L12" s="20" t="s">
        <v>200</v>
      </c>
      <c r="M12" s="19" t="s">
        <v>200</v>
      </c>
      <c r="N12" s="20" t="s">
        <v>201</v>
      </c>
      <c r="O12" s="10"/>
      <c r="P12" s="20" t="s">
        <v>133</v>
      </c>
      <c r="Q12" s="19" t="s">
        <v>133</v>
      </c>
      <c r="R12" s="19" t="s">
        <v>208</v>
      </c>
      <c r="S12" s="10"/>
      <c r="T12" s="30" t="str">
        <f>"240,0"</f>
        <v>240,0</v>
      </c>
      <c r="U12" s="10" t="str">
        <f>"271,0800"</f>
        <v>271,0800</v>
      </c>
      <c r="V12" s="9" t="s">
        <v>214</v>
      </c>
    </row>
    <row r="13" spans="1:22">
      <c r="B13" s="5" t="s">
        <v>10</v>
      </c>
    </row>
    <row r="14" spans="1:22" ht="16">
      <c r="A14" s="43" t="s">
        <v>78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22">
      <c r="A15" s="12" t="s">
        <v>25</v>
      </c>
      <c r="B15" s="11" t="s">
        <v>12</v>
      </c>
      <c r="C15" s="11" t="s">
        <v>13</v>
      </c>
      <c r="D15" s="11" t="s">
        <v>14</v>
      </c>
      <c r="E15" s="11" t="s">
        <v>478</v>
      </c>
      <c r="F15" s="11" t="s">
        <v>428</v>
      </c>
      <c r="G15" s="11" t="s">
        <v>15</v>
      </c>
      <c r="H15" s="21" t="s">
        <v>133</v>
      </c>
      <c r="I15" s="23" t="s">
        <v>208</v>
      </c>
      <c r="J15" s="23" t="s">
        <v>85</v>
      </c>
      <c r="K15" s="12"/>
      <c r="L15" s="21" t="s">
        <v>215</v>
      </c>
      <c r="M15" s="23" t="s">
        <v>216</v>
      </c>
      <c r="N15" s="23" t="s">
        <v>216</v>
      </c>
      <c r="O15" s="12"/>
      <c r="P15" s="21" t="s">
        <v>89</v>
      </c>
      <c r="Q15" s="21" t="s">
        <v>90</v>
      </c>
      <c r="R15" s="23" t="s">
        <v>37</v>
      </c>
      <c r="S15" s="12"/>
      <c r="T15" s="31" t="str">
        <f>"267,5"</f>
        <v>267,5</v>
      </c>
      <c r="U15" s="12" t="str">
        <f>"273,0105"</f>
        <v>273,0105</v>
      </c>
      <c r="V15" s="11"/>
    </row>
    <row r="16" spans="1:22">
      <c r="A16" s="26" t="s">
        <v>25</v>
      </c>
      <c r="B16" s="25" t="s">
        <v>217</v>
      </c>
      <c r="C16" s="25" t="s">
        <v>218</v>
      </c>
      <c r="D16" s="25" t="s">
        <v>14</v>
      </c>
      <c r="E16" s="25" t="s">
        <v>476</v>
      </c>
      <c r="F16" s="25" t="s">
        <v>428</v>
      </c>
      <c r="G16" s="25" t="s">
        <v>219</v>
      </c>
      <c r="H16" s="27" t="s">
        <v>89</v>
      </c>
      <c r="I16" s="28" t="s">
        <v>120</v>
      </c>
      <c r="J16" s="28" t="s">
        <v>120</v>
      </c>
      <c r="K16" s="26"/>
      <c r="L16" s="27" t="s">
        <v>88</v>
      </c>
      <c r="M16" s="28" t="s">
        <v>83</v>
      </c>
      <c r="N16" s="28" t="s">
        <v>83</v>
      </c>
      <c r="O16" s="26"/>
      <c r="P16" s="27" t="s">
        <v>220</v>
      </c>
      <c r="Q16" s="27" t="s">
        <v>34</v>
      </c>
      <c r="R16" s="27" t="s">
        <v>137</v>
      </c>
      <c r="S16" s="26"/>
      <c r="T16" s="34" t="str">
        <f>"387,5"</f>
        <v>387,5</v>
      </c>
      <c r="U16" s="26" t="str">
        <f>"395,4825"</f>
        <v>395,4825</v>
      </c>
      <c r="V16" s="25" t="s">
        <v>221</v>
      </c>
    </row>
    <row r="17" spans="1:22">
      <c r="A17" s="14" t="s">
        <v>292</v>
      </c>
      <c r="B17" s="13" t="s">
        <v>222</v>
      </c>
      <c r="C17" s="13" t="s">
        <v>223</v>
      </c>
      <c r="D17" s="13" t="s">
        <v>224</v>
      </c>
      <c r="E17" s="13" t="s">
        <v>477</v>
      </c>
      <c r="F17" s="13" t="s">
        <v>128</v>
      </c>
      <c r="G17" s="13" t="s">
        <v>225</v>
      </c>
      <c r="H17" s="24" t="s">
        <v>83</v>
      </c>
      <c r="I17" s="24" t="s">
        <v>83</v>
      </c>
      <c r="J17" s="24" t="s">
        <v>83</v>
      </c>
      <c r="K17" s="14"/>
      <c r="L17" s="24"/>
      <c r="M17" s="14"/>
      <c r="N17" s="14"/>
      <c r="O17" s="14"/>
      <c r="P17" s="14"/>
      <c r="Q17" s="14"/>
      <c r="R17" s="14"/>
      <c r="S17" s="14"/>
      <c r="T17" s="32">
        <v>0</v>
      </c>
      <c r="U17" s="14" t="str">
        <f>"0,0000"</f>
        <v>0,0000</v>
      </c>
      <c r="V17" s="13" t="s">
        <v>227</v>
      </c>
    </row>
    <row r="18" spans="1:22">
      <c r="B18" s="5" t="s">
        <v>10</v>
      </c>
    </row>
    <row r="19" spans="1:22" ht="16">
      <c r="A19" s="43" t="s">
        <v>195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22">
      <c r="A20" s="10" t="s">
        <v>25</v>
      </c>
      <c r="B20" s="9" t="s">
        <v>228</v>
      </c>
      <c r="C20" s="9" t="s">
        <v>229</v>
      </c>
      <c r="D20" s="9" t="s">
        <v>230</v>
      </c>
      <c r="E20" s="9" t="s">
        <v>479</v>
      </c>
      <c r="F20" s="9" t="s">
        <v>82</v>
      </c>
      <c r="G20" s="9" t="s">
        <v>463</v>
      </c>
      <c r="H20" s="19" t="s">
        <v>83</v>
      </c>
      <c r="I20" s="19" t="s">
        <v>84</v>
      </c>
      <c r="J20" s="19" t="s">
        <v>208</v>
      </c>
      <c r="K20" s="10"/>
      <c r="L20" s="19" t="s">
        <v>201</v>
      </c>
      <c r="M20" s="19" t="s">
        <v>231</v>
      </c>
      <c r="N20" s="20" t="s">
        <v>232</v>
      </c>
      <c r="O20" s="10"/>
      <c r="P20" s="19" t="s">
        <v>142</v>
      </c>
      <c r="Q20" s="19" t="s">
        <v>120</v>
      </c>
      <c r="R20" s="19" t="s">
        <v>155</v>
      </c>
      <c r="S20" s="10"/>
      <c r="T20" s="30" t="str">
        <f>"295,0"</f>
        <v>295,0</v>
      </c>
      <c r="U20" s="10" t="str">
        <f>"289,4835"</f>
        <v>289,4835</v>
      </c>
      <c r="V20" s="9" t="s">
        <v>233</v>
      </c>
    </row>
    <row r="21" spans="1:22">
      <c r="B21" s="5" t="s">
        <v>10</v>
      </c>
    </row>
    <row r="22" spans="1:22" ht="16">
      <c r="A22" s="43" t="s">
        <v>210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22">
      <c r="A23" s="12" t="s">
        <v>25</v>
      </c>
      <c r="B23" s="11" t="s">
        <v>234</v>
      </c>
      <c r="C23" s="11" t="s">
        <v>235</v>
      </c>
      <c r="D23" s="11" t="s">
        <v>236</v>
      </c>
      <c r="E23" s="11" t="s">
        <v>479</v>
      </c>
      <c r="F23" s="11" t="s">
        <v>101</v>
      </c>
      <c r="G23" s="11" t="s">
        <v>471</v>
      </c>
      <c r="H23" s="21" t="s">
        <v>208</v>
      </c>
      <c r="I23" s="21" t="s">
        <v>85</v>
      </c>
      <c r="J23" s="23" t="s">
        <v>203</v>
      </c>
      <c r="K23" s="12"/>
      <c r="L23" s="21" t="s">
        <v>86</v>
      </c>
      <c r="M23" s="21" t="s">
        <v>123</v>
      </c>
      <c r="N23" s="21" t="s">
        <v>87</v>
      </c>
      <c r="O23" s="12"/>
      <c r="P23" s="21" t="s">
        <v>90</v>
      </c>
      <c r="Q23" s="21" t="s">
        <v>37</v>
      </c>
      <c r="R23" s="21" t="s">
        <v>38</v>
      </c>
      <c r="S23" s="12"/>
      <c r="T23" s="31" t="str">
        <f>"320,0"</f>
        <v>320,0</v>
      </c>
      <c r="U23" s="12" t="str">
        <f>"285,8880"</f>
        <v>285,8880</v>
      </c>
      <c r="V23" s="11" t="s">
        <v>103</v>
      </c>
    </row>
    <row r="24" spans="1:22">
      <c r="A24" s="26" t="s">
        <v>194</v>
      </c>
      <c r="B24" s="25" t="s">
        <v>237</v>
      </c>
      <c r="C24" s="25" t="s">
        <v>238</v>
      </c>
      <c r="D24" s="25" t="s">
        <v>239</v>
      </c>
      <c r="E24" s="25" t="s">
        <v>479</v>
      </c>
      <c r="F24" s="25" t="s">
        <v>167</v>
      </c>
      <c r="G24" s="25" t="s">
        <v>15</v>
      </c>
      <c r="H24" s="27" t="s">
        <v>199</v>
      </c>
      <c r="I24" s="27" t="s">
        <v>240</v>
      </c>
      <c r="J24" s="28" t="s">
        <v>241</v>
      </c>
      <c r="K24" s="26"/>
      <c r="L24" s="27" t="s">
        <v>232</v>
      </c>
      <c r="M24" s="27" t="s">
        <v>242</v>
      </c>
      <c r="N24" s="28" t="s">
        <v>88</v>
      </c>
      <c r="O24" s="26"/>
      <c r="P24" s="27" t="s">
        <v>85</v>
      </c>
      <c r="Q24" s="27" t="s">
        <v>156</v>
      </c>
      <c r="R24" s="28" t="s">
        <v>89</v>
      </c>
      <c r="S24" s="26"/>
      <c r="T24" s="34" t="str">
        <f>"265,0"</f>
        <v>265,0</v>
      </c>
      <c r="U24" s="26" t="str">
        <f>"237,1485"</f>
        <v>237,1485</v>
      </c>
      <c r="V24" s="25" t="s">
        <v>52</v>
      </c>
    </row>
    <row r="25" spans="1:22">
      <c r="A25" s="14" t="s">
        <v>25</v>
      </c>
      <c r="B25" s="13" t="s">
        <v>243</v>
      </c>
      <c r="C25" s="13" t="s">
        <v>244</v>
      </c>
      <c r="D25" s="13" t="s">
        <v>245</v>
      </c>
      <c r="E25" s="13" t="s">
        <v>476</v>
      </c>
      <c r="F25" s="13" t="s">
        <v>128</v>
      </c>
      <c r="G25" s="13" t="s">
        <v>225</v>
      </c>
      <c r="H25" s="22" t="s">
        <v>83</v>
      </c>
      <c r="I25" s="22" t="s">
        <v>246</v>
      </c>
      <c r="J25" s="22" t="s">
        <v>150</v>
      </c>
      <c r="K25" s="14"/>
      <c r="L25" s="22" t="s">
        <v>86</v>
      </c>
      <c r="M25" s="24" t="s">
        <v>231</v>
      </c>
      <c r="N25" s="24" t="s">
        <v>231</v>
      </c>
      <c r="O25" s="14"/>
      <c r="P25" s="22" t="s">
        <v>89</v>
      </c>
      <c r="Q25" s="22" t="s">
        <v>90</v>
      </c>
      <c r="R25" s="22" t="s">
        <v>247</v>
      </c>
      <c r="S25" s="14"/>
      <c r="T25" s="32" t="str">
        <f>"290,0"</f>
        <v>290,0</v>
      </c>
      <c r="U25" s="14" t="str">
        <f>"255,2580"</f>
        <v>255,2580</v>
      </c>
      <c r="V25" s="13" t="s">
        <v>227</v>
      </c>
    </row>
    <row r="26" spans="1:22">
      <c r="B26" s="5" t="s">
        <v>10</v>
      </c>
    </row>
    <row r="27" spans="1:22" ht="16">
      <c r="A27" s="43" t="s">
        <v>78</v>
      </c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22">
      <c r="A28" s="10" t="s">
        <v>25</v>
      </c>
      <c r="B28" s="9" t="s">
        <v>248</v>
      </c>
      <c r="C28" s="9" t="s">
        <v>249</v>
      </c>
      <c r="D28" s="9" t="s">
        <v>250</v>
      </c>
      <c r="E28" s="9" t="s">
        <v>479</v>
      </c>
      <c r="F28" s="9" t="s">
        <v>82</v>
      </c>
      <c r="G28" s="9" t="s">
        <v>463</v>
      </c>
      <c r="H28" s="20" t="s">
        <v>142</v>
      </c>
      <c r="I28" s="19" t="s">
        <v>143</v>
      </c>
      <c r="J28" s="19" t="s">
        <v>90</v>
      </c>
      <c r="K28" s="10"/>
      <c r="L28" s="19" t="s">
        <v>199</v>
      </c>
      <c r="M28" s="19" t="s">
        <v>240</v>
      </c>
      <c r="N28" s="19" t="s">
        <v>241</v>
      </c>
      <c r="O28" s="10"/>
      <c r="P28" s="19" t="s">
        <v>90</v>
      </c>
      <c r="Q28" s="19" t="s">
        <v>91</v>
      </c>
      <c r="R28" s="19" t="s">
        <v>251</v>
      </c>
      <c r="S28" s="10"/>
      <c r="T28" s="30" t="str">
        <f>"367,5"</f>
        <v>367,5</v>
      </c>
      <c r="U28" s="10" t="str">
        <f>"291,1335"</f>
        <v>291,1335</v>
      </c>
      <c r="V28" s="9" t="s">
        <v>66</v>
      </c>
    </row>
    <row r="29" spans="1:22">
      <c r="B29" s="5" t="s">
        <v>10</v>
      </c>
    </row>
    <row r="30" spans="1:22" ht="16">
      <c r="A30" s="43" t="s">
        <v>11</v>
      </c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22">
      <c r="A31" s="12" t="s">
        <v>25</v>
      </c>
      <c r="B31" s="11" t="s">
        <v>252</v>
      </c>
      <c r="C31" s="11" t="s">
        <v>253</v>
      </c>
      <c r="D31" s="11" t="s">
        <v>254</v>
      </c>
      <c r="E31" s="11" t="s">
        <v>481</v>
      </c>
      <c r="F31" s="11" t="s">
        <v>101</v>
      </c>
      <c r="G31" s="11" t="s">
        <v>471</v>
      </c>
      <c r="H31" s="21" t="s">
        <v>91</v>
      </c>
      <c r="I31" s="21" t="s">
        <v>47</v>
      </c>
      <c r="J31" s="21" t="s">
        <v>157</v>
      </c>
      <c r="K31" s="12"/>
      <c r="L31" s="21" t="s">
        <v>142</v>
      </c>
      <c r="M31" s="23" t="s">
        <v>89</v>
      </c>
      <c r="N31" s="23" t="s">
        <v>89</v>
      </c>
      <c r="O31" s="12"/>
      <c r="P31" s="21" t="s">
        <v>34</v>
      </c>
      <c r="Q31" s="21" t="s">
        <v>63</v>
      </c>
      <c r="R31" s="21" t="s">
        <v>255</v>
      </c>
      <c r="S31" s="12"/>
      <c r="T31" s="31" t="str">
        <f>"495,0"</f>
        <v>495,0</v>
      </c>
      <c r="U31" s="12" t="str">
        <f>"374,2695"</f>
        <v>374,2695</v>
      </c>
      <c r="V31" s="11" t="s">
        <v>103</v>
      </c>
    </row>
    <row r="32" spans="1:22">
      <c r="A32" s="14" t="s">
        <v>25</v>
      </c>
      <c r="B32" s="13" t="s">
        <v>256</v>
      </c>
      <c r="C32" s="13" t="s">
        <v>257</v>
      </c>
      <c r="D32" s="13" t="s">
        <v>258</v>
      </c>
      <c r="E32" s="13" t="s">
        <v>476</v>
      </c>
      <c r="F32" s="13" t="s">
        <v>82</v>
      </c>
      <c r="G32" s="13" t="s">
        <v>463</v>
      </c>
      <c r="H32" s="22" t="s">
        <v>61</v>
      </c>
      <c r="I32" s="22" t="s">
        <v>62</v>
      </c>
      <c r="J32" s="24" t="s">
        <v>63</v>
      </c>
      <c r="K32" s="14"/>
      <c r="L32" s="22" t="s">
        <v>90</v>
      </c>
      <c r="M32" s="22" t="s">
        <v>247</v>
      </c>
      <c r="N32" s="22" t="s">
        <v>259</v>
      </c>
      <c r="O32" s="14"/>
      <c r="P32" s="22" t="s">
        <v>34</v>
      </c>
      <c r="Q32" s="22" t="s">
        <v>63</v>
      </c>
      <c r="R32" s="22" t="s">
        <v>102</v>
      </c>
      <c r="S32" s="14"/>
      <c r="T32" s="32" t="str">
        <f>"567,5"</f>
        <v>567,5</v>
      </c>
      <c r="U32" s="14" t="str">
        <f>"404,4005"</f>
        <v>404,4005</v>
      </c>
      <c r="V32" s="13" t="s">
        <v>66</v>
      </c>
    </row>
    <row r="33" spans="1:22">
      <c r="B33" s="5" t="s">
        <v>10</v>
      </c>
    </row>
    <row r="34" spans="1:22" ht="16">
      <c r="A34" s="43" t="s">
        <v>151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22">
      <c r="A35" s="12" t="s">
        <v>25</v>
      </c>
      <c r="B35" s="11" t="s">
        <v>260</v>
      </c>
      <c r="C35" s="11" t="s">
        <v>261</v>
      </c>
      <c r="D35" s="11" t="s">
        <v>262</v>
      </c>
      <c r="E35" s="11" t="s">
        <v>476</v>
      </c>
      <c r="F35" s="11" t="s">
        <v>428</v>
      </c>
      <c r="G35" s="11" t="s">
        <v>15</v>
      </c>
      <c r="H35" s="21" t="s">
        <v>120</v>
      </c>
      <c r="I35" s="21" t="s">
        <v>90</v>
      </c>
      <c r="J35" s="21" t="s">
        <v>155</v>
      </c>
      <c r="K35" s="12"/>
      <c r="L35" s="21" t="s">
        <v>133</v>
      </c>
      <c r="M35" s="21" t="s">
        <v>84</v>
      </c>
      <c r="N35" s="21" t="s">
        <v>208</v>
      </c>
      <c r="O35" s="12"/>
      <c r="P35" s="21" t="s">
        <v>91</v>
      </c>
      <c r="Q35" s="21" t="s">
        <v>251</v>
      </c>
      <c r="R35" s="21" t="s">
        <v>47</v>
      </c>
      <c r="S35" s="12"/>
      <c r="T35" s="31" t="str">
        <f>"395,0"</f>
        <v>395,0</v>
      </c>
      <c r="U35" s="12" t="str">
        <f>"273,8535"</f>
        <v>273,8535</v>
      </c>
      <c r="V35" s="11" t="s">
        <v>435</v>
      </c>
    </row>
    <row r="36" spans="1:22">
      <c r="A36" s="14" t="s">
        <v>25</v>
      </c>
      <c r="B36" s="13" t="s">
        <v>263</v>
      </c>
      <c r="C36" s="13" t="s">
        <v>264</v>
      </c>
      <c r="D36" s="13" t="s">
        <v>265</v>
      </c>
      <c r="E36" s="13" t="s">
        <v>477</v>
      </c>
      <c r="F36" s="13" t="s">
        <v>82</v>
      </c>
      <c r="G36" s="13" t="s">
        <v>463</v>
      </c>
      <c r="H36" s="24" t="s">
        <v>61</v>
      </c>
      <c r="I36" s="22" t="s">
        <v>61</v>
      </c>
      <c r="J36" s="24" t="s">
        <v>34</v>
      </c>
      <c r="K36" s="14"/>
      <c r="L36" s="22" t="s">
        <v>90</v>
      </c>
      <c r="M36" s="24" t="s">
        <v>37</v>
      </c>
      <c r="N36" s="22" t="s">
        <v>37</v>
      </c>
      <c r="O36" s="14"/>
      <c r="P36" s="22" t="s">
        <v>34</v>
      </c>
      <c r="Q36" s="22" t="s">
        <v>63</v>
      </c>
      <c r="R36" s="22" t="s">
        <v>255</v>
      </c>
      <c r="S36" s="14"/>
      <c r="T36" s="32" t="str">
        <f>"535,0"</f>
        <v>535,0</v>
      </c>
      <c r="U36" s="14" t="str">
        <f>"379,9003"</f>
        <v>379,9003</v>
      </c>
      <c r="V36" s="13"/>
    </row>
    <row r="37" spans="1:22">
      <c r="B37" s="5" t="s">
        <v>10</v>
      </c>
    </row>
    <row r="38" spans="1:22" ht="16">
      <c r="A38" s="43" t="s">
        <v>29</v>
      </c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22">
      <c r="A39" s="12" t="s">
        <v>25</v>
      </c>
      <c r="B39" s="11" t="s">
        <v>266</v>
      </c>
      <c r="C39" s="11" t="s">
        <v>267</v>
      </c>
      <c r="D39" s="11" t="s">
        <v>268</v>
      </c>
      <c r="E39" s="11" t="s">
        <v>476</v>
      </c>
      <c r="F39" s="11" t="s">
        <v>128</v>
      </c>
      <c r="G39" s="11" t="s">
        <v>225</v>
      </c>
      <c r="H39" s="21" t="s">
        <v>47</v>
      </c>
      <c r="I39" s="21" t="s">
        <v>48</v>
      </c>
      <c r="J39" s="23" t="s">
        <v>49</v>
      </c>
      <c r="K39" s="12"/>
      <c r="L39" s="21" t="s">
        <v>209</v>
      </c>
      <c r="M39" s="21" t="s">
        <v>121</v>
      </c>
      <c r="N39" s="23" t="s">
        <v>155</v>
      </c>
      <c r="O39" s="12"/>
      <c r="P39" s="21" t="s">
        <v>157</v>
      </c>
      <c r="Q39" s="23" t="s">
        <v>61</v>
      </c>
      <c r="R39" s="23" t="s">
        <v>61</v>
      </c>
      <c r="S39" s="12"/>
      <c r="T39" s="31" t="str">
        <f>"470,0"</f>
        <v>470,0</v>
      </c>
      <c r="U39" s="12" t="str">
        <f>"309,8240"</f>
        <v>309,8240</v>
      </c>
      <c r="V39" s="11" t="s">
        <v>227</v>
      </c>
    </row>
    <row r="40" spans="1:22">
      <c r="A40" s="14" t="s">
        <v>25</v>
      </c>
      <c r="B40" s="13" t="s">
        <v>269</v>
      </c>
      <c r="C40" s="13" t="s">
        <v>270</v>
      </c>
      <c r="D40" s="13" t="s">
        <v>271</v>
      </c>
      <c r="E40" s="13" t="s">
        <v>477</v>
      </c>
      <c r="F40" s="13" t="s">
        <v>82</v>
      </c>
      <c r="G40" s="13" t="s">
        <v>463</v>
      </c>
      <c r="H40" s="22" t="s">
        <v>61</v>
      </c>
      <c r="I40" s="22" t="s">
        <v>34</v>
      </c>
      <c r="J40" s="24" t="s">
        <v>35</v>
      </c>
      <c r="K40" s="14"/>
      <c r="L40" s="22" t="s">
        <v>120</v>
      </c>
      <c r="M40" s="22" t="s">
        <v>155</v>
      </c>
      <c r="N40" s="24" t="s">
        <v>247</v>
      </c>
      <c r="O40" s="14"/>
      <c r="P40" s="22" t="s">
        <v>35</v>
      </c>
      <c r="Q40" s="22" t="s">
        <v>36</v>
      </c>
      <c r="R40" s="22" t="s">
        <v>96</v>
      </c>
      <c r="S40" s="14"/>
      <c r="T40" s="32" t="str">
        <f>"547,5"</f>
        <v>547,5</v>
      </c>
      <c r="U40" s="14" t="str">
        <f>"356,8600"</f>
        <v>356,8600</v>
      </c>
      <c r="V40" s="13" t="s">
        <v>66</v>
      </c>
    </row>
    <row r="41" spans="1:22">
      <c r="B41" s="5" t="s">
        <v>10</v>
      </c>
    </row>
    <row r="42" spans="1:22" ht="16">
      <c r="A42" s="43" t="s">
        <v>41</v>
      </c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22">
      <c r="A43" s="10" t="s">
        <v>25</v>
      </c>
      <c r="B43" s="9" t="s">
        <v>272</v>
      </c>
      <c r="C43" s="9" t="s">
        <v>273</v>
      </c>
      <c r="D43" s="9" t="s">
        <v>44</v>
      </c>
      <c r="E43" s="9" t="s">
        <v>477</v>
      </c>
      <c r="F43" s="9" t="s">
        <v>82</v>
      </c>
      <c r="G43" s="9" t="s">
        <v>463</v>
      </c>
      <c r="H43" s="19" t="s">
        <v>34</v>
      </c>
      <c r="I43" s="19" t="s">
        <v>63</v>
      </c>
      <c r="J43" s="19" t="s">
        <v>178</v>
      </c>
      <c r="K43" s="10"/>
      <c r="L43" s="19" t="s">
        <v>251</v>
      </c>
      <c r="M43" s="19" t="s">
        <v>48</v>
      </c>
      <c r="N43" s="19" t="s">
        <v>168</v>
      </c>
      <c r="O43" s="10"/>
      <c r="P43" s="19" t="s">
        <v>36</v>
      </c>
      <c r="Q43" s="19" t="s">
        <v>102</v>
      </c>
      <c r="R43" s="19" t="s">
        <v>274</v>
      </c>
      <c r="S43" s="10"/>
      <c r="T43" s="30" t="str">
        <f>"640,0"</f>
        <v>640,0</v>
      </c>
      <c r="U43" s="10" t="str">
        <f>"394,9571"</f>
        <v>394,9571</v>
      </c>
      <c r="V43" s="9" t="s">
        <v>66</v>
      </c>
    </row>
    <row r="44" spans="1:22">
      <c r="B44" s="5" t="s">
        <v>10</v>
      </c>
    </row>
    <row r="45" spans="1:22" ht="16">
      <c r="A45" s="43" t="s">
        <v>53</v>
      </c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22">
      <c r="A46" s="10" t="s">
        <v>25</v>
      </c>
      <c r="B46" s="9" t="s">
        <v>275</v>
      </c>
      <c r="C46" s="9" t="s">
        <v>276</v>
      </c>
      <c r="D46" s="9" t="s">
        <v>277</v>
      </c>
      <c r="E46" s="9" t="s">
        <v>476</v>
      </c>
      <c r="F46" s="9" t="s">
        <v>278</v>
      </c>
      <c r="G46" s="9" t="s">
        <v>279</v>
      </c>
      <c r="H46" s="19" t="s">
        <v>34</v>
      </c>
      <c r="I46" s="19" t="s">
        <v>63</v>
      </c>
      <c r="J46" s="19" t="s">
        <v>178</v>
      </c>
      <c r="K46" s="10"/>
      <c r="L46" s="19" t="s">
        <v>157</v>
      </c>
      <c r="M46" s="19" t="s">
        <v>61</v>
      </c>
      <c r="N46" s="19" t="s">
        <v>136</v>
      </c>
      <c r="O46" s="10"/>
      <c r="P46" s="19" t="s">
        <v>46</v>
      </c>
      <c r="Q46" s="19" t="s">
        <v>50</v>
      </c>
      <c r="R46" s="20" t="s">
        <v>64</v>
      </c>
      <c r="S46" s="10"/>
      <c r="T46" s="30" t="str">
        <f>"690,0"</f>
        <v>690,0</v>
      </c>
      <c r="U46" s="10" t="str">
        <f>"396,1980"</f>
        <v>396,1980</v>
      </c>
      <c r="V46" s="9" t="s">
        <v>52</v>
      </c>
    </row>
    <row r="47" spans="1:22">
      <c r="B47" s="5" t="s">
        <v>10</v>
      </c>
    </row>
    <row r="48" spans="1:22">
      <c r="B48" s="5" t="s">
        <v>10</v>
      </c>
      <c r="C48" s="3"/>
      <c r="D48" s="3"/>
      <c r="E48" s="3"/>
      <c r="F48" s="3"/>
      <c r="G48" s="3"/>
    </row>
    <row r="49" spans="2:7">
      <c r="B49" s="5" t="s">
        <v>10</v>
      </c>
      <c r="C49" s="3"/>
      <c r="D49" s="3"/>
      <c r="E49" s="3"/>
      <c r="F49" s="3"/>
      <c r="G49" s="3"/>
    </row>
    <row r="50" spans="2:7" ht="18">
      <c r="B50" s="8" t="s">
        <v>8</v>
      </c>
      <c r="C50" s="8"/>
      <c r="G50" s="3"/>
    </row>
    <row r="51" spans="2:7" ht="16">
      <c r="B51" s="29" t="s">
        <v>470</v>
      </c>
      <c r="C51" s="29"/>
      <c r="G51" s="3"/>
    </row>
    <row r="52" spans="2:7" ht="14">
      <c r="B52" s="16"/>
      <c r="C52" s="17" t="s">
        <v>22</v>
      </c>
      <c r="G52" s="3"/>
    </row>
    <row r="53" spans="2:7" ht="14">
      <c r="B53" s="18" t="s">
        <v>17</v>
      </c>
      <c r="C53" s="18" t="s">
        <v>18</v>
      </c>
      <c r="D53" s="18" t="s">
        <v>456</v>
      </c>
      <c r="E53" s="18" t="s">
        <v>19</v>
      </c>
      <c r="F53" s="18" t="s">
        <v>68</v>
      </c>
      <c r="G53" s="3"/>
    </row>
    <row r="54" spans="2:7">
      <c r="B54" s="5" t="s">
        <v>217</v>
      </c>
      <c r="C54" s="5" t="s">
        <v>22</v>
      </c>
      <c r="D54" s="6" t="s">
        <v>113</v>
      </c>
      <c r="E54" s="6" t="s">
        <v>280</v>
      </c>
      <c r="F54" s="6" t="s">
        <v>281</v>
      </c>
      <c r="G54" s="3"/>
    </row>
    <row r="55" spans="2:7">
      <c r="B55" s="5" t="s">
        <v>205</v>
      </c>
      <c r="C55" s="5" t="s">
        <v>22</v>
      </c>
      <c r="D55" s="6" t="s">
        <v>186</v>
      </c>
      <c r="E55" s="6" t="s">
        <v>51</v>
      </c>
      <c r="F55" s="6" t="s">
        <v>282</v>
      </c>
      <c r="G55" s="3"/>
    </row>
    <row r="56" spans="2:7">
      <c r="B56" s="5" t="s">
        <v>196</v>
      </c>
      <c r="C56" s="5" t="s">
        <v>22</v>
      </c>
      <c r="D56" s="6" t="s">
        <v>283</v>
      </c>
      <c r="E56" s="6" t="s">
        <v>284</v>
      </c>
      <c r="F56" s="6" t="s">
        <v>285</v>
      </c>
      <c r="G56" s="3"/>
    </row>
    <row r="57" spans="2:7">
      <c r="G57" s="3"/>
    </row>
    <row r="58" spans="2:7" ht="16">
      <c r="B58" s="15" t="s">
        <v>23</v>
      </c>
      <c r="C58" s="15"/>
      <c r="G58" s="3"/>
    </row>
    <row r="59" spans="2:7" ht="14">
      <c r="B59" s="16"/>
      <c r="C59" s="17" t="s">
        <v>22</v>
      </c>
      <c r="G59" s="3"/>
    </row>
    <row r="60" spans="2:7" ht="14">
      <c r="B60" s="18" t="s">
        <v>17</v>
      </c>
      <c r="C60" s="18" t="s">
        <v>18</v>
      </c>
      <c r="D60" s="18" t="s">
        <v>456</v>
      </c>
      <c r="E60" s="18" t="s">
        <v>19</v>
      </c>
      <c r="F60" s="18" t="s">
        <v>68</v>
      </c>
      <c r="G60" s="3"/>
    </row>
    <row r="61" spans="2:7">
      <c r="B61" s="5" t="s">
        <v>256</v>
      </c>
      <c r="C61" s="5" t="s">
        <v>22</v>
      </c>
      <c r="D61" s="6" t="s">
        <v>21</v>
      </c>
      <c r="E61" s="6" t="s">
        <v>286</v>
      </c>
      <c r="F61" s="6" t="s">
        <v>287</v>
      </c>
      <c r="G61" s="3"/>
    </row>
    <row r="62" spans="2:7">
      <c r="B62" s="5" t="s">
        <v>275</v>
      </c>
      <c r="C62" s="5" t="s">
        <v>22</v>
      </c>
      <c r="D62" s="6" t="s">
        <v>69</v>
      </c>
      <c r="E62" s="6" t="s">
        <v>288</v>
      </c>
      <c r="F62" s="6" t="s">
        <v>289</v>
      </c>
    </row>
    <row r="63" spans="2:7">
      <c r="B63" s="5" t="s">
        <v>266</v>
      </c>
      <c r="C63" s="5" t="s">
        <v>22</v>
      </c>
      <c r="D63" s="6" t="s">
        <v>75</v>
      </c>
      <c r="E63" s="6" t="s">
        <v>290</v>
      </c>
      <c r="F63" s="6" t="s">
        <v>291</v>
      </c>
    </row>
  </sheetData>
  <mergeCells count="26"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22:S22"/>
    <mergeCell ref="A27:S27"/>
    <mergeCell ref="T3:T4"/>
    <mergeCell ref="U3:U4"/>
    <mergeCell ref="V3:V4"/>
    <mergeCell ref="A5:S5"/>
    <mergeCell ref="B3:B4"/>
    <mergeCell ref="A8:S8"/>
    <mergeCell ref="A11:S11"/>
    <mergeCell ref="A14:S14"/>
    <mergeCell ref="A19:S19"/>
    <mergeCell ref="A30:S30"/>
    <mergeCell ref="A34:S34"/>
    <mergeCell ref="A38:S38"/>
    <mergeCell ref="A42:S42"/>
    <mergeCell ref="A45:S4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8"/>
  <sheetViews>
    <sheetView workbookViewId="0">
      <selection activeCell="E8" sqref="E8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2.6640625" style="5" bestFit="1" customWidth="1"/>
    <col min="7" max="7" width="27.6640625" style="5" bestFit="1" customWidth="1"/>
    <col min="8" max="10" width="5.33203125" style="6" customWidth="1"/>
    <col min="11" max="11" width="4.6640625" style="6" customWidth="1"/>
    <col min="12" max="12" width="11.33203125" style="6" bestFit="1" customWidth="1"/>
    <col min="13" max="13" width="8.33203125" style="6" bestFit="1" customWidth="1"/>
    <col min="14" max="14" width="19.33203125" style="5" customWidth="1"/>
    <col min="15" max="16384" width="9.1640625" style="3"/>
  </cols>
  <sheetData>
    <row r="1" spans="1:14" s="2" customFormat="1" ht="29" customHeight="1">
      <c r="A1" s="55" t="s">
        <v>448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s="1" customFormat="1" ht="12.75" customHeight="1">
      <c r="A3" s="63" t="s">
        <v>472</v>
      </c>
      <c r="B3" s="53" t="s">
        <v>0</v>
      </c>
      <c r="C3" s="65" t="s">
        <v>474</v>
      </c>
      <c r="D3" s="65" t="s">
        <v>7</v>
      </c>
      <c r="E3" s="47" t="s">
        <v>475</v>
      </c>
      <c r="F3" s="47" t="s">
        <v>4</v>
      </c>
      <c r="G3" s="47" t="s">
        <v>6</v>
      </c>
      <c r="H3" s="47" t="s">
        <v>27</v>
      </c>
      <c r="I3" s="47"/>
      <c r="J3" s="47"/>
      <c r="K3" s="47"/>
      <c r="L3" s="47" t="s">
        <v>9</v>
      </c>
      <c r="M3" s="47" t="s">
        <v>3</v>
      </c>
      <c r="N3" s="49" t="s">
        <v>2</v>
      </c>
    </row>
    <row r="4" spans="1:14" s="1" customFormat="1" ht="21" customHeight="1" thickBot="1">
      <c r="A4" s="64"/>
      <c r="B4" s="54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6">
      <c r="A5" s="51" t="s">
        <v>16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>
      <c r="A6" s="12" t="s">
        <v>25</v>
      </c>
      <c r="B6" s="11" t="s">
        <v>293</v>
      </c>
      <c r="C6" s="11" t="s">
        <v>294</v>
      </c>
      <c r="D6" s="11" t="s">
        <v>295</v>
      </c>
      <c r="E6" s="11" t="s">
        <v>476</v>
      </c>
      <c r="F6" s="11" t="s">
        <v>429</v>
      </c>
      <c r="G6" s="11" t="s">
        <v>462</v>
      </c>
      <c r="H6" s="21" t="s">
        <v>35</v>
      </c>
      <c r="I6" s="21" t="s">
        <v>178</v>
      </c>
      <c r="J6" s="23" t="s">
        <v>39</v>
      </c>
      <c r="K6" s="12"/>
      <c r="L6" s="12" t="str">
        <f>"220,0"</f>
        <v>220,0</v>
      </c>
      <c r="M6" s="12" t="str">
        <f>"125,5430"</f>
        <v>125,5430</v>
      </c>
      <c r="N6" s="11"/>
    </row>
    <row r="7" spans="1:14">
      <c r="A7" s="14" t="s">
        <v>25</v>
      </c>
      <c r="B7" s="13" t="s">
        <v>293</v>
      </c>
      <c r="C7" s="13" t="s">
        <v>296</v>
      </c>
      <c r="D7" s="13" t="s">
        <v>295</v>
      </c>
      <c r="E7" s="13" t="s">
        <v>477</v>
      </c>
      <c r="F7" s="13" t="s">
        <v>429</v>
      </c>
      <c r="G7" s="13" t="s">
        <v>462</v>
      </c>
      <c r="H7" s="22" t="s">
        <v>35</v>
      </c>
      <c r="I7" s="22" t="s">
        <v>178</v>
      </c>
      <c r="J7" s="24" t="s">
        <v>39</v>
      </c>
      <c r="K7" s="14"/>
      <c r="L7" s="14" t="str">
        <f>"220,0"</f>
        <v>220,0</v>
      </c>
      <c r="M7" s="14" t="str">
        <f>"134,0799"</f>
        <v>134,0799</v>
      </c>
      <c r="N7" s="13"/>
    </row>
    <row r="8" spans="1:14">
      <c r="B8" s="5" t="s">
        <v>10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1"/>
  <sheetViews>
    <sheetView workbookViewId="0">
      <selection activeCell="E11" sqref="E11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2.6640625" style="5" bestFit="1" customWidth="1"/>
    <col min="7" max="7" width="27.6640625" style="5" bestFit="1" customWidth="1"/>
    <col min="8" max="10" width="5.33203125" style="6" customWidth="1"/>
    <col min="11" max="11" width="4.6640625" style="6" customWidth="1"/>
    <col min="12" max="12" width="11.33203125" style="6" bestFit="1" customWidth="1"/>
    <col min="13" max="13" width="8.33203125" style="6" bestFit="1" customWidth="1"/>
    <col min="14" max="14" width="21.1640625" style="5" customWidth="1"/>
    <col min="15" max="16384" width="9.1640625" style="3"/>
  </cols>
  <sheetData>
    <row r="1" spans="1:14" s="2" customFormat="1" ht="29" customHeight="1">
      <c r="A1" s="55" t="s">
        <v>443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s="1" customFormat="1" ht="12.75" customHeight="1">
      <c r="A3" s="63" t="s">
        <v>472</v>
      </c>
      <c r="B3" s="53" t="s">
        <v>0</v>
      </c>
      <c r="C3" s="65" t="s">
        <v>474</v>
      </c>
      <c r="D3" s="65" t="s">
        <v>7</v>
      </c>
      <c r="E3" s="47" t="s">
        <v>475</v>
      </c>
      <c r="F3" s="47" t="s">
        <v>4</v>
      </c>
      <c r="G3" s="47" t="s">
        <v>6</v>
      </c>
      <c r="H3" s="47" t="s">
        <v>27</v>
      </c>
      <c r="I3" s="47"/>
      <c r="J3" s="47"/>
      <c r="K3" s="47"/>
      <c r="L3" s="47" t="s">
        <v>9</v>
      </c>
      <c r="M3" s="47" t="s">
        <v>3</v>
      </c>
      <c r="N3" s="49" t="s">
        <v>2</v>
      </c>
    </row>
    <row r="4" spans="1:14" s="1" customFormat="1" ht="21" customHeight="1" thickBot="1">
      <c r="A4" s="64"/>
      <c r="B4" s="54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6">
      <c r="A5" s="51" t="s">
        <v>29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>
      <c r="A6" s="10" t="s">
        <v>25</v>
      </c>
      <c r="B6" s="9" t="s">
        <v>356</v>
      </c>
      <c r="C6" s="9" t="s">
        <v>357</v>
      </c>
      <c r="D6" s="9" t="s">
        <v>94</v>
      </c>
      <c r="E6" s="9" t="s">
        <v>476</v>
      </c>
      <c r="F6" s="9" t="s">
        <v>149</v>
      </c>
      <c r="G6" s="9" t="s">
        <v>461</v>
      </c>
      <c r="H6" s="19" t="s">
        <v>168</v>
      </c>
      <c r="I6" s="19" t="s">
        <v>220</v>
      </c>
      <c r="J6" s="19" t="s">
        <v>35</v>
      </c>
      <c r="K6" s="10"/>
      <c r="L6" s="10" t="str">
        <f>"200,0"</f>
        <v>200,0</v>
      </c>
      <c r="M6" s="10" t="str">
        <f>"122,3700"</f>
        <v>122,3700</v>
      </c>
      <c r="N6" s="9" t="s">
        <v>337</v>
      </c>
    </row>
    <row r="7" spans="1:14">
      <c r="B7" s="5" t="s">
        <v>10</v>
      </c>
    </row>
    <row r="8" spans="1:14" ht="16">
      <c r="A8" s="43" t="s">
        <v>16</v>
      </c>
      <c r="B8" s="43"/>
      <c r="C8" s="44"/>
      <c r="D8" s="44"/>
      <c r="E8" s="44"/>
      <c r="F8" s="44"/>
      <c r="G8" s="44"/>
      <c r="H8" s="44"/>
      <c r="I8" s="44"/>
      <c r="J8" s="44"/>
      <c r="K8" s="44"/>
    </row>
    <row r="9" spans="1:14">
      <c r="A9" s="12" t="s">
        <v>25</v>
      </c>
      <c r="B9" s="11" t="s">
        <v>293</v>
      </c>
      <c r="C9" s="11" t="s">
        <v>294</v>
      </c>
      <c r="D9" s="11" t="s">
        <v>295</v>
      </c>
      <c r="E9" s="11" t="s">
        <v>476</v>
      </c>
      <c r="F9" s="11" t="s">
        <v>429</v>
      </c>
      <c r="G9" s="11" t="s">
        <v>462</v>
      </c>
      <c r="H9" s="21" t="s">
        <v>39</v>
      </c>
      <c r="I9" s="21" t="s">
        <v>46</v>
      </c>
      <c r="J9" s="23" t="s">
        <v>160</v>
      </c>
      <c r="K9" s="12"/>
      <c r="L9" s="12" t="str">
        <f>"270,0"</f>
        <v>270,0</v>
      </c>
      <c r="M9" s="12" t="str">
        <f>"154,0755"</f>
        <v>154,0755</v>
      </c>
      <c r="N9" s="11"/>
    </row>
    <row r="10" spans="1:14">
      <c r="A10" s="14" t="s">
        <v>25</v>
      </c>
      <c r="B10" s="13" t="s">
        <v>293</v>
      </c>
      <c r="C10" s="13" t="s">
        <v>296</v>
      </c>
      <c r="D10" s="13" t="s">
        <v>295</v>
      </c>
      <c r="E10" s="13" t="s">
        <v>477</v>
      </c>
      <c r="F10" s="13" t="s">
        <v>429</v>
      </c>
      <c r="G10" s="13" t="s">
        <v>462</v>
      </c>
      <c r="H10" s="22" t="s">
        <v>39</v>
      </c>
      <c r="I10" s="22" t="s">
        <v>46</v>
      </c>
      <c r="J10" s="24" t="s">
        <v>160</v>
      </c>
      <c r="K10" s="14"/>
      <c r="L10" s="14" t="str">
        <f>"270,0"</f>
        <v>270,0</v>
      </c>
      <c r="M10" s="14" t="str">
        <f>"164,5526"</f>
        <v>164,5526</v>
      </c>
      <c r="N10" s="13"/>
    </row>
    <row r="11" spans="1:14">
      <c r="B11" s="5" t="s">
        <v>10</v>
      </c>
    </row>
  </sheetData>
  <mergeCells count="14"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B3:B4"/>
    <mergeCell ref="L3:L4"/>
    <mergeCell ref="M3:M4"/>
    <mergeCell ref="N3:N4"/>
    <mergeCell ref="A5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8"/>
  <sheetViews>
    <sheetView workbookViewId="0">
      <selection activeCell="E8" sqref="E8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2.6640625" style="5" bestFit="1" customWidth="1"/>
    <col min="7" max="7" width="27.6640625" style="5" bestFit="1" customWidth="1"/>
    <col min="8" max="10" width="5.33203125" style="6" customWidth="1"/>
    <col min="11" max="11" width="4.6640625" style="6" customWidth="1"/>
    <col min="12" max="12" width="11.33203125" style="6" bestFit="1" customWidth="1"/>
    <col min="13" max="13" width="8.33203125" style="6" bestFit="1" customWidth="1"/>
    <col min="14" max="14" width="22.1640625" style="5" customWidth="1"/>
    <col min="15" max="16384" width="9.1640625" style="3"/>
  </cols>
  <sheetData>
    <row r="1" spans="1:14" s="2" customFormat="1" ht="29" customHeight="1">
      <c r="A1" s="55" t="s">
        <v>444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s="1" customFormat="1" ht="12.75" customHeight="1">
      <c r="A3" s="63" t="s">
        <v>472</v>
      </c>
      <c r="B3" s="53" t="s">
        <v>0</v>
      </c>
      <c r="C3" s="65" t="s">
        <v>474</v>
      </c>
      <c r="D3" s="65" t="s">
        <v>7</v>
      </c>
      <c r="E3" s="47" t="s">
        <v>475</v>
      </c>
      <c r="F3" s="47" t="s">
        <v>4</v>
      </c>
      <c r="G3" s="47" t="s">
        <v>6</v>
      </c>
      <c r="H3" s="47" t="s">
        <v>27</v>
      </c>
      <c r="I3" s="47"/>
      <c r="J3" s="47"/>
      <c r="K3" s="47"/>
      <c r="L3" s="47" t="s">
        <v>9</v>
      </c>
      <c r="M3" s="47" t="s">
        <v>3</v>
      </c>
      <c r="N3" s="49" t="s">
        <v>2</v>
      </c>
    </row>
    <row r="4" spans="1:14" s="1" customFormat="1" ht="21" customHeight="1" thickBot="1">
      <c r="A4" s="64"/>
      <c r="B4" s="54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6">
      <c r="A5" s="51" t="s">
        <v>16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>
      <c r="A6" s="12" t="s">
        <v>25</v>
      </c>
      <c r="B6" s="11" t="s">
        <v>293</v>
      </c>
      <c r="C6" s="11" t="s">
        <v>294</v>
      </c>
      <c r="D6" s="11" t="s">
        <v>295</v>
      </c>
      <c r="E6" s="11" t="s">
        <v>476</v>
      </c>
      <c r="F6" s="11" t="s">
        <v>429</v>
      </c>
      <c r="G6" s="11" t="s">
        <v>462</v>
      </c>
      <c r="H6" s="21" t="s">
        <v>39</v>
      </c>
      <c r="I6" s="21" t="s">
        <v>46</v>
      </c>
      <c r="J6" s="23" t="s">
        <v>160</v>
      </c>
      <c r="K6" s="12"/>
      <c r="L6" s="12" t="str">
        <f>"270,0"</f>
        <v>270,0</v>
      </c>
      <c r="M6" s="12" t="str">
        <f>"154,0755"</f>
        <v>154,0755</v>
      </c>
      <c r="N6" s="11"/>
    </row>
    <row r="7" spans="1:14">
      <c r="A7" s="14" t="s">
        <v>25</v>
      </c>
      <c r="B7" s="13" t="s">
        <v>293</v>
      </c>
      <c r="C7" s="13" t="s">
        <v>296</v>
      </c>
      <c r="D7" s="13" t="s">
        <v>295</v>
      </c>
      <c r="E7" s="13" t="s">
        <v>477</v>
      </c>
      <c r="F7" s="13" t="s">
        <v>429</v>
      </c>
      <c r="G7" s="13" t="s">
        <v>462</v>
      </c>
      <c r="H7" s="22" t="s">
        <v>39</v>
      </c>
      <c r="I7" s="22" t="s">
        <v>46</v>
      </c>
      <c r="J7" s="24" t="s">
        <v>160</v>
      </c>
      <c r="K7" s="14"/>
      <c r="L7" s="14" t="str">
        <f>"270,0"</f>
        <v>270,0</v>
      </c>
      <c r="M7" s="14" t="str">
        <f>"164,5526"</f>
        <v>164,5526</v>
      </c>
      <c r="N7" s="13"/>
    </row>
    <row r="8" spans="1:14">
      <c r="B8" s="5" t="s">
        <v>10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5"/>
  <sheetViews>
    <sheetView workbookViewId="0">
      <selection activeCell="E35" sqref="E35"/>
    </sheetView>
  </sheetViews>
  <sheetFormatPr baseColWidth="10" defaultColWidth="9.1640625" defaultRowHeight="13"/>
  <cols>
    <col min="1" max="1" width="7.1640625" style="5" bestFit="1" customWidth="1"/>
    <col min="2" max="2" width="22.332031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2.6640625" style="5" bestFit="1" customWidth="1"/>
    <col min="7" max="7" width="38.33203125" style="5" bestFit="1" customWidth="1"/>
    <col min="8" max="11" width="5.33203125" style="6" customWidth="1"/>
    <col min="12" max="12" width="11.33203125" style="6" bestFit="1" customWidth="1"/>
    <col min="13" max="13" width="8.33203125" style="6" bestFit="1" customWidth="1"/>
    <col min="14" max="14" width="20.1640625" style="5" bestFit="1" customWidth="1"/>
    <col min="15" max="16384" width="9.1640625" style="3"/>
  </cols>
  <sheetData>
    <row r="1" spans="1:14" s="2" customFormat="1" ht="29" customHeight="1">
      <c r="A1" s="55" t="s">
        <v>441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s="1" customFormat="1" ht="12.75" customHeight="1">
      <c r="A3" s="63" t="s">
        <v>472</v>
      </c>
      <c r="B3" s="53" t="s">
        <v>0</v>
      </c>
      <c r="C3" s="65" t="s">
        <v>474</v>
      </c>
      <c r="D3" s="65" t="s">
        <v>7</v>
      </c>
      <c r="E3" s="47" t="s">
        <v>475</v>
      </c>
      <c r="F3" s="47" t="s">
        <v>4</v>
      </c>
      <c r="G3" s="47" t="s">
        <v>6</v>
      </c>
      <c r="H3" s="47" t="s">
        <v>28</v>
      </c>
      <c r="I3" s="47"/>
      <c r="J3" s="47"/>
      <c r="K3" s="47"/>
      <c r="L3" s="47" t="s">
        <v>9</v>
      </c>
      <c r="M3" s="47" t="s">
        <v>3</v>
      </c>
      <c r="N3" s="49" t="s">
        <v>2</v>
      </c>
    </row>
    <row r="4" spans="1:14" s="1" customFormat="1" ht="21" customHeight="1" thickBot="1">
      <c r="A4" s="64"/>
      <c r="B4" s="54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6">
      <c r="A5" s="51" t="s">
        <v>116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>
      <c r="A6" s="12" t="s">
        <v>25</v>
      </c>
      <c r="B6" s="11" t="s">
        <v>205</v>
      </c>
      <c r="C6" s="11" t="s">
        <v>206</v>
      </c>
      <c r="D6" s="11" t="s">
        <v>207</v>
      </c>
      <c r="E6" s="11" t="s">
        <v>476</v>
      </c>
      <c r="F6" s="11" t="s">
        <v>428</v>
      </c>
      <c r="G6" s="11" t="s">
        <v>177</v>
      </c>
      <c r="H6" s="21" t="s">
        <v>120</v>
      </c>
      <c r="I6" s="21" t="s">
        <v>209</v>
      </c>
      <c r="J6" s="21" t="s">
        <v>90</v>
      </c>
      <c r="K6" s="12"/>
      <c r="L6" s="12" t="str">
        <f>"130,0"</f>
        <v>130,0</v>
      </c>
      <c r="M6" s="12" t="str">
        <f>"156,7020"</f>
        <v>156,7020</v>
      </c>
      <c r="N6" s="11"/>
    </row>
    <row r="7" spans="1:14">
      <c r="A7" s="14" t="s">
        <v>25</v>
      </c>
      <c r="B7" s="13" t="s">
        <v>316</v>
      </c>
      <c r="C7" s="13" t="s">
        <v>317</v>
      </c>
      <c r="D7" s="13" t="s">
        <v>318</v>
      </c>
      <c r="E7" s="13" t="s">
        <v>477</v>
      </c>
      <c r="F7" s="13" t="s">
        <v>428</v>
      </c>
      <c r="G7" s="13" t="s">
        <v>319</v>
      </c>
      <c r="H7" s="22" t="s">
        <v>83</v>
      </c>
      <c r="I7" s="22" t="s">
        <v>132</v>
      </c>
      <c r="J7" s="22" t="s">
        <v>246</v>
      </c>
      <c r="K7" s="14"/>
      <c r="L7" s="14" t="str">
        <f>"87,5"</f>
        <v>87,5</v>
      </c>
      <c r="M7" s="14" t="str">
        <f>"107,4903"</f>
        <v>107,4903</v>
      </c>
      <c r="N7" s="13" t="s">
        <v>427</v>
      </c>
    </row>
    <row r="8" spans="1:14">
      <c r="B8" s="5" t="s">
        <v>10</v>
      </c>
    </row>
    <row r="9" spans="1:14" ht="16">
      <c r="A9" s="43" t="s">
        <v>78</v>
      </c>
      <c r="B9" s="43"/>
      <c r="C9" s="44"/>
      <c r="D9" s="44"/>
      <c r="E9" s="44"/>
      <c r="F9" s="44"/>
      <c r="G9" s="44"/>
      <c r="H9" s="44"/>
      <c r="I9" s="44"/>
      <c r="J9" s="44"/>
      <c r="K9" s="44"/>
    </row>
    <row r="10" spans="1:14">
      <c r="A10" s="12" t="s">
        <v>25</v>
      </c>
      <c r="B10" s="11" t="s">
        <v>12</v>
      </c>
      <c r="C10" s="11" t="s">
        <v>13</v>
      </c>
      <c r="D10" s="11" t="s">
        <v>14</v>
      </c>
      <c r="E10" s="11" t="s">
        <v>478</v>
      </c>
      <c r="F10" s="11" t="s">
        <v>428</v>
      </c>
      <c r="G10" s="11" t="s">
        <v>15</v>
      </c>
      <c r="H10" s="21" t="s">
        <v>89</v>
      </c>
      <c r="I10" s="21" t="s">
        <v>90</v>
      </c>
      <c r="J10" s="23" t="s">
        <v>37</v>
      </c>
      <c r="K10" s="12"/>
      <c r="L10" s="12" t="str">
        <f>"130,0"</f>
        <v>130,0</v>
      </c>
      <c r="M10" s="12" t="str">
        <f>"132,6780"</f>
        <v>132,6780</v>
      </c>
      <c r="N10" s="11"/>
    </row>
    <row r="11" spans="1:14">
      <c r="A11" s="26" t="s">
        <v>25</v>
      </c>
      <c r="B11" s="25" t="s">
        <v>320</v>
      </c>
      <c r="C11" s="25" t="s">
        <v>321</v>
      </c>
      <c r="D11" s="25" t="s">
        <v>322</v>
      </c>
      <c r="E11" s="25" t="s">
        <v>476</v>
      </c>
      <c r="F11" s="25" t="s">
        <v>428</v>
      </c>
      <c r="G11" s="25" t="s">
        <v>467</v>
      </c>
      <c r="H11" s="27" t="s">
        <v>85</v>
      </c>
      <c r="I11" s="27" t="s">
        <v>142</v>
      </c>
      <c r="J11" s="28" t="s">
        <v>144</v>
      </c>
      <c r="K11" s="26"/>
      <c r="L11" s="26" t="str">
        <f>"110,0"</f>
        <v>110,0</v>
      </c>
      <c r="M11" s="26" t="str">
        <f>"112,7500"</f>
        <v>112,7500</v>
      </c>
      <c r="N11" s="25"/>
    </row>
    <row r="12" spans="1:14">
      <c r="A12" s="14" t="s">
        <v>25</v>
      </c>
      <c r="B12" s="13" t="s">
        <v>222</v>
      </c>
      <c r="C12" s="13" t="s">
        <v>223</v>
      </c>
      <c r="D12" s="13" t="s">
        <v>224</v>
      </c>
      <c r="E12" s="13" t="s">
        <v>477</v>
      </c>
      <c r="F12" s="13" t="s">
        <v>128</v>
      </c>
      <c r="G12" s="13" t="s">
        <v>225</v>
      </c>
      <c r="H12" s="22" t="s">
        <v>208</v>
      </c>
      <c r="I12" s="22" t="s">
        <v>203</v>
      </c>
      <c r="J12" s="22" t="s">
        <v>226</v>
      </c>
      <c r="K12" s="14"/>
      <c r="L12" s="14" t="str">
        <f>"112,5"</f>
        <v>112,5</v>
      </c>
      <c r="M12" s="14" t="str">
        <f>"134,1103"</f>
        <v>134,1103</v>
      </c>
      <c r="N12" s="13" t="s">
        <v>227</v>
      </c>
    </row>
    <row r="13" spans="1:14">
      <c r="B13" s="5" t="s">
        <v>10</v>
      </c>
    </row>
    <row r="14" spans="1:14" ht="16">
      <c r="A14" s="43" t="s">
        <v>116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</row>
    <row r="15" spans="1:14">
      <c r="A15" s="10" t="s">
        <v>25</v>
      </c>
      <c r="B15" s="9" t="s">
        <v>401</v>
      </c>
      <c r="C15" s="9" t="s">
        <v>402</v>
      </c>
      <c r="D15" s="9" t="s">
        <v>403</v>
      </c>
      <c r="E15" s="9" t="s">
        <v>479</v>
      </c>
      <c r="F15" s="9" t="s">
        <v>101</v>
      </c>
      <c r="G15" s="9" t="s">
        <v>465</v>
      </c>
      <c r="H15" s="19" t="s">
        <v>208</v>
      </c>
      <c r="I15" s="19" t="s">
        <v>142</v>
      </c>
      <c r="J15" s="20" t="s">
        <v>156</v>
      </c>
      <c r="K15" s="10"/>
      <c r="L15" s="10" t="str">
        <f>"110,0"</f>
        <v>110,0</v>
      </c>
      <c r="M15" s="10" t="str">
        <f>"101,0240"</f>
        <v>101,0240</v>
      </c>
      <c r="N15" s="9" t="s">
        <v>103</v>
      </c>
    </row>
    <row r="16" spans="1:14">
      <c r="B16" s="5" t="s">
        <v>10</v>
      </c>
    </row>
    <row r="17" spans="1:14" ht="16">
      <c r="A17" s="43" t="s">
        <v>210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</row>
    <row r="18" spans="1:14">
      <c r="A18" s="12" t="s">
        <v>25</v>
      </c>
      <c r="B18" s="11" t="s">
        <v>237</v>
      </c>
      <c r="C18" s="11" t="s">
        <v>238</v>
      </c>
      <c r="D18" s="11" t="s">
        <v>239</v>
      </c>
      <c r="E18" s="11" t="s">
        <v>479</v>
      </c>
      <c r="F18" s="11" t="s">
        <v>167</v>
      </c>
      <c r="G18" s="11" t="s">
        <v>15</v>
      </c>
      <c r="H18" s="21" t="s">
        <v>85</v>
      </c>
      <c r="I18" s="21" t="s">
        <v>156</v>
      </c>
      <c r="J18" s="23" t="s">
        <v>89</v>
      </c>
      <c r="K18" s="12"/>
      <c r="L18" s="12" t="str">
        <f>"115,0"</f>
        <v>115,0</v>
      </c>
      <c r="M18" s="12" t="str">
        <f>"102,9135"</f>
        <v>102,9135</v>
      </c>
      <c r="N18" s="11" t="s">
        <v>52</v>
      </c>
    </row>
    <row r="19" spans="1:14">
      <c r="A19" s="26" t="s">
        <v>194</v>
      </c>
      <c r="B19" s="25" t="s">
        <v>404</v>
      </c>
      <c r="C19" s="25" t="s">
        <v>405</v>
      </c>
      <c r="D19" s="25" t="s">
        <v>406</v>
      </c>
      <c r="E19" s="25" t="s">
        <v>479</v>
      </c>
      <c r="F19" s="25" t="s">
        <v>167</v>
      </c>
      <c r="G19" s="25" t="s">
        <v>15</v>
      </c>
      <c r="H19" s="27" t="s">
        <v>83</v>
      </c>
      <c r="I19" s="27" t="s">
        <v>133</v>
      </c>
      <c r="J19" s="27" t="s">
        <v>208</v>
      </c>
      <c r="K19" s="26"/>
      <c r="L19" s="26" t="str">
        <f>"100,0"</f>
        <v>100,0</v>
      </c>
      <c r="M19" s="26" t="str">
        <f>"87,5900"</f>
        <v>87,5900</v>
      </c>
      <c r="N19" s="25" t="s">
        <v>52</v>
      </c>
    </row>
    <row r="20" spans="1:14">
      <c r="A20" s="26" t="s">
        <v>25</v>
      </c>
      <c r="B20" s="25" t="s">
        <v>323</v>
      </c>
      <c r="C20" s="25" t="s">
        <v>324</v>
      </c>
      <c r="D20" s="25" t="s">
        <v>325</v>
      </c>
      <c r="E20" s="25" t="s">
        <v>476</v>
      </c>
      <c r="F20" s="25" t="s">
        <v>101</v>
      </c>
      <c r="G20" s="25" t="s">
        <v>458</v>
      </c>
      <c r="H20" s="27" t="s">
        <v>220</v>
      </c>
      <c r="I20" s="28" t="s">
        <v>326</v>
      </c>
      <c r="J20" s="27" t="s">
        <v>326</v>
      </c>
      <c r="K20" s="27" t="s">
        <v>327</v>
      </c>
      <c r="L20" s="26" t="str">
        <f>"202,5"</f>
        <v>202,5</v>
      </c>
      <c r="M20" s="26" t="str">
        <f>"173,2387"</f>
        <v>173,2387</v>
      </c>
      <c r="N20" s="25" t="s">
        <v>328</v>
      </c>
    </row>
    <row r="21" spans="1:14">
      <c r="A21" s="14" t="s">
        <v>194</v>
      </c>
      <c r="B21" s="13" t="s">
        <v>243</v>
      </c>
      <c r="C21" s="13" t="s">
        <v>244</v>
      </c>
      <c r="D21" s="13" t="s">
        <v>245</v>
      </c>
      <c r="E21" s="13" t="s">
        <v>476</v>
      </c>
      <c r="F21" s="13" t="s">
        <v>128</v>
      </c>
      <c r="G21" s="13" t="s">
        <v>225</v>
      </c>
      <c r="H21" s="22" t="s">
        <v>89</v>
      </c>
      <c r="I21" s="22" t="s">
        <v>90</v>
      </c>
      <c r="J21" s="22" t="s">
        <v>247</v>
      </c>
      <c r="K21" s="14"/>
      <c r="L21" s="14" t="str">
        <f>"137,5"</f>
        <v>137,5</v>
      </c>
      <c r="M21" s="14" t="str">
        <f>"121,0275"</f>
        <v>121,0275</v>
      </c>
      <c r="N21" s="13" t="s">
        <v>227</v>
      </c>
    </row>
    <row r="22" spans="1:14">
      <c r="B22" s="5" t="s">
        <v>10</v>
      </c>
    </row>
    <row r="23" spans="1:14" ht="16">
      <c r="A23" s="43" t="s">
        <v>78</v>
      </c>
      <c r="B23" s="43"/>
      <c r="C23" s="44"/>
      <c r="D23" s="44"/>
      <c r="E23" s="44"/>
      <c r="F23" s="44"/>
      <c r="G23" s="44"/>
      <c r="H23" s="44"/>
      <c r="I23" s="44"/>
      <c r="J23" s="44"/>
      <c r="K23" s="44"/>
    </row>
    <row r="24" spans="1:14">
      <c r="A24" s="10" t="s">
        <v>25</v>
      </c>
      <c r="B24" s="9" t="s">
        <v>407</v>
      </c>
      <c r="C24" s="9" t="s">
        <v>408</v>
      </c>
      <c r="D24" s="9" t="s">
        <v>409</v>
      </c>
      <c r="E24" s="9" t="s">
        <v>479</v>
      </c>
      <c r="F24" s="9" t="s">
        <v>428</v>
      </c>
      <c r="G24" s="9" t="s">
        <v>465</v>
      </c>
      <c r="H24" s="19" t="s">
        <v>201</v>
      </c>
      <c r="I24" s="19" t="s">
        <v>199</v>
      </c>
      <c r="J24" s="20" t="s">
        <v>83</v>
      </c>
      <c r="K24" s="10"/>
      <c r="L24" s="10" t="str">
        <f>"70,0"</f>
        <v>70,0</v>
      </c>
      <c r="M24" s="10" t="str">
        <f>"54,2920"</f>
        <v>54,2920</v>
      </c>
      <c r="N24" s="9" t="s">
        <v>103</v>
      </c>
    </row>
    <row r="25" spans="1:14">
      <c r="B25" s="5" t="s">
        <v>10</v>
      </c>
    </row>
    <row r="26" spans="1:14" ht="16">
      <c r="A26" s="43" t="s">
        <v>151</v>
      </c>
      <c r="B26" s="43"/>
      <c r="C26" s="44"/>
      <c r="D26" s="44"/>
      <c r="E26" s="44"/>
      <c r="F26" s="44"/>
      <c r="G26" s="44"/>
      <c r="H26" s="44"/>
      <c r="I26" s="44"/>
      <c r="J26" s="44"/>
      <c r="K26" s="44"/>
    </row>
    <row r="27" spans="1:14">
      <c r="A27" s="12" t="s">
        <v>25</v>
      </c>
      <c r="B27" s="11" t="s">
        <v>410</v>
      </c>
      <c r="C27" s="11" t="s">
        <v>411</v>
      </c>
      <c r="D27" s="11" t="s">
        <v>412</v>
      </c>
      <c r="E27" s="11" t="s">
        <v>479</v>
      </c>
      <c r="F27" s="11" t="s">
        <v>101</v>
      </c>
      <c r="G27" s="11" t="s">
        <v>465</v>
      </c>
      <c r="H27" s="21" t="s">
        <v>89</v>
      </c>
      <c r="I27" s="21" t="s">
        <v>90</v>
      </c>
      <c r="J27" s="23" t="s">
        <v>37</v>
      </c>
      <c r="K27" s="12"/>
      <c r="L27" s="12" t="str">
        <f>"130,0"</f>
        <v>130,0</v>
      </c>
      <c r="M27" s="12" t="str">
        <f>"89,6870"</f>
        <v>89,6870</v>
      </c>
      <c r="N27" s="11" t="s">
        <v>103</v>
      </c>
    </row>
    <row r="28" spans="1:14">
      <c r="A28" s="26" t="s">
        <v>194</v>
      </c>
      <c r="B28" s="25" t="s">
        <v>413</v>
      </c>
      <c r="C28" s="25" t="s">
        <v>414</v>
      </c>
      <c r="D28" s="25" t="s">
        <v>415</v>
      </c>
      <c r="E28" s="25" t="s">
        <v>479</v>
      </c>
      <c r="F28" s="25" t="s">
        <v>101</v>
      </c>
      <c r="G28" s="25" t="s">
        <v>465</v>
      </c>
      <c r="H28" s="27" t="s">
        <v>142</v>
      </c>
      <c r="I28" s="28" t="s">
        <v>89</v>
      </c>
      <c r="J28" s="28" t="s">
        <v>89</v>
      </c>
      <c r="K28" s="26"/>
      <c r="L28" s="26" t="str">
        <f>"110,0"</f>
        <v>110,0</v>
      </c>
      <c r="M28" s="26" t="str">
        <f>"76,0100"</f>
        <v>76,0100</v>
      </c>
      <c r="N28" s="25" t="s">
        <v>103</v>
      </c>
    </row>
    <row r="29" spans="1:14">
      <c r="A29" s="14" t="s">
        <v>25</v>
      </c>
      <c r="B29" s="13" t="s">
        <v>347</v>
      </c>
      <c r="C29" s="13" t="s">
        <v>348</v>
      </c>
      <c r="D29" s="13" t="s">
        <v>265</v>
      </c>
      <c r="E29" s="13" t="s">
        <v>476</v>
      </c>
      <c r="F29" s="13" t="s">
        <v>101</v>
      </c>
      <c r="G29" s="13" t="s">
        <v>457</v>
      </c>
      <c r="H29" s="22" t="s">
        <v>178</v>
      </c>
      <c r="I29" s="22" t="s">
        <v>349</v>
      </c>
      <c r="J29" s="24" t="s">
        <v>40</v>
      </c>
      <c r="K29" s="14"/>
      <c r="L29" s="14" t="str">
        <f>"235,0"</f>
        <v>235,0</v>
      </c>
      <c r="M29" s="14" t="str">
        <f>"157,4265"</f>
        <v>157,4265</v>
      </c>
      <c r="N29" s="13" t="s">
        <v>350</v>
      </c>
    </row>
    <row r="30" spans="1:14">
      <c r="B30" s="5" t="s">
        <v>10</v>
      </c>
    </row>
    <row r="31" spans="1:14" ht="16">
      <c r="A31" s="43" t="s">
        <v>29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</row>
    <row r="32" spans="1:14">
      <c r="A32" s="10" t="s">
        <v>25</v>
      </c>
      <c r="B32" s="9" t="s">
        <v>92</v>
      </c>
      <c r="C32" s="9" t="s">
        <v>93</v>
      </c>
      <c r="D32" s="9" t="s">
        <v>94</v>
      </c>
      <c r="E32" s="9" t="s">
        <v>476</v>
      </c>
      <c r="F32" s="9" t="s">
        <v>57</v>
      </c>
      <c r="G32" s="9" t="s">
        <v>453</v>
      </c>
      <c r="H32" s="19" t="s">
        <v>35</v>
      </c>
      <c r="I32" s="19" t="s">
        <v>36</v>
      </c>
      <c r="J32" s="19" t="s">
        <v>96</v>
      </c>
      <c r="K32" s="10"/>
      <c r="L32" s="10" t="str">
        <f>"222,5"</f>
        <v>222,5</v>
      </c>
      <c r="M32" s="10" t="str">
        <f>"142,0440"</f>
        <v>142,0440</v>
      </c>
      <c r="N32" s="9" t="s">
        <v>97</v>
      </c>
    </row>
    <row r="33" spans="1:14">
      <c r="B33" s="5" t="s">
        <v>10</v>
      </c>
    </row>
    <row r="34" spans="1:14" ht="16">
      <c r="A34" s="43" t="s">
        <v>53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</row>
    <row r="35" spans="1:14">
      <c r="A35" s="10" t="s">
        <v>25</v>
      </c>
      <c r="B35" s="9" t="s">
        <v>275</v>
      </c>
      <c r="C35" s="9" t="s">
        <v>276</v>
      </c>
      <c r="D35" s="9" t="s">
        <v>277</v>
      </c>
      <c r="E35" s="9" t="s">
        <v>476</v>
      </c>
      <c r="F35" s="9" t="s">
        <v>278</v>
      </c>
      <c r="G35" s="9" t="s">
        <v>279</v>
      </c>
      <c r="H35" s="19" t="s">
        <v>46</v>
      </c>
      <c r="I35" s="19" t="s">
        <v>50</v>
      </c>
      <c r="J35" s="20" t="s">
        <v>64</v>
      </c>
      <c r="K35" s="10"/>
      <c r="L35" s="10" t="str">
        <f>"282,5"</f>
        <v>282,5</v>
      </c>
      <c r="M35" s="10" t="str">
        <f>"162,2115"</f>
        <v>162,2115</v>
      </c>
      <c r="N35" s="9" t="s">
        <v>52</v>
      </c>
    </row>
    <row r="36" spans="1:14">
      <c r="B36" s="5" t="s">
        <v>10</v>
      </c>
    </row>
    <row r="37" spans="1:14">
      <c r="B37" s="5" t="s">
        <v>10</v>
      </c>
    </row>
    <row r="38" spans="1:14">
      <c r="B38" s="5" t="s">
        <v>10</v>
      </c>
    </row>
    <row r="39" spans="1:14" ht="18">
      <c r="B39" s="8" t="s">
        <v>8</v>
      </c>
      <c r="C39" s="8"/>
    </row>
    <row r="40" spans="1:14" ht="16">
      <c r="B40" s="15" t="s">
        <v>23</v>
      </c>
      <c r="C40" s="15"/>
    </row>
    <row r="41" spans="1:14" ht="14">
      <c r="B41" s="16"/>
      <c r="C41" s="17" t="s">
        <v>111</v>
      </c>
    </row>
    <row r="42" spans="1:14" ht="14">
      <c r="B42" s="18" t="s">
        <v>17</v>
      </c>
      <c r="C42" s="18" t="s">
        <v>18</v>
      </c>
      <c r="D42" s="18" t="s">
        <v>456</v>
      </c>
      <c r="E42" s="18" t="s">
        <v>20</v>
      </c>
      <c r="F42" s="18" t="s">
        <v>68</v>
      </c>
    </row>
    <row r="43" spans="1:14">
      <c r="B43" s="5" t="s">
        <v>237</v>
      </c>
      <c r="C43" s="5" t="s">
        <v>112</v>
      </c>
      <c r="D43" s="6" t="s">
        <v>385</v>
      </c>
      <c r="E43" s="6" t="s">
        <v>156</v>
      </c>
      <c r="F43" s="6" t="s">
        <v>416</v>
      </c>
    </row>
    <row r="44" spans="1:14">
      <c r="B44" s="5" t="s">
        <v>401</v>
      </c>
      <c r="C44" s="5" t="s">
        <v>112</v>
      </c>
      <c r="D44" s="6" t="s">
        <v>186</v>
      </c>
      <c r="E44" s="6" t="s">
        <v>142</v>
      </c>
      <c r="F44" s="6" t="s">
        <v>417</v>
      </c>
    </row>
    <row r="45" spans="1:14">
      <c r="B45" s="5" t="s">
        <v>410</v>
      </c>
      <c r="C45" s="5" t="s">
        <v>112</v>
      </c>
      <c r="D45" s="6" t="s">
        <v>193</v>
      </c>
      <c r="E45" s="6" t="s">
        <v>90</v>
      </c>
      <c r="F45" s="6" t="s">
        <v>418</v>
      </c>
    </row>
  </sheetData>
  <mergeCells count="20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34:K34"/>
    <mergeCell ref="B3:B4"/>
    <mergeCell ref="A9:K9"/>
    <mergeCell ref="A14:K14"/>
    <mergeCell ref="A17:K17"/>
    <mergeCell ref="A23:K23"/>
    <mergeCell ref="A26:K26"/>
    <mergeCell ref="A31:K3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1"/>
  <sheetViews>
    <sheetView workbookViewId="0">
      <selection activeCell="E22" sqref="E22"/>
    </sheetView>
  </sheetViews>
  <sheetFormatPr baseColWidth="10" defaultColWidth="9.1640625" defaultRowHeight="13"/>
  <cols>
    <col min="1" max="1" width="7.1640625" style="5" bestFit="1" customWidth="1"/>
    <col min="2" max="2" width="19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2.6640625" style="5" bestFit="1" customWidth="1"/>
    <col min="7" max="7" width="31.1640625" style="5" bestFit="1" customWidth="1"/>
    <col min="8" max="10" width="5.33203125" style="6" customWidth="1"/>
    <col min="11" max="11" width="4.6640625" style="6" customWidth="1"/>
    <col min="12" max="12" width="11.33203125" style="6" bestFit="1" customWidth="1"/>
    <col min="13" max="13" width="8.33203125" style="6" bestFit="1" customWidth="1"/>
    <col min="14" max="14" width="19.5" style="5" customWidth="1"/>
    <col min="15" max="16384" width="9.1640625" style="3"/>
  </cols>
  <sheetData>
    <row r="1" spans="1:14" s="2" customFormat="1" ht="29" customHeight="1">
      <c r="A1" s="55" t="s">
        <v>442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s="1" customFormat="1" ht="12.75" customHeight="1">
      <c r="A3" s="63" t="s">
        <v>472</v>
      </c>
      <c r="B3" s="53" t="s">
        <v>0</v>
      </c>
      <c r="C3" s="65" t="s">
        <v>474</v>
      </c>
      <c r="D3" s="65" t="s">
        <v>7</v>
      </c>
      <c r="E3" s="47" t="s">
        <v>475</v>
      </c>
      <c r="F3" s="47" t="s">
        <v>4</v>
      </c>
      <c r="G3" s="47" t="s">
        <v>6</v>
      </c>
      <c r="H3" s="47" t="s">
        <v>28</v>
      </c>
      <c r="I3" s="47"/>
      <c r="J3" s="47"/>
      <c r="K3" s="47"/>
      <c r="L3" s="47" t="s">
        <v>9</v>
      </c>
      <c r="M3" s="47" t="s">
        <v>3</v>
      </c>
      <c r="N3" s="49" t="s">
        <v>2</v>
      </c>
    </row>
    <row r="4" spans="1:14" s="1" customFormat="1" ht="21" customHeight="1" thickBot="1">
      <c r="A4" s="64"/>
      <c r="B4" s="54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6">
      <c r="A5" s="51" t="s">
        <v>116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>
      <c r="A6" s="10" t="s">
        <v>25</v>
      </c>
      <c r="B6" s="9" t="s">
        <v>117</v>
      </c>
      <c r="C6" s="9" t="s">
        <v>118</v>
      </c>
      <c r="D6" s="9" t="s">
        <v>119</v>
      </c>
      <c r="E6" s="9" t="s">
        <v>477</v>
      </c>
      <c r="F6" s="9" t="s">
        <v>428</v>
      </c>
      <c r="G6" s="9" t="s">
        <v>15</v>
      </c>
      <c r="H6" s="19" t="s">
        <v>90</v>
      </c>
      <c r="I6" s="19" t="s">
        <v>37</v>
      </c>
      <c r="J6" s="19" t="s">
        <v>91</v>
      </c>
      <c r="K6" s="10"/>
      <c r="L6" s="10" t="str">
        <f>"145,0"</f>
        <v>145,0</v>
      </c>
      <c r="M6" s="10" t="str">
        <f>"170,6070"</f>
        <v>170,6070</v>
      </c>
      <c r="N6" s="9" t="s">
        <v>124</v>
      </c>
    </row>
    <row r="7" spans="1:14">
      <c r="B7" s="5" t="s">
        <v>10</v>
      </c>
    </row>
    <row r="8" spans="1:14" ht="16">
      <c r="A8" s="43" t="s">
        <v>29</v>
      </c>
      <c r="B8" s="43"/>
      <c r="C8" s="44"/>
      <c r="D8" s="44"/>
      <c r="E8" s="44"/>
      <c r="F8" s="44"/>
      <c r="G8" s="44"/>
      <c r="H8" s="44"/>
      <c r="I8" s="44"/>
      <c r="J8" s="44"/>
      <c r="K8" s="44"/>
    </row>
    <row r="9" spans="1:14">
      <c r="A9" s="10" t="s">
        <v>25</v>
      </c>
      <c r="B9" s="9" t="s">
        <v>164</v>
      </c>
      <c r="C9" s="9" t="s">
        <v>165</v>
      </c>
      <c r="D9" s="9" t="s">
        <v>166</v>
      </c>
      <c r="E9" s="9" t="s">
        <v>476</v>
      </c>
      <c r="F9" s="9" t="s">
        <v>167</v>
      </c>
      <c r="G9" s="9" t="s">
        <v>15</v>
      </c>
      <c r="H9" s="19" t="s">
        <v>58</v>
      </c>
      <c r="I9" s="19" t="s">
        <v>170</v>
      </c>
      <c r="J9" s="20" t="s">
        <v>109</v>
      </c>
      <c r="K9" s="10"/>
      <c r="L9" s="10" t="str">
        <f>"267,5"</f>
        <v>267,5</v>
      </c>
      <c r="M9" s="10" t="str">
        <f>"171,0663"</f>
        <v>171,0663</v>
      </c>
      <c r="N9" s="9" t="s">
        <v>52</v>
      </c>
    </row>
    <row r="10" spans="1:14">
      <c r="B10" s="5" t="s">
        <v>10</v>
      </c>
    </row>
    <row r="11" spans="1:14" ht="16">
      <c r="A11" s="43" t="s">
        <v>41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</row>
    <row r="12" spans="1:14">
      <c r="A12" s="10" t="s">
        <v>25</v>
      </c>
      <c r="B12" s="9" t="s">
        <v>42</v>
      </c>
      <c r="C12" s="9" t="s">
        <v>43</v>
      </c>
      <c r="D12" s="9" t="s">
        <v>44</v>
      </c>
      <c r="E12" s="9" t="s">
        <v>476</v>
      </c>
      <c r="F12" s="9" t="s">
        <v>428</v>
      </c>
      <c r="G12" s="9" t="s">
        <v>462</v>
      </c>
      <c r="H12" s="19" t="s">
        <v>46</v>
      </c>
      <c r="I12" s="19" t="s">
        <v>50</v>
      </c>
      <c r="J12" s="19" t="s">
        <v>51</v>
      </c>
      <c r="K12" s="10"/>
      <c r="L12" s="10" t="str">
        <f>"290,0"</f>
        <v>290,0</v>
      </c>
      <c r="M12" s="10" t="str">
        <f>"176,4940"</f>
        <v>176,4940</v>
      </c>
      <c r="N12" s="9" t="s">
        <v>52</v>
      </c>
    </row>
    <row r="13" spans="1:14">
      <c r="B13" s="5" t="s">
        <v>10</v>
      </c>
    </row>
    <row r="14" spans="1:14" ht="16">
      <c r="A14" s="43" t="s">
        <v>16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</row>
    <row r="15" spans="1:14">
      <c r="A15" s="12" t="s">
        <v>25</v>
      </c>
      <c r="B15" s="11" t="s">
        <v>171</v>
      </c>
      <c r="C15" s="11" t="s">
        <v>172</v>
      </c>
      <c r="D15" s="11" t="s">
        <v>173</v>
      </c>
      <c r="E15" s="11" t="s">
        <v>476</v>
      </c>
      <c r="F15" s="11" t="s">
        <v>428</v>
      </c>
      <c r="G15" s="11" t="s">
        <v>468</v>
      </c>
      <c r="H15" s="21" t="s">
        <v>58</v>
      </c>
      <c r="I15" s="23" t="s">
        <v>59</v>
      </c>
      <c r="J15" s="21" t="s">
        <v>59</v>
      </c>
      <c r="K15" s="12"/>
      <c r="L15" s="12" t="str">
        <f>"280,0"</f>
        <v>280,0</v>
      </c>
      <c r="M15" s="12" t="str">
        <f>"164,7800"</f>
        <v>164,7800</v>
      </c>
      <c r="N15" s="11"/>
    </row>
    <row r="16" spans="1:14">
      <c r="A16" s="14" t="s">
        <v>194</v>
      </c>
      <c r="B16" s="13" t="s">
        <v>174</v>
      </c>
      <c r="C16" s="13" t="s">
        <v>175</v>
      </c>
      <c r="D16" s="13" t="s">
        <v>176</v>
      </c>
      <c r="E16" s="13" t="s">
        <v>476</v>
      </c>
      <c r="F16" s="13" t="s">
        <v>428</v>
      </c>
      <c r="G16" s="13" t="s">
        <v>177</v>
      </c>
      <c r="H16" s="22" t="s">
        <v>45</v>
      </c>
      <c r="I16" s="24" t="s">
        <v>109</v>
      </c>
      <c r="J16" s="24" t="s">
        <v>59</v>
      </c>
      <c r="K16" s="14"/>
      <c r="L16" s="14" t="str">
        <f>"265,0"</f>
        <v>265,0</v>
      </c>
      <c r="M16" s="14" t="str">
        <f>"157,9930"</f>
        <v>157,9930</v>
      </c>
      <c r="N16" s="13" t="s">
        <v>180</v>
      </c>
    </row>
    <row r="17" spans="1:14">
      <c r="B17" s="5" t="s">
        <v>10</v>
      </c>
    </row>
    <row r="18" spans="1:14" ht="16">
      <c r="A18" s="43" t="s">
        <v>53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</row>
    <row r="19" spans="1:14">
      <c r="A19" s="12" t="s">
        <v>25</v>
      </c>
      <c r="B19" s="11" t="s">
        <v>54</v>
      </c>
      <c r="C19" s="11" t="s">
        <v>55</v>
      </c>
      <c r="D19" s="11" t="s">
        <v>56</v>
      </c>
      <c r="E19" s="11" t="s">
        <v>476</v>
      </c>
      <c r="F19" s="11" t="s">
        <v>57</v>
      </c>
      <c r="G19" s="11" t="s">
        <v>453</v>
      </c>
      <c r="H19" s="21" t="s">
        <v>59</v>
      </c>
      <c r="I19" s="21" t="s">
        <v>64</v>
      </c>
      <c r="J19" s="21" t="s">
        <v>65</v>
      </c>
      <c r="K19" s="12"/>
      <c r="L19" s="12" t="str">
        <f>"305,0"</f>
        <v>305,0</v>
      </c>
      <c r="M19" s="12" t="str">
        <f>"174,7040"</f>
        <v>174,7040</v>
      </c>
      <c r="N19" s="11" t="s">
        <v>66</v>
      </c>
    </row>
    <row r="20" spans="1:14">
      <c r="A20" s="26" t="s">
        <v>194</v>
      </c>
      <c r="B20" s="25" t="s">
        <v>181</v>
      </c>
      <c r="C20" s="25" t="s">
        <v>182</v>
      </c>
      <c r="D20" s="25" t="s">
        <v>183</v>
      </c>
      <c r="E20" s="25" t="s">
        <v>476</v>
      </c>
      <c r="F20" s="25" t="s">
        <v>428</v>
      </c>
      <c r="G20" s="25" t="s">
        <v>33</v>
      </c>
      <c r="H20" s="27" t="s">
        <v>51</v>
      </c>
      <c r="I20" s="28" t="s">
        <v>184</v>
      </c>
      <c r="J20" s="28" t="s">
        <v>184</v>
      </c>
      <c r="K20" s="26"/>
      <c r="L20" s="26" t="str">
        <f>"290,0"</f>
        <v>290,0</v>
      </c>
      <c r="M20" s="26" t="str">
        <f>"168,1130"</f>
        <v>168,1130</v>
      </c>
      <c r="N20" s="25"/>
    </row>
    <row r="21" spans="1:14">
      <c r="A21" s="14" t="s">
        <v>25</v>
      </c>
      <c r="B21" s="13" t="s">
        <v>54</v>
      </c>
      <c r="C21" s="13" t="s">
        <v>67</v>
      </c>
      <c r="D21" s="13" t="s">
        <v>56</v>
      </c>
      <c r="E21" s="13" t="s">
        <v>477</v>
      </c>
      <c r="F21" s="13" t="s">
        <v>57</v>
      </c>
      <c r="G21" s="13" t="s">
        <v>453</v>
      </c>
      <c r="H21" s="22" t="s">
        <v>59</v>
      </c>
      <c r="I21" s="22" t="s">
        <v>64</v>
      </c>
      <c r="J21" s="22" t="s">
        <v>65</v>
      </c>
      <c r="K21" s="14"/>
      <c r="L21" s="14" t="str">
        <f>"305,0"</f>
        <v>305,0</v>
      </c>
      <c r="M21" s="14" t="str">
        <f>"179,5957"</f>
        <v>179,5957</v>
      </c>
      <c r="N21" s="13" t="s">
        <v>66</v>
      </c>
    </row>
    <row r="22" spans="1:14">
      <c r="B22" s="5" t="s">
        <v>10</v>
      </c>
    </row>
    <row r="23" spans="1:14">
      <c r="B23" s="5" t="s">
        <v>10</v>
      </c>
    </row>
    <row r="24" spans="1:14">
      <c r="B24" s="5" t="s">
        <v>10</v>
      </c>
    </row>
    <row r="25" spans="1:14" ht="18">
      <c r="B25" s="8" t="s">
        <v>8</v>
      </c>
      <c r="C25" s="8"/>
    </row>
    <row r="26" spans="1:14" ht="16">
      <c r="B26" s="15" t="s">
        <v>23</v>
      </c>
      <c r="C26" s="15"/>
    </row>
    <row r="27" spans="1:14" ht="14">
      <c r="B27" s="16"/>
      <c r="C27" s="17" t="s">
        <v>22</v>
      </c>
    </row>
    <row r="28" spans="1:14" ht="14">
      <c r="B28" s="18" t="s">
        <v>17</v>
      </c>
      <c r="C28" s="18" t="s">
        <v>18</v>
      </c>
      <c r="D28" s="18" t="s">
        <v>456</v>
      </c>
      <c r="E28" s="18" t="s">
        <v>20</v>
      </c>
      <c r="F28" s="18" t="s">
        <v>68</v>
      </c>
    </row>
    <row r="29" spans="1:14">
      <c r="B29" s="5" t="s">
        <v>42</v>
      </c>
      <c r="C29" s="5" t="s">
        <v>22</v>
      </c>
      <c r="D29" s="6" t="s">
        <v>72</v>
      </c>
      <c r="E29" s="6" t="s">
        <v>51</v>
      </c>
      <c r="F29" s="6" t="s">
        <v>398</v>
      </c>
    </row>
    <row r="30" spans="1:14">
      <c r="B30" s="5" t="s">
        <v>54</v>
      </c>
      <c r="C30" s="5" t="s">
        <v>22</v>
      </c>
      <c r="D30" s="6" t="s">
        <v>69</v>
      </c>
      <c r="E30" s="6" t="s">
        <v>65</v>
      </c>
      <c r="F30" s="6" t="s">
        <v>399</v>
      </c>
    </row>
    <row r="31" spans="1:14">
      <c r="B31" s="5" t="s">
        <v>164</v>
      </c>
      <c r="C31" s="5" t="s">
        <v>22</v>
      </c>
      <c r="D31" s="6" t="s">
        <v>75</v>
      </c>
      <c r="E31" s="6" t="s">
        <v>170</v>
      </c>
      <c r="F31" s="6" t="s">
        <v>400</v>
      </c>
    </row>
  </sheetData>
  <mergeCells count="17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A11:K11"/>
    <mergeCell ref="A14:K14"/>
    <mergeCell ref="A18:K18"/>
    <mergeCell ref="B3:B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"/>
  <sheetViews>
    <sheetView workbookViewId="0">
      <selection sqref="A1:N2"/>
    </sheetView>
  </sheetViews>
  <sheetFormatPr baseColWidth="10" defaultColWidth="9.1640625" defaultRowHeight="13"/>
  <cols>
    <col min="1" max="1" width="7.1640625" style="5" bestFit="1" customWidth="1"/>
    <col min="2" max="2" width="17.1640625" style="5" bestFit="1" customWidth="1"/>
    <col min="3" max="3" width="25.33203125" style="5" bestFit="1" customWidth="1"/>
    <col min="4" max="4" width="21" style="5" bestFit="1" customWidth="1"/>
    <col min="5" max="5" width="10.1640625" style="5" bestFit="1" customWidth="1"/>
    <col min="6" max="6" width="22.6640625" style="5" bestFit="1" customWidth="1"/>
    <col min="7" max="7" width="23.33203125" style="5" bestFit="1" customWidth="1"/>
    <col min="8" max="11" width="5.5" style="6" customWidth="1"/>
    <col min="12" max="12" width="11.33203125" style="6" bestFit="1" customWidth="1"/>
    <col min="13" max="13" width="7.33203125" style="6" bestFit="1" customWidth="1"/>
    <col min="14" max="14" width="20.1640625" style="5" customWidth="1"/>
    <col min="15" max="16384" width="9.1640625" style="3"/>
  </cols>
  <sheetData>
    <row r="1" spans="1:14" s="2" customFormat="1" ht="29" customHeight="1">
      <c r="A1" s="55" t="s">
        <v>438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s="1" customFormat="1" ht="12.75" customHeight="1">
      <c r="A3" s="63" t="s">
        <v>472</v>
      </c>
      <c r="B3" s="53" t="s">
        <v>0</v>
      </c>
      <c r="C3" s="65" t="s">
        <v>474</v>
      </c>
      <c r="D3" s="65" t="s">
        <v>7</v>
      </c>
      <c r="E3" s="47" t="s">
        <v>475</v>
      </c>
      <c r="F3" s="47" t="s">
        <v>4</v>
      </c>
      <c r="G3" s="47" t="s">
        <v>6</v>
      </c>
      <c r="H3" s="47" t="s">
        <v>473</v>
      </c>
      <c r="I3" s="47"/>
      <c r="J3" s="47"/>
      <c r="K3" s="47"/>
      <c r="L3" s="47" t="s">
        <v>9</v>
      </c>
      <c r="M3" s="47" t="s">
        <v>3</v>
      </c>
      <c r="N3" s="49" t="s">
        <v>2</v>
      </c>
    </row>
    <row r="4" spans="1:14" s="1" customFormat="1" ht="21" customHeight="1" thickBot="1">
      <c r="A4" s="64"/>
      <c r="B4" s="54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6">
      <c r="A5" s="51" t="s">
        <v>78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>
      <c r="A6" s="10" t="s">
        <v>25</v>
      </c>
      <c r="B6" s="9" t="s">
        <v>297</v>
      </c>
      <c r="C6" s="9" t="s">
        <v>298</v>
      </c>
      <c r="D6" s="9" t="s">
        <v>299</v>
      </c>
      <c r="E6" s="9" t="s">
        <v>476</v>
      </c>
      <c r="F6" s="9" t="s">
        <v>428</v>
      </c>
      <c r="G6" s="9" t="s">
        <v>453</v>
      </c>
      <c r="H6" s="19" t="s">
        <v>200</v>
      </c>
      <c r="I6" s="20" t="s">
        <v>216</v>
      </c>
      <c r="J6" s="20" t="s">
        <v>216</v>
      </c>
      <c r="K6" s="10"/>
      <c r="L6" s="10" t="str">
        <f>"45,0"</f>
        <v>45,0</v>
      </c>
      <c r="M6" s="10" t="str">
        <f>"36,2182"</f>
        <v>36,2182</v>
      </c>
      <c r="N6" s="9"/>
    </row>
    <row r="7" spans="1:14">
      <c r="B7" s="5" t="s">
        <v>10</v>
      </c>
    </row>
    <row r="8" spans="1:14" ht="16">
      <c r="A8" s="43" t="s">
        <v>151</v>
      </c>
      <c r="B8" s="43"/>
      <c r="C8" s="44"/>
      <c r="D8" s="44"/>
      <c r="E8" s="44"/>
      <c r="F8" s="44"/>
      <c r="G8" s="44"/>
      <c r="H8" s="44"/>
      <c r="I8" s="44"/>
      <c r="J8" s="44"/>
      <c r="K8" s="44"/>
    </row>
    <row r="9" spans="1:14">
      <c r="A9" s="10" t="s">
        <v>25</v>
      </c>
      <c r="B9" s="9" t="s">
        <v>345</v>
      </c>
      <c r="C9" s="9" t="s">
        <v>346</v>
      </c>
      <c r="D9" s="9" t="s">
        <v>265</v>
      </c>
      <c r="E9" s="9" t="s">
        <v>476</v>
      </c>
      <c r="F9" s="9" t="s">
        <v>428</v>
      </c>
      <c r="G9" s="9" t="s">
        <v>453</v>
      </c>
      <c r="H9" s="19" t="s">
        <v>232</v>
      </c>
      <c r="I9" s="19" t="s">
        <v>242</v>
      </c>
      <c r="J9" s="20" t="s">
        <v>240</v>
      </c>
      <c r="K9" s="10"/>
      <c r="L9" s="10" t="str">
        <f>"72,5"</f>
        <v>72,5</v>
      </c>
      <c r="M9" s="10" t="str">
        <f>"46,7335"</f>
        <v>46,7335</v>
      </c>
      <c r="N9" s="9"/>
    </row>
    <row r="10" spans="1:14">
      <c r="B10" s="5" t="s">
        <v>10</v>
      </c>
    </row>
  </sheetData>
  <mergeCells count="14"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B3:B4"/>
    <mergeCell ref="L3:L4"/>
    <mergeCell ref="M3:M4"/>
    <mergeCell ref="N3:N4"/>
    <mergeCell ref="A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39"/>
  <sheetViews>
    <sheetView workbookViewId="0">
      <selection sqref="A1:V2"/>
    </sheetView>
  </sheetViews>
  <sheetFormatPr baseColWidth="10" defaultColWidth="9.1640625" defaultRowHeight="13"/>
  <cols>
    <col min="1" max="1" width="7.1640625" style="5" bestFit="1" customWidth="1"/>
    <col min="2" max="2" width="21.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2.6640625" style="5" bestFit="1" customWidth="1"/>
    <col min="7" max="7" width="38.33203125" style="5" bestFit="1" customWidth="1"/>
    <col min="8" max="10" width="5.33203125" style="6" customWidth="1"/>
    <col min="11" max="11" width="4.6640625" style="6" customWidth="1"/>
    <col min="12" max="14" width="5.33203125" style="6" customWidth="1"/>
    <col min="15" max="15" width="4.6640625" style="6" customWidth="1"/>
    <col min="16" max="18" width="5.33203125" style="6" customWidth="1"/>
    <col min="19" max="19" width="4.6640625" style="6" customWidth="1"/>
    <col min="20" max="20" width="7.6640625" style="6" bestFit="1" customWidth="1"/>
    <col min="21" max="21" width="8.33203125" style="6" bestFit="1" customWidth="1"/>
    <col min="22" max="22" width="20" style="5" customWidth="1"/>
    <col min="23" max="16384" width="9.1640625" style="3"/>
  </cols>
  <sheetData>
    <row r="1" spans="1:22" s="2" customFormat="1" ht="29" customHeight="1">
      <c r="A1" s="55" t="s">
        <v>450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2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</row>
    <row r="3" spans="1:22" s="1" customFormat="1" ht="12.75" customHeight="1">
      <c r="A3" s="63" t="s">
        <v>472</v>
      </c>
      <c r="B3" s="53" t="s">
        <v>0</v>
      </c>
      <c r="C3" s="65" t="s">
        <v>474</v>
      </c>
      <c r="D3" s="65" t="s">
        <v>7</v>
      </c>
      <c r="E3" s="47" t="s">
        <v>475</v>
      </c>
      <c r="F3" s="47" t="s">
        <v>4</v>
      </c>
      <c r="G3" s="47" t="s">
        <v>6</v>
      </c>
      <c r="H3" s="47" t="s">
        <v>26</v>
      </c>
      <c r="I3" s="47"/>
      <c r="J3" s="47"/>
      <c r="K3" s="47"/>
      <c r="L3" s="47" t="s">
        <v>27</v>
      </c>
      <c r="M3" s="47"/>
      <c r="N3" s="47"/>
      <c r="O3" s="47"/>
      <c r="P3" s="47" t="s">
        <v>28</v>
      </c>
      <c r="Q3" s="47"/>
      <c r="R3" s="47"/>
      <c r="S3" s="47"/>
      <c r="T3" s="47" t="s">
        <v>1</v>
      </c>
      <c r="U3" s="47" t="s">
        <v>3</v>
      </c>
      <c r="V3" s="49" t="s">
        <v>2</v>
      </c>
    </row>
    <row r="4" spans="1:22" s="1" customFormat="1" ht="21" customHeight="1" thickBot="1">
      <c r="A4" s="64"/>
      <c r="B4" s="54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48"/>
      <c r="U4" s="48"/>
      <c r="V4" s="50"/>
    </row>
    <row r="5" spans="1:22" ht="16">
      <c r="A5" s="51" t="s">
        <v>116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22">
      <c r="A6" s="10" t="s">
        <v>25</v>
      </c>
      <c r="B6" s="9" t="s">
        <v>117</v>
      </c>
      <c r="C6" s="9" t="s">
        <v>118</v>
      </c>
      <c r="D6" s="9" t="s">
        <v>119</v>
      </c>
      <c r="E6" s="9" t="s">
        <v>477</v>
      </c>
      <c r="F6" s="9" t="s">
        <v>428</v>
      </c>
      <c r="G6" s="9" t="s">
        <v>15</v>
      </c>
      <c r="H6" s="20" t="s">
        <v>120</v>
      </c>
      <c r="I6" s="19" t="s">
        <v>120</v>
      </c>
      <c r="J6" s="19" t="s">
        <v>121</v>
      </c>
      <c r="K6" s="10"/>
      <c r="L6" s="19" t="s">
        <v>122</v>
      </c>
      <c r="M6" s="19" t="s">
        <v>123</v>
      </c>
      <c r="N6" s="20" t="s">
        <v>87</v>
      </c>
      <c r="O6" s="10"/>
      <c r="P6" s="19" t="s">
        <v>90</v>
      </c>
      <c r="Q6" s="19" t="s">
        <v>37</v>
      </c>
      <c r="R6" s="19" t="s">
        <v>91</v>
      </c>
      <c r="S6" s="10"/>
      <c r="T6" s="10" t="str">
        <f>"340,0"</f>
        <v>340,0</v>
      </c>
      <c r="U6" s="10" t="str">
        <f>"400,0440"</f>
        <v>400,0440</v>
      </c>
      <c r="V6" s="9" t="s">
        <v>124</v>
      </c>
    </row>
    <row r="7" spans="1:22">
      <c r="B7" s="5" t="s">
        <v>10</v>
      </c>
    </row>
    <row r="8" spans="1:22" ht="16">
      <c r="A8" s="43" t="s">
        <v>11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2">
      <c r="A9" s="10" t="s">
        <v>25</v>
      </c>
      <c r="B9" s="9" t="s">
        <v>125</v>
      </c>
      <c r="C9" s="9" t="s">
        <v>126</v>
      </c>
      <c r="D9" s="9" t="s">
        <v>127</v>
      </c>
      <c r="E9" s="9" t="s">
        <v>477</v>
      </c>
      <c r="F9" s="9" t="s">
        <v>128</v>
      </c>
      <c r="G9" s="9" t="s">
        <v>129</v>
      </c>
      <c r="H9" s="19" t="s">
        <v>130</v>
      </c>
      <c r="I9" s="20" t="s">
        <v>131</v>
      </c>
      <c r="J9" s="20" t="s">
        <v>131</v>
      </c>
      <c r="K9" s="10"/>
      <c r="L9" s="19" t="s">
        <v>132</v>
      </c>
      <c r="M9" s="19" t="s">
        <v>133</v>
      </c>
      <c r="N9" s="19" t="s">
        <v>134</v>
      </c>
      <c r="O9" s="10"/>
      <c r="P9" s="19" t="s">
        <v>135</v>
      </c>
      <c r="Q9" s="19" t="s">
        <v>136</v>
      </c>
      <c r="R9" s="19" t="s">
        <v>137</v>
      </c>
      <c r="S9" s="10"/>
      <c r="T9" s="10" t="str">
        <f>"442,5"</f>
        <v>442,5</v>
      </c>
      <c r="U9" s="10" t="str">
        <f>"441,1523"</f>
        <v>441,1523</v>
      </c>
      <c r="V9" s="9" t="s">
        <v>138</v>
      </c>
    </row>
    <row r="10" spans="1:22">
      <c r="B10" s="5" t="s">
        <v>10</v>
      </c>
    </row>
    <row r="11" spans="1:22" ht="16">
      <c r="A11" s="43" t="s">
        <v>78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22">
      <c r="A12" s="10" t="s">
        <v>25</v>
      </c>
      <c r="B12" s="9" t="s">
        <v>139</v>
      </c>
      <c r="C12" s="9" t="s">
        <v>140</v>
      </c>
      <c r="D12" s="9" t="s">
        <v>141</v>
      </c>
      <c r="E12" s="9" t="s">
        <v>481</v>
      </c>
      <c r="F12" s="9" t="s">
        <v>428</v>
      </c>
      <c r="G12" s="9" t="s">
        <v>466</v>
      </c>
      <c r="H12" s="19" t="s">
        <v>83</v>
      </c>
      <c r="I12" s="19" t="s">
        <v>132</v>
      </c>
      <c r="J12" s="19" t="s">
        <v>133</v>
      </c>
      <c r="K12" s="10"/>
      <c r="L12" s="19" t="s">
        <v>83</v>
      </c>
      <c r="M12" s="20" t="s">
        <v>132</v>
      </c>
      <c r="N12" s="20" t="s">
        <v>132</v>
      </c>
      <c r="O12" s="10"/>
      <c r="P12" s="19" t="s">
        <v>142</v>
      </c>
      <c r="Q12" s="19" t="s">
        <v>143</v>
      </c>
      <c r="R12" s="20" t="s">
        <v>144</v>
      </c>
      <c r="S12" s="10"/>
      <c r="T12" s="10" t="str">
        <f>"287,5"</f>
        <v>287,5</v>
      </c>
      <c r="U12" s="10" t="str">
        <f>"230,7188"</f>
        <v>230,7188</v>
      </c>
      <c r="V12" s="9" t="s">
        <v>145</v>
      </c>
    </row>
    <row r="13" spans="1:22">
      <c r="B13" s="5" t="s">
        <v>10</v>
      </c>
    </row>
    <row r="14" spans="1:22" ht="16">
      <c r="A14" s="43" t="s">
        <v>11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22">
      <c r="A15" s="10" t="s">
        <v>25</v>
      </c>
      <c r="B15" s="9" t="s">
        <v>146</v>
      </c>
      <c r="C15" s="9" t="s">
        <v>147</v>
      </c>
      <c r="D15" s="9" t="s">
        <v>148</v>
      </c>
      <c r="E15" s="9" t="s">
        <v>480</v>
      </c>
      <c r="F15" s="9" t="s">
        <v>149</v>
      </c>
      <c r="G15" s="9" t="s">
        <v>461</v>
      </c>
      <c r="H15" s="19" t="s">
        <v>83</v>
      </c>
      <c r="I15" s="20" t="s">
        <v>84</v>
      </c>
      <c r="J15" s="19" t="s">
        <v>85</v>
      </c>
      <c r="K15" s="10"/>
      <c r="L15" s="19" t="s">
        <v>83</v>
      </c>
      <c r="M15" s="19" t="s">
        <v>133</v>
      </c>
      <c r="N15" s="20" t="s">
        <v>150</v>
      </c>
      <c r="O15" s="10"/>
      <c r="P15" s="19" t="s">
        <v>142</v>
      </c>
      <c r="Q15" s="19" t="s">
        <v>120</v>
      </c>
      <c r="R15" s="19" t="s">
        <v>37</v>
      </c>
      <c r="S15" s="10"/>
      <c r="T15" s="10" t="str">
        <f>"335,0"</f>
        <v>335,0</v>
      </c>
      <c r="U15" s="10" t="str">
        <f>"320,4401"</f>
        <v>320,4401</v>
      </c>
      <c r="V15" s="9" t="s">
        <v>436</v>
      </c>
    </row>
    <row r="16" spans="1:22">
      <c r="B16" s="5" t="s">
        <v>10</v>
      </c>
    </row>
    <row r="17" spans="1:22" ht="16">
      <c r="A17" s="43" t="s">
        <v>151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22">
      <c r="A18" s="10" t="s">
        <v>25</v>
      </c>
      <c r="B18" s="9" t="s">
        <v>152</v>
      </c>
      <c r="C18" s="9" t="s">
        <v>153</v>
      </c>
      <c r="D18" s="9" t="s">
        <v>154</v>
      </c>
      <c r="E18" s="9" t="s">
        <v>477</v>
      </c>
      <c r="F18" s="9" t="s">
        <v>428</v>
      </c>
      <c r="G18" s="9" t="s">
        <v>33</v>
      </c>
      <c r="H18" s="19" t="s">
        <v>90</v>
      </c>
      <c r="I18" s="19" t="s">
        <v>155</v>
      </c>
      <c r="J18" s="19" t="s">
        <v>37</v>
      </c>
      <c r="K18" s="10"/>
      <c r="L18" s="19" t="s">
        <v>156</v>
      </c>
      <c r="M18" s="20" t="s">
        <v>89</v>
      </c>
      <c r="N18" s="19" t="s">
        <v>90</v>
      </c>
      <c r="O18" s="10"/>
      <c r="P18" s="19" t="s">
        <v>47</v>
      </c>
      <c r="Q18" s="19" t="s">
        <v>157</v>
      </c>
      <c r="R18" s="19" t="s">
        <v>34</v>
      </c>
      <c r="S18" s="10"/>
      <c r="T18" s="10" t="str">
        <f>"460,0"</f>
        <v>460,0</v>
      </c>
      <c r="U18" s="10" t="str">
        <f>"344,5647"</f>
        <v>344,5647</v>
      </c>
      <c r="V18" s="9"/>
    </row>
    <row r="19" spans="1:22">
      <c r="B19" s="5" t="s">
        <v>10</v>
      </c>
    </row>
    <row r="20" spans="1:22" ht="16">
      <c r="A20" s="43" t="s">
        <v>29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22">
      <c r="A21" s="12" t="s">
        <v>25</v>
      </c>
      <c r="B21" s="11" t="s">
        <v>158</v>
      </c>
      <c r="C21" s="11" t="s">
        <v>159</v>
      </c>
      <c r="D21" s="11" t="s">
        <v>94</v>
      </c>
      <c r="E21" s="11" t="s">
        <v>476</v>
      </c>
      <c r="F21" s="11" t="s">
        <v>82</v>
      </c>
      <c r="G21" s="11" t="s">
        <v>463</v>
      </c>
      <c r="H21" s="21" t="s">
        <v>45</v>
      </c>
      <c r="I21" s="21" t="s">
        <v>109</v>
      </c>
      <c r="J21" s="21" t="s">
        <v>160</v>
      </c>
      <c r="K21" s="12"/>
      <c r="L21" s="21" t="s">
        <v>34</v>
      </c>
      <c r="M21" s="21" t="s">
        <v>35</v>
      </c>
      <c r="N21" s="21" t="s">
        <v>161</v>
      </c>
      <c r="O21" s="12"/>
      <c r="P21" s="23" t="s">
        <v>60</v>
      </c>
      <c r="Q21" s="21" t="s">
        <v>114</v>
      </c>
      <c r="R21" s="23" t="s">
        <v>162</v>
      </c>
      <c r="S21" s="12"/>
      <c r="T21" s="12" t="str">
        <f>"807,5"</f>
        <v>807,5</v>
      </c>
      <c r="U21" s="12" t="str">
        <f>"515,5080"</f>
        <v>515,5080</v>
      </c>
      <c r="V21" s="11" t="s">
        <v>163</v>
      </c>
    </row>
    <row r="22" spans="1:22">
      <c r="A22" s="14" t="s">
        <v>194</v>
      </c>
      <c r="B22" s="13" t="s">
        <v>164</v>
      </c>
      <c r="C22" s="13" t="s">
        <v>165</v>
      </c>
      <c r="D22" s="13" t="s">
        <v>166</v>
      </c>
      <c r="E22" s="13" t="s">
        <v>476</v>
      </c>
      <c r="F22" s="13" t="s">
        <v>167</v>
      </c>
      <c r="G22" s="13" t="s">
        <v>15</v>
      </c>
      <c r="H22" s="22" t="s">
        <v>62</v>
      </c>
      <c r="I22" s="22" t="s">
        <v>63</v>
      </c>
      <c r="J22" s="24" t="s">
        <v>36</v>
      </c>
      <c r="K22" s="14"/>
      <c r="L22" s="22" t="s">
        <v>168</v>
      </c>
      <c r="M22" s="24" t="s">
        <v>169</v>
      </c>
      <c r="N22" s="24" t="s">
        <v>169</v>
      </c>
      <c r="O22" s="14"/>
      <c r="P22" s="22" t="s">
        <v>58</v>
      </c>
      <c r="Q22" s="22" t="s">
        <v>170</v>
      </c>
      <c r="R22" s="24" t="s">
        <v>109</v>
      </c>
      <c r="S22" s="14"/>
      <c r="T22" s="14" t="str">
        <f>"647,5"</f>
        <v>647,5</v>
      </c>
      <c r="U22" s="14" t="str">
        <f>"414,0763"</f>
        <v>414,0763</v>
      </c>
      <c r="V22" s="13" t="s">
        <v>52</v>
      </c>
    </row>
    <row r="23" spans="1:22">
      <c r="B23" s="5" t="s">
        <v>10</v>
      </c>
    </row>
    <row r="24" spans="1:22" ht="16">
      <c r="A24" s="43" t="s">
        <v>16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22">
      <c r="A25" s="12" t="s">
        <v>25</v>
      </c>
      <c r="B25" s="11" t="s">
        <v>171</v>
      </c>
      <c r="C25" s="11" t="s">
        <v>172</v>
      </c>
      <c r="D25" s="11" t="s">
        <v>173</v>
      </c>
      <c r="E25" s="11" t="s">
        <v>476</v>
      </c>
      <c r="F25" s="11" t="s">
        <v>428</v>
      </c>
      <c r="G25" s="11" t="s">
        <v>468</v>
      </c>
      <c r="H25" s="21" t="s">
        <v>58</v>
      </c>
      <c r="I25" s="21" t="s">
        <v>59</v>
      </c>
      <c r="J25" s="23" t="s">
        <v>51</v>
      </c>
      <c r="K25" s="12"/>
      <c r="L25" s="21" t="s">
        <v>37</v>
      </c>
      <c r="M25" s="21" t="s">
        <v>38</v>
      </c>
      <c r="N25" s="21" t="s">
        <v>130</v>
      </c>
      <c r="O25" s="12"/>
      <c r="P25" s="21" t="s">
        <v>58</v>
      </c>
      <c r="Q25" s="23" t="s">
        <v>59</v>
      </c>
      <c r="R25" s="21" t="s">
        <v>59</v>
      </c>
      <c r="S25" s="12"/>
      <c r="T25" s="12" t="str">
        <f>"717,5"</f>
        <v>717,5</v>
      </c>
      <c r="U25" s="12" t="str">
        <f>"422,2488"</f>
        <v>422,2488</v>
      </c>
      <c r="V25" s="11"/>
    </row>
    <row r="26" spans="1:22">
      <c r="A26" s="14" t="s">
        <v>194</v>
      </c>
      <c r="B26" s="13" t="s">
        <v>174</v>
      </c>
      <c r="C26" s="13" t="s">
        <v>175</v>
      </c>
      <c r="D26" s="13" t="s">
        <v>176</v>
      </c>
      <c r="E26" s="13" t="s">
        <v>476</v>
      </c>
      <c r="F26" s="13" t="s">
        <v>428</v>
      </c>
      <c r="G26" s="13" t="s">
        <v>177</v>
      </c>
      <c r="H26" s="22" t="s">
        <v>178</v>
      </c>
      <c r="I26" s="22" t="s">
        <v>102</v>
      </c>
      <c r="J26" s="24" t="s">
        <v>179</v>
      </c>
      <c r="K26" s="14"/>
      <c r="L26" s="22" t="s">
        <v>34</v>
      </c>
      <c r="M26" s="22" t="s">
        <v>62</v>
      </c>
      <c r="N26" s="22" t="s">
        <v>35</v>
      </c>
      <c r="O26" s="14"/>
      <c r="P26" s="22" t="s">
        <v>45</v>
      </c>
      <c r="Q26" s="24" t="s">
        <v>109</v>
      </c>
      <c r="R26" s="24" t="s">
        <v>59</v>
      </c>
      <c r="S26" s="14"/>
      <c r="T26" s="14" t="str">
        <f>"695,0"</f>
        <v>695,0</v>
      </c>
      <c r="U26" s="14" t="str">
        <f>"414,3590"</f>
        <v>414,3590</v>
      </c>
      <c r="V26" s="13" t="s">
        <v>180</v>
      </c>
    </row>
    <row r="27" spans="1:22">
      <c r="B27" s="5" t="s">
        <v>10</v>
      </c>
    </row>
    <row r="28" spans="1:22" ht="16">
      <c r="A28" s="43" t="s">
        <v>53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22">
      <c r="A29" s="10" t="s">
        <v>25</v>
      </c>
      <c r="B29" s="9" t="s">
        <v>181</v>
      </c>
      <c r="C29" s="9" t="s">
        <v>182</v>
      </c>
      <c r="D29" s="9" t="s">
        <v>183</v>
      </c>
      <c r="E29" s="9" t="s">
        <v>476</v>
      </c>
      <c r="F29" s="9" t="s">
        <v>428</v>
      </c>
      <c r="G29" s="9" t="s">
        <v>33</v>
      </c>
      <c r="H29" s="20" t="s">
        <v>40</v>
      </c>
      <c r="I29" s="19" t="s">
        <v>40</v>
      </c>
      <c r="J29" s="19" t="s">
        <v>46</v>
      </c>
      <c r="K29" s="10"/>
      <c r="L29" s="19" t="s">
        <v>157</v>
      </c>
      <c r="M29" s="20" t="s">
        <v>61</v>
      </c>
      <c r="N29" s="20" t="s">
        <v>61</v>
      </c>
      <c r="O29" s="10"/>
      <c r="P29" s="19" t="s">
        <v>51</v>
      </c>
      <c r="Q29" s="20" t="s">
        <v>184</v>
      </c>
      <c r="R29" s="20" t="s">
        <v>184</v>
      </c>
      <c r="S29" s="10"/>
      <c r="T29" s="10" t="str">
        <f>"730,0"</f>
        <v>730,0</v>
      </c>
      <c r="U29" s="10" t="str">
        <f>"423,1810"</f>
        <v>423,1810</v>
      </c>
      <c r="V29" s="9"/>
    </row>
    <row r="30" spans="1:22">
      <c r="B30" s="5" t="s">
        <v>10</v>
      </c>
    </row>
    <row r="31" spans="1:22">
      <c r="B31" s="5" t="s">
        <v>10</v>
      </c>
    </row>
    <row r="32" spans="1:22">
      <c r="B32" s="5" t="s">
        <v>10</v>
      </c>
    </row>
    <row r="33" spans="2:7" ht="18">
      <c r="B33" s="8" t="s">
        <v>8</v>
      </c>
      <c r="C33" s="8"/>
    </row>
    <row r="34" spans="2:7" ht="16">
      <c r="B34" s="15" t="s">
        <v>23</v>
      </c>
      <c r="C34" s="15"/>
      <c r="G34" s="3"/>
    </row>
    <row r="35" spans="2:7" ht="14">
      <c r="B35" s="16"/>
      <c r="C35" s="17" t="s">
        <v>22</v>
      </c>
      <c r="G35" s="3"/>
    </row>
    <row r="36" spans="2:7" ht="14">
      <c r="B36" s="18" t="s">
        <v>17</v>
      </c>
      <c r="C36" s="18" t="s">
        <v>18</v>
      </c>
      <c r="D36" s="18" t="s">
        <v>456</v>
      </c>
      <c r="E36" s="18" t="s">
        <v>19</v>
      </c>
      <c r="F36" s="18" t="s">
        <v>68</v>
      </c>
      <c r="G36" s="3"/>
    </row>
    <row r="37" spans="2:7">
      <c r="B37" s="5" t="s">
        <v>158</v>
      </c>
      <c r="C37" s="5" t="s">
        <v>22</v>
      </c>
      <c r="D37" s="6" t="s">
        <v>75</v>
      </c>
      <c r="E37" s="6" t="s">
        <v>187</v>
      </c>
      <c r="F37" s="6" t="s">
        <v>188</v>
      </c>
      <c r="G37" s="3"/>
    </row>
    <row r="38" spans="2:7">
      <c r="B38" s="5" t="s">
        <v>181</v>
      </c>
      <c r="C38" s="5" t="s">
        <v>22</v>
      </c>
      <c r="D38" s="6" t="s">
        <v>69</v>
      </c>
      <c r="E38" s="6" t="s">
        <v>189</v>
      </c>
      <c r="F38" s="6" t="s">
        <v>190</v>
      </c>
      <c r="G38" s="3"/>
    </row>
    <row r="39" spans="2:7">
      <c r="B39" s="5" t="s">
        <v>171</v>
      </c>
      <c r="C39" s="5" t="s">
        <v>22</v>
      </c>
      <c r="D39" s="6" t="s">
        <v>24</v>
      </c>
      <c r="E39" s="6" t="s">
        <v>191</v>
      </c>
      <c r="F39" s="6" t="s">
        <v>192</v>
      </c>
    </row>
  </sheetData>
  <mergeCells count="22">
    <mergeCell ref="T3:T4"/>
    <mergeCell ref="U3:U4"/>
    <mergeCell ref="V3:V4"/>
    <mergeCell ref="A5:S5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28:S28"/>
    <mergeCell ref="B3:B4"/>
    <mergeCell ref="A8:S8"/>
    <mergeCell ref="A11:S11"/>
    <mergeCell ref="A14:S14"/>
    <mergeCell ref="A17:S17"/>
    <mergeCell ref="A20:S20"/>
    <mergeCell ref="A24:S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16"/>
  <sheetViews>
    <sheetView workbookViewId="0">
      <selection sqref="A1:V2"/>
    </sheetView>
  </sheetViews>
  <sheetFormatPr baseColWidth="10" defaultColWidth="9.1640625" defaultRowHeight="13"/>
  <cols>
    <col min="1" max="1" width="7.1640625" style="5" bestFit="1" customWidth="1"/>
    <col min="2" max="2" width="20.1640625" style="5" bestFit="1" customWidth="1"/>
    <col min="3" max="3" width="26" style="5" bestFit="1" customWidth="1"/>
    <col min="4" max="4" width="21" style="5" bestFit="1" customWidth="1"/>
    <col min="5" max="5" width="10.1640625" style="5" bestFit="1" customWidth="1"/>
    <col min="6" max="6" width="15.33203125" style="5" customWidth="1"/>
    <col min="7" max="7" width="40" style="5" customWidth="1"/>
    <col min="8" max="10" width="5.33203125" style="6" customWidth="1"/>
    <col min="11" max="11" width="4.6640625" style="6" customWidth="1"/>
    <col min="12" max="18" width="5.33203125" style="6" customWidth="1"/>
    <col min="19" max="19" width="4.6640625" style="6" customWidth="1"/>
    <col min="20" max="20" width="7.6640625" style="6" bestFit="1" customWidth="1"/>
    <col min="21" max="21" width="8.33203125" style="6" bestFit="1" customWidth="1"/>
    <col min="22" max="22" width="17.1640625" style="5" bestFit="1" customWidth="1"/>
    <col min="23" max="16384" width="9.1640625" style="3"/>
  </cols>
  <sheetData>
    <row r="1" spans="1:22" s="2" customFormat="1" ht="29" customHeight="1">
      <c r="A1" s="55" t="s">
        <v>451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2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</row>
    <row r="3" spans="1:22" s="1" customFormat="1" ht="12.75" customHeight="1">
      <c r="A3" s="63" t="s">
        <v>472</v>
      </c>
      <c r="B3" s="53" t="s">
        <v>0</v>
      </c>
      <c r="C3" s="65" t="s">
        <v>474</v>
      </c>
      <c r="D3" s="65" t="s">
        <v>7</v>
      </c>
      <c r="E3" s="47" t="s">
        <v>475</v>
      </c>
      <c r="F3" s="47" t="s">
        <v>4</v>
      </c>
      <c r="G3" s="47" t="s">
        <v>6</v>
      </c>
      <c r="H3" s="47" t="s">
        <v>26</v>
      </c>
      <c r="I3" s="47"/>
      <c r="J3" s="47"/>
      <c r="K3" s="47"/>
      <c r="L3" s="47" t="s">
        <v>27</v>
      </c>
      <c r="M3" s="47"/>
      <c r="N3" s="47"/>
      <c r="O3" s="47"/>
      <c r="P3" s="47" t="s">
        <v>28</v>
      </c>
      <c r="Q3" s="47"/>
      <c r="R3" s="47"/>
      <c r="S3" s="47"/>
      <c r="T3" s="47" t="s">
        <v>1</v>
      </c>
      <c r="U3" s="47" t="s">
        <v>3</v>
      </c>
      <c r="V3" s="49" t="s">
        <v>2</v>
      </c>
    </row>
    <row r="4" spans="1:22" s="1" customFormat="1" ht="21" customHeight="1" thickBot="1">
      <c r="A4" s="64"/>
      <c r="B4" s="54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48"/>
      <c r="U4" s="48"/>
      <c r="V4" s="50"/>
    </row>
    <row r="5" spans="1:22" ht="16">
      <c r="A5" s="51" t="s">
        <v>78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22">
      <c r="A6" s="10" t="s">
        <v>25</v>
      </c>
      <c r="B6" s="9" t="s">
        <v>79</v>
      </c>
      <c r="C6" s="9" t="s">
        <v>80</v>
      </c>
      <c r="D6" s="9" t="s">
        <v>81</v>
      </c>
      <c r="E6" s="9" t="s">
        <v>479</v>
      </c>
      <c r="F6" s="9" t="s">
        <v>82</v>
      </c>
      <c r="G6" s="9" t="s">
        <v>463</v>
      </c>
      <c r="H6" s="19" t="s">
        <v>83</v>
      </c>
      <c r="I6" s="19" t="s">
        <v>84</v>
      </c>
      <c r="J6" s="19" t="s">
        <v>85</v>
      </c>
      <c r="K6" s="10"/>
      <c r="L6" s="19" t="s">
        <v>86</v>
      </c>
      <c r="M6" s="19" t="s">
        <v>87</v>
      </c>
      <c r="N6" s="20" t="s">
        <v>88</v>
      </c>
      <c r="O6" s="10"/>
      <c r="P6" s="19" t="s">
        <v>89</v>
      </c>
      <c r="Q6" s="19" t="s">
        <v>90</v>
      </c>
      <c r="R6" s="19" t="s">
        <v>91</v>
      </c>
      <c r="S6" s="10"/>
      <c r="T6" s="10" t="str">
        <f>"315,0"</f>
        <v>315,0</v>
      </c>
      <c r="U6" s="10" t="str">
        <f>"247,9680"</f>
        <v>247,9680</v>
      </c>
      <c r="V6" s="9" t="s">
        <v>437</v>
      </c>
    </row>
    <row r="7" spans="1:22">
      <c r="B7" s="5" t="s">
        <v>10</v>
      </c>
    </row>
    <row r="8" spans="1:22" ht="16">
      <c r="A8" s="43" t="s">
        <v>29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2">
      <c r="A9" s="10" t="s">
        <v>25</v>
      </c>
      <c r="B9" s="9" t="s">
        <v>92</v>
      </c>
      <c r="C9" s="9" t="s">
        <v>93</v>
      </c>
      <c r="D9" s="9" t="s">
        <v>94</v>
      </c>
      <c r="E9" s="9" t="s">
        <v>476</v>
      </c>
      <c r="F9" s="9" t="s">
        <v>57</v>
      </c>
      <c r="G9" s="9" t="s">
        <v>453</v>
      </c>
      <c r="H9" s="20" t="s">
        <v>61</v>
      </c>
      <c r="I9" s="19" t="s">
        <v>61</v>
      </c>
      <c r="J9" s="19" t="s">
        <v>34</v>
      </c>
      <c r="K9" s="10"/>
      <c r="L9" s="19" t="s">
        <v>37</v>
      </c>
      <c r="M9" s="19" t="s">
        <v>38</v>
      </c>
      <c r="N9" s="20" t="s">
        <v>95</v>
      </c>
      <c r="O9" s="10"/>
      <c r="P9" s="19" t="s">
        <v>35</v>
      </c>
      <c r="Q9" s="19" t="s">
        <v>36</v>
      </c>
      <c r="R9" s="19" t="s">
        <v>96</v>
      </c>
      <c r="S9" s="10"/>
      <c r="T9" s="10" t="str">
        <f>"562,5"</f>
        <v>562,5</v>
      </c>
      <c r="U9" s="10" t="str">
        <f>"359,1000"</f>
        <v>359,1000</v>
      </c>
      <c r="V9" s="9" t="s">
        <v>97</v>
      </c>
    </row>
    <row r="10" spans="1:22">
      <c r="B10" s="5" t="s">
        <v>10</v>
      </c>
    </row>
    <row r="11" spans="1:22" ht="16">
      <c r="A11" s="43" t="s">
        <v>16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22">
      <c r="A12" s="10" t="s">
        <v>25</v>
      </c>
      <c r="B12" s="9" t="s">
        <v>98</v>
      </c>
      <c r="C12" s="9" t="s">
        <v>99</v>
      </c>
      <c r="D12" s="9" t="s">
        <v>100</v>
      </c>
      <c r="E12" s="9" t="s">
        <v>476</v>
      </c>
      <c r="F12" s="9" t="s">
        <v>101</v>
      </c>
      <c r="G12" s="9" t="s">
        <v>455</v>
      </c>
      <c r="H12" s="19" t="s">
        <v>36</v>
      </c>
      <c r="I12" s="19" t="s">
        <v>102</v>
      </c>
      <c r="J12" s="20" t="s">
        <v>39</v>
      </c>
      <c r="K12" s="10"/>
      <c r="L12" s="19" t="s">
        <v>38</v>
      </c>
      <c r="M12" s="20" t="s">
        <v>47</v>
      </c>
      <c r="N12" s="20" t="s">
        <v>47</v>
      </c>
      <c r="O12" s="10"/>
      <c r="P12" s="19" t="s">
        <v>102</v>
      </c>
      <c r="Q12" s="19" t="s">
        <v>40</v>
      </c>
      <c r="R12" s="19" t="s">
        <v>58</v>
      </c>
      <c r="S12" s="10"/>
      <c r="T12" s="10" t="str">
        <f>"640,0"</f>
        <v>640,0</v>
      </c>
      <c r="U12" s="10" t="str">
        <f>"383,7440"</f>
        <v>383,7440</v>
      </c>
      <c r="V12" s="9" t="s">
        <v>103</v>
      </c>
    </row>
    <row r="13" spans="1:22">
      <c r="B13" s="5" t="s">
        <v>10</v>
      </c>
    </row>
    <row r="14" spans="1:22" ht="16">
      <c r="A14" s="43" t="s">
        <v>104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22">
      <c r="A15" s="10" t="s">
        <v>25</v>
      </c>
      <c r="B15" s="9" t="s">
        <v>105</v>
      </c>
      <c r="C15" s="9" t="s">
        <v>106</v>
      </c>
      <c r="D15" s="9" t="s">
        <v>107</v>
      </c>
      <c r="E15" s="9" t="s">
        <v>476</v>
      </c>
      <c r="F15" s="9" t="s">
        <v>101</v>
      </c>
      <c r="G15" s="9" t="s">
        <v>108</v>
      </c>
      <c r="H15" s="19" t="s">
        <v>40</v>
      </c>
      <c r="I15" s="19" t="s">
        <v>109</v>
      </c>
      <c r="J15" s="19" t="s">
        <v>51</v>
      </c>
      <c r="K15" s="10"/>
      <c r="L15" s="19" t="s">
        <v>34</v>
      </c>
      <c r="M15" s="19" t="s">
        <v>63</v>
      </c>
      <c r="N15" s="19" t="s">
        <v>36</v>
      </c>
      <c r="O15" s="10"/>
      <c r="P15" s="19" t="s">
        <v>40</v>
      </c>
      <c r="Q15" s="19" t="s">
        <v>46</v>
      </c>
      <c r="R15" s="20" t="s">
        <v>110</v>
      </c>
      <c r="S15" s="10"/>
      <c r="T15" s="10" t="str">
        <f>"770,0"</f>
        <v>770,0</v>
      </c>
      <c r="U15" s="10" t="str">
        <f>"430,2760"</f>
        <v>430,2760</v>
      </c>
      <c r="V15" s="9" t="s">
        <v>52</v>
      </c>
    </row>
    <row r="16" spans="1:22">
      <c r="B16" s="5" t="s">
        <v>10</v>
      </c>
    </row>
  </sheetData>
  <mergeCells count="18">
    <mergeCell ref="U3:U4"/>
    <mergeCell ref="V3:V4"/>
    <mergeCell ref="A5:S5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8:S8"/>
    <mergeCell ref="A11:S11"/>
    <mergeCell ref="A14:S14"/>
    <mergeCell ref="B3:B4"/>
    <mergeCell ref="T3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23"/>
  <sheetViews>
    <sheetView workbookViewId="0">
      <selection sqref="A1:V2"/>
    </sheetView>
  </sheetViews>
  <sheetFormatPr baseColWidth="10" defaultColWidth="9.1640625" defaultRowHeight="13"/>
  <cols>
    <col min="1" max="1" width="7.1640625" style="5" bestFit="1" customWidth="1"/>
    <col min="2" max="2" width="18" style="5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2.6640625" style="5" bestFit="1" customWidth="1"/>
    <col min="7" max="7" width="29.83203125" style="5" bestFit="1" customWidth="1"/>
    <col min="8" max="10" width="5.33203125" style="6" customWidth="1"/>
    <col min="11" max="11" width="4.6640625" style="6" customWidth="1"/>
    <col min="12" max="14" width="5.33203125" style="6" customWidth="1"/>
    <col min="15" max="15" width="4.6640625" style="6" customWidth="1"/>
    <col min="16" max="18" width="5.33203125" style="6" customWidth="1"/>
    <col min="19" max="19" width="4.6640625" style="6" customWidth="1"/>
    <col min="20" max="20" width="7.6640625" style="6" bestFit="1" customWidth="1"/>
    <col min="21" max="21" width="8.33203125" style="6" bestFit="1" customWidth="1"/>
    <col min="22" max="22" width="16.33203125" style="5" bestFit="1" customWidth="1"/>
    <col min="23" max="16384" width="9.1640625" style="3"/>
  </cols>
  <sheetData>
    <row r="1" spans="1:22" s="2" customFormat="1" ht="29" customHeight="1">
      <c r="A1" s="55" t="s">
        <v>452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2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</row>
    <row r="3" spans="1:22" s="1" customFormat="1" ht="12.75" customHeight="1">
      <c r="A3" s="63" t="s">
        <v>472</v>
      </c>
      <c r="B3" s="53" t="s">
        <v>0</v>
      </c>
      <c r="C3" s="65" t="s">
        <v>474</v>
      </c>
      <c r="D3" s="65" t="s">
        <v>7</v>
      </c>
      <c r="E3" s="47" t="s">
        <v>475</v>
      </c>
      <c r="F3" s="47" t="s">
        <v>4</v>
      </c>
      <c r="G3" s="47" t="s">
        <v>6</v>
      </c>
      <c r="H3" s="47" t="s">
        <v>26</v>
      </c>
      <c r="I3" s="47"/>
      <c r="J3" s="47"/>
      <c r="K3" s="47"/>
      <c r="L3" s="47" t="s">
        <v>27</v>
      </c>
      <c r="M3" s="47"/>
      <c r="N3" s="47"/>
      <c r="O3" s="47"/>
      <c r="P3" s="47" t="s">
        <v>28</v>
      </c>
      <c r="Q3" s="47"/>
      <c r="R3" s="47"/>
      <c r="S3" s="47"/>
      <c r="T3" s="47" t="s">
        <v>1</v>
      </c>
      <c r="U3" s="47" t="s">
        <v>3</v>
      </c>
      <c r="V3" s="49" t="s">
        <v>2</v>
      </c>
    </row>
    <row r="4" spans="1:22" s="1" customFormat="1" ht="21" customHeight="1" thickBot="1">
      <c r="A4" s="64"/>
      <c r="B4" s="54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48"/>
      <c r="U4" s="48"/>
      <c r="V4" s="50"/>
    </row>
    <row r="5" spans="1:22" ht="16">
      <c r="A5" s="51" t="s">
        <v>29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22">
      <c r="A6" s="10" t="s">
        <v>25</v>
      </c>
      <c r="B6" s="9" t="s">
        <v>30</v>
      </c>
      <c r="C6" s="9" t="s">
        <v>31</v>
      </c>
      <c r="D6" s="9" t="s">
        <v>32</v>
      </c>
      <c r="E6" s="9" t="s">
        <v>476</v>
      </c>
      <c r="F6" s="9" t="s">
        <v>428</v>
      </c>
      <c r="G6" s="9" t="s">
        <v>33</v>
      </c>
      <c r="H6" s="19" t="s">
        <v>34</v>
      </c>
      <c r="I6" s="19" t="s">
        <v>35</v>
      </c>
      <c r="J6" s="19" t="s">
        <v>36</v>
      </c>
      <c r="K6" s="10"/>
      <c r="L6" s="19" t="s">
        <v>37</v>
      </c>
      <c r="M6" s="20" t="s">
        <v>38</v>
      </c>
      <c r="N6" s="19" t="s">
        <v>38</v>
      </c>
      <c r="O6" s="10"/>
      <c r="P6" s="19" t="s">
        <v>39</v>
      </c>
      <c r="Q6" s="19" t="s">
        <v>40</v>
      </c>
      <c r="R6" s="10"/>
      <c r="S6" s="10"/>
      <c r="T6" s="10" t="str">
        <f>"610,0"</f>
        <v>610,0</v>
      </c>
      <c r="U6" s="10" t="str">
        <f>"389,8510"</f>
        <v>389,8510</v>
      </c>
      <c r="V6" s="9" t="s">
        <v>431</v>
      </c>
    </row>
    <row r="7" spans="1:22">
      <c r="B7" s="5" t="s">
        <v>10</v>
      </c>
    </row>
    <row r="8" spans="1:22" ht="16">
      <c r="A8" s="43" t="s">
        <v>41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2">
      <c r="A9" s="10" t="s">
        <v>25</v>
      </c>
      <c r="B9" s="9" t="s">
        <v>42</v>
      </c>
      <c r="C9" s="9" t="s">
        <v>43</v>
      </c>
      <c r="D9" s="9" t="s">
        <v>44</v>
      </c>
      <c r="E9" s="9" t="s">
        <v>476</v>
      </c>
      <c r="F9" s="9" t="s">
        <v>428</v>
      </c>
      <c r="G9" s="9" t="s">
        <v>462</v>
      </c>
      <c r="H9" s="19" t="s">
        <v>40</v>
      </c>
      <c r="I9" s="19" t="s">
        <v>45</v>
      </c>
      <c r="J9" s="19" t="s">
        <v>46</v>
      </c>
      <c r="K9" s="10"/>
      <c r="L9" s="19" t="s">
        <v>47</v>
      </c>
      <c r="M9" s="19" t="s">
        <v>48</v>
      </c>
      <c r="N9" s="19" t="s">
        <v>49</v>
      </c>
      <c r="O9" s="10"/>
      <c r="P9" s="19" t="s">
        <v>46</v>
      </c>
      <c r="Q9" s="19" t="s">
        <v>50</v>
      </c>
      <c r="R9" s="19" t="s">
        <v>51</v>
      </c>
      <c r="S9" s="10"/>
      <c r="T9" s="10" t="str">
        <f>"732,5"</f>
        <v>732,5</v>
      </c>
      <c r="U9" s="10" t="str">
        <f>"445,7995"</f>
        <v>445,7995</v>
      </c>
      <c r="V9" s="9" t="s">
        <v>52</v>
      </c>
    </row>
    <row r="10" spans="1:22">
      <c r="B10" s="5" t="s">
        <v>10</v>
      </c>
    </row>
    <row r="11" spans="1:22" ht="16">
      <c r="A11" s="43" t="s">
        <v>53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22">
      <c r="A12" s="12" t="s">
        <v>25</v>
      </c>
      <c r="B12" s="11" t="s">
        <v>54</v>
      </c>
      <c r="C12" s="11" t="s">
        <v>55</v>
      </c>
      <c r="D12" s="11" t="s">
        <v>56</v>
      </c>
      <c r="E12" s="11" t="s">
        <v>476</v>
      </c>
      <c r="F12" s="11" t="s">
        <v>57</v>
      </c>
      <c r="G12" s="11" t="s">
        <v>453</v>
      </c>
      <c r="H12" s="21" t="s">
        <v>58</v>
      </c>
      <c r="I12" s="21" t="s">
        <v>59</v>
      </c>
      <c r="J12" s="21" t="s">
        <v>60</v>
      </c>
      <c r="K12" s="12"/>
      <c r="L12" s="21" t="s">
        <v>61</v>
      </c>
      <c r="M12" s="21" t="s">
        <v>62</v>
      </c>
      <c r="N12" s="21" t="s">
        <v>63</v>
      </c>
      <c r="O12" s="12"/>
      <c r="P12" s="21" t="s">
        <v>59</v>
      </c>
      <c r="Q12" s="21" t="s">
        <v>64</v>
      </c>
      <c r="R12" s="21" t="s">
        <v>65</v>
      </c>
      <c r="S12" s="12"/>
      <c r="T12" s="12" t="str">
        <f>"810,0"</f>
        <v>810,0</v>
      </c>
      <c r="U12" s="12" t="str">
        <f>"463,9680"</f>
        <v>463,9680</v>
      </c>
      <c r="V12" s="11" t="s">
        <v>66</v>
      </c>
    </row>
    <row r="13" spans="1:22">
      <c r="A13" s="14" t="s">
        <v>25</v>
      </c>
      <c r="B13" s="13" t="s">
        <v>54</v>
      </c>
      <c r="C13" s="13" t="s">
        <v>67</v>
      </c>
      <c r="D13" s="13" t="s">
        <v>56</v>
      </c>
      <c r="E13" s="13" t="s">
        <v>477</v>
      </c>
      <c r="F13" s="13" t="s">
        <v>57</v>
      </c>
      <c r="G13" s="13" t="s">
        <v>453</v>
      </c>
      <c r="H13" s="22" t="s">
        <v>58</v>
      </c>
      <c r="I13" s="22" t="s">
        <v>59</v>
      </c>
      <c r="J13" s="22" t="s">
        <v>60</v>
      </c>
      <c r="K13" s="14"/>
      <c r="L13" s="22" t="s">
        <v>61</v>
      </c>
      <c r="M13" s="22" t="s">
        <v>62</v>
      </c>
      <c r="N13" s="22" t="s">
        <v>63</v>
      </c>
      <c r="O13" s="14"/>
      <c r="P13" s="22" t="s">
        <v>59</v>
      </c>
      <c r="Q13" s="22" t="s">
        <v>64</v>
      </c>
      <c r="R13" s="22" t="s">
        <v>65</v>
      </c>
      <c r="S13" s="14"/>
      <c r="T13" s="14" t="str">
        <f>"810,0"</f>
        <v>810,0</v>
      </c>
      <c r="U13" s="14" t="str">
        <f>"476,9591"</f>
        <v>476,9591</v>
      </c>
      <c r="V13" s="13" t="s">
        <v>66</v>
      </c>
    </row>
    <row r="14" spans="1:22">
      <c r="B14" s="5" t="s">
        <v>10</v>
      </c>
    </row>
    <row r="15" spans="1:22">
      <c r="B15" s="5" t="s">
        <v>10</v>
      </c>
    </row>
    <row r="16" spans="1:22">
      <c r="B16" s="5" t="s">
        <v>10</v>
      </c>
    </row>
    <row r="17" spans="2:6" ht="18">
      <c r="B17" s="8" t="s">
        <v>8</v>
      </c>
      <c r="C17" s="8"/>
    </row>
    <row r="18" spans="2:6" ht="16">
      <c r="B18" s="15" t="s">
        <v>23</v>
      </c>
      <c r="C18" s="15"/>
    </row>
    <row r="19" spans="2:6" ht="14">
      <c r="B19" s="16"/>
      <c r="C19" s="17" t="s">
        <v>22</v>
      </c>
    </row>
    <row r="20" spans="2:6" ht="14">
      <c r="B20" s="18" t="s">
        <v>17</v>
      </c>
      <c r="C20" s="18" t="s">
        <v>18</v>
      </c>
      <c r="D20" s="18" t="s">
        <v>456</v>
      </c>
      <c r="E20" s="18" t="s">
        <v>19</v>
      </c>
      <c r="F20" s="18" t="s">
        <v>68</v>
      </c>
    </row>
    <row r="21" spans="2:6">
      <c r="B21" s="5" t="s">
        <v>54</v>
      </c>
      <c r="C21" s="5" t="s">
        <v>22</v>
      </c>
      <c r="D21" s="6" t="s">
        <v>69</v>
      </c>
      <c r="E21" s="6" t="s">
        <v>70</v>
      </c>
      <c r="F21" s="6" t="s">
        <v>71</v>
      </c>
    </row>
    <row r="22" spans="2:6">
      <c r="B22" s="5" t="s">
        <v>42</v>
      </c>
      <c r="C22" s="5" t="s">
        <v>22</v>
      </c>
      <c r="D22" s="6" t="s">
        <v>72</v>
      </c>
      <c r="E22" s="6" t="s">
        <v>73</v>
      </c>
      <c r="F22" s="6" t="s">
        <v>74</v>
      </c>
    </row>
    <row r="23" spans="2:6">
      <c r="B23" s="5" t="s">
        <v>30</v>
      </c>
      <c r="C23" s="5" t="s">
        <v>22</v>
      </c>
      <c r="D23" s="6" t="s">
        <v>75</v>
      </c>
      <c r="E23" s="6" t="s">
        <v>76</v>
      </c>
      <c r="F23" s="6" t="s">
        <v>77</v>
      </c>
    </row>
  </sheetData>
  <mergeCells count="17">
    <mergeCell ref="V3:V4"/>
    <mergeCell ref="A5:S5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8:S8"/>
    <mergeCell ref="A11:S11"/>
    <mergeCell ref="B3:B4"/>
    <mergeCell ref="T3:T4"/>
    <mergeCell ref="U3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9"/>
  <sheetViews>
    <sheetView workbookViewId="0">
      <selection sqref="A1:R2"/>
    </sheetView>
  </sheetViews>
  <sheetFormatPr baseColWidth="10" defaultColWidth="9.1640625" defaultRowHeight="13"/>
  <cols>
    <col min="1" max="1" width="7.1640625" style="5" bestFit="1" customWidth="1"/>
    <col min="2" max="2" width="21.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2.6640625" style="5" bestFit="1" customWidth="1"/>
    <col min="7" max="7" width="38.33203125" style="5" bestFit="1" customWidth="1"/>
    <col min="8" max="10" width="5.33203125" style="6" customWidth="1"/>
    <col min="11" max="11" width="4.6640625" style="6" customWidth="1"/>
    <col min="12" max="15" width="5.33203125" style="6" customWidth="1"/>
    <col min="16" max="16" width="7.6640625" style="6" bestFit="1" customWidth="1"/>
    <col min="17" max="17" width="8.33203125" style="6" bestFit="1" customWidth="1"/>
    <col min="18" max="18" width="16.5" style="5" bestFit="1" customWidth="1"/>
    <col min="19" max="16384" width="9.1640625" style="3"/>
  </cols>
  <sheetData>
    <row r="1" spans="1:18" s="2" customFormat="1" ht="29" customHeight="1">
      <c r="A1" s="55" t="s">
        <v>439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8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spans="1:18" s="1" customFormat="1" ht="12.75" customHeight="1">
      <c r="A3" s="63" t="s">
        <v>472</v>
      </c>
      <c r="B3" s="53" t="s">
        <v>0</v>
      </c>
      <c r="C3" s="65" t="s">
        <v>474</v>
      </c>
      <c r="D3" s="65" t="s">
        <v>7</v>
      </c>
      <c r="E3" s="47" t="s">
        <v>475</v>
      </c>
      <c r="F3" s="47" t="s">
        <v>4</v>
      </c>
      <c r="G3" s="47" t="s">
        <v>6</v>
      </c>
      <c r="H3" s="47" t="s">
        <v>27</v>
      </c>
      <c r="I3" s="47"/>
      <c r="J3" s="47"/>
      <c r="K3" s="47"/>
      <c r="L3" s="47" t="s">
        <v>28</v>
      </c>
      <c r="M3" s="47"/>
      <c r="N3" s="47"/>
      <c r="O3" s="47"/>
      <c r="P3" s="47" t="s">
        <v>1</v>
      </c>
      <c r="Q3" s="47" t="s">
        <v>3</v>
      </c>
      <c r="R3" s="49" t="s">
        <v>2</v>
      </c>
    </row>
    <row r="4" spans="1:18" s="1" customFormat="1" ht="21" customHeight="1" thickBot="1">
      <c r="A4" s="64"/>
      <c r="B4" s="54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8"/>
      <c r="Q4" s="48"/>
      <c r="R4" s="50"/>
    </row>
    <row r="5" spans="1:18" ht="16">
      <c r="A5" s="51" t="s">
        <v>116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8">
      <c r="A6" s="10" t="s">
        <v>25</v>
      </c>
      <c r="B6" s="9" t="s">
        <v>205</v>
      </c>
      <c r="C6" s="9" t="s">
        <v>206</v>
      </c>
      <c r="D6" s="9" t="s">
        <v>207</v>
      </c>
      <c r="E6" s="9" t="s">
        <v>476</v>
      </c>
      <c r="F6" s="9" t="s">
        <v>428</v>
      </c>
      <c r="G6" s="9" t="s">
        <v>177</v>
      </c>
      <c r="H6" s="19" t="s">
        <v>201</v>
      </c>
      <c r="I6" s="20" t="s">
        <v>86</v>
      </c>
      <c r="J6" s="19" t="s">
        <v>86</v>
      </c>
      <c r="K6" s="10"/>
      <c r="L6" s="19" t="s">
        <v>120</v>
      </c>
      <c r="M6" s="19" t="s">
        <v>209</v>
      </c>
      <c r="N6" s="19" t="s">
        <v>90</v>
      </c>
      <c r="O6" s="10"/>
      <c r="P6" s="10" t="str">
        <f>"185,0"</f>
        <v>185,0</v>
      </c>
      <c r="Q6" s="10" t="str">
        <f>"222,9990"</f>
        <v>222,9990</v>
      </c>
      <c r="R6" s="9"/>
    </row>
    <row r="7" spans="1:18">
      <c r="B7" s="5" t="s">
        <v>10</v>
      </c>
    </row>
    <row r="8" spans="1:18" ht="16">
      <c r="A8" s="43" t="s">
        <v>78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8">
      <c r="A9" s="10" t="s">
        <v>25</v>
      </c>
      <c r="B9" s="9" t="s">
        <v>12</v>
      </c>
      <c r="C9" s="9" t="s">
        <v>13</v>
      </c>
      <c r="D9" s="9" t="s">
        <v>14</v>
      </c>
      <c r="E9" s="9" t="s">
        <v>478</v>
      </c>
      <c r="F9" s="9" t="s">
        <v>428</v>
      </c>
      <c r="G9" s="9" t="s">
        <v>15</v>
      </c>
      <c r="H9" s="19" t="s">
        <v>215</v>
      </c>
      <c r="I9" s="20" t="s">
        <v>216</v>
      </c>
      <c r="J9" s="20" t="s">
        <v>216</v>
      </c>
      <c r="K9" s="10"/>
      <c r="L9" s="19" t="s">
        <v>89</v>
      </c>
      <c r="M9" s="19" t="s">
        <v>90</v>
      </c>
      <c r="N9" s="20" t="s">
        <v>37</v>
      </c>
      <c r="O9" s="10"/>
      <c r="P9" s="10" t="str">
        <f>"177,5"</f>
        <v>177,5</v>
      </c>
      <c r="Q9" s="10" t="str">
        <f>"181,1565"</f>
        <v>181,1565</v>
      </c>
      <c r="R9" s="9"/>
    </row>
    <row r="10" spans="1:18">
      <c r="B10" s="5" t="s">
        <v>10</v>
      </c>
    </row>
    <row r="11" spans="1:18" ht="16">
      <c r="A11" s="43" t="s">
        <v>210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8">
      <c r="A12" s="12" t="s">
        <v>25</v>
      </c>
      <c r="B12" s="11" t="s">
        <v>237</v>
      </c>
      <c r="C12" s="11" t="s">
        <v>238</v>
      </c>
      <c r="D12" s="11" t="s">
        <v>239</v>
      </c>
      <c r="E12" s="11" t="s">
        <v>479</v>
      </c>
      <c r="F12" s="11" t="s">
        <v>167</v>
      </c>
      <c r="G12" s="11" t="s">
        <v>15</v>
      </c>
      <c r="H12" s="21" t="s">
        <v>232</v>
      </c>
      <c r="I12" s="21" t="s">
        <v>242</v>
      </c>
      <c r="J12" s="23" t="s">
        <v>88</v>
      </c>
      <c r="K12" s="12"/>
      <c r="L12" s="21" t="s">
        <v>85</v>
      </c>
      <c r="M12" s="21" t="s">
        <v>156</v>
      </c>
      <c r="N12" s="23" t="s">
        <v>89</v>
      </c>
      <c r="O12" s="12"/>
      <c r="P12" s="12" t="str">
        <f>"187,5"</f>
        <v>187,5</v>
      </c>
      <c r="Q12" s="12" t="str">
        <f>"167,7938"</f>
        <v>167,7938</v>
      </c>
      <c r="R12" s="11" t="s">
        <v>52</v>
      </c>
    </row>
    <row r="13" spans="1:18">
      <c r="A13" s="14" t="s">
        <v>25</v>
      </c>
      <c r="B13" s="13" t="s">
        <v>323</v>
      </c>
      <c r="C13" s="13" t="s">
        <v>324</v>
      </c>
      <c r="D13" s="13" t="s">
        <v>325</v>
      </c>
      <c r="E13" s="13" t="s">
        <v>476</v>
      </c>
      <c r="F13" s="13" t="s">
        <v>101</v>
      </c>
      <c r="G13" s="13" t="s">
        <v>458</v>
      </c>
      <c r="H13" s="22" t="s">
        <v>226</v>
      </c>
      <c r="I13" s="22" t="s">
        <v>156</v>
      </c>
      <c r="J13" s="22" t="s">
        <v>89</v>
      </c>
      <c r="K13" s="14"/>
      <c r="L13" s="22" t="s">
        <v>220</v>
      </c>
      <c r="M13" s="24" t="s">
        <v>326</v>
      </c>
      <c r="N13" s="22" t="s">
        <v>326</v>
      </c>
      <c r="O13" s="22" t="s">
        <v>327</v>
      </c>
      <c r="P13" s="14" t="str">
        <f>"322,5"</f>
        <v>322,5</v>
      </c>
      <c r="Q13" s="14" t="str">
        <f>"275,8987"</f>
        <v>275,8987</v>
      </c>
      <c r="R13" s="13" t="s">
        <v>328</v>
      </c>
    </row>
    <row r="14" spans="1:18">
      <c r="B14" s="5" t="s">
        <v>10</v>
      </c>
    </row>
    <row r="15" spans="1:18" ht="16">
      <c r="A15" s="43" t="s">
        <v>78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8">
      <c r="A16" s="10" t="s">
        <v>25</v>
      </c>
      <c r="B16" s="9" t="s">
        <v>139</v>
      </c>
      <c r="C16" s="9" t="s">
        <v>140</v>
      </c>
      <c r="D16" s="9" t="s">
        <v>141</v>
      </c>
      <c r="E16" s="9" t="s">
        <v>481</v>
      </c>
      <c r="F16" s="9" t="s">
        <v>428</v>
      </c>
      <c r="G16" s="9" t="s">
        <v>454</v>
      </c>
      <c r="H16" s="19" t="s">
        <v>83</v>
      </c>
      <c r="I16" s="20" t="s">
        <v>132</v>
      </c>
      <c r="J16" s="20" t="s">
        <v>132</v>
      </c>
      <c r="K16" s="10"/>
      <c r="L16" s="19" t="s">
        <v>142</v>
      </c>
      <c r="M16" s="19" t="s">
        <v>143</v>
      </c>
      <c r="N16" s="20" t="s">
        <v>144</v>
      </c>
      <c r="O16" s="10"/>
      <c r="P16" s="10" t="str">
        <f>"197,5"</f>
        <v>197,5</v>
      </c>
      <c r="Q16" s="10" t="str">
        <f>"158,4938"</f>
        <v>158,4938</v>
      </c>
      <c r="R16" s="9" t="s">
        <v>145</v>
      </c>
    </row>
    <row r="17" spans="1:18">
      <c r="B17" s="5" t="s">
        <v>10</v>
      </c>
    </row>
    <row r="18" spans="1:18" ht="16">
      <c r="A18" s="43" t="s">
        <v>151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8">
      <c r="A19" s="12" t="s">
        <v>25</v>
      </c>
      <c r="B19" s="11" t="s">
        <v>347</v>
      </c>
      <c r="C19" s="11" t="s">
        <v>348</v>
      </c>
      <c r="D19" s="11" t="s">
        <v>265</v>
      </c>
      <c r="E19" s="11" t="s">
        <v>476</v>
      </c>
      <c r="F19" s="11" t="s">
        <v>101</v>
      </c>
      <c r="G19" s="11" t="s">
        <v>457</v>
      </c>
      <c r="H19" s="21" t="s">
        <v>90</v>
      </c>
      <c r="I19" s="21" t="s">
        <v>155</v>
      </c>
      <c r="J19" s="23" t="s">
        <v>37</v>
      </c>
      <c r="K19" s="12"/>
      <c r="L19" s="21" t="s">
        <v>178</v>
      </c>
      <c r="M19" s="21" t="s">
        <v>349</v>
      </c>
      <c r="N19" s="23" t="s">
        <v>40</v>
      </c>
      <c r="O19" s="12"/>
      <c r="P19" s="12" t="str">
        <f>"370,0"</f>
        <v>370,0</v>
      </c>
      <c r="Q19" s="12" t="str">
        <f>"247,8630"</f>
        <v>247,8630</v>
      </c>
      <c r="R19" s="11" t="s">
        <v>350</v>
      </c>
    </row>
    <row r="20" spans="1:18">
      <c r="A20" s="14" t="s">
        <v>25</v>
      </c>
      <c r="B20" s="13" t="s">
        <v>263</v>
      </c>
      <c r="C20" s="13" t="s">
        <v>264</v>
      </c>
      <c r="D20" s="13" t="s">
        <v>265</v>
      </c>
      <c r="E20" s="13" t="s">
        <v>477</v>
      </c>
      <c r="F20" s="13" t="s">
        <v>82</v>
      </c>
      <c r="G20" s="13" t="s">
        <v>463</v>
      </c>
      <c r="H20" s="22" t="s">
        <v>90</v>
      </c>
      <c r="I20" s="24" t="s">
        <v>37</v>
      </c>
      <c r="J20" s="22" t="s">
        <v>37</v>
      </c>
      <c r="K20" s="14"/>
      <c r="L20" s="22" t="s">
        <v>34</v>
      </c>
      <c r="M20" s="22" t="s">
        <v>63</v>
      </c>
      <c r="N20" s="22" t="s">
        <v>255</v>
      </c>
      <c r="O20" s="14"/>
      <c r="P20" s="14" t="str">
        <f>"355,0"</f>
        <v>355,0</v>
      </c>
      <c r="Q20" s="14" t="str">
        <f>"252,0834"</f>
        <v>252,0834</v>
      </c>
      <c r="R20" s="13"/>
    </row>
    <row r="21" spans="1:18">
      <c r="B21" s="5" t="s">
        <v>10</v>
      </c>
    </row>
    <row r="22" spans="1:18" ht="16">
      <c r="A22" s="43" t="s">
        <v>16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8">
      <c r="A23" s="10" t="s">
        <v>25</v>
      </c>
      <c r="B23" s="9" t="s">
        <v>424</v>
      </c>
      <c r="C23" s="9" t="s">
        <v>425</v>
      </c>
      <c r="D23" s="9" t="s">
        <v>426</v>
      </c>
      <c r="E23" s="9" t="s">
        <v>476</v>
      </c>
      <c r="F23" s="9" t="s">
        <v>101</v>
      </c>
      <c r="G23" s="9" t="s">
        <v>465</v>
      </c>
      <c r="H23" s="19" t="s">
        <v>133</v>
      </c>
      <c r="I23" s="19" t="s">
        <v>84</v>
      </c>
      <c r="J23" s="20" t="s">
        <v>208</v>
      </c>
      <c r="K23" s="10"/>
      <c r="L23" s="19" t="s">
        <v>37</v>
      </c>
      <c r="M23" s="19" t="s">
        <v>251</v>
      </c>
      <c r="N23" s="19" t="s">
        <v>47</v>
      </c>
      <c r="O23" s="10"/>
      <c r="P23" s="10" t="str">
        <f>"255,0"</f>
        <v>255,0</v>
      </c>
      <c r="Q23" s="10" t="str">
        <f>"151,9800"</f>
        <v>151,9800</v>
      </c>
      <c r="R23" s="9" t="s">
        <v>103</v>
      </c>
    </row>
    <row r="24" spans="1:18">
      <c r="B24" s="5" t="s">
        <v>10</v>
      </c>
    </row>
    <row r="25" spans="1:18" ht="16">
      <c r="A25" s="43" t="s">
        <v>53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8">
      <c r="A26" s="10" t="s">
        <v>25</v>
      </c>
      <c r="B26" s="9" t="s">
        <v>275</v>
      </c>
      <c r="C26" s="9" t="s">
        <v>276</v>
      </c>
      <c r="D26" s="9" t="s">
        <v>277</v>
      </c>
      <c r="E26" s="9" t="s">
        <v>476</v>
      </c>
      <c r="F26" s="9" t="s">
        <v>278</v>
      </c>
      <c r="G26" s="9" t="s">
        <v>279</v>
      </c>
      <c r="H26" s="19" t="s">
        <v>157</v>
      </c>
      <c r="I26" s="19" t="s">
        <v>61</v>
      </c>
      <c r="J26" s="19" t="s">
        <v>136</v>
      </c>
      <c r="K26" s="10"/>
      <c r="L26" s="19" t="s">
        <v>46</v>
      </c>
      <c r="M26" s="19" t="s">
        <v>50</v>
      </c>
      <c r="N26" s="20" t="s">
        <v>64</v>
      </c>
      <c r="O26" s="10"/>
      <c r="P26" s="10" t="str">
        <f>"470,0"</f>
        <v>470,0</v>
      </c>
      <c r="Q26" s="10" t="str">
        <f>"269,8740"</f>
        <v>269,8740</v>
      </c>
      <c r="R26" s="9" t="s">
        <v>52</v>
      </c>
    </row>
    <row r="27" spans="1:18">
      <c r="B27" s="5" t="s">
        <v>10</v>
      </c>
    </row>
    <row r="28" spans="1:18" ht="16">
      <c r="B28" s="5" t="s">
        <v>10</v>
      </c>
      <c r="F28" s="7"/>
    </row>
    <row r="29" spans="1:18">
      <c r="B29" s="5" t="s">
        <v>10</v>
      </c>
    </row>
  </sheetData>
  <mergeCells count="20">
    <mergeCell ref="A1:R2"/>
    <mergeCell ref="A3:A4"/>
    <mergeCell ref="C3:C4"/>
    <mergeCell ref="D3:D4"/>
    <mergeCell ref="E3:E4"/>
    <mergeCell ref="F3:F4"/>
    <mergeCell ref="G3:G4"/>
    <mergeCell ref="H3:K3"/>
    <mergeCell ref="L3:O3"/>
    <mergeCell ref="A25:O25"/>
    <mergeCell ref="P3:P4"/>
    <mergeCell ref="Q3:Q4"/>
    <mergeCell ref="R3:R4"/>
    <mergeCell ref="A5:O5"/>
    <mergeCell ref="B3:B4"/>
    <mergeCell ref="A8:O8"/>
    <mergeCell ref="A11:O11"/>
    <mergeCell ref="A15:O15"/>
    <mergeCell ref="A18:O18"/>
    <mergeCell ref="A22:O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8"/>
  <sheetViews>
    <sheetView workbookViewId="0">
      <selection sqref="A1:R2"/>
    </sheetView>
  </sheetViews>
  <sheetFormatPr baseColWidth="10" defaultColWidth="9.1640625" defaultRowHeight="13"/>
  <cols>
    <col min="1" max="1" width="7.1640625" style="5" bestFit="1" customWidth="1"/>
    <col min="2" max="2" width="21.5" style="5" bestFit="1" customWidth="1"/>
    <col min="3" max="3" width="26" style="5" bestFit="1" customWidth="1"/>
    <col min="4" max="4" width="21" style="5" bestFit="1" customWidth="1"/>
    <col min="5" max="5" width="10.1640625" style="5" bestFit="1" customWidth="1"/>
    <col min="6" max="6" width="22.6640625" style="5" bestFit="1" customWidth="1"/>
    <col min="7" max="7" width="38.33203125" style="5" bestFit="1" customWidth="1"/>
    <col min="8" max="10" width="5.33203125" style="6" customWidth="1"/>
    <col min="11" max="11" width="4.6640625" style="6" customWidth="1"/>
    <col min="12" max="14" width="5.33203125" style="6" customWidth="1"/>
    <col min="15" max="15" width="4.6640625" style="6" customWidth="1"/>
    <col min="16" max="16" width="7.6640625" style="6" bestFit="1" customWidth="1"/>
    <col min="17" max="17" width="8.33203125" style="6" bestFit="1" customWidth="1"/>
    <col min="18" max="18" width="20.1640625" style="5" customWidth="1"/>
    <col min="19" max="16384" width="9.1640625" style="3"/>
  </cols>
  <sheetData>
    <row r="1" spans="1:18" s="2" customFormat="1" ht="29" customHeight="1">
      <c r="A1" s="55" t="s">
        <v>440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8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spans="1:18" s="1" customFormat="1" ht="12.75" customHeight="1">
      <c r="A3" s="63" t="s">
        <v>472</v>
      </c>
      <c r="B3" s="53" t="s">
        <v>0</v>
      </c>
      <c r="C3" s="65" t="s">
        <v>474</v>
      </c>
      <c r="D3" s="65" t="s">
        <v>7</v>
      </c>
      <c r="E3" s="47" t="s">
        <v>475</v>
      </c>
      <c r="F3" s="47" t="s">
        <v>4</v>
      </c>
      <c r="G3" s="47" t="s">
        <v>6</v>
      </c>
      <c r="H3" s="47" t="s">
        <v>27</v>
      </c>
      <c r="I3" s="47"/>
      <c r="J3" s="47"/>
      <c r="K3" s="47"/>
      <c r="L3" s="47" t="s">
        <v>28</v>
      </c>
      <c r="M3" s="47"/>
      <c r="N3" s="47"/>
      <c r="O3" s="47"/>
      <c r="P3" s="47" t="s">
        <v>1</v>
      </c>
      <c r="Q3" s="47" t="s">
        <v>3</v>
      </c>
      <c r="R3" s="49" t="s">
        <v>2</v>
      </c>
    </row>
    <row r="4" spans="1:18" s="1" customFormat="1" ht="21" customHeight="1" thickBot="1">
      <c r="A4" s="64"/>
      <c r="B4" s="54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8"/>
      <c r="Q4" s="48"/>
      <c r="R4" s="50"/>
    </row>
    <row r="5" spans="1:18" ht="16">
      <c r="A5" s="51" t="s">
        <v>78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8">
      <c r="A6" s="10" t="s">
        <v>25</v>
      </c>
      <c r="B6" s="9" t="s">
        <v>139</v>
      </c>
      <c r="C6" s="9" t="s">
        <v>140</v>
      </c>
      <c r="D6" s="9" t="s">
        <v>141</v>
      </c>
      <c r="E6" s="9" t="s">
        <v>481</v>
      </c>
      <c r="F6" s="9" t="s">
        <v>428</v>
      </c>
      <c r="G6" s="9" t="s">
        <v>466</v>
      </c>
      <c r="H6" s="19" t="s">
        <v>83</v>
      </c>
      <c r="I6" s="20" t="s">
        <v>132</v>
      </c>
      <c r="J6" s="20" t="s">
        <v>132</v>
      </c>
      <c r="K6" s="10"/>
      <c r="L6" s="19" t="s">
        <v>142</v>
      </c>
      <c r="M6" s="19" t="s">
        <v>143</v>
      </c>
      <c r="N6" s="20" t="s">
        <v>144</v>
      </c>
      <c r="O6" s="10"/>
      <c r="P6" s="10" t="str">
        <f>"197,5"</f>
        <v>197,5</v>
      </c>
      <c r="Q6" s="10" t="str">
        <f>"158,4938"</f>
        <v>158,4938</v>
      </c>
      <c r="R6" s="9" t="s">
        <v>145</v>
      </c>
    </row>
    <row r="7" spans="1:18">
      <c r="B7" s="5" t="s">
        <v>10</v>
      </c>
    </row>
    <row r="8" spans="1:18" ht="16">
      <c r="A8" s="43" t="s">
        <v>29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8">
      <c r="A9" s="10" t="s">
        <v>25</v>
      </c>
      <c r="B9" s="9" t="s">
        <v>164</v>
      </c>
      <c r="C9" s="9" t="s">
        <v>165</v>
      </c>
      <c r="D9" s="9" t="s">
        <v>166</v>
      </c>
      <c r="E9" s="9" t="s">
        <v>476</v>
      </c>
      <c r="F9" s="9" t="s">
        <v>167</v>
      </c>
      <c r="G9" s="9" t="s">
        <v>15</v>
      </c>
      <c r="H9" s="19" t="s">
        <v>168</v>
      </c>
      <c r="I9" s="20" t="s">
        <v>169</v>
      </c>
      <c r="J9" s="20" t="s">
        <v>169</v>
      </c>
      <c r="K9" s="10"/>
      <c r="L9" s="19" t="s">
        <v>58</v>
      </c>
      <c r="M9" s="19" t="s">
        <v>170</v>
      </c>
      <c r="N9" s="20" t="s">
        <v>109</v>
      </c>
      <c r="O9" s="10"/>
      <c r="P9" s="10" t="str">
        <f>"442,5"</f>
        <v>442,5</v>
      </c>
      <c r="Q9" s="10" t="str">
        <f>"282,9788"</f>
        <v>282,9788</v>
      </c>
      <c r="R9" s="9" t="s">
        <v>52</v>
      </c>
    </row>
    <row r="10" spans="1:18">
      <c r="B10" s="5" t="s">
        <v>10</v>
      </c>
    </row>
    <row r="11" spans="1:18" ht="16">
      <c r="A11" s="43" t="s">
        <v>41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8">
      <c r="A12" s="10" t="s">
        <v>25</v>
      </c>
      <c r="B12" s="9" t="s">
        <v>42</v>
      </c>
      <c r="C12" s="9" t="s">
        <v>43</v>
      </c>
      <c r="D12" s="9" t="s">
        <v>44</v>
      </c>
      <c r="E12" s="9" t="s">
        <v>476</v>
      </c>
      <c r="F12" s="9" t="s">
        <v>428</v>
      </c>
      <c r="G12" s="9" t="s">
        <v>462</v>
      </c>
      <c r="H12" s="19" t="s">
        <v>47</v>
      </c>
      <c r="I12" s="19" t="s">
        <v>48</v>
      </c>
      <c r="J12" s="19" t="s">
        <v>49</v>
      </c>
      <c r="K12" s="10"/>
      <c r="L12" s="19" t="s">
        <v>46</v>
      </c>
      <c r="M12" s="19" t="s">
        <v>50</v>
      </c>
      <c r="N12" s="19" t="s">
        <v>51</v>
      </c>
      <c r="O12" s="10"/>
      <c r="P12" s="10" t="str">
        <f>"462,5"</f>
        <v>462,5</v>
      </c>
      <c r="Q12" s="10" t="str">
        <f>"281,4775"</f>
        <v>281,4775</v>
      </c>
      <c r="R12" s="9" t="s">
        <v>52</v>
      </c>
    </row>
    <row r="13" spans="1:18">
      <c r="B13" s="5" t="s">
        <v>10</v>
      </c>
    </row>
    <row r="14" spans="1:18" ht="16">
      <c r="A14" s="43" t="s">
        <v>16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8">
      <c r="A15" s="10" t="s">
        <v>25</v>
      </c>
      <c r="B15" s="9" t="s">
        <v>174</v>
      </c>
      <c r="C15" s="9" t="s">
        <v>175</v>
      </c>
      <c r="D15" s="9" t="s">
        <v>176</v>
      </c>
      <c r="E15" s="9" t="s">
        <v>476</v>
      </c>
      <c r="F15" s="9" t="s">
        <v>428</v>
      </c>
      <c r="G15" s="9" t="s">
        <v>177</v>
      </c>
      <c r="H15" s="19" t="s">
        <v>34</v>
      </c>
      <c r="I15" s="19" t="s">
        <v>62</v>
      </c>
      <c r="J15" s="19" t="s">
        <v>35</v>
      </c>
      <c r="K15" s="10"/>
      <c r="L15" s="19" t="s">
        <v>45</v>
      </c>
      <c r="M15" s="20" t="s">
        <v>109</v>
      </c>
      <c r="N15" s="20" t="s">
        <v>59</v>
      </c>
      <c r="O15" s="10"/>
      <c r="P15" s="10" t="str">
        <f>"465,0"</f>
        <v>465,0</v>
      </c>
      <c r="Q15" s="10" t="str">
        <f>"277,2330"</f>
        <v>277,2330</v>
      </c>
      <c r="R15" s="9" t="s">
        <v>180</v>
      </c>
    </row>
    <row r="16" spans="1:18">
      <c r="B16" s="5" t="s">
        <v>10</v>
      </c>
    </row>
    <row r="17" spans="1:18" ht="16">
      <c r="A17" s="43" t="s">
        <v>53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8">
      <c r="A18" s="10" t="s">
        <v>25</v>
      </c>
      <c r="B18" s="9" t="s">
        <v>181</v>
      </c>
      <c r="C18" s="9" t="s">
        <v>182</v>
      </c>
      <c r="D18" s="9" t="s">
        <v>183</v>
      </c>
      <c r="E18" s="9" t="s">
        <v>476</v>
      </c>
      <c r="F18" s="9" t="s">
        <v>428</v>
      </c>
      <c r="G18" s="9" t="s">
        <v>33</v>
      </c>
      <c r="H18" s="19" t="s">
        <v>157</v>
      </c>
      <c r="I18" s="20" t="s">
        <v>61</v>
      </c>
      <c r="J18" s="20" t="s">
        <v>61</v>
      </c>
      <c r="K18" s="10"/>
      <c r="L18" s="19" t="s">
        <v>51</v>
      </c>
      <c r="M18" s="20" t="s">
        <v>184</v>
      </c>
      <c r="N18" s="20" t="s">
        <v>184</v>
      </c>
      <c r="O18" s="10"/>
      <c r="P18" s="10" t="str">
        <f>"460,0"</f>
        <v>460,0</v>
      </c>
      <c r="Q18" s="10" t="str">
        <f>"266,6620"</f>
        <v>266,6620</v>
      </c>
      <c r="R18" s="9"/>
    </row>
    <row r="19" spans="1:18">
      <c r="B19" s="5" t="s">
        <v>10</v>
      </c>
    </row>
    <row r="20" spans="1:18">
      <c r="B20" s="5" t="s">
        <v>10</v>
      </c>
    </row>
    <row r="21" spans="1:18">
      <c r="B21" s="5" t="s">
        <v>10</v>
      </c>
    </row>
    <row r="22" spans="1:18" ht="18">
      <c r="B22" s="8" t="s">
        <v>8</v>
      </c>
      <c r="C22" s="8"/>
    </row>
    <row r="23" spans="1:18" ht="16">
      <c r="B23" s="15" t="s">
        <v>23</v>
      </c>
      <c r="C23" s="15"/>
    </row>
    <row r="24" spans="1:18" ht="14">
      <c r="B24" s="16"/>
      <c r="C24" s="17" t="s">
        <v>22</v>
      </c>
    </row>
    <row r="25" spans="1:18" ht="14">
      <c r="B25" s="18" t="s">
        <v>17</v>
      </c>
      <c r="C25" s="18" t="s">
        <v>18</v>
      </c>
      <c r="D25" s="18" t="s">
        <v>456</v>
      </c>
      <c r="E25" s="18" t="s">
        <v>19</v>
      </c>
      <c r="F25" s="18" t="s">
        <v>68</v>
      </c>
    </row>
    <row r="26" spans="1:18">
      <c r="B26" s="5" t="s">
        <v>164</v>
      </c>
      <c r="C26" s="5" t="s">
        <v>22</v>
      </c>
      <c r="D26" s="6" t="s">
        <v>75</v>
      </c>
      <c r="E26" s="6" t="s">
        <v>185</v>
      </c>
      <c r="F26" s="6" t="s">
        <v>419</v>
      </c>
    </row>
    <row r="27" spans="1:18">
      <c r="B27" s="5" t="s">
        <v>42</v>
      </c>
      <c r="C27" s="5" t="s">
        <v>22</v>
      </c>
      <c r="D27" s="6" t="s">
        <v>72</v>
      </c>
      <c r="E27" s="6" t="s">
        <v>420</v>
      </c>
      <c r="F27" s="6" t="s">
        <v>421</v>
      </c>
    </row>
    <row r="28" spans="1:18">
      <c r="B28" s="5" t="s">
        <v>174</v>
      </c>
      <c r="C28" s="5" t="s">
        <v>22</v>
      </c>
      <c r="D28" s="6" t="s">
        <v>24</v>
      </c>
      <c r="E28" s="6" t="s">
        <v>422</v>
      </c>
      <c r="F28" s="6" t="s">
        <v>423</v>
      </c>
    </row>
  </sheetData>
  <mergeCells count="18">
    <mergeCell ref="P3:P4"/>
    <mergeCell ref="Q3:Q4"/>
    <mergeCell ref="R3:R4"/>
    <mergeCell ref="A5:O5"/>
    <mergeCell ref="A1:R2"/>
    <mergeCell ref="A3:A4"/>
    <mergeCell ref="C3:C4"/>
    <mergeCell ref="D3:D4"/>
    <mergeCell ref="E3:E4"/>
    <mergeCell ref="F3:F4"/>
    <mergeCell ref="G3:G4"/>
    <mergeCell ref="H3:K3"/>
    <mergeCell ref="L3:O3"/>
    <mergeCell ref="A8:O8"/>
    <mergeCell ref="A11:O11"/>
    <mergeCell ref="A14:O14"/>
    <mergeCell ref="A17:O17"/>
    <mergeCell ref="B3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65"/>
  <sheetViews>
    <sheetView topLeftCell="A17" workbookViewId="0">
      <selection activeCell="E56" sqref="E56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2.6640625" style="5" bestFit="1" customWidth="1"/>
    <col min="7" max="7" width="38.33203125" style="5" bestFit="1" customWidth="1"/>
    <col min="8" max="10" width="5.33203125" style="6" customWidth="1"/>
    <col min="11" max="11" width="4.6640625" style="6" customWidth="1"/>
    <col min="12" max="12" width="11.33203125" style="6" bestFit="1" customWidth="1"/>
    <col min="13" max="13" width="8.33203125" style="6" bestFit="1" customWidth="1"/>
    <col min="14" max="14" width="20.1640625" style="5" bestFit="1" customWidth="1"/>
    <col min="15" max="16384" width="9.1640625" style="3"/>
  </cols>
  <sheetData>
    <row r="1" spans="1:14" s="2" customFormat="1" ht="29" customHeight="1">
      <c r="A1" s="55" t="s">
        <v>446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s="1" customFormat="1" ht="12.75" customHeight="1">
      <c r="A3" s="63" t="s">
        <v>472</v>
      </c>
      <c r="B3" s="53" t="s">
        <v>0</v>
      </c>
      <c r="C3" s="65" t="s">
        <v>474</v>
      </c>
      <c r="D3" s="65" t="s">
        <v>7</v>
      </c>
      <c r="E3" s="47" t="s">
        <v>475</v>
      </c>
      <c r="F3" s="47" t="s">
        <v>4</v>
      </c>
      <c r="G3" s="47" t="s">
        <v>6</v>
      </c>
      <c r="H3" s="47" t="s">
        <v>27</v>
      </c>
      <c r="I3" s="47"/>
      <c r="J3" s="47"/>
      <c r="K3" s="47"/>
      <c r="L3" s="47" t="s">
        <v>9</v>
      </c>
      <c r="M3" s="47" t="s">
        <v>3</v>
      </c>
      <c r="N3" s="49" t="s">
        <v>2</v>
      </c>
    </row>
    <row r="4" spans="1:14" s="1" customFormat="1" ht="21" customHeight="1" thickBot="1">
      <c r="A4" s="64"/>
      <c r="B4" s="54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6">
      <c r="A5" s="51" t="s">
        <v>116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>
      <c r="A6" s="12" t="s">
        <v>25</v>
      </c>
      <c r="B6" s="11" t="s">
        <v>205</v>
      </c>
      <c r="C6" s="11" t="s">
        <v>206</v>
      </c>
      <c r="D6" s="11" t="s">
        <v>207</v>
      </c>
      <c r="E6" s="11" t="s">
        <v>476</v>
      </c>
      <c r="F6" s="11" t="s">
        <v>428</v>
      </c>
      <c r="G6" s="11" t="s">
        <v>177</v>
      </c>
      <c r="H6" s="21" t="s">
        <v>201</v>
      </c>
      <c r="I6" s="23" t="s">
        <v>86</v>
      </c>
      <c r="J6" s="21" t="s">
        <v>86</v>
      </c>
      <c r="K6" s="12"/>
      <c r="L6" s="12" t="str">
        <f>"55,0"</f>
        <v>55,0</v>
      </c>
      <c r="M6" s="12" t="str">
        <f>"66,2970"</f>
        <v>66,2970</v>
      </c>
      <c r="N6" s="11"/>
    </row>
    <row r="7" spans="1:14">
      <c r="A7" s="14" t="s">
        <v>25</v>
      </c>
      <c r="B7" s="13" t="s">
        <v>316</v>
      </c>
      <c r="C7" s="13" t="s">
        <v>317</v>
      </c>
      <c r="D7" s="13" t="s">
        <v>318</v>
      </c>
      <c r="E7" s="13" t="s">
        <v>477</v>
      </c>
      <c r="F7" s="13" t="s">
        <v>428</v>
      </c>
      <c r="G7" s="13" t="s">
        <v>319</v>
      </c>
      <c r="H7" s="22" t="s">
        <v>216</v>
      </c>
      <c r="I7" s="22" t="s">
        <v>86</v>
      </c>
      <c r="J7" s="24" t="s">
        <v>122</v>
      </c>
      <c r="K7" s="14"/>
      <c r="L7" s="14" t="str">
        <f>"55,0"</f>
        <v>55,0</v>
      </c>
      <c r="M7" s="14" t="str">
        <f>"67,5653"</f>
        <v>67,5653</v>
      </c>
      <c r="N7" s="13" t="s">
        <v>427</v>
      </c>
    </row>
    <row r="8" spans="1:14">
      <c r="B8" s="5" t="s">
        <v>10</v>
      </c>
    </row>
    <row r="9" spans="1:14" ht="16">
      <c r="A9" s="43" t="s">
        <v>78</v>
      </c>
      <c r="B9" s="43"/>
      <c r="C9" s="44"/>
      <c r="D9" s="44"/>
      <c r="E9" s="44"/>
      <c r="F9" s="44"/>
      <c r="G9" s="44"/>
      <c r="H9" s="44"/>
      <c r="I9" s="44"/>
      <c r="J9" s="44"/>
      <c r="K9" s="44"/>
    </row>
    <row r="10" spans="1:14">
      <c r="A10" s="12" t="s">
        <v>25</v>
      </c>
      <c r="B10" s="11" t="s">
        <v>12</v>
      </c>
      <c r="C10" s="11" t="s">
        <v>13</v>
      </c>
      <c r="D10" s="11" t="s">
        <v>14</v>
      </c>
      <c r="E10" s="11" t="s">
        <v>478</v>
      </c>
      <c r="F10" s="11" t="s">
        <v>428</v>
      </c>
      <c r="G10" s="11" t="s">
        <v>15</v>
      </c>
      <c r="H10" s="21" t="s">
        <v>215</v>
      </c>
      <c r="I10" s="23" t="s">
        <v>216</v>
      </c>
      <c r="J10" s="23" t="s">
        <v>216</v>
      </c>
      <c r="K10" s="12"/>
      <c r="L10" s="12" t="str">
        <f>"47,5"</f>
        <v>47,5</v>
      </c>
      <c r="M10" s="12" t="str">
        <f>"48,4785"</f>
        <v>48,4785</v>
      </c>
      <c r="N10" s="11"/>
    </row>
    <row r="11" spans="1:14">
      <c r="A11" s="14" t="s">
        <v>25</v>
      </c>
      <c r="B11" s="13" t="s">
        <v>320</v>
      </c>
      <c r="C11" s="13" t="s">
        <v>321</v>
      </c>
      <c r="D11" s="13" t="s">
        <v>322</v>
      </c>
      <c r="E11" s="13" t="s">
        <v>476</v>
      </c>
      <c r="F11" s="13" t="s">
        <v>428</v>
      </c>
      <c r="G11" s="13" t="s">
        <v>467</v>
      </c>
      <c r="H11" s="22" t="s">
        <v>86</v>
      </c>
      <c r="I11" s="22" t="s">
        <v>122</v>
      </c>
      <c r="J11" s="22" t="s">
        <v>231</v>
      </c>
      <c r="K11" s="14"/>
      <c r="L11" s="14" t="str">
        <f>"60,0"</f>
        <v>60,0</v>
      </c>
      <c r="M11" s="14" t="str">
        <f>"61,5000"</f>
        <v>61,5000</v>
      </c>
      <c r="N11" s="13"/>
    </row>
    <row r="12" spans="1:14">
      <c r="B12" s="5" t="s">
        <v>10</v>
      </c>
    </row>
    <row r="13" spans="1:14" ht="16">
      <c r="A13" s="43" t="s">
        <v>210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</row>
    <row r="14" spans="1:14">
      <c r="A14" s="12" t="s">
        <v>25</v>
      </c>
      <c r="B14" s="11" t="s">
        <v>237</v>
      </c>
      <c r="C14" s="11" t="s">
        <v>238</v>
      </c>
      <c r="D14" s="11" t="s">
        <v>239</v>
      </c>
      <c r="E14" s="11" t="s">
        <v>479</v>
      </c>
      <c r="F14" s="11" t="s">
        <v>167</v>
      </c>
      <c r="G14" s="11" t="s">
        <v>15</v>
      </c>
      <c r="H14" s="21" t="s">
        <v>232</v>
      </c>
      <c r="I14" s="21" t="s">
        <v>242</v>
      </c>
      <c r="J14" s="23" t="s">
        <v>88</v>
      </c>
      <c r="K14" s="12"/>
      <c r="L14" s="12" t="str">
        <f>"72,5"</f>
        <v>72,5</v>
      </c>
      <c r="M14" s="12" t="str">
        <f>"64,8803"</f>
        <v>64,8803</v>
      </c>
      <c r="N14" s="11" t="s">
        <v>52</v>
      </c>
    </row>
    <row r="15" spans="1:14">
      <c r="A15" s="14" t="s">
        <v>25</v>
      </c>
      <c r="B15" s="13" t="s">
        <v>323</v>
      </c>
      <c r="C15" s="13" t="s">
        <v>324</v>
      </c>
      <c r="D15" s="13" t="s">
        <v>325</v>
      </c>
      <c r="E15" s="13" t="s">
        <v>476</v>
      </c>
      <c r="F15" s="13" t="s">
        <v>101</v>
      </c>
      <c r="G15" s="13" t="s">
        <v>458</v>
      </c>
      <c r="H15" s="22" t="s">
        <v>226</v>
      </c>
      <c r="I15" s="22" t="s">
        <v>156</v>
      </c>
      <c r="J15" s="22" t="s">
        <v>89</v>
      </c>
      <c r="K15" s="14"/>
      <c r="L15" s="14" t="str">
        <f>"120,0"</f>
        <v>120,0</v>
      </c>
      <c r="M15" s="14" t="str">
        <f>"102,6600"</f>
        <v>102,6600</v>
      </c>
      <c r="N15" s="13" t="s">
        <v>328</v>
      </c>
    </row>
    <row r="16" spans="1:14">
      <c r="B16" s="5" t="s">
        <v>10</v>
      </c>
    </row>
    <row r="17" spans="1:14" ht="16">
      <c r="A17" s="43" t="s">
        <v>78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</row>
    <row r="18" spans="1:14">
      <c r="A18" s="10" t="s">
        <v>25</v>
      </c>
      <c r="B18" s="9" t="s">
        <v>139</v>
      </c>
      <c r="C18" s="9" t="s">
        <v>140</v>
      </c>
      <c r="D18" s="9" t="s">
        <v>141</v>
      </c>
      <c r="E18" s="9" t="s">
        <v>481</v>
      </c>
      <c r="F18" s="9" t="s">
        <v>428</v>
      </c>
      <c r="G18" s="9" t="s">
        <v>454</v>
      </c>
      <c r="H18" s="19" t="s">
        <v>83</v>
      </c>
      <c r="I18" s="20" t="s">
        <v>132</v>
      </c>
      <c r="J18" s="20" t="s">
        <v>132</v>
      </c>
      <c r="K18" s="10"/>
      <c r="L18" s="10" t="str">
        <f>"80,0"</f>
        <v>80,0</v>
      </c>
      <c r="M18" s="10" t="str">
        <f>"64,2000"</f>
        <v>64,2000</v>
      </c>
      <c r="N18" s="9" t="s">
        <v>145</v>
      </c>
    </row>
    <row r="19" spans="1:14">
      <c r="B19" s="5" t="s">
        <v>10</v>
      </c>
    </row>
    <row r="20" spans="1:14" ht="16">
      <c r="A20" s="43" t="s">
        <v>11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</row>
    <row r="21" spans="1:14">
      <c r="A21" s="12" t="s">
        <v>25</v>
      </c>
      <c r="B21" s="11" t="s">
        <v>329</v>
      </c>
      <c r="C21" s="11" t="s">
        <v>330</v>
      </c>
      <c r="D21" s="11" t="s">
        <v>331</v>
      </c>
      <c r="E21" s="11" t="s">
        <v>479</v>
      </c>
      <c r="F21" s="11" t="s">
        <v>428</v>
      </c>
      <c r="G21" s="11" t="s">
        <v>15</v>
      </c>
      <c r="H21" s="21" t="s">
        <v>84</v>
      </c>
      <c r="I21" s="21" t="s">
        <v>208</v>
      </c>
      <c r="J21" s="21" t="s">
        <v>85</v>
      </c>
      <c r="K21" s="12"/>
      <c r="L21" s="12" t="str">
        <f>"105,0"</f>
        <v>105,0</v>
      </c>
      <c r="M21" s="12" t="str">
        <f>"74,8860"</f>
        <v>74,8860</v>
      </c>
      <c r="N21" s="11"/>
    </row>
    <row r="22" spans="1:14">
      <c r="A22" s="26" t="s">
        <v>25</v>
      </c>
      <c r="B22" s="25" t="s">
        <v>332</v>
      </c>
      <c r="C22" s="25" t="s">
        <v>333</v>
      </c>
      <c r="D22" s="25" t="s">
        <v>258</v>
      </c>
      <c r="E22" s="25" t="s">
        <v>476</v>
      </c>
      <c r="F22" s="25" t="s">
        <v>57</v>
      </c>
      <c r="G22" s="25" t="s">
        <v>459</v>
      </c>
      <c r="H22" s="27" t="s">
        <v>155</v>
      </c>
      <c r="I22" s="27" t="s">
        <v>37</v>
      </c>
      <c r="J22" s="28" t="s">
        <v>251</v>
      </c>
      <c r="K22" s="26"/>
      <c r="L22" s="26" t="str">
        <f>"140,0"</f>
        <v>140,0</v>
      </c>
      <c r="M22" s="26" t="str">
        <f>"99,7640"</f>
        <v>99,7640</v>
      </c>
      <c r="N22" s="25" t="s">
        <v>97</v>
      </c>
    </row>
    <row r="23" spans="1:14">
      <c r="A23" s="14" t="s">
        <v>194</v>
      </c>
      <c r="B23" s="13" t="s">
        <v>334</v>
      </c>
      <c r="C23" s="13" t="s">
        <v>335</v>
      </c>
      <c r="D23" s="13" t="s">
        <v>336</v>
      </c>
      <c r="E23" s="13" t="s">
        <v>476</v>
      </c>
      <c r="F23" s="13" t="s">
        <v>149</v>
      </c>
      <c r="G23" s="13" t="s">
        <v>461</v>
      </c>
      <c r="H23" s="22" t="s">
        <v>209</v>
      </c>
      <c r="I23" s="22" t="s">
        <v>155</v>
      </c>
      <c r="J23" s="24" t="s">
        <v>37</v>
      </c>
      <c r="K23" s="14"/>
      <c r="L23" s="14" t="str">
        <f>"135,0"</f>
        <v>135,0</v>
      </c>
      <c r="M23" s="14" t="str">
        <f>"96,9165"</f>
        <v>96,9165</v>
      </c>
      <c r="N23" s="13" t="s">
        <v>337</v>
      </c>
    </row>
    <row r="24" spans="1:14">
      <c r="B24" s="5" t="s">
        <v>10</v>
      </c>
    </row>
    <row r="25" spans="1:14" ht="16">
      <c r="A25" s="43" t="s">
        <v>151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</row>
    <row r="26" spans="1:14">
      <c r="A26" s="12" t="s">
        <v>25</v>
      </c>
      <c r="B26" s="11" t="s">
        <v>338</v>
      </c>
      <c r="C26" s="11" t="s">
        <v>339</v>
      </c>
      <c r="D26" s="11" t="s">
        <v>154</v>
      </c>
      <c r="E26" s="11" t="s">
        <v>478</v>
      </c>
      <c r="F26" s="11" t="s">
        <v>428</v>
      </c>
      <c r="G26" s="11" t="s">
        <v>464</v>
      </c>
      <c r="H26" s="21" t="s">
        <v>133</v>
      </c>
      <c r="I26" s="21" t="s">
        <v>208</v>
      </c>
      <c r="J26" s="21" t="s">
        <v>85</v>
      </c>
      <c r="K26" s="12"/>
      <c r="L26" s="12" t="str">
        <f>"105,0"</f>
        <v>105,0</v>
      </c>
      <c r="M26" s="12" t="str">
        <f>"70,6020"</f>
        <v>70,6020</v>
      </c>
      <c r="N26" s="11" t="s">
        <v>340</v>
      </c>
    </row>
    <row r="27" spans="1:14">
      <c r="A27" s="26" t="s">
        <v>25</v>
      </c>
      <c r="B27" s="25" t="s">
        <v>341</v>
      </c>
      <c r="C27" s="25" t="s">
        <v>342</v>
      </c>
      <c r="D27" s="25" t="s">
        <v>343</v>
      </c>
      <c r="E27" s="25" t="s">
        <v>476</v>
      </c>
      <c r="F27" s="25" t="s">
        <v>428</v>
      </c>
      <c r="G27" s="25" t="s">
        <v>462</v>
      </c>
      <c r="H27" s="27" t="s">
        <v>47</v>
      </c>
      <c r="I27" s="26"/>
      <c r="J27" s="26"/>
      <c r="K27" s="26"/>
      <c r="L27" s="26" t="str">
        <f>"160,0"</f>
        <v>160,0</v>
      </c>
      <c r="M27" s="26" t="str">
        <f>"107,2640"</f>
        <v>107,2640</v>
      </c>
      <c r="N27" s="25" t="s">
        <v>344</v>
      </c>
    </row>
    <row r="28" spans="1:14">
      <c r="A28" s="26" t="s">
        <v>194</v>
      </c>
      <c r="B28" s="25" t="s">
        <v>345</v>
      </c>
      <c r="C28" s="25" t="s">
        <v>346</v>
      </c>
      <c r="D28" s="25" t="s">
        <v>265</v>
      </c>
      <c r="E28" s="25" t="s">
        <v>476</v>
      </c>
      <c r="F28" s="25" t="s">
        <v>428</v>
      </c>
      <c r="G28" s="25" t="s">
        <v>453</v>
      </c>
      <c r="H28" s="28" t="s">
        <v>91</v>
      </c>
      <c r="I28" s="27" t="s">
        <v>91</v>
      </c>
      <c r="J28" s="27" t="s">
        <v>38</v>
      </c>
      <c r="K28" s="26"/>
      <c r="L28" s="26" t="str">
        <f>"150,0"</f>
        <v>150,0</v>
      </c>
      <c r="M28" s="26" t="str">
        <f>"100,4850"</f>
        <v>100,4850</v>
      </c>
      <c r="N28" s="25"/>
    </row>
    <row r="29" spans="1:14">
      <c r="A29" s="26" t="s">
        <v>389</v>
      </c>
      <c r="B29" s="25" t="s">
        <v>347</v>
      </c>
      <c r="C29" s="25" t="s">
        <v>348</v>
      </c>
      <c r="D29" s="25" t="s">
        <v>265</v>
      </c>
      <c r="E29" s="25" t="s">
        <v>476</v>
      </c>
      <c r="F29" s="25" t="s">
        <v>101</v>
      </c>
      <c r="G29" s="25" t="s">
        <v>457</v>
      </c>
      <c r="H29" s="27" t="s">
        <v>90</v>
      </c>
      <c r="I29" s="27" t="s">
        <v>155</v>
      </c>
      <c r="J29" s="28" t="s">
        <v>37</v>
      </c>
      <c r="K29" s="26"/>
      <c r="L29" s="26" t="str">
        <f>"135,0"</f>
        <v>135,0</v>
      </c>
      <c r="M29" s="26" t="str">
        <f>"90,4365"</f>
        <v>90,4365</v>
      </c>
      <c r="N29" s="25" t="s">
        <v>350</v>
      </c>
    </row>
    <row r="30" spans="1:14">
      <c r="A30" s="26" t="s">
        <v>292</v>
      </c>
      <c r="B30" s="25" t="s">
        <v>351</v>
      </c>
      <c r="C30" s="25" t="s">
        <v>352</v>
      </c>
      <c r="D30" s="25" t="s">
        <v>265</v>
      </c>
      <c r="E30" s="25" t="s">
        <v>476</v>
      </c>
      <c r="F30" s="25" t="s">
        <v>428</v>
      </c>
      <c r="G30" s="25" t="s">
        <v>462</v>
      </c>
      <c r="H30" s="28" t="s">
        <v>37</v>
      </c>
      <c r="I30" s="28" t="s">
        <v>37</v>
      </c>
      <c r="J30" s="28" t="s">
        <v>37</v>
      </c>
      <c r="K30" s="26"/>
      <c r="L30" s="26" t="str">
        <f>"0.00"</f>
        <v>0.00</v>
      </c>
      <c r="M30" s="26" t="str">
        <f>"0,0000"</f>
        <v>0,0000</v>
      </c>
      <c r="N30" s="25"/>
    </row>
    <row r="31" spans="1:14">
      <c r="A31" s="14" t="s">
        <v>25</v>
      </c>
      <c r="B31" s="13" t="s">
        <v>341</v>
      </c>
      <c r="C31" s="13" t="s">
        <v>353</v>
      </c>
      <c r="D31" s="13" t="s">
        <v>343</v>
      </c>
      <c r="E31" s="13" t="s">
        <v>477</v>
      </c>
      <c r="F31" s="13" t="s">
        <v>428</v>
      </c>
      <c r="G31" s="13" t="s">
        <v>462</v>
      </c>
      <c r="H31" s="22" t="s">
        <v>47</v>
      </c>
      <c r="I31" s="24" t="s">
        <v>48</v>
      </c>
      <c r="J31" s="14"/>
      <c r="K31" s="14"/>
      <c r="L31" s="14" t="str">
        <f>"160,0"</f>
        <v>160,0</v>
      </c>
      <c r="M31" s="14" t="str">
        <f>"107,8003"</f>
        <v>107,8003</v>
      </c>
      <c r="N31" s="13" t="s">
        <v>344</v>
      </c>
    </row>
    <row r="32" spans="1:14">
      <c r="B32" s="5" t="s">
        <v>10</v>
      </c>
    </row>
    <row r="33" spans="1:14" ht="16">
      <c r="A33" s="43" t="s">
        <v>29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</row>
    <row r="34" spans="1:14">
      <c r="A34" s="12" t="s">
        <v>25</v>
      </c>
      <c r="B34" s="11" t="s">
        <v>354</v>
      </c>
      <c r="C34" s="11" t="s">
        <v>355</v>
      </c>
      <c r="D34" s="11" t="s">
        <v>94</v>
      </c>
      <c r="E34" s="11" t="s">
        <v>476</v>
      </c>
      <c r="F34" s="11" t="s">
        <v>57</v>
      </c>
      <c r="G34" s="11" t="s">
        <v>460</v>
      </c>
      <c r="H34" s="21" t="s">
        <v>61</v>
      </c>
      <c r="I34" s="21" t="s">
        <v>34</v>
      </c>
      <c r="J34" s="23" t="s">
        <v>35</v>
      </c>
      <c r="K34" s="12"/>
      <c r="L34" s="12" t="str">
        <f>"190,0"</f>
        <v>190,0</v>
      </c>
      <c r="M34" s="12" t="str">
        <f>"121,2960"</f>
        <v>121,2960</v>
      </c>
      <c r="N34" s="11" t="s">
        <v>97</v>
      </c>
    </row>
    <row r="35" spans="1:14">
      <c r="A35" s="26" t="s">
        <v>194</v>
      </c>
      <c r="B35" s="25" t="s">
        <v>356</v>
      </c>
      <c r="C35" s="25" t="s">
        <v>357</v>
      </c>
      <c r="D35" s="25" t="s">
        <v>94</v>
      </c>
      <c r="E35" s="25" t="s">
        <v>476</v>
      </c>
      <c r="F35" s="25" t="s">
        <v>149</v>
      </c>
      <c r="G35" s="25" t="s">
        <v>461</v>
      </c>
      <c r="H35" s="27" t="s">
        <v>95</v>
      </c>
      <c r="I35" s="27" t="s">
        <v>130</v>
      </c>
      <c r="J35" s="27" t="s">
        <v>358</v>
      </c>
      <c r="K35" s="26"/>
      <c r="L35" s="26" t="str">
        <f>"162,5"</f>
        <v>162,5</v>
      </c>
      <c r="M35" s="26" t="str">
        <f>"103,7400"</f>
        <v>103,7400</v>
      </c>
      <c r="N35" s="25" t="s">
        <v>337</v>
      </c>
    </row>
    <row r="36" spans="1:14">
      <c r="A36" s="26" t="s">
        <v>389</v>
      </c>
      <c r="B36" s="25" t="s">
        <v>266</v>
      </c>
      <c r="C36" s="25" t="s">
        <v>267</v>
      </c>
      <c r="D36" s="25" t="s">
        <v>268</v>
      </c>
      <c r="E36" s="25" t="s">
        <v>476</v>
      </c>
      <c r="F36" s="25" t="s">
        <v>128</v>
      </c>
      <c r="G36" s="25" t="s">
        <v>225</v>
      </c>
      <c r="H36" s="27" t="s">
        <v>209</v>
      </c>
      <c r="I36" s="27" t="s">
        <v>121</v>
      </c>
      <c r="J36" s="28" t="s">
        <v>155</v>
      </c>
      <c r="K36" s="26"/>
      <c r="L36" s="26" t="str">
        <f>"132,5"</f>
        <v>132,5</v>
      </c>
      <c r="M36" s="26" t="str">
        <f>"87,3440"</f>
        <v>87,3440</v>
      </c>
      <c r="N36" s="25" t="s">
        <v>227</v>
      </c>
    </row>
    <row r="37" spans="1:14">
      <c r="A37" s="14" t="s">
        <v>25</v>
      </c>
      <c r="B37" s="13" t="s">
        <v>359</v>
      </c>
      <c r="C37" s="13" t="s">
        <v>360</v>
      </c>
      <c r="D37" s="13" t="s">
        <v>361</v>
      </c>
      <c r="E37" s="13" t="s">
        <v>477</v>
      </c>
      <c r="F37" s="13" t="s">
        <v>428</v>
      </c>
      <c r="G37" s="13" t="s">
        <v>15</v>
      </c>
      <c r="H37" s="22" t="s">
        <v>259</v>
      </c>
      <c r="I37" s="24" t="s">
        <v>95</v>
      </c>
      <c r="J37" s="24" t="s">
        <v>95</v>
      </c>
      <c r="K37" s="14"/>
      <c r="L37" s="14" t="str">
        <f>"142,5"</f>
        <v>142,5</v>
      </c>
      <c r="M37" s="14" t="str">
        <f>"92,7301"</f>
        <v>92,7301</v>
      </c>
      <c r="N37" s="13"/>
    </row>
    <row r="38" spans="1:14">
      <c r="B38" s="5" t="s">
        <v>10</v>
      </c>
    </row>
    <row r="39" spans="1:14" ht="16">
      <c r="A39" s="43" t="s">
        <v>41</v>
      </c>
      <c r="B39" s="43"/>
      <c r="C39" s="44"/>
      <c r="D39" s="44"/>
      <c r="E39" s="44"/>
      <c r="F39" s="44"/>
      <c r="G39" s="44"/>
      <c r="H39" s="44"/>
      <c r="I39" s="44"/>
      <c r="J39" s="44"/>
      <c r="K39" s="44"/>
    </row>
    <row r="40" spans="1:14">
      <c r="A40" s="12" t="s">
        <v>25</v>
      </c>
      <c r="B40" s="11" t="s">
        <v>362</v>
      </c>
      <c r="C40" s="11" t="s">
        <v>363</v>
      </c>
      <c r="D40" s="11" t="s">
        <v>364</v>
      </c>
      <c r="E40" s="11" t="s">
        <v>476</v>
      </c>
      <c r="F40" s="11" t="s">
        <v>82</v>
      </c>
      <c r="G40" s="11" t="s">
        <v>463</v>
      </c>
      <c r="H40" s="21" t="s">
        <v>157</v>
      </c>
      <c r="I40" s="21" t="s">
        <v>61</v>
      </c>
      <c r="J40" s="21" t="s">
        <v>34</v>
      </c>
      <c r="K40" s="12"/>
      <c r="L40" s="12" t="str">
        <f>"190,0"</f>
        <v>190,0</v>
      </c>
      <c r="M40" s="12" t="str">
        <f>"117,8570"</f>
        <v>117,8570</v>
      </c>
      <c r="N40" s="11" t="s">
        <v>66</v>
      </c>
    </row>
    <row r="41" spans="1:14">
      <c r="A41" s="26" t="s">
        <v>194</v>
      </c>
      <c r="B41" s="25" t="s">
        <v>365</v>
      </c>
      <c r="C41" s="25" t="s">
        <v>366</v>
      </c>
      <c r="D41" s="25" t="s">
        <v>367</v>
      </c>
      <c r="E41" s="25" t="s">
        <v>476</v>
      </c>
      <c r="F41" s="25" t="s">
        <v>428</v>
      </c>
      <c r="G41" s="25" t="s">
        <v>15</v>
      </c>
      <c r="H41" s="27" t="s">
        <v>251</v>
      </c>
      <c r="I41" s="27" t="s">
        <v>358</v>
      </c>
      <c r="J41" s="28" t="s">
        <v>157</v>
      </c>
      <c r="K41" s="26"/>
      <c r="L41" s="26" t="str">
        <f>"162,5"</f>
        <v>162,5</v>
      </c>
      <c r="M41" s="26" t="str">
        <f>"99,9375"</f>
        <v>99,9375</v>
      </c>
      <c r="N41" s="25" t="s">
        <v>368</v>
      </c>
    </row>
    <row r="42" spans="1:14">
      <c r="A42" s="26" t="s">
        <v>389</v>
      </c>
      <c r="B42" s="25" t="s">
        <v>369</v>
      </c>
      <c r="C42" s="25" t="s">
        <v>370</v>
      </c>
      <c r="D42" s="25" t="s">
        <v>371</v>
      </c>
      <c r="E42" s="25" t="s">
        <v>476</v>
      </c>
      <c r="F42" s="25" t="s">
        <v>428</v>
      </c>
      <c r="G42" s="25" t="s">
        <v>15</v>
      </c>
      <c r="H42" s="27" t="s">
        <v>38</v>
      </c>
      <c r="I42" s="27" t="s">
        <v>95</v>
      </c>
      <c r="J42" s="28" t="s">
        <v>358</v>
      </c>
      <c r="K42" s="26"/>
      <c r="L42" s="26" t="str">
        <f>"152,5"</f>
        <v>152,5</v>
      </c>
      <c r="M42" s="26" t="str">
        <f>"94,9923"</f>
        <v>94,9923</v>
      </c>
      <c r="N42" s="25"/>
    </row>
    <row r="43" spans="1:14">
      <c r="A43" s="14" t="s">
        <v>25</v>
      </c>
      <c r="B43" s="13" t="s">
        <v>372</v>
      </c>
      <c r="C43" s="13" t="s">
        <v>373</v>
      </c>
      <c r="D43" s="13" t="s">
        <v>374</v>
      </c>
      <c r="E43" s="13" t="s">
        <v>477</v>
      </c>
      <c r="F43" s="13" t="s">
        <v>375</v>
      </c>
      <c r="G43" s="13" t="s">
        <v>129</v>
      </c>
      <c r="H43" s="22" t="s">
        <v>358</v>
      </c>
      <c r="I43" s="24" t="s">
        <v>48</v>
      </c>
      <c r="J43" s="24" t="s">
        <v>48</v>
      </c>
      <c r="K43" s="14"/>
      <c r="L43" s="14" t="str">
        <f>"162,5"</f>
        <v>162,5</v>
      </c>
      <c r="M43" s="14" t="str">
        <f>"109,1931"</f>
        <v>109,1931</v>
      </c>
      <c r="N43" s="13" t="s">
        <v>376</v>
      </c>
    </row>
    <row r="44" spans="1:14">
      <c r="B44" s="5" t="s">
        <v>10</v>
      </c>
    </row>
    <row r="45" spans="1:14" ht="16">
      <c r="A45" s="43" t="s">
        <v>16</v>
      </c>
      <c r="B45" s="43"/>
      <c r="C45" s="44"/>
      <c r="D45" s="44"/>
      <c r="E45" s="44"/>
      <c r="F45" s="44"/>
      <c r="G45" s="44"/>
      <c r="H45" s="44"/>
      <c r="I45" s="44"/>
      <c r="J45" s="44"/>
      <c r="K45" s="44"/>
    </row>
    <row r="46" spans="1:14">
      <c r="A46" s="12" t="s">
        <v>25</v>
      </c>
      <c r="B46" s="11" t="s">
        <v>293</v>
      </c>
      <c r="C46" s="11" t="s">
        <v>294</v>
      </c>
      <c r="D46" s="11" t="s">
        <v>295</v>
      </c>
      <c r="E46" s="11" t="s">
        <v>476</v>
      </c>
      <c r="F46" s="11" t="s">
        <v>432</v>
      </c>
      <c r="G46" s="11" t="s">
        <v>462</v>
      </c>
      <c r="H46" s="21" t="s">
        <v>38</v>
      </c>
      <c r="I46" s="21" t="s">
        <v>47</v>
      </c>
      <c r="J46" s="23" t="s">
        <v>131</v>
      </c>
      <c r="K46" s="12"/>
      <c r="L46" s="12" t="str">
        <f>"160,0"</f>
        <v>160,0</v>
      </c>
      <c r="M46" s="12" t="str">
        <f>"95,6160"</f>
        <v>95,6160</v>
      </c>
      <c r="N46" s="11"/>
    </row>
    <row r="47" spans="1:14">
      <c r="A47" s="26" t="s">
        <v>25</v>
      </c>
      <c r="B47" s="25" t="s">
        <v>293</v>
      </c>
      <c r="C47" s="25" t="s">
        <v>296</v>
      </c>
      <c r="D47" s="25" t="s">
        <v>295</v>
      </c>
      <c r="E47" s="25" t="s">
        <v>477</v>
      </c>
      <c r="F47" s="25" t="s">
        <v>432</v>
      </c>
      <c r="G47" s="25" t="s">
        <v>462</v>
      </c>
      <c r="H47" s="27" t="s">
        <v>38</v>
      </c>
      <c r="I47" s="27" t="s">
        <v>47</v>
      </c>
      <c r="J47" s="28" t="s">
        <v>131</v>
      </c>
      <c r="K47" s="26"/>
      <c r="L47" s="26" t="str">
        <f>"160,0"</f>
        <v>160,0</v>
      </c>
      <c r="M47" s="26" t="str">
        <f>"103,0740"</f>
        <v>103,0740</v>
      </c>
      <c r="N47" s="25"/>
    </row>
    <row r="48" spans="1:14">
      <c r="A48" s="14" t="s">
        <v>194</v>
      </c>
      <c r="B48" s="13" t="s">
        <v>377</v>
      </c>
      <c r="C48" s="13" t="s">
        <v>378</v>
      </c>
      <c r="D48" s="13" t="s">
        <v>379</v>
      </c>
      <c r="E48" s="13" t="s">
        <v>477</v>
      </c>
      <c r="F48" s="13" t="s">
        <v>428</v>
      </c>
      <c r="G48" s="13" t="s">
        <v>15</v>
      </c>
      <c r="H48" s="22" t="s">
        <v>38</v>
      </c>
      <c r="I48" s="24" t="s">
        <v>47</v>
      </c>
      <c r="J48" s="24" t="s">
        <v>47</v>
      </c>
      <c r="K48" s="14"/>
      <c r="L48" s="14" t="str">
        <f>"150,0"</f>
        <v>150,0</v>
      </c>
      <c r="M48" s="14" t="str">
        <f>"91,0859"</f>
        <v>91,0859</v>
      </c>
      <c r="N48" s="13"/>
    </row>
    <row r="49" spans="1:14">
      <c r="B49" s="5" t="s">
        <v>10</v>
      </c>
    </row>
    <row r="50" spans="1:14" ht="16">
      <c r="A50" s="43" t="s">
        <v>53</v>
      </c>
      <c r="B50" s="43"/>
      <c r="C50" s="44"/>
      <c r="D50" s="44"/>
      <c r="E50" s="44"/>
      <c r="F50" s="44"/>
      <c r="G50" s="44"/>
      <c r="H50" s="44"/>
      <c r="I50" s="44"/>
      <c r="J50" s="44"/>
      <c r="K50" s="44"/>
    </row>
    <row r="51" spans="1:14">
      <c r="A51" s="12" t="s">
        <v>25</v>
      </c>
      <c r="B51" s="11" t="s">
        <v>275</v>
      </c>
      <c r="C51" s="11" t="s">
        <v>276</v>
      </c>
      <c r="D51" s="11" t="s">
        <v>277</v>
      </c>
      <c r="E51" s="11" t="s">
        <v>476</v>
      </c>
      <c r="F51" s="11" t="s">
        <v>278</v>
      </c>
      <c r="G51" s="11" t="s">
        <v>279</v>
      </c>
      <c r="H51" s="21" t="s">
        <v>157</v>
      </c>
      <c r="I51" s="21" t="s">
        <v>61</v>
      </c>
      <c r="J51" s="21" t="s">
        <v>136</v>
      </c>
      <c r="K51" s="12"/>
      <c r="L51" s="12" t="str">
        <f>"187,5"</f>
        <v>187,5</v>
      </c>
      <c r="M51" s="12" t="str">
        <f>"107,6625"</f>
        <v>107,6625</v>
      </c>
      <c r="N51" s="11" t="s">
        <v>52</v>
      </c>
    </row>
    <row r="52" spans="1:14">
      <c r="A52" s="14" t="s">
        <v>194</v>
      </c>
      <c r="B52" s="13" t="s">
        <v>380</v>
      </c>
      <c r="C52" s="13" t="s">
        <v>381</v>
      </c>
      <c r="D52" s="13" t="s">
        <v>382</v>
      </c>
      <c r="E52" s="13" t="s">
        <v>476</v>
      </c>
      <c r="F52" s="13" t="s">
        <v>428</v>
      </c>
      <c r="G52" s="13" t="s">
        <v>383</v>
      </c>
      <c r="H52" s="22" t="s">
        <v>37</v>
      </c>
      <c r="I52" s="24" t="s">
        <v>91</v>
      </c>
      <c r="J52" s="14"/>
      <c r="K52" s="14"/>
      <c r="L52" s="14" t="str">
        <f>"140,0"</f>
        <v>140,0</v>
      </c>
      <c r="M52" s="14" t="str">
        <f>"79,7720"</f>
        <v>79,7720</v>
      </c>
      <c r="N52" s="13" t="s">
        <v>384</v>
      </c>
    </row>
    <row r="53" spans="1:14">
      <c r="B53" s="5" t="s">
        <v>10</v>
      </c>
    </row>
    <row r="54" spans="1:14" ht="16">
      <c r="A54" s="43" t="s">
        <v>104</v>
      </c>
      <c r="B54" s="43"/>
      <c r="C54" s="44"/>
      <c r="D54" s="44"/>
      <c r="E54" s="44"/>
      <c r="F54" s="44"/>
      <c r="G54" s="44"/>
      <c r="H54" s="44"/>
      <c r="I54" s="44"/>
      <c r="J54" s="44"/>
      <c r="K54" s="44"/>
    </row>
    <row r="55" spans="1:14">
      <c r="A55" s="10" t="s">
        <v>25</v>
      </c>
      <c r="B55" s="9" t="s">
        <v>105</v>
      </c>
      <c r="C55" s="9" t="s">
        <v>106</v>
      </c>
      <c r="D55" s="9" t="s">
        <v>107</v>
      </c>
      <c r="E55" s="9" t="s">
        <v>476</v>
      </c>
      <c r="F55" s="9" t="s">
        <v>101</v>
      </c>
      <c r="G55" s="9" t="s">
        <v>108</v>
      </c>
      <c r="H55" s="19" t="s">
        <v>34</v>
      </c>
      <c r="I55" s="19" t="s">
        <v>63</v>
      </c>
      <c r="J55" s="19" t="s">
        <v>36</v>
      </c>
      <c r="K55" s="10"/>
      <c r="L55" s="10" t="str">
        <f>"210,0"</f>
        <v>210,0</v>
      </c>
      <c r="M55" s="10" t="str">
        <f>"117,3480"</f>
        <v>117,3480</v>
      </c>
      <c r="N55" s="9" t="s">
        <v>52</v>
      </c>
    </row>
    <row r="56" spans="1:14">
      <c r="B56" s="5" t="s">
        <v>10</v>
      </c>
    </row>
    <row r="57" spans="1:14">
      <c r="B57" s="5" t="s">
        <v>10</v>
      </c>
    </row>
    <row r="58" spans="1:14">
      <c r="B58" s="5" t="s">
        <v>10</v>
      </c>
    </row>
    <row r="59" spans="1:14" ht="18">
      <c r="B59" s="8" t="s">
        <v>8</v>
      </c>
      <c r="C59" s="8"/>
    </row>
    <row r="60" spans="1:14" ht="16">
      <c r="B60" s="15" t="s">
        <v>23</v>
      </c>
      <c r="C60" s="15"/>
      <c r="G60" s="3"/>
    </row>
    <row r="61" spans="1:14" ht="14">
      <c r="B61" s="16"/>
      <c r="C61" s="17" t="s">
        <v>22</v>
      </c>
      <c r="G61" s="3"/>
    </row>
    <row r="62" spans="1:14" ht="14">
      <c r="B62" s="18" t="s">
        <v>17</v>
      </c>
      <c r="C62" s="18" t="s">
        <v>18</v>
      </c>
      <c r="D62" s="18" t="s">
        <v>456</v>
      </c>
      <c r="E62" s="18" t="s">
        <v>20</v>
      </c>
      <c r="F62" s="18" t="s">
        <v>68</v>
      </c>
      <c r="G62" s="3"/>
    </row>
    <row r="63" spans="1:14">
      <c r="B63" s="5" t="s">
        <v>354</v>
      </c>
      <c r="C63" s="5" t="s">
        <v>22</v>
      </c>
      <c r="D63" s="6" t="s">
        <v>75</v>
      </c>
      <c r="E63" s="6" t="s">
        <v>34</v>
      </c>
      <c r="F63" s="6" t="s">
        <v>386</v>
      </c>
      <c r="G63" s="3"/>
    </row>
    <row r="64" spans="1:14">
      <c r="B64" s="5" t="s">
        <v>362</v>
      </c>
      <c r="C64" s="5" t="s">
        <v>22</v>
      </c>
      <c r="D64" s="6" t="s">
        <v>72</v>
      </c>
      <c r="E64" s="6" t="s">
        <v>34</v>
      </c>
      <c r="F64" s="6" t="s">
        <v>387</v>
      </c>
      <c r="G64" s="3"/>
    </row>
    <row r="65" spans="2:6">
      <c r="B65" s="5" t="s">
        <v>105</v>
      </c>
      <c r="C65" s="5" t="s">
        <v>22</v>
      </c>
      <c r="D65" s="6" t="s">
        <v>115</v>
      </c>
      <c r="E65" s="6" t="s">
        <v>36</v>
      </c>
      <c r="F65" s="6" t="s">
        <v>388</v>
      </c>
    </row>
  </sheetData>
  <mergeCells count="23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39:K39"/>
    <mergeCell ref="A45:K45"/>
    <mergeCell ref="A50:K50"/>
    <mergeCell ref="A54:K54"/>
    <mergeCell ref="B3:B4"/>
    <mergeCell ref="A9:K9"/>
    <mergeCell ref="A13:K13"/>
    <mergeCell ref="A17:K17"/>
    <mergeCell ref="A20:K20"/>
    <mergeCell ref="A25:K25"/>
    <mergeCell ref="A33:K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2"/>
  <sheetViews>
    <sheetView workbookViewId="0">
      <selection sqref="A1:N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2.6640625" style="5" bestFit="1" customWidth="1"/>
    <col min="7" max="7" width="38.33203125" style="5" bestFit="1" customWidth="1"/>
    <col min="8" max="10" width="5.33203125" style="6" customWidth="1"/>
    <col min="11" max="11" width="4.6640625" style="6" customWidth="1"/>
    <col min="12" max="12" width="11.33203125" style="6" bestFit="1" customWidth="1"/>
    <col min="13" max="13" width="8.33203125" style="6" bestFit="1" customWidth="1"/>
    <col min="14" max="14" width="20.33203125" style="5" customWidth="1"/>
    <col min="15" max="16384" width="9.1640625" style="3"/>
  </cols>
  <sheetData>
    <row r="1" spans="1:14" s="2" customFormat="1" ht="29" customHeight="1">
      <c r="A1" s="55" t="s">
        <v>447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s="1" customFormat="1" ht="12.75" customHeight="1">
      <c r="A3" s="63" t="s">
        <v>472</v>
      </c>
      <c r="B3" s="53" t="s">
        <v>0</v>
      </c>
      <c r="C3" s="65" t="s">
        <v>474</v>
      </c>
      <c r="D3" s="65" t="s">
        <v>7</v>
      </c>
      <c r="E3" s="47" t="s">
        <v>475</v>
      </c>
      <c r="F3" s="47" t="s">
        <v>4</v>
      </c>
      <c r="G3" s="47" t="s">
        <v>6</v>
      </c>
      <c r="H3" s="47" t="s">
        <v>27</v>
      </c>
      <c r="I3" s="47"/>
      <c r="J3" s="47"/>
      <c r="K3" s="47"/>
      <c r="L3" s="47" t="s">
        <v>9</v>
      </c>
      <c r="M3" s="47" t="s">
        <v>3</v>
      </c>
      <c r="N3" s="49" t="s">
        <v>2</v>
      </c>
    </row>
    <row r="4" spans="1:14" s="1" customFormat="1" ht="21" customHeight="1" thickBot="1">
      <c r="A4" s="64"/>
      <c r="B4" s="54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6">
      <c r="A5" s="51" t="s">
        <v>78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>
      <c r="A6" s="12" t="s">
        <v>25</v>
      </c>
      <c r="B6" s="11" t="s">
        <v>139</v>
      </c>
      <c r="C6" s="11" t="s">
        <v>140</v>
      </c>
      <c r="D6" s="11" t="s">
        <v>141</v>
      </c>
      <c r="E6" s="11" t="s">
        <v>481</v>
      </c>
      <c r="F6" s="11" t="s">
        <v>428</v>
      </c>
      <c r="G6" s="35" t="s">
        <v>466</v>
      </c>
      <c r="H6" s="39" t="s">
        <v>83</v>
      </c>
      <c r="I6" s="21" t="s">
        <v>132</v>
      </c>
      <c r="J6" s="40" t="s">
        <v>133</v>
      </c>
      <c r="K6" s="37"/>
      <c r="L6" s="12" t="str">
        <f>"80,0"</f>
        <v>80,0</v>
      </c>
      <c r="M6" s="12" t="str">
        <f>"64,2000"</f>
        <v>64,2000</v>
      </c>
      <c r="N6" s="11" t="s">
        <v>145</v>
      </c>
    </row>
    <row r="7" spans="1:14">
      <c r="A7" s="14" t="s">
        <v>25</v>
      </c>
      <c r="B7" s="13" t="s">
        <v>297</v>
      </c>
      <c r="C7" s="13" t="s">
        <v>298</v>
      </c>
      <c r="D7" s="13" t="s">
        <v>299</v>
      </c>
      <c r="E7" s="13" t="s">
        <v>476</v>
      </c>
      <c r="F7" s="13" t="s">
        <v>428</v>
      </c>
      <c r="G7" s="36" t="s">
        <v>453</v>
      </c>
      <c r="H7" s="41" t="s">
        <v>208</v>
      </c>
      <c r="I7" s="22" t="s">
        <v>89</v>
      </c>
      <c r="J7" s="42" t="s">
        <v>120</v>
      </c>
      <c r="K7" s="38"/>
      <c r="L7" s="14" t="str">
        <f>"125,0"</f>
        <v>125,0</v>
      </c>
      <c r="M7" s="14" t="str">
        <f>"103,2250"</f>
        <v>103,2250</v>
      </c>
      <c r="N7" s="13"/>
    </row>
    <row r="8" spans="1:14">
      <c r="B8" s="5" t="s">
        <v>10</v>
      </c>
    </row>
    <row r="9" spans="1:14" ht="16">
      <c r="A9" s="43" t="s">
        <v>151</v>
      </c>
      <c r="B9" s="43"/>
      <c r="C9" s="44"/>
      <c r="D9" s="44"/>
      <c r="E9" s="44"/>
      <c r="F9" s="44"/>
      <c r="G9" s="44"/>
      <c r="H9" s="44"/>
      <c r="I9" s="44"/>
      <c r="J9" s="44"/>
      <c r="K9" s="44"/>
    </row>
    <row r="10" spans="1:14">
      <c r="A10" s="10" t="s">
        <v>25</v>
      </c>
      <c r="B10" s="9" t="s">
        <v>300</v>
      </c>
      <c r="C10" s="9" t="s">
        <v>301</v>
      </c>
      <c r="D10" s="9" t="s">
        <v>302</v>
      </c>
      <c r="E10" s="9" t="s">
        <v>476</v>
      </c>
      <c r="F10" s="9" t="s">
        <v>428</v>
      </c>
      <c r="G10" s="9" t="s">
        <v>457</v>
      </c>
      <c r="H10" s="19" t="s">
        <v>155</v>
      </c>
      <c r="I10" s="19" t="s">
        <v>259</v>
      </c>
      <c r="J10" s="20" t="s">
        <v>38</v>
      </c>
      <c r="K10" s="10"/>
      <c r="L10" s="10" t="str">
        <f>"142,5"</f>
        <v>142,5</v>
      </c>
      <c r="M10" s="10" t="str">
        <f>"95,8883"</f>
        <v>95,8883</v>
      </c>
      <c r="N10" s="9" t="s">
        <v>434</v>
      </c>
    </row>
    <row r="11" spans="1:14">
      <c r="B11" s="5" t="s">
        <v>10</v>
      </c>
    </row>
    <row r="12" spans="1:14" ht="16">
      <c r="A12" s="43" t="s">
        <v>29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</row>
    <row r="13" spans="1:14">
      <c r="A13" s="12" t="s">
        <v>25</v>
      </c>
      <c r="B13" s="11" t="s">
        <v>164</v>
      </c>
      <c r="C13" s="11" t="s">
        <v>165</v>
      </c>
      <c r="D13" s="11" t="s">
        <v>166</v>
      </c>
      <c r="E13" s="11" t="s">
        <v>476</v>
      </c>
      <c r="F13" s="11" t="s">
        <v>167</v>
      </c>
      <c r="G13" s="11" t="s">
        <v>15</v>
      </c>
      <c r="H13" s="21" t="s">
        <v>168</v>
      </c>
      <c r="I13" s="23" t="s">
        <v>169</v>
      </c>
      <c r="J13" s="23" t="s">
        <v>169</v>
      </c>
      <c r="K13" s="12"/>
      <c r="L13" s="12" t="str">
        <f>"175,0"</f>
        <v>175,0</v>
      </c>
      <c r="M13" s="12" t="str">
        <f>"111,9125"</f>
        <v>111,9125</v>
      </c>
      <c r="N13" s="11" t="s">
        <v>52</v>
      </c>
    </row>
    <row r="14" spans="1:14">
      <c r="A14" s="14" t="s">
        <v>194</v>
      </c>
      <c r="B14" s="13" t="s">
        <v>303</v>
      </c>
      <c r="C14" s="13" t="s">
        <v>304</v>
      </c>
      <c r="D14" s="13" t="s">
        <v>32</v>
      </c>
      <c r="E14" s="13" t="s">
        <v>476</v>
      </c>
      <c r="F14" s="13" t="s">
        <v>428</v>
      </c>
      <c r="G14" s="13" t="s">
        <v>225</v>
      </c>
      <c r="H14" s="24" t="s">
        <v>47</v>
      </c>
      <c r="I14" s="22" t="s">
        <v>47</v>
      </c>
      <c r="J14" s="24" t="s">
        <v>157</v>
      </c>
      <c r="K14" s="14"/>
      <c r="L14" s="14" t="str">
        <f>"160,0"</f>
        <v>160,0</v>
      </c>
      <c r="M14" s="14" t="str">
        <f>"102,2560"</f>
        <v>102,2560</v>
      </c>
      <c r="N14" s="13"/>
    </row>
    <row r="15" spans="1:14">
      <c r="B15" s="5" t="s">
        <v>10</v>
      </c>
    </row>
    <row r="16" spans="1:14" ht="16">
      <c r="A16" s="43" t="s">
        <v>41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</row>
    <row r="17" spans="1:14">
      <c r="A17" s="10" t="s">
        <v>25</v>
      </c>
      <c r="B17" s="9" t="s">
        <v>305</v>
      </c>
      <c r="C17" s="9" t="s">
        <v>306</v>
      </c>
      <c r="D17" s="9" t="s">
        <v>307</v>
      </c>
      <c r="E17" s="9" t="s">
        <v>476</v>
      </c>
      <c r="F17" s="9" t="s">
        <v>428</v>
      </c>
      <c r="G17" s="9" t="s">
        <v>469</v>
      </c>
      <c r="H17" s="19" t="s">
        <v>178</v>
      </c>
      <c r="I17" s="19" t="s">
        <v>308</v>
      </c>
      <c r="J17" s="20" t="s">
        <v>102</v>
      </c>
      <c r="K17" s="10"/>
      <c r="L17" s="10" t="str">
        <f>"225,0"</f>
        <v>225,0</v>
      </c>
      <c r="M17" s="10" t="str">
        <f>"139,8825"</f>
        <v>139,8825</v>
      </c>
      <c r="N17" s="9"/>
    </row>
    <row r="18" spans="1:14">
      <c r="B18" s="5" t="s">
        <v>10</v>
      </c>
    </row>
    <row r="19" spans="1:14" ht="16">
      <c r="A19" s="43" t="s">
        <v>16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</row>
    <row r="20" spans="1:14">
      <c r="A20" s="12" t="s">
        <v>25</v>
      </c>
      <c r="B20" s="11" t="s">
        <v>309</v>
      </c>
      <c r="C20" s="11" t="s">
        <v>310</v>
      </c>
      <c r="D20" s="11" t="s">
        <v>311</v>
      </c>
      <c r="E20" s="11" t="s">
        <v>476</v>
      </c>
      <c r="F20" s="11" t="s">
        <v>57</v>
      </c>
      <c r="G20" s="11" t="s">
        <v>453</v>
      </c>
      <c r="H20" s="21" t="s">
        <v>39</v>
      </c>
      <c r="I20" s="23" t="s">
        <v>312</v>
      </c>
      <c r="J20" s="23" t="s">
        <v>312</v>
      </c>
      <c r="K20" s="12"/>
      <c r="L20" s="12" t="str">
        <f>"240,0"</f>
        <v>240,0</v>
      </c>
      <c r="M20" s="12" t="str">
        <f>"141,8400"</f>
        <v>141,8400</v>
      </c>
      <c r="N20" s="11"/>
    </row>
    <row r="21" spans="1:14">
      <c r="A21" s="26" t="s">
        <v>194</v>
      </c>
      <c r="B21" s="25" t="s">
        <v>174</v>
      </c>
      <c r="C21" s="25" t="s">
        <v>175</v>
      </c>
      <c r="D21" s="25" t="s">
        <v>176</v>
      </c>
      <c r="E21" s="25" t="s">
        <v>476</v>
      </c>
      <c r="F21" s="25" t="s">
        <v>428</v>
      </c>
      <c r="G21" s="25" t="s">
        <v>177</v>
      </c>
      <c r="H21" s="27" t="s">
        <v>34</v>
      </c>
      <c r="I21" s="27" t="s">
        <v>62</v>
      </c>
      <c r="J21" s="27" t="s">
        <v>35</v>
      </c>
      <c r="K21" s="26"/>
      <c r="L21" s="26" t="str">
        <f>"200,0"</f>
        <v>200,0</v>
      </c>
      <c r="M21" s="26" t="str">
        <f>"119,2400"</f>
        <v>119,2400</v>
      </c>
      <c r="N21" s="25" t="s">
        <v>180</v>
      </c>
    </row>
    <row r="22" spans="1:14">
      <c r="A22" s="14" t="s">
        <v>25</v>
      </c>
      <c r="B22" s="13" t="s">
        <v>293</v>
      </c>
      <c r="C22" s="13" t="s">
        <v>296</v>
      </c>
      <c r="D22" s="13" t="s">
        <v>295</v>
      </c>
      <c r="E22" s="13" t="s">
        <v>477</v>
      </c>
      <c r="F22" s="13" t="s">
        <v>432</v>
      </c>
      <c r="G22" s="13" t="s">
        <v>462</v>
      </c>
      <c r="H22" s="22" t="s">
        <v>38</v>
      </c>
      <c r="I22" s="22" t="s">
        <v>47</v>
      </c>
      <c r="J22" s="24" t="s">
        <v>131</v>
      </c>
      <c r="K22" s="14"/>
      <c r="L22" s="14" t="str">
        <f>"160,0"</f>
        <v>160,0</v>
      </c>
      <c r="M22" s="14" t="str">
        <f>"103,0740"</f>
        <v>103,0740</v>
      </c>
      <c r="N22" s="13"/>
    </row>
    <row r="23" spans="1:14">
      <c r="B23" s="5" t="s">
        <v>10</v>
      </c>
    </row>
    <row r="24" spans="1:14">
      <c r="B24" s="5" t="s">
        <v>10</v>
      </c>
    </row>
    <row r="25" spans="1:14">
      <c r="B25" s="5" t="s">
        <v>10</v>
      </c>
    </row>
    <row r="26" spans="1:14" ht="18">
      <c r="B26" s="8" t="s">
        <v>8</v>
      </c>
      <c r="C26" s="8"/>
    </row>
    <row r="27" spans="1:14" ht="16">
      <c r="B27" s="15" t="s">
        <v>23</v>
      </c>
      <c r="C27" s="15"/>
    </row>
    <row r="28" spans="1:14" ht="14">
      <c r="B28" s="16"/>
      <c r="C28" s="17" t="s">
        <v>22</v>
      </c>
    </row>
    <row r="29" spans="1:14" ht="14">
      <c r="B29" s="18" t="s">
        <v>17</v>
      </c>
      <c r="C29" s="18" t="s">
        <v>18</v>
      </c>
      <c r="D29" s="18" t="s">
        <v>456</v>
      </c>
      <c r="E29" s="18" t="s">
        <v>20</v>
      </c>
      <c r="F29" s="18" t="s">
        <v>68</v>
      </c>
    </row>
    <row r="30" spans="1:14">
      <c r="B30" s="5" t="s">
        <v>309</v>
      </c>
      <c r="C30" s="5" t="s">
        <v>22</v>
      </c>
      <c r="D30" s="6" t="s">
        <v>24</v>
      </c>
      <c r="E30" s="6" t="s">
        <v>39</v>
      </c>
      <c r="F30" s="6" t="s">
        <v>313</v>
      </c>
    </row>
    <row r="31" spans="1:14">
      <c r="B31" s="5" t="s">
        <v>305</v>
      </c>
      <c r="C31" s="5" t="s">
        <v>22</v>
      </c>
      <c r="D31" s="6" t="s">
        <v>72</v>
      </c>
      <c r="E31" s="6" t="s">
        <v>308</v>
      </c>
      <c r="F31" s="6" t="s">
        <v>314</v>
      </c>
    </row>
    <row r="32" spans="1:14">
      <c r="B32" s="5" t="s">
        <v>174</v>
      </c>
      <c r="C32" s="5" t="s">
        <v>22</v>
      </c>
      <c r="D32" s="6" t="s">
        <v>24</v>
      </c>
      <c r="E32" s="6" t="s">
        <v>35</v>
      </c>
      <c r="F32" s="6" t="s">
        <v>315</v>
      </c>
    </row>
  </sheetData>
  <mergeCells count="17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9:K9"/>
    <mergeCell ref="A12:K12"/>
    <mergeCell ref="A16:K16"/>
    <mergeCell ref="A19:K19"/>
    <mergeCell ref="B3: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5"/>
  <sheetViews>
    <sheetView workbookViewId="0">
      <selection sqref="A1:N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2.6640625" style="5" bestFit="1" customWidth="1"/>
    <col min="7" max="7" width="30.5" style="5" bestFit="1" customWidth="1"/>
    <col min="8" max="10" width="5.33203125" style="6" customWidth="1"/>
    <col min="11" max="11" width="4.6640625" style="6" customWidth="1"/>
    <col min="12" max="12" width="11.33203125" style="6" bestFit="1" customWidth="1"/>
    <col min="13" max="13" width="8.33203125" style="6" bestFit="1" customWidth="1"/>
    <col min="14" max="14" width="21.6640625" style="5" customWidth="1"/>
    <col min="15" max="16384" width="9.1640625" style="3"/>
  </cols>
  <sheetData>
    <row r="1" spans="1:14" s="2" customFormat="1" ht="29" customHeight="1">
      <c r="A1" s="55" t="s">
        <v>445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s="1" customFormat="1" ht="12.75" customHeight="1">
      <c r="A3" s="63" t="s">
        <v>472</v>
      </c>
      <c r="B3" s="53" t="s">
        <v>0</v>
      </c>
      <c r="C3" s="65" t="s">
        <v>474</v>
      </c>
      <c r="D3" s="65" t="s">
        <v>7</v>
      </c>
      <c r="E3" s="47" t="s">
        <v>475</v>
      </c>
      <c r="F3" s="47" t="s">
        <v>4</v>
      </c>
      <c r="G3" s="47" t="s">
        <v>6</v>
      </c>
      <c r="H3" s="47" t="s">
        <v>27</v>
      </c>
      <c r="I3" s="47"/>
      <c r="J3" s="47"/>
      <c r="K3" s="47"/>
      <c r="L3" s="47" t="s">
        <v>9</v>
      </c>
      <c r="M3" s="47" t="s">
        <v>3</v>
      </c>
      <c r="N3" s="49" t="s">
        <v>2</v>
      </c>
    </row>
    <row r="4" spans="1:14" s="1" customFormat="1" ht="21" customHeight="1" thickBot="1">
      <c r="A4" s="64"/>
      <c r="B4" s="54"/>
      <c r="C4" s="48"/>
      <c r="D4" s="48"/>
      <c r="E4" s="48"/>
      <c r="F4" s="48"/>
      <c r="G4" s="48"/>
      <c r="H4" s="4">
        <v>1</v>
      </c>
      <c r="I4" s="4">
        <v>2</v>
      </c>
      <c r="J4" s="4">
        <v>3</v>
      </c>
      <c r="K4" s="4" t="s">
        <v>5</v>
      </c>
      <c r="L4" s="48"/>
      <c r="M4" s="48"/>
      <c r="N4" s="50"/>
    </row>
    <row r="5" spans="1:14" ht="16">
      <c r="A5" s="51" t="s">
        <v>78</v>
      </c>
      <c r="B5" s="51"/>
      <c r="C5" s="52"/>
      <c r="D5" s="52"/>
      <c r="E5" s="52"/>
      <c r="F5" s="52"/>
      <c r="G5" s="52"/>
      <c r="H5" s="52"/>
      <c r="I5" s="52"/>
      <c r="J5" s="52"/>
      <c r="K5" s="52"/>
    </row>
    <row r="6" spans="1:14">
      <c r="A6" s="12" t="s">
        <v>25</v>
      </c>
      <c r="B6" s="11" t="s">
        <v>390</v>
      </c>
      <c r="C6" s="11" t="s">
        <v>391</v>
      </c>
      <c r="D6" s="11" t="s">
        <v>392</v>
      </c>
      <c r="E6" s="11" t="s">
        <v>476</v>
      </c>
      <c r="F6" s="11" t="s">
        <v>393</v>
      </c>
      <c r="G6" s="11" t="s">
        <v>394</v>
      </c>
      <c r="H6" s="21" t="s">
        <v>89</v>
      </c>
      <c r="I6" s="21" t="s">
        <v>209</v>
      </c>
      <c r="J6" s="21" t="s">
        <v>90</v>
      </c>
      <c r="K6" s="12"/>
      <c r="L6" s="12" t="str">
        <f>"130,0"</f>
        <v>130,0</v>
      </c>
      <c r="M6" s="12" t="str">
        <f>"118,8850"</f>
        <v>118,8850</v>
      </c>
      <c r="N6" s="11" t="s">
        <v>395</v>
      </c>
    </row>
    <row r="7" spans="1:14">
      <c r="A7" s="14" t="s">
        <v>25</v>
      </c>
      <c r="B7" s="13" t="s">
        <v>390</v>
      </c>
      <c r="C7" s="13" t="s">
        <v>396</v>
      </c>
      <c r="D7" s="13" t="s">
        <v>392</v>
      </c>
      <c r="E7" s="13" t="s">
        <v>480</v>
      </c>
      <c r="F7" s="13" t="s">
        <v>393</v>
      </c>
      <c r="G7" s="13" t="s">
        <v>394</v>
      </c>
      <c r="H7" s="22" t="s">
        <v>89</v>
      </c>
      <c r="I7" s="22" t="s">
        <v>209</v>
      </c>
      <c r="J7" s="22" t="s">
        <v>90</v>
      </c>
      <c r="K7" s="14"/>
      <c r="L7" s="14" t="str">
        <f>"130,0"</f>
        <v>130,0</v>
      </c>
      <c r="M7" s="14" t="str">
        <f>"145,6341"</f>
        <v>145,6341</v>
      </c>
      <c r="N7" s="13" t="s">
        <v>395</v>
      </c>
    </row>
    <row r="8" spans="1:14">
      <c r="B8" s="5" t="s">
        <v>10</v>
      </c>
    </row>
    <row r="9" spans="1:14" ht="16">
      <c r="A9" s="43" t="s">
        <v>16</v>
      </c>
      <c r="B9" s="43"/>
      <c r="C9" s="44"/>
      <c r="D9" s="44"/>
      <c r="E9" s="44"/>
      <c r="F9" s="44"/>
      <c r="G9" s="44"/>
      <c r="H9" s="44"/>
      <c r="I9" s="44"/>
      <c r="J9" s="44"/>
      <c r="K9" s="44"/>
    </row>
    <row r="10" spans="1:14">
      <c r="A10" s="12" t="s">
        <v>25</v>
      </c>
      <c r="B10" s="11" t="s">
        <v>293</v>
      </c>
      <c r="C10" s="11" t="s">
        <v>294</v>
      </c>
      <c r="D10" s="11" t="s">
        <v>295</v>
      </c>
      <c r="E10" s="11" t="s">
        <v>476</v>
      </c>
      <c r="F10" s="11" t="s">
        <v>429</v>
      </c>
      <c r="G10" s="11" t="s">
        <v>462</v>
      </c>
      <c r="H10" s="21" t="s">
        <v>35</v>
      </c>
      <c r="I10" s="21" t="s">
        <v>178</v>
      </c>
      <c r="J10" s="23" t="s">
        <v>39</v>
      </c>
      <c r="K10" s="12"/>
      <c r="L10" s="12" t="str">
        <f>"220,0"</f>
        <v>220,0</v>
      </c>
      <c r="M10" s="12" t="str">
        <f>"125,5430"</f>
        <v>125,5430</v>
      </c>
      <c r="N10" s="11"/>
    </row>
    <row r="11" spans="1:14">
      <c r="A11" s="14" t="s">
        <v>25</v>
      </c>
      <c r="B11" s="13" t="s">
        <v>293</v>
      </c>
      <c r="C11" s="13" t="s">
        <v>296</v>
      </c>
      <c r="D11" s="13" t="s">
        <v>295</v>
      </c>
      <c r="E11" s="13" t="s">
        <v>477</v>
      </c>
      <c r="F11" s="13" t="s">
        <v>429</v>
      </c>
      <c r="G11" s="13" t="s">
        <v>462</v>
      </c>
      <c r="H11" s="22" t="s">
        <v>35</v>
      </c>
      <c r="I11" s="22" t="s">
        <v>178</v>
      </c>
      <c r="J11" s="24" t="s">
        <v>39</v>
      </c>
      <c r="K11" s="14"/>
      <c r="L11" s="14" t="str">
        <f>"220,0"</f>
        <v>220,0</v>
      </c>
      <c r="M11" s="14" t="str">
        <f>"134,0799"</f>
        <v>134,0799</v>
      </c>
      <c r="N11" s="13"/>
    </row>
    <row r="12" spans="1:14">
      <c r="B12" s="5" t="s">
        <v>10</v>
      </c>
    </row>
    <row r="13" spans="1:14" ht="16">
      <c r="A13" s="43" t="s">
        <v>53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</row>
    <row r="14" spans="1:14">
      <c r="A14" s="10" t="s">
        <v>25</v>
      </c>
      <c r="B14" s="9" t="s">
        <v>275</v>
      </c>
      <c r="C14" s="9" t="s">
        <v>276</v>
      </c>
      <c r="D14" s="9" t="s">
        <v>277</v>
      </c>
      <c r="E14" s="9" t="s">
        <v>476</v>
      </c>
      <c r="F14" s="9" t="s">
        <v>430</v>
      </c>
      <c r="G14" s="9" t="s">
        <v>279</v>
      </c>
      <c r="H14" s="19" t="s">
        <v>397</v>
      </c>
      <c r="I14" s="19" t="s">
        <v>349</v>
      </c>
      <c r="J14" s="10"/>
      <c r="K14" s="10"/>
      <c r="L14" s="10" t="str">
        <f>"235,0"</f>
        <v>235,0</v>
      </c>
      <c r="M14" s="10" t="str">
        <f>"129,3087"</f>
        <v>129,3087</v>
      </c>
      <c r="N14" s="9" t="s">
        <v>433</v>
      </c>
    </row>
    <row r="15" spans="1:14">
      <c r="B15" s="5" t="s">
        <v>10</v>
      </c>
    </row>
  </sheetData>
  <mergeCells count="15"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9:K9"/>
    <mergeCell ref="A13:K13"/>
    <mergeCell ref="B3:B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WEPF Жим софт многопетельнаяДК</vt:lpstr>
      <vt:lpstr>WEPF Жим софт многопетельная</vt:lpstr>
      <vt:lpstr>WRPF Тяга без экипировки ДК</vt:lpstr>
      <vt:lpstr>WRPF Тяга без экипировки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2021-09-10T15:04:47Z</dcterms:modified>
</cp:coreProperties>
</file>