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Сентябрь/"/>
    </mc:Choice>
  </mc:AlternateContent>
  <xr:revisionPtr revIDLastSave="0" documentId="13_ncr:1_{9C46D586-DBD7-684C-A123-808A5A76A461}" xr6:coauthVersionLast="45" xr6:coauthVersionMax="45" xr10:uidLastSave="{00000000-0000-0000-0000-000000000000}"/>
  <bookViews>
    <workbookView xWindow="0" yWindow="460" windowWidth="28800" windowHeight="16200" tabRatio="895" firstSheet="8" activeTab="12" xr2:uid="{00000000-000D-0000-FFFF-FFFF00000000}"/>
  </bookViews>
  <sheets>
    <sheet name="ПЛ б э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Жим лежа без экип ДК" sheetId="11" r:id="rId5"/>
    <sheet name="WRPF Жим лежа без экип" sheetId="10" r:id="rId6"/>
    <sheet name="WEPF Жим софт однопетельная ДК" sheetId="12" r:id="rId7"/>
    <sheet name="WEPF Жим софт однопетельная" sheetId="9" r:id="rId8"/>
    <sheet name="WEPF Жим софт многопетельнаяДК" sheetId="14" r:id="rId9"/>
    <sheet name="WEPF Жим софт многопетельная" sheetId="13" r:id="rId10"/>
    <sheet name="WRPF Тяга без экипировки ДК" sheetId="16" r:id="rId11"/>
    <sheet name="WRPF Тяга без экипировки" sheetId="15" r:id="rId12"/>
    <sheet name="WRPF Подъем на бицепс" sheetId="25" r:id="rId13"/>
  </sheets>
  <definedNames>
    <definedName name="_FilterDatabase" localSheetId="3" hidden="1">'WRPF ПЛ в бинтах'!$A$1:$T$3</definedName>
    <definedName name="_FilterDatabase" localSheetId="12" hidden="1">'WRPF Подъем на бицепс'!$A$1:$L$3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25" l="1"/>
  <c r="M6" i="25"/>
  <c r="L7" i="25"/>
  <c r="M7" i="25"/>
  <c r="L10" i="25"/>
  <c r="M10" i="25"/>
  <c r="L13" i="25"/>
  <c r="M13" i="25"/>
  <c r="M17" i="16"/>
  <c r="L17" i="16"/>
  <c r="M16" i="16"/>
  <c r="L16" i="16"/>
  <c r="M13" i="16"/>
  <c r="L13" i="16"/>
  <c r="M10" i="16"/>
  <c r="L10" i="16"/>
  <c r="M7" i="16"/>
  <c r="L7" i="16"/>
  <c r="M6" i="16"/>
  <c r="L6" i="16"/>
  <c r="M13" i="15"/>
  <c r="L13" i="15"/>
  <c r="M12" i="15"/>
  <c r="L12" i="15"/>
  <c r="M9" i="15"/>
  <c r="L9" i="15"/>
  <c r="M6" i="15"/>
  <c r="L6" i="15"/>
  <c r="M7" i="14"/>
  <c r="L7" i="14"/>
  <c r="M6" i="14"/>
  <c r="L6" i="14"/>
  <c r="M6" i="13"/>
  <c r="L6" i="13"/>
  <c r="M10" i="12"/>
  <c r="L10" i="12"/>
  <c r="M9" i="12"/>
  <c r="L9" i="12"/>
  <c r="M6" i="12"/>
  <c r="L6" i="12"/>
  <c r="M42" i="11"/>
  <c r="L42" i="11"/>
  <c r="M39" i="11"/>
  <c r="L39" i="11"/>
  <c r="M36" i="11"/>
  <c r="L36" i="11"/>
  <c r="M35" i="11"/>
  <c r="L35" i="11"/>
  <c r="M34" i="11"/>
  <c r="L34" i="11"/>
  <c r="M31" i="11"/>
  <c r="L31" i="11"/>
  <c r="M30" i="11"/>
  <c r="M29" i="11"/>
  <c r="L29" i="11"/>
  <c r="M28" i="11"/>
  <c r="L28" i="11"/>
  <c r="M25" i="11"/>
  <c r="L25" i="11"/>
  <c r="M24" i="11"/>
  <c r="L24" i="11"/>
  <c r="M23" i="11"/>
  <c r="L23" i="11"/>
  <c r="M20" i="11"/>
  <c r="L20" i="11"/>
  <c r="M19" i="11"/>
  <c r="L19" i="11"/>
  <c r="M16" i="11"/>
  <c r="L16" i="11"/>
  <c r="M13" i="11"/>
  <c r="L13" i="11"/>
  <c r="M12" i="11"/>
  <c r="L12" i="11"/>
  <c r="M9" i="11"/>
  <c r="L9" i="11"/>
  <c r="M6" i="11"/>
  <c r="L6" i="11"/>
  <c r="M24" i="10"/>
  <c r="L24" i="10"/>
  <c r="M21" i="10"/>
  <c r="L21" i="10"/>
  <c r="M20" i="10"/>
  <c r="L20" i="10"/>
  <c r="M17" i="10"/>
  <c r="L17" i="10"/>
  <c r="M16" i="10"/>
  <c r="L16" i="10"/>
  <c r="M15" i="10"/>
  <c r="L15" i="10"/>
  <c r="M12" i="10"/>
  <c r="L12" i="10"/>
  <c r="M11" i="10"/>
  <c r="L11" i="10"/>
  <c r="M10" i="10"/>
  <c r="L10" i="10"/>
  <c r="M9" i="10"/>
  <c r="L9" i="10"/>
  <c r="M6" i="10"/>
  <c r="L6" i="10"/>
  <c r="M6" i="9"/>
  <c r="L6" i="9"/>
  <c r="U35" i="8"/>
  <c r="T35" i="8"/>
  <c r="U34" i="8"/>
  <c r="T34" i="8"/>
  <c r="U31" i="8"/>
  <c r="T31" i="8"/>
  <c r="U28" i="8"/>
  <c r="T28" i="8"/>
  <c r="U27" i="8"/>
  <c r="T27" i="8"/>
  <c r="U24" i="8"/>
  <c r="T24" i="8"/>
  <c r="U23" i="8"/>
  <c r="T23" i="8"/>
  <c r="U20" i="8"/>
  <c r="T20" i="8"/>
  <c r="U17" i="8"/>
  <c r="T17" i="8"/>
  <c r="T14" i="8"/>
  <c r="U11" i="8"/>
  <c r="T11" i="8"/>
  <c r="U10" i="8"/>
  <c r="T10" i="8"/>
  <c r="U9" i="8"/>
  <c r="T9" i="8"/>
  <c r="U6" i="8"/>
  <c r="T6" i="8"/>
  <c r="U18" i="7"/>
  <c r="T18" i="7"/>
  <c r="U17" i="7"/>
  <c r="T17" i="7"/>
  <c r="U14" i="7"/>
  <c r="T14" i="7"/>
  <c r="U13" i="7"/>
  <c r="T13" i="7"/>
  <c r="U10" i="7"/>
  <c r="T10" i="7"/>
  <c r="U7" i="7"/>
  <c r="T7" i="7"/>
  <c r="U6" i="7"/>
  <c r="T6" i="7"/>
  <c r="U7" i="6"/>
  <c r="T7" i="6"/>
  <c r="U6" i="6"/>
  <c r="T6" i="6"/>
  <c r="U14" i="5"/>
  <c r="T14" i="5"/>
  <c r="U13" i="5"/>
  <c r="T13" i="5"/>
  <c r="U10" i="5"/>
  <c r="T10" i="5"/>
  <c r="U9" i="5"/>
  <c r="T9" i="5"/>
  <c r="U6" i="5"/>
  <c r="T6" i="5"/>
</calcChain>
</file>

<file path=xl/sharedStrings.xml><?xml version="1.0" encoding="utf-8"?>
<sst xmlns="http://schemas.openxmlformats.org/spreadsheetml/2006/main" count="1352" uniqueCount="340">
  <si>
    <t>ФИО</t>
  </si>
  <si>
    <t>Сумма</t>
  </si>
  <si>
    <t>Тренер</t>
  </si>
  <si>
    <t>Очки</t>
  </si>
  <si>
    <t>Команда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</si>
  <si>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</si>
  <si>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</si>
  <si>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</si>
  <si>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</si>
  <si>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</si>
  <si>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</si>
  <si>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100</t>
  </si>
  <si>
    <t>Николайчук Сергей</t>
  </si>
  <si>
    <t>Открытая (26.05.1985)/35</t>
  </si>
  <si>
    <t>100,00</t>
  </si>
  <si>
    <t xml:space="preserve">Ставрополь/Ставропольский край </t>
  </si>
  <si>
    <t>240,0</t>
  </si>
  <si>
    <t>247,5</t>
  </si>
  <si>
    <t>175,0</t>
  </si>
  <si>
    <t>180,0</t>
  </si>
  <si>
    <t>250,0</t>
  </si>
  <si>
    <t>260,0</t>
  </si>
  <si>
    <t>275,0</t>
  </si>
  <si>
    <t xml:space="preserve">Ступников Р. </t>
  </si>
  <si>
    <t>ВЕСОВАЯ КАТЕГОРИЯ   110</t>
  </si>
  <si>
    <t>Исрапилов Магомедамин</t>
  </si>
  <si>
    <t>Открытая (03.05.1975)/45</t>
  </si>
  <si>
    <t>107,00</t>
  </si>
  <si>
    <t xml:space="preserve">Махачкала </t>
  </si>
  <si>
    <t>220,0</t>
  </si>
  <si>
    <t>160,0</t>
  </si>
  <si>
    <t>210,0</t>
  </si>
  <si>
    <t>Мастера 40-49 (03.05.1975)/45</t>
  </si>
  <si>
    <t>ВЕСОВАЯ КАТЕГОРИЯ   125</t>
  </si>
  <si>
    <t>Алиев Исамудин</t>
  </si>
  <si>
    <t>Открытая (06.08.1978)/42</t>
  </si>
  <si>
    <t>124,10</t>
  </si>
  <si>
    <t xml:space="preserve">Ахмат </t>
  </si>
  <si>
    <t xml:space="preserve">Грозный/Чечня </t>
  </si>
  <si>
    <t>270,0</t>
  </si>
  <si>
    <t>280,0</t>
  </si>
  <si>
    <t>190,0</t>
  </si>
  <si>
    <t>200,0</t>
  </si>
  <si>
    <t>Мастера 40-49 (06.08.1978)/42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</si>
  <si>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</si>
  <si>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</si>
  <si>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</si>
  <si>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</si>
  <si>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</si>
  <si>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>125</t>
  </si>
  <si>
    <t>100</t>
  </si>
  <si>
    <t>110</t>
  </si>
  <si>
    <t>1</t>
  </si>
  <si>
    <t/>
  </si>
  <si>
    <t>230,0</t>
  </si>
  <si>
    <t>150,0</t>
  </si>
  <si>
    <t>165,0</t>
  </si>
  <si>
    <t>ВЕСОВАЯ КАТЕГОРИЯ   90</t>
  </si>
  <si>
    <t>Рамазанов Ислам</t>
  </si>
  <si>
    <t>Открытая (01.05.1991)/29</t>
  </si>
  <si>
    <t>89,80</t>
  </si>
  <si>
    <t xml:space="preserve">Universal </t>
  </si>
  <si>
    <t>185,0</t>
  </si>
  <si>
    <t>195,0</t>
  </si>
  <si>
    <t>285,0</t>
  </si>
  <si>
    <t>300,0</t>
  </si>
  <si>
    <t>315,0</t>
  </si>
  <si>
    <t xml:space="preserve">Тултаров Ш. </t>
  </si>
  <si>
    <t>Османов Рамиз</t>
  </si>
  <si>
    <t>Мастера 40-49 (15.06.1976)/44</t>
  </si>
  <si>
    <t>86,00</t>
  </si>
  <si>
    <t>140,0</t>
  </si>
  <si>
    <t>170,0</t>
  </si>
  <si>
    <t>120,0</t>
  </si>
  <si>
    <t>Пиданов Альберт</t>
  </si>
  <si>
    <t>Открытая (15.03.1993)/27</t>
  </si>
  <si>
    <t>99,60</t>
  </si>
  <si>
    <t xml:space="preserve">Arestov team </t>
  </si>
  <si>
    <t>235,0</t>
  </si>
  <si>
    <t>142,5</t>
  </si>
  <si>
    <t>157,5</t>
  </si>
  <si>
    <t>255,0</t>
  </si>
  <si>
    <t>282,5</t>
  </si>
  <si>
    <t xml:space="preserve">Арестов М. </t>
  </si>
  <si>
    <t>Кучур Евгений</t>
  </si>
  <si>
    <t>Открытая (22.01.1982)/38</t>
  </si>
  <si>
    <t>124,80</t>
  </si>
  <si>
    <t>265,0</t>
  </si>
  <si>
    <t>290,0</t>
  </si>
  <si>
    <t>272,5</t>
  </si>
  <si>
    <t>Кучур Дмитрий</t>
  </si>
  <si>
    <t>Открытая (20.01.1986)/34</t>
  </si>
  <si>
    <t>117,70</t>
  </si>
  <si>
    <t xml:space="preserve">Айвазов С. </t>
  </si>
  <si>
    <t>90</t>
  </si>
  <si>
    <t>2</t>
  </si>
  <si>
    <t>ВЕСОВАЯ КАТЕГОРИЯ   56</t>
  </si>
  <si>
    <t>Меладзе Екатерина</t>
  </si>
  <si>
    <t>Открытая (24.05.1990)/30</t>
  </si>
  <si>
    <t>55,20</t>
  </si>
  <si>
    <t>95,0</t>
  </si>
  <si>
    <t>105,0</t>
  </si>
  <si>
    <t>107,5</t>
  </si>
  <si>
    <t>60,0</t>
  </si>
  <si>
    <t>67,5</t>
  </si>
  <si>
    <t>130,0</t>
  </si>
  <si>
    <t>147,5</t>
  </si>
  <si>
    <t>ВЕСОВАЯ КАТЕГОРИЯ   75</t>
  </si>
  <si>
    <t>Косенко Екатерина</t>
  </si>
  <si>
    <t>Открытая (24.02.1978)/42</t>
  </si>
  <si>
    <t>70,60</t>
  </si>
  <si>
    <t xml:space="preserve">100kg </t>
  </si>
  <si>
    <t xml:space="preserve">Армавир/Краснодарский край </t>
  </si>
  <si>
    <t>145,0</t>
  </si>
  <si>
    <t>70,0</t>
  </si>
  <si>
    <t>77,5</t>
  </si>
  <si>
    <t>82,5</t>
  </si>
  <si>
    <t>162,5</t>
  </si>
  <si>
    <t xml:space="preserve">Кашпаров Д. </t>
  </si>
  <si>
    <t>Чершеева Марина</t>
  </si>
  <si>
    <t>Открытая (02.03.1990)/30</t>
  </si>
  <si>
    <t>70,50</t>
  </si>
  <si>
    <t>122,5</t>
  </si>
  <si>
    <t>135,0</t>
  </si>
  <si>
    <t>62,5</t>
  </si>
  <si>
    <t>Мастера 40-49 (24.02.1978)/42</t>
  </si>
  <si>
    <t>ВЕСОВАЯ КАТЕГОРИЯ   52</t>
  </si>
  <si>
    <t>Крапивная Наталья</t>
  </si>
  <si>
    <t>Мастера 50-59 (26.05.1964)/56</t>
  </si>
  <si>
    <t>48,00</t>
  </si>
  <si>
    <t>50,0</t>
  </si>
  <si>
    <t>30,0</t>
  </si>
  <si>
    <t>35,0</t>
  </si>
  <si>
    <t>75,0</t>
  </si>
  <si>
    <t>80,0</t>
  </si>
  <si>
    <t xml:space="preserve">Косенко Е. </t>
  </si>
  <si>
    <t>Багов Алим</t>
  </si>
  <si>
    <t>Юноши 14-16 (28.03.2005)/15</t>
  </si>
  <si>
    <t xml:space="preserve">КБР </t>
  </si>
  <si>
    <t>65,0</t>
  </si>
  <si>
    <t>55,0</t>
  </si>
  <si>
    <t>90,0</t>
  </si>
  <si>
    <t>97,5</t>
  </si>
  <si>
    <t>102,5</t>
  </si>
  <si>
    <t>ВЕСОВАЯ КАТЕГОРИЯ   67.5</t>
  </si>
  <si>
    <t>Демин Данил</t>
  </si>
  <si>
    <t>Юноши 14-16 (29.08.2004)/16</t>
  </si>
  <si>
    <t>65,00</t>
  </si>
  <si>
    <t>127,5</t>
  </si>
  <si>
    <t>132,5</t>
  </si>
  <si>
    <t>100,0</t>
  </si>
  <si>
    <t xml:space="preserve">Тхамитлоков К. </t>
  </si>
  <si>
    <t>ВЕСОВАЯ КАТЕГОРИЯ   82.5</t>
  </si>
  <si>
    <t>Стрельников Максим</t>
  </si>
  <si>
    <t>Юноши 17-19 (21.05.2002)/18</t>
  </si>
  <si>
    <t>79,00</t>
  </si>
  <si>
    <t>155,0</t>
  </si>
  <si>
    <t>Арестов Максим</t>
  </si>
  <si>
    <t>Открытая (02.04.1991)/29</t>
  </si>
  <si>
    <t>81,00</t>
  </si>
  <si>
    <t>227,5</t>
  </si>
  <si>
    <t>242,5</t>
  </si>
  <si>
    <t>Новиков Николай</t>
  </si>
  <si>
    <t>Мастера 70-79 (21.05.1947)/73</t>
  </si>
  <si>
    <t>84,80</t>
  </si>
  <si>
    <t>Ковалёв Иван</t>
  </si>
  <si>
    <t>Юноши 14-16 (29.04.2003)/17</t>
  </si>
  <si>
    <t>97,80</t>
  </si>
  <si>
    <t>85,0</t>
  </si>
  <si>
    <t>305,0</t>
  </si>
  <si>
    <t>Gloss</t>
  </si>
  <si>
    <t xml:space="preserve">Результат </t>
  </si>
  <si>
    <t>Результат</t>
  </si>
  <si>
    <t>Цоколов Артём</t>
  </si>
  <si>
    <t>Юноши 14-16 (09.10.2007)/12</t>
  </si>
  <si>
    <t>50,00</t>
  </si>
  <si>
    <t>47,5</t>
  </si>
  <si>
    <t>52,5</t>
  </si>
  <si>
    <t>Матагов Бадруди</t>
  </si>
  <si>
    <t>Открытая (14.09.1988)/31</t>
  </si>
  <si>
    <t>85,80</t>
  </si>
  <si>
    <t>Заидов Александр</t>
  </si>
  <si>
    <t>Открытая (19.08.1991)/29</t>
  </si>
  <si>
    <t>89,70</t>
  </si>
  <si>
    <t xml:space="preserve">Георгиевск/Ставропольский край </t>
  </si>
  <si>
    <t>202,5</t>
  </si>
  <si>
    <t>Крастилевский Денис</t>
  </si>
  <si>
    <t>Открытая (07.06.1990)/30</t>
  </si>
  <si>
    <t>Салтамурадов Адам</t>
  </si>
  <si>
    <t>Открытая (04.04.1986)/34</t>
  </si>
  <si>
    <t xml:space="preserve">Алиев И. </t>
  </si>
  <si>
    <t>Чагаров Рамазан</t>
  </si>
  <si>
    <t>Открытая (26.05.1994)/26</t>
  </si>
  <si>
    <t>97,40</t>
  </si>
  <si>
    <t xml:space="preserve">Черкесск/Карачаево-Черкесия </t>
  </si>
  <si>
    <t>Блинов Виктор</t>
  </si>
  <si>
    <t>Открытая (02.02.1995)/25</t>
  </si>
  <si>
    <t>109,40</t>
  </si>
  <si>
    <t xml:space="preserve">Владивосток/Приморский край </t>
  </si>
  <si>
    <t>127,8200</t>
  </si>
  <si>
    <t>125,4000</t>
  </si>
  <si>
    <t>117,8820</t>
  </si>
  <si>
    <t>3</t>
  </si>
  <si>
    <t>4</t>
  </si>
  <si>
    <t>ВЕСОВАЯ КАТЕГОРИЯ   60</t>
  </si>
  <si>
    <t>Шеина Елена</t>
  </si>
  <si>
    <t>Мастера 40-49 (12.12.1971)/48</t>
  </si>
  <si>
    <t>59,90</t>
  </si>
  <si>
    <t xml:space="preserve">Тарасов А.а. </t>
  </si>
  <si>
    <t>Нефедков Александр</t>
  </si>
  <si>
    <t>Юноши 14-16 (28.01.2005)/15</t>
  </si>
  <si>
    <t>65,50</t>
  </si>
  <si>
    <t xml:space="preserve">Железноводск/Ставропольский край </t>
  </si>
  <si>
    <t>72,5</t>
  </si>
  <si>
    <t xml:space="preserve"> </t>
  </si>
  <si>
    <t>Чунчуров Ахьяд</t>
  </si>
  <si>
    <t>Юноши 17-19 (22.03.2002)/18</t>
  </si>
  <si>
    <t>63,40</t>
  </si>
  <si>
    <t>Тюнин Данил</t>
  </si>
  <si>
    <t>Юноши 17-19 (22.06.2001)/19</t>
  </si>
  <si>
    <t>73,90</t>
  </si>
  <si>
    <t>117,5</t>
  </si>
  <si>
    <t>125,0</t>
  </si>
  <si>
    <t>Хаутиев Башир</t>
  </si>
  <si>
    <t>Юниоры (19.08.1999)/21</t>
  </si>
  <si>
    <t>82,20</t>
  </si>
  <si>
    <t>Муссаев Кантемир</t>
  </si>
  <si>
    <t>Открытая (21.05.1981)/39</t>
  </si>
  <si>
    <t>82,30</t>
  </si>
  <si>
    <t xml:space="preserve">Нальчик/Кабардино-Балкария </t>
  </si>
  <si>
    <t>Пеков Руслан</t>
  </si>
  <si>
    <t>Открытая (18.09.1982)/37</t>
  </si>
  <si>
    <t>Баймурадов Рукман</t>
  </si>
  <si>
    <t>Открытая (02.05.1984)/36</t>
  </si>
  <si>
    <t>90,00</t>
  </si>
  <si>
    <t>Малушко Александр</t>
  </si>
  <si>
    <t>Мастера 40-49 (25.09.1979)/40</t>
  </si>
  <si>
    <t>86,70</t>
  </si>
  <si>
    <t>152,5</t>
  </si>
  <si>
    <t>Гаджиахмедов Заур</t>
  </si>
  <si>
    <t>Открытая (18.10.1984)/35</t>
  </si>
  <si>
    <t>95,00</t>
  </si>
  <si>
    <t>172,5</t>
  </si>
  <si>
    <t>Черкасский Сергей</t>
  </si>
  <si>
    <t>Открытая (25.11.1973)/46</t>
  </si>
  <si>
    <t>98,70</t>
  </si>
  <si>
    <t xml:space="preserve">Energy армавир </t>
  </si>
  <si>
    <t>167,5</t>
  </si>
  <si>
    <t xml:space="preserve">Сухоруков З. </t>
  </si>
  <si>
    <t>Кумратов Алексей</t>
  </si>
  <si>
    <t>Открытая (21.07.1985)/35</t>
  </si>
  <si>
    <t>94,10</t>
  </si>
  <si>
    <t>Мастера 40-49 (25.11.1973)/46</t>
  </si>
  <si>
    <t>Начоев Аскер</t>
  </si>
  <si>
    <t>Открытая (11.11.1982)/37</t>
  </si>
  <si>
    <t>109,60</t>
  </si>
  <si>
    <t>Бугов Умар</t>
  </si>
  <si>
    <t>Открытая (02.03.1989)/31</t>
  </si>
  <si>
    <t>110,30</t>
  </si>
  <si>
    <t>ВЕСОВАЯ КАТЕГОРИЯ   140</t>
  </si>
  <si>
    <t>Петрунь Денис</t>
  </si>
  <si>
    <t>Открытая (05.10.1986)/33</t>
  </si>
  <si>
    <t>128,90</t>
  </si>
  <si>
    <t>111,7200</t>
  </si>
  <si>
    <t>109,0020</t>
  </si>
  <si>
    <t>107,2950</t>
  </si>
  <si>
    <t>-</t>
  </si>
  <si>
    <t>Михайленко Сергей</t>
  </si>
  <si>
    <t>Открытая (26.02.1982)/38</t>
  </si>
  <si>
    <t>95,60</t>
  </si>
  <si>
    <t xml:space="preserve">Тарасов А. </t>
  </si>
  <si>
    <t>Касимов Феликс</t>
  </si>
  <si>
    <t>Открытая (29.03.1993)/27</t>
  </si>
  <si>
    <t>105,00</t>
  </si>
  <si>
    <t>Мовради Марина</t>
  </si>
  <si>
    <t>Открытая (18.01.1981)/39</t>
  </si>
  <si>
    <t>55,40</t>
  </si>
  <si>
    <t>Гальчева Мария</t>
  </si>
  <si>
    <t>Юниорки (22.08.1997)/23</t>
  </si>
  <si>
    <t>58,20</t>
  </si>
  <si>
    <t xml:space="preserve">Ессентуки/Ставропольский край </t>
  </si>
  <si>
    <t>57,5</t>
  </si>
  <si>
    <t xml:space="preserve">Аванесян С. </t>
  </si>
  <si>
    <t>45,0</t>
  </si>
  <si>
    <t xml:space="preserve">Будённовск/Ставропольский край </t>
  </si>
  <si>
    <t>Бобряшов Владимир</t>
  </si>
  <si>
    <t>134,40</t>
  </si>
  <si>
    <t>Открытая (22.12.1988)/31</t>
  </si>
  <si>
    <t>Руденко Сергей</t>
  </si>
  <si>
    <t>Арутюнов Артур</t>
  </si>
  <si>
    <t>Иванисов Максим</t>
  </si>
  <si>
    <t>80,90</t>
  </si>
  <si>
    <t>Открытая (11.07.1959)/61</t>
  </si>
  <si>
    <t xml:space="preserve">Полтавская/Краснодарский край </t>
  </si>
  <si>
    <t>73,20</t>
  </si>
  <si>
    <t>Открытая (24.06.1987)/33</t>
  </si>
  <si>
    <t>42,5</t>
  </si>
  <si>
    <t>74,50</t>
  </si>
  <si>
    <t>Подъем на бицепс</t>
  </si>
  <si>
    <t xml:space="preserve">Рамазанов И. </t>
  </si>
  <si>
    <t>Тарасов А.</t>
  </si>
  <si>
    <t>Нахаев Н.</t>
  </si>
  <si>
    <t xml:space="preserve">Ступников Р </t>
  </si>
  <si>
    <t xml:space="preserve">Адильсултанов А. </t>
  </si>
  <si>
    <t>Всероссийский мастерский турнир “Кубок Солнца”
WRPF любители Пауэрлифтинг без экипировки ДК
Ставрополь/Ставропольский край, 12-13 сентября 2020 года</t>
  </si>
  <si>
    <t>Всероссийский мастерский турнир “Кубок Солнца”
WRPF любители Пауэрлифтинг без экипировки
Ставрополь/Ставропольский край, 12-13 сентября 2020 года</t>
  </si>
  <si>
    <t>Всероссийский мастерский турнир “Кубок Солнца”
WRPF любители Пауэрлифтинг классический в бинтах ДК
Ставрополь/Ставропольский край, 12-13 сентября 2020 года</t>
  </si>
  <si>
    <t>Всероссийский мастерский турнир “Кубок Солнца”
WRPF любители Пауэрлифтинг классический в бинтах
Ставрополь/Ставропольский край, 12-13 сентября 2020 года</t>
  </si>
  <si>
    <t>Всероссийский мастерский турнир “Кубок Солнца”
WRPF любители Жим лежа без экипировки ДК
Ставрополь/Ставропольский край, 12-13 сентября 2020 года</t>
  </si>
  <si>
    <t>Всероссийский мастерский турнир “Кубок Солнца”
WRPF любители Жим лежа без экипировки
Ставрополь/Ставропольский край, 12-13 сентября 2020 года</t>
  </si>
  <si>
    <t>Всероссийский мастерский турнир “Кубок Солнца”
WEPF Жим лежа в однопетельной софт экипировке ДК
Ставрополь/Ставропольский край, 12-13 сентября 2020 года</t>
  </si>
  <si>
    <t>Всероссийский мастерский турнир “Кубок Солнца”
WEPF Жим лежа в однопетельной софт экипировке
Ставрополь/Ставропольский край, 12-13 сентября 2020 года</t>
  </si>
  <si>
    <t>Всероссийский мастерский турнир “Кубок Солнца”
WEPF Жим лежа в многопетельной софт экипировке ДК
Ставрополь/Ставропольский край, 12-13 сентября 2020 года</t>
  </si>
  <si>
    <t>Всероссийский мастерский турнир “Кубок Солнца”
WEPF Жим лежа в многопетельной софт экипировке
Ставрополь/Ставропольский край, 12-13 сентября 2020 года</t>
  </si>
  <si>
    <t>Всероссийский мастерский турнир “Кубок Солнца”
WRPF любители Становая тяга без экипировки ДК
Ставрополь/Ставропольский край, 12-13 сентября 2020 года</t>
  </si>
  <si>
    <t>Всероссийский мастерский турнир “Кубок Солнца”
WRPF любители Становая тяга без экипировки
Ставрополь/Ставропольский край, 12-13 сентября 2020 года</t>
  </si>
  <si>
    <t>Всероссийский мастерский турнир “Кубок Солнца”
WRPF Строгий подъем штанги на бицепс
Ставрополь/Ставропольский край, 12-13 сентября 2020 года</t>
  </si>
  <si>
    <t>Юноши 13-19 (20.08.2003)/17</t>
  </si>
  <si>
    <t xml:space="preserve">Лично </t>
  </si>
  <si>
    <t xml:space="preserve">Назрань/Республика Ингушетия </t>
  </si>
  <si>
    <t>СК "Перец"</t>
  </si>
  <si>
    <t>Ступников Р.</t>
  </si>
  <si>
    <t xml:space="preserve">Махачкала/Республика Дагестан </t>
  </si>
  <si>
    <t xml:space="preserve">Грозный/Республика Чечня </t>
  </si>
  <si>
    <t xml:space="preserve">Дербент/Республика Дагестан </t>
  </si>
  <si>
    <t>Весовая категория</t>
  </si>
  <si>
    <t xml:space="preserve">Баксан/Республика Кабардино-Балкария </t>
  </si>
  <si>
    <t>№</t>
  </si>
  <si>
    <t xml:space="preserve">
Дата рождения/Возраст</t>
  </si>
  <si>
    <t>Возрастная группа</t>
  </si>
  <si>
    <t>O</t>
  </si>
  <si>
    <t>M1</t>
  </si>
  <si>
    <t>M2</t>
  </si>
  <si>
    <t>ВЕСОВАЯ КАТЕГОРИЯ   48</t>
  </si>
  <si>
    <t>218,5260</t>
  </si>
  <si>
    <t>T1</t>
  </si>
  <si>
    <t>T2</t>
  </si>
  <si>
    <t>M4</t>
  </si>
  <si>
    <t>J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</si>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</sst>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36"/>
  <sheetViews>
    <sheetView workbookViewId="0">
      <selection sqref="A1:V2"/>
    </sheetView>
  </sheetViews>
  <sheetFormatPr baseColWidth="10" defaultColWidth="9.1640625" defaultRowHeight="13"/>
  <cols>
    <col min="1" max="1" width="7.5" style="7" bestFit="1" customWidth="1"/>
    <col min="2" max="2" width="23.3320312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2.6640625" style="7" bestFit="1" customWidth="1"/>
    <col min="7" max="7" width="34.1640625" style="7" bestFit="1" customWidth="1"/>
    <col min="8" max="10" width="5.5" style="8" customWidth="1"/>
    <col min="11" max="11" width="4.83203125" style="8" customWidth="1"/>
    <col min="12" max="14" width="5.5" style="8" customWidth="1"/>
    <col min="15" max="15" width="4.83203125" style="8" customWidth="1"/>
    <col min="16" max="18" width="5.5" style="8" customWidth="1"/>
    <col min="19" max="19" width="4.83203125" style="8" customWidth="1"/>
    <col min="20" max="20" width="7.83203125" style="8" bestFit="1" customWidth="1"/>
    <col min="21" max="21" width="8.5" style="8" bestFit="1" customWidth="1"/>
    <col min="22" max="22" width="19.1640625" style="7" bestFit="1" customWidth="1"/>
    <col min="23" max="16384" width="9.1640625" style="3"/>
  </cols>
  <sheetData>
    <row r="1" spans="1:22" s="2" customFormat="1" ht="29" customHeight="1">
      <c r="A1" s="55" t="s">
        <v>304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2" s="2" customFormat="1" ht="62" customHeigh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</row>
    <row r="3" spans="1:22" s="1" customFormat="1" ht="12.75" customHeight="1">
      <c r="A3" s="63" t="s">
        <v>327</v>
      </c>
      <c r="B3" s="47" t="s">
        <v>0</v>
      </c>
      <c r="C3" s="65" t="s">
        <v>328</v>
      </c>
      <c r="D3" s="65" t="s">
        <v>7</v>
      </c>
      <c r="E3" s="49" t="s">
        <v>329</v>
      </c>
      <c r="F3" s="49" t="s">
        <v>4</v>
      </c>
      <c r="G3" s="49" t="s">
        <v>6</v>
      </c>
      <c r="H3" s="49" t="s">
        <v>8</v>
      </c>
      <c r="I3" s="49"/>
      <c r="J3" s="49"/>
      <c r="K3" s="49"/>
      <c r="L3" s="49" t="s">
        <v>9</v>
      </c>
      <c r="M3" s="49"/>
      <c r="N3" s="49"/>
      <c r="O3" s="49"/>
      <c r="P3" s="49" t="s">
        <v>10</v>
      </c>
      <c r="Q3" s="49"/>
      <c r="R3" s="49"/>
      <c r="S3" s="49"/>
      <c r="T3" s="49" t="s">
        <v>1</v>
      </c>
      <c r="U3" s="49" t="s">
        <v>3</v>
      </c>
      <c r="V3" s="51" t="s">
        <v>2</v>
      </c>
    </row>
    <row r="4" spans="1:22" s="1" customFormat="1" ht="21" customHeight="1" thickBot="1">
      <c r="A4" s="64"/>
      <c r="B4" s="48"/>
      <c r="C4" s="50"/>
      <c r="D4" s="50"/>
      <c r="E4" s="50"/>
      <c r="F4" s="50"/>
      <c r="G4" s="50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50"/>
      <c r="U4" s="50"/>
      <c r="V4" s="52"/>
    </row>
    <row r="5" spans="1:22" ht="16">
      <c r="A5" s="53" t="s">
        <v>96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22">
      <c r="A6" s="10" t="s">
        <v>52</v>
      </c>
      <c r="B6" s="9" t="s">
        <v>97</v>
      </c>
      <c r="C6" s="9" t="s">
        <v>98</v>
      </c>
      <c r="D6" s="9" t="s">
        <v>99</v>
      </c>
      <c r="E6" s="9" t="s">
        <v>330</v>
      </c>
      <c r="F6" s="9" t="s">
        <v>320</v>
      </c>
      <c r="G6" s="9" t="s">
        <v>15</v>
      </c>
      <c r="H6" s="19" t="s">
        <v>100</v>
      </c>
      <c r="I6" s="19" t="s">
        <v>101</v>
      </c>
      <c r="J6" s="20" t="s">
        <v>102</v>
      </c>
      <c r="K6" s="10"/>
      <c r="L6" s="19" t="s">
        <v>103</v>
      </c>
      <c r="M6" s="20" t="s">
        <v>104</v>
      </c>
      <c r="N6" s="20" t="s">
        <v>104</v>
      </c>
      <c r="O6" s="10"/>
      <c r="P6" s="19" t="s">
        <v>105</v>
      </c>
      <c r="Q6" s="19" t="s">
        <v>71</v>
      </c>
      <c r="R6" s="20" t="s">
        <v>106</v>
      </c>
      <c r="S6" s="10"/>
      <c r="T6" s="10" t="str">
        <f>"305,0"</f>
        <v>305,0</v>
      </c>
      <c r="U6" s="10" t="str">
        <f>"362,9500"</f>
        <v>362,9500</v>
      </c>
      <c r="V6" s="9" t="s">
        <v>23</v>
      </c>
    </row>
    <row r="7" spans="1:22">
      <c r="B7" s="7" t="s">
        <v>53</v>
      </c>
    </row>
    <row r="8" spans="1:22" ht="16">
      <c r="A8" s="46" t="s">
        <v>107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22">
      <c r="A9" s="12" t="s">
        <v>52</v>
      </c>
      <c r="B9" s="11" t="s">
        <v>108</v>
      </c>
      <c r="C9" s="11" t="s">
        <v>109</v>
      </c>
      <c r="D9" s="11" t="s">
        <v>110</v>
      </c>
      <c r="E9" s="11" t="s">
        <v>330</v>
      </c>
      <c r="F9" s="11" t="s">
        <v>111</v>
      </c>
      <c r="G9" s="11" t="s">
        <v>112</v>
      </c>
      <c r="H9" s="21" t="s">
        <v>105</v>
      </c>
      <c r="I9" s="23" t="s">
        <v>113</v>
      </c>
      <c r="J9" s="21" t="s">
        <v>113</v>
      </c>
      <c r="K9" s="12"/>
      <c r="L9" s="21" t="s">
        <v>114</v>
      </c>
      <c r="M9" s="21" t="s">
        <v>115</v>
      </c>
      <c r="N9" s="21" t="s">
        <v>116</v>
      </c>
      <c r="O9" s="12"/>
      <c r="P9" s="21" t="s">
        <v>55</v>
      </c>
      <c r="Q9" s="21" t="s">
        <v>117</v>
      </c>
      <c r="R9" s="21" t="s">
        <v>72</v>
      </c>
      <c r="S9" s="12"/>
      <c r="T9" s="12" t="str">
        <f>"397,5"</f>
        <v>397,5</v>
      </c>
      <c r="U9" s="12" t="str">
        <f>"393,1275"</f>
        <v>393,1275</v>
      </c>
      <c r="V9" s="11" t="s">
        <v>118</v>
      </c>
    </row>
    <row r="10" spans="1:22">
      <c r="A10" s="26" t="s">
        <v>95</v>
      </c>
      <c r="B10" s="25" t="s">
        <v>119</v>
      </c>
      <c r="C10" s="25" t="s">
        <v>120</v>
      </c>
      <c r="D10" s="25" t="s">
        <v>121</v>
      </c>
      <c r="E10" s="25" t="s">
        <v>330</v>
      </c>
      <c r="F10" s="25" t="s">
        <v>318</v>
      </c>
      <c r="G10" s="25" t="s">
        <v>15</v>
      </c>
      <c r="H10" s="27" t="s">
        <v>122</v>
      </c>
      <c r="I10" s="27" t="s">
        <v>105</v>
      </c>
      <c r="J10" s="27" t="s">
        <v>123</v>
      </c>
      <c r="K10" s="26"/>
      <c r="L10" s="27" t="s">
        <v>124</v>
      </c>
      <c r="M10" s="27" t="s">
        <v>104</v>
      </c>
      <c r="N10" s="27" t="s">
        <v>114</v>
      </c>
      <c r="O10" s="26"/>
      <c r="P10" s="27" t="s">
        <v>30</v>
      </c>
      <c r="Q10" s="27" t="s">
        <v>18</v>
      </c>
      <c r="R10" s="28" t="s">
        <v>62</v>
      </c>
      <c r="S10" s="26"/>
      <c r="T10" s="26" t="str">
        <f>"380,0"</f>
        <v>380,0</v>
      </c>
      <c r="U10" s="26" t="str">
        <f>"376,2000"</f>
        <v>376,2000</v>
      </c>
      <c r="V10" s="25" t="s">
        <v>83</v>
      </c>
    </row>
    <row r="11" spans="1:22">
      <c r="A11" s="14" t="s">
        <v>52</v>
      </c>
      <c r="B11" s="13" t="s">
        <v>108</v>
      </c>
      <c r="C11" s="13" t="s">
        <v>125</v>
      </c>
      <c r="D11" s="13" t="s">
        <v>110</v>
      </c>
      <c r="E11" s="13" t="s">
        <v>331</v>
      </c>
      <c r="F11" s="13" t="s">
        <v>111</v>
      </c>
      <c r="G11" s="13" t="s">
        <v>112</v>
      </c>
      <c r="H11" s="22" t="s">
        <v>105</v>
      </c>
      <c r="I11" s="24" t="s">
        <v>113</v>
      </c>
      <c r="J11" s="22" t="s">
        <v>113</v>
      </c>
      <c r="K11" s="14"/>
      <c r="L11" s="22" t="s">
        <v>114</v>
      </c>
      <c r="M11" s="22" t="s">
        <v>115</v>
      </c>
      <c r="N11" s="22" t="s">
        <v>116</v>
      </c>
      <c r="O11" s="14"/>
      <c r="P11" s="22" t="s">
        <v>55</v>
      </c>
      <c r="Q11" s="22" t="s">
        <v>117</v>
      </c>
      <c r="R11" s="22" t="s">
        <v>72</v>
      </c>
      <c r="S11" s="14"/>
      <c r="T11" s="14" t="str">
        <f>"397,5"</f>
        <v>397,5</v>
      </c>
      <c r="U11" s="14" t="str">
        <f>"398,6313"</f>
        <v>398,6313</v>
      </c>
      <c r="V11" s="13" t="s">
        <v>118</v>
      </c>
    </row>
    <row r="12" spans="1:22">
      <c r="B12" s="7" t="s">
        <v>53</v>
      </c>
    </row>
    <row r="13" spans="1:22" ht="16">
      <c r="A13" s="46" t="s">
        <v>333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22">
      <c r="A14" s="10" t="s">
        <v>52</v>
      </c>
      <c r="B14" s="9" t="s">
        <v>127</v>
      </c>
      <c r="C14" s="9" t="s">
        <v>128</v>
      </c>
      <c r="D14" s="9" t="s">
        <v>129</v>
      </c>
      <c r="E14" s="9" t="s">
        <v>332</v>
      </c>
      <c r="F14" s="9" t="s">
        <v>111</v>
      </c>
      <c r="G14" s="9" t="s">
        <v>112</v>
      </c>
      <c r="H14" s="20" t="s">
        <v>130</v>
      </c>
      <c r="I14" s="20" t="s">
        <v>130</v>
      </c>
      <c r="J14" s="19" t="s">
        <v>130</v>
      </c>
      <c r="K14" s="10"/>
      <c r="L14" s="19" t="s">
        <v>131</v>
      </c>
      <c r="M14" s="20" t="s">
        <v>132</v>
      </c>
      <c r="N14" s="19" t="s">
        <v>132</v>
      </c>
      <c r="O14" s="10"/>
      <c r="P14" s="19" t="s">
        <v>114</v>
      </c>
      <c r="Q14" s="19" t="s">
        <v>133</v>
      </c>
      <c r="R14" s="19" t="s">
        <v>134</v>
      </c>
      <c r="S14" s="10"/>
      <c r="T14" s="10" t="str">
        <f>"165,0"</f>
        <v>165,0</v>
      </c>
      <c r="U14" s="10" t="s">
        <v>334</v>
      </c>
      <c r="V14" s="9" t="s">
        <v>135</v>
      </c>
    </row>
    <row r="15" spans="1:22">
      <c r="B15" s="7" t="s">
        <v>53</v>
      </c>
    </row>
    <row r="16" spans="1:22" ht="16">
      <c r="A16" s="46" t="s">
        <v>96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22">
      <c r="A17" s="10" t="s">
        <v>52</v>
      </c>
      <c r="B17" s="9" t="s">
        <v>136</v>
      </c>
      <c r="C17" s="9" t="s">
        <v>137</v>
      </c>
      <c r="D17" s="9" t="s">
        <v>99</v>
      </c>
      <c r="E17" s="9" t="s">
        <v>335</v>
      </c>
      <c r="F17" s="9" t="s">
        <v>138</v>
      </c>
      <c r="G17" s="9" t="s">
        <v>326</v>
      </c>
      <c r="H17" s="19" t="s">
        <v>139</v>
      </c>
      <c r="I17" s="19" t="s">
        <v>133</v>
      </c>
      <c r="J17" s="20" t="s">
        <v>134</v>
      </c>
      <c r="K17" s="10"/>
      <c r="L17" s="19" t="s">
        <v>140</v>
      </c>
      <c r="M17" s="20" t="s">
        <v>103</v>
      </c>
      <c r="N17" s="19" t="s">
        <v>103</v>
      </c>
      <c r="O17" s="10"/>
      <c r="P17" s="19" t="s">
        <v>141</v>
      </c>
      <c r="Q17" s="19" t="s">
        <v>142</v>
      </c>
      <c r="R17" s="19" t="s">
        <v>143</v>
      </c>
      <c r="S17" s="10"/>
      <c r="T17" s="10" t="str">
        <f>"237,5"</f>
        <v>237,5</v>
      </c>
      <c r="U17" s="10" t="str">
        <f>"219,2838"</f>
        <v>219,2838</v>
      </c>
      <c r="V17" s="30" t="s">
        <v>151</v>
      </c>
    </row>
    <row r="18" spans="1:22">
      <c r="B18" s="7" t="s">
        <v>53</v>
      </c>
    </row>
    <row r="19" spans="1:22" ht="16">
      <c r="A19" s="46" t="s">
        <v>144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22">
      <c r="A20" s="10" t="s">
        <v>52</v>
      </c>
      <c r="B20" s="9" t="s">
        <v>145</v>
      </c>
      <c r="C20" s="9" t="s">
        <v>146</v>
      </c>
      <c r="D20" s="9" t="s">
        <v>147</v>
      </c>
      <c r="E20" s="9" t="s">
        <v>335</v>
      </c>
      <c r="F20" s="9" t="s">
        <v>138</v>
      </c>
      <c r="G20" s="9" t="s">
        <v>326</v>
      </c>
      <c r="H20" s="19" t="s">
        <v>73</v>
      </c>
      <c r="I20" s="19" t="s">
        <v>148</v>
      </c>
      <c r="J20" s="20" t="s">
        <v>149</v>
      </c>
      <c r="K20" s="10"/>
      <c r="L20" s="19" t="s">
        <v>100</v>
      </c>
      <c r="M20" s="20" t="s">
        <v>150</v>
      </c>
      <c r="N20" s="20" t="s">
        <v>150</v>
      </c>
      <c r="O20" s="10"/>
      <c r="P20" s="19" t="s">
        <v>55</v>
      </c>
      <c r="Q20" s="19" t="s">
        <v>56</v>
      </c>
      <c r="R20" s="19" t="s">
        <v>19</v>
      </c>
      <c r="S20" s="10"/>
      <c r="T20" s="10" t="str">
        <f>"402,5"</f>
        <v>402,5</v>
      </c>
      <c r="U20" s="10" t="str">
        <f>"320,0680"</f>
        <v>320,0680</v>
      </c>
      <c r="V20" s="9" t="s">
        <v>151</v>
      </c>
    </row>
    <row r="21" spans="1:22">
      <c r="B21" s="7" t="s">
        <v>53</v>
      </c>
    </row>
    <row r="22" spans="1:22" ht="16">
      <c r="A22" s="46" t="s">
        <v>152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22">
      <c r="A23" s="12" t="s">
        <v>52</v>
      </c>
      <c r="B23" s="11" t="s">
        <v>153</v>
      </c>
      <c r="C23" s="11" t="s">
        <v>154</v>
      </c>
      <c r="D23" s="11" t="s">
        <v>155</v>
      </c>
      <c r="E23" s="11" t="s">
        <v>336</v>
      </c>
      <c r="F23" s="11" t="s">
        <v>320</v>
      </c>
      <c r="G23" s="11" t="s">
        <v>15</v>
      </c>
      <c r="H23" s="21" t="s">
        <v>71</v>
      </c>
      <c r="I23" s="21" t="s">
        <v>55</v>
      </c>
      <c r="J23" s="21" t="s">
        <v>156</v>
      </c>
      <c r="K23" s="12"/>
      <c r="L23" s="21" t="s">
        <v>150</v>
      </c>
      <c r="M23" s="23" t="s">
        <v>102</v>
      </c>
      <c r="N23" s="21" t="s">
        <v>102</v>
      </c>
      <c r="O23" s="12"/>
      <c r="P23" s="21" t="s">
        <v>55</v>
      </c>
      <c r="Q23" s="21" t="s">
        <v>30</v>
      </c>
      <c r="R23" s="21" t="s">
        <v>56</v>
      </c>
      <c r="S23" s="12"/>
      <c r="T23" s="12" t="str">
        <f>"427,5"</f>
        <v>427,5</v>
      </c>
      <c r="U23" s="12" t="str">
        <f>"294,2055"</f>
        <v>294,2055</v>
      </c>
      <c r="V23" s="29" t="s">
        <v>23</v>
      </c>
    </row>
    <row r="24" spans="1:22">
      <c r="A24" s="14" t="s">
        <v>52</v>
      </c>
      <c r="B24" s="13" t="s">
        <v>157</v>
      </c>
      <c r="C24" s="13" t="s">
        <v>158</v>
      </c>
      <c r="D24" s="13" t="s">
        <v>159</v>
      </c>
      <c r="E24" s="13" t="s">
        <v>330</v>
      </c>
      <c r="F24" s="13" t="s">
        <v>318</v>
      </c>
      <c r="G24" s="13" t="s">
        <v>15</v>
      </c>
      <c r="H24" s="22" t="s">
        <v>160</v>
      </c>
      <c r="I24" s="24" t="s">
        <v>161</v>
      </c>
      <c r="J24" s="24" t="s">
        <v>161</v>
      </c>
      <c r="K24" s="14"/>
      <c r="L24" s="22" t="s">
        <v>71</v>
      </c>
      <c r="M24" s="24" t="s">
        <v>106</v>
      </c>
      <c r="N24" s="14"/>
      <c r="O24" s="14"/>
      <c r="P24" s="22" t="s">
        <v>78</v>
      </c>
      <c r="Q24" s="22" t="s">
        <v>81</v>
      </c>
      <c r="R24" s="24" t="s">
        <v>87</v>
      </c>
      <c r="S24" s="14"/>
      <c r="T24" s="14" t="str">
        <f>"622,5"</f>
        <v>622,5</v>
      </c>
      <c r="U24" s="14" t="str">
        <f>"421,6815"</f>
        <v>421,6815</v>
      </c>
      <c r="V24" s="13" t="s">
        <v>214</v>
      </c>
    </row>
    <row r="25" spans="1:22">
      <c r="B25" s="7" t="s">
        <v>53</v>
      </c>
    </row>
    <row r="26" spans="1:22" ht="16">
      <c r="A26" s="46" t="s">
        <v>57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22">
      <c r="A27" s="12" t="s">
        <v>52</v>
      </c>
      <c r="B27" s="11" t="s">
        <v>68</v>
      </c>
      <c r="C27" s="11" t="s">
        <v>69</v>
      </c>
      <c r="D27" s="11" t="s">
        <v>70</v>
      </c>
      <c r="E27" s="11" t="s">
        <v>331</v>
      </c>
      <c r="F27" s="11" t="s">
        <v>318</v>
      </c>
      <c r="G27" s="11" t="s">
        <v>324</v>
      </c>
      <c r="H27" s="21" t="s">
        <v>71</v>
      </c>
      <c r="I27" s="21" t="s">
        <v>55</v>
      </c>
      <c r="J27" s="21" t="s">
        <v>72</v>
      </c>
      <c r="K27" s="12"/>
      <c r="L27" s="23" t="s">
        <v>73</v>
      </c>
      <c r="M27" s="21" t="s">
        <v>73</v>
      </c>
      <c r="N27" s="21" t="s">
        <v>71</v>
      </c>
      <c r="O27" s="12"/>
      <c r="P27" s="21" t="s">
        <v>71</v>
      </c>
      <c r="Q27" s="21" t="s">
        <v>30</v>
      </c>
      <c r="R27" s="21" t="s">
        <v>41</v>
      </c>
      <c r="S27" s="12"/>
      <c r="T27" s="12" t="str">
        <f>"500,0"</f>
        <v>500,0</v>
      </c>
      <c r="U27" s="12" t="str">
        <f>"341,3880"</f>
        <v>341,3880</v>
      </c>
      <c r="V27" s="11" t="s">
        <v>214</v>
      </c>
    </row>
    <row r="28" spans="1:22">
      <c r="A28" s="14" t="s">
        <v>52</v>
      </c>
      <c r="B28" s="13" t="s">
        <v>162</v>
      </c>
      <c r="C28" s="13" t="s">
        <v>163</v>
      </c>
      <c r="D28" s="13" t="s">
        <v>164</v>
      </c>
      <c r="E28" s="13" t="s">
        <v>337</v>
      </c>
      <c r="F28" s="13" t="s">
        <v>318</v>
      </c>
      <c r="G28" s="13" t="s">
        <v>15</v>
      </c>
      <c r="H28" s="24" t="s">
        <v>105</v>
      </c>
      <c r="I28" s="22" t="s">
        <v>105</v>
      </c>
      <c r="J28" s="24" t="s">
        <v>123</v>
      </c>
      <c r="K28" s="14"/>
      <c r="L28" s="22" t="s">
        <v>103</v>
      </c>
      <c r="M28" s="22" t="s">
        <v>139</v>
      </c>
      <c r="N28" s="14"/>
      <c r="O28" s="14"/>
      <c r="P28" s="22" t="s">
        <v>30</v>
      </c>
      <c r="Q28" s="22" t="s">
        <v>56</v>
      </c>
      <c r="R28" s="14"/>
      <c r="S28" s="14"/>
      <c r="T28" s="14" t="str">
        <f>"360,0"</f>
        <v>360,0</v>
      </c>
      <c r="U28" s="14" t="str">
        <f>"431,9078"</f>
        <v>431,9078</v>
      </c>
      <c r="V28" s="13" t="s">
        <v>214</v>
      </c>
    </row>
    <row r="29" spans="1:22">
      <c r="B29" s="7" t="s">
        <v>53</v>
      </c>
    </row>
    <row r="30" spans="1:22" ht="16">
      <c r="A30" s="46" t="s">
        <v>11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22">
      <c r="A31" s="10" t="s">
        <v>52</v>
      </c>
      <c r="B31" s="9" t="s">
        <v>165</v>
      </c>
      <c r="C31" s="9" t="s">
        <v>166</v>
      </c>
      <c r="D31" s="9" t="s">
        <v>167</v>
      </c>
      <c r="E31" s="9" t="s">
        <v>335</v>
      </c>
      <c r="F31" s="9" t="s">
        <v>320</v>
      </c>
      <c r="G31" s="9" t="s">
        <v>15</v>
      </c>
      <c r="H31" s="19" t="s">
        <v>105</v>
      </c>
      <c r="I31" s="19" t="s">
        <v>71</v>
      </c>
      <c r="J31" s="19" t="s">
        <v>55</v>
      </c>
      <c r="K31" s="10"/>
      <c r="L31" s="19" t="s">
        <v>168</v>
      </c>
      <c r="M31" s="19" t="s">
        <v>141</v>
      </c>
      <c r="N31" s="20" t="s">
        <v>100</v>
      </c>
      <c r="O31" s="10"/>
      <c r="P31" s="19" t="s">
        <v>55</v>
      </c>
      <c r="Q31" s="19" t="s">
        <v>30</v>
      </c>
      <c r="R31" s="19" t="s">
        <v>72</v>
      </c>
      <c r="S31" s="10"/>
      <c r="T31" s="10" t="str">
        <f>"410,0"</f>
        <v>410,0</v>
      </c>
      <c r="U31" s="10" t="str">
        <f>"251,8220"</f>
        <v>251,8220</v>
      </c>
      <c r="V31" s="30" t="s">
        <v>302</v>
      </c>
    </row>
    <row r="32" spans="1:22">
      <c r="B32" s="7" t="s">
        <v>53</v>
      </c>
    </row>
    <row r="33" spans="1:22" ht="16">
      <c r="A33" s="46" t="s">
        <v>24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22">
      <c r="A34" s="12" t="s">
        <v>52</v>
      </c>
      <c r="B34" s="11" t="s">
        <v>25</v>
      </c>
      <c r="C34" s="11" t="s">
        <v>26</v>
      </c>
      <c r="D34" s="11" t="s">
        <v>27</v>
      </c>
      <c r="E34" s="11" t="s">
        <v>330</v>
      </c>
      <c r="F34" s="11" t="s">
        <v>28</v>
      </c>
      <c r="G34" s="11" t="s">
        <v>322</v>
      </c>
      <c r="H34" s="21" t="s">
        <v>42</v>
      </c>
      <c r="I34" s="21" t="s">
        <v>29</v>
      </c>
      <c r="J34" s="23" t="s">
        <v>54</v>
      </c>
      <c r="K34" s="12"/>
      <c r="L34" s="21" t="s">
        <v>55</v>
      </c>
      <c r="M34" s="21" t="s">
        <v>30</v>
      </c>
      <c r="N34" s="23" t="s">
        <v>56</v>
      </c>
      <c r="O34" s="12"/>
      <c r="P34" s="21" t="s">
        <v>42</v>
      </c>
      <c r="Q34" s="21" t="s">
        <v>31</v>
      </c>
      <c r="R34" s="12"/>
      <c r="S34" s="12"/>
      <c r="T34" s="12" t="str">
        <f>"590,0"</f>
        <v>590,0</v>
      </c>
      <c r="U34" s="12" t="str">
        <f>"350,2830"</f>
        <v>350,2830</v>
      </c>
      <c r="V34" s="11" t="s">
        <v>214</v>
      </c>
    </row>
    <row r="35" spans="1:22">
      <c r="A35" s="14" t="s">
        <v>52</v>
      </c>
      <c r="B35" s="13" t="s">
        <v>25</v>
      </c>
      <c r="C35" s="13" t="s">
        <v>32</v>
      </c>
      <c r="D35" s="13" t="s">
        <v>27</v>
      </c>
      <c r="E35" s="13" t="s">
        <v>331</v>
      </c>
      <c r="F35" s="13" t="s">
        <v>28</v>
      </c>
      <c r="G35" s="13" t="s">
        <v>322</v>
      </c>
      <c r="H35" s="22" t="s">
        <v>42</v>
      </c>
      <c r="I35" s="22" t="s">
        <v>29</v>
      </c>
      <c r="J35" s="24" t="s">
        <v>54</v>
      </c>
      <c r="K35" s="14"/>
      <c r="L35" s="22" t="s">
        <v>55</v>
      </c>
      <c r="M35" s="22" t="s">
        <v>30</v>
      </c>
      <c r="N35" s="24" t="s">
        <v>56</v>
      </c>
      <c r="O35" s="14"/>
      <c r="P35" s="22" t="s">
        <v>42</v>
      </c>
      <c r="Q35" s="22" t="s">
        <v>31</v>
      </c>
      <c r="R35" s="14"/>
      <c r="S35" s="14"/>
      <c r="T35" s="14" t="str">
        <f>"590,0"</f>
        <v>590,0</v>
      </c>
      <c r="U35" s="14" t="str">
        <f>"371,3000"</f>
        <v>371,3000</v>
      </c>
      <c r="V35" s="13" t="s">
        <v>214</v>
      </c>
    </row>
    <row r="36" spans="1:22">
      <c r="B36" s="7" t="s">
        <v>53</v>
      </c>
    </row>
  </sheetData>
  <mergeCells count="23">
    <mergeCell ref="T3:T4"/>
    <mergeCell ref="U3:U4"/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30:S30"/>
    <mergeCell ref="A33:S33"/>
    <mergeCell ref="B3:B4"/>
    <mergeCell ref="A8:S8"/>
    <mergeCell ref="A13:S13"/>
    <mergeCell ref="A16:S16"/>
    <mergeCell ref="A19:S19"/>
    <mergeCell ref="A22:S22"/>
    <mergeCell ref="A26:S2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"/>
  <sheetViews>
    <sheetView workbookViewId="0">
      <selection activeCell="E7" sqref="E7"/>
    </sheetView>
  </sheetViews>
  <sheetFormatPr baseColWidth="10" defaultColWidth="9.1640625" defaultRowHeight="13"/>
  <cols>
    <col min="1" max="1" width="7.5" style="7" bestFit="1" customWidth="1"/>
    <col min="2" max="2" width="23.33203125" style="7" bestFit="1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22.6640625" style="7" bestFit="1" customWidth="1"/>
    <col min="7" max="7" width="27.6640625" style="7" bestFit="1" customWidth="1"/>
    <col min="8" max="11" width="5.5" style="8" customWidth="1"/>
    <col min="12" max="12" width="10.5" style="8" bestFit="1" customWidth="1"/>
    <col min="13" max="13" width="8.5" style="8" bestFit="1" customWidth="1"/>
    <col min="14" max="14" width="15.5" style="7" bestFit="1" customWidth="1"/>
    <col min="15" max="16384" width="9.1640625" style="3"/>
  </cols>
  <sheetData>
    <row r="1" spans="1:14" s="2" customFormat="1" ht="29" customHeight="1">
      <c r="A1" s="55" t="s">
        <v>313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>
      <c r="A3" s="73" t="s">
        <v>327</v>
      </c>
      <c r="B3" s="66" t="s">
        <v>0</v>
      </c>
      <c r="C3" s="74" t="s">
        <v>328</v>
      </c>
      <c r="D3" s="74" t="s">
        <v>7</v>
      </c>
      <c r="E3" s="67" t="s">
        <v>170</v>
      </c>
      <c r="F3" s="67" t="s">
        <v>4</v>
      </c>
      <c r="G3" s="67" t="s">
        <v>6</v>
      </c>
      <c r="H3" s="67" t="s">
        <v>9</v>
      </c>
      <c r="I3" s="67"/>
      <c r="J3" s="67"/>
      <c r="K3" s="67"/>
      <c r="L3" s="67" t="s">
        <v>172</v>
      </c>
      <c r="M3" s="67" t="s">
        <v>3</v>
      </c>
      <c r="N3" s="68" t="s">
        <v>2</v>
      </c>
    </row>
    <row r="4" spans="1:14" s="1" customFormat="1" ht="21" customHeight="1" thickBot="1">
      <c r="A4" s="64"/>
      <c r="B4" s="48"/>
      <c r="C4" s="50"/>
      <c r="D4" s="50"/>
      <c r="E4" s="50"/>
      <c r="F4" s="50"/>
      <c r="G4" s="50"/>
      <c r="H4" s="4">
        <v>1</v>
      </c>
      <c r="I4" s="4">
        <v>2</v>
      </c>
      <c r="J4" s="4">
        <v>3</v>
      </c>
      <c r="K4" s="4" t="s">
        <v>5</v>
      </c>
      <c r="L4" s="50"/>
      <c r="M4" s="50"/>
      <c r="N4" s="52"/>
    </row>
    <row r="5" spans="1:14" ht="16">
      <c r="A5" s="53" t="s">
        <v>24</v>
      </c>
      <c r="B5" s="53"/>
      <c r="C5" s="54"/>
      <c r="D5" s="54"/>
      <c r="E5" s="54"/>
      <c r="F5" s="54"/>
      <c r="G5" s="54"/>
      <c r="H5" s="54"/>
      <c r="I5" s="54"/>
      <c r="J5" s="54"/>
      <c r="K5" s="54"/>
    </row>
    <row r="6" spans="1:14">
      <c r="A6" s="10" t="s">
        <v>52</v>
      </c>
      <c r="B6" s="9" t="s">
        <v>25</v>
      </c>
      <c r="C6" s="9" t="s">
        <v>26</v>
      </c>
      <c r="D6" s="9" t="s">
        <v>27</v>
      </c>
      <c r="E6" s="9" t="s">
        <v>330</v>
      </c>
      <c r="F6" s="9" t="s">
        <v>28</v>
      </c>
      <c r="G6" s="9" t="s">
        <v>322</v>
      </c>
      <c r="H6" s="19" t="s">
        <v>54</v>
      </c>
      <c r="I6" s="20" t="s">
        <v>20</v>
      </c>
      <c r="J6" s="19" t="s">
        <v>20</v>
      </c>
      <c r="K6" s="10"/>
      <c r="L6" s="10" t="str">
        <f>"250,0"</f>
        <v>250,0</v>
      </c>
      <c r="M6" s="10" t="str">
        <f>"141,7750"</f>
        <v>141,7750</v>
      </c>
      <c r="N6" s="9" t="s">
        <v>214</v>
      </c>
    </row>
    <row r="7" spans="1:14">
      <c r="B7" s="7" t="s">
        <v>53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workbookViewId="0">
      <selection activeCell="E18" sqref="E18"/>
    </sheetView>
  </sheetViews>
  <sheetFormatPr baseColWidth="10" defaultColWidth="9.1640625" defaultRowHeight="13"/>
  <cols>
    <col min="1" max="1" width="7.5" style="7" bestFit="1" customWidth="1"/>
    <col min="2" max="2" width="23.3320312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2.6640625" style="7" bestFit="1" customWidth="1"/>
    <col min="7" max="7" width="31.1640625" style="7" bestFit="1" customWidth="1"/>
    <col min="8" max="10" width="5.5" style="8" customWidth="1"/>
    <col min="11" max="11" width="4.83203125" style="8" customWidth="1"/>
    <col min="12" max="12" width="10.5" style="8" bestFit="1" customWidth="1"/>
    <col min="13" max="13" width="8.5" style="8" bestFit="1" customWidth="1"/>
    <col min="14" max="14" width="15.5" style="7" bestFit="1" customWidth="1"/>
    <col min="15" max="16384" width="9.1640625" style="3"/>
  </cols>
  <sheetData>
    <row r="1" spans="1:14" s="2" customFormat="1" ht="29" customHeight="1">
      <c r="A1" s="55" t="s">
        <v>314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>
      <c r="A3" s="73" t="s">
        <v>327</v>
      </c>
      <c r="B3" s="66" t="s">
        <v>0</v>
      </c>
      <c r="C3" s="74" t="s">
        <v>328</v>
      </c>
      <c r="D3" s="74" t="s">
        <v>7</v>
      </c>
      <c r="E3" s="67" t="s">
        <v>329</v>
      </c>
      <c r="F3" s="67" t="s">
        <v>4</v>
      </c>
      <c r="G3" s="67" t="s">
        <v>6</v>
      </c>
      <c r="H3" s="67" t="s">
        <v>10</v>
      </c>
      <c r="I3" s="67"/>
      <c r="J3" s="67"/>
      <c r="K3" s="67"/>
      <c r="L3" s="67" t="s">
        <v>172</v>
      </c>
      <c r="M3" s="67" t="s">
        <v>3</v>
      </c>
      <c r="N3" s="68" t="s">
        <v>2</v>
      </c>
    </row>
    <row r="4" spans="1:14" s="1" customFormat="1" ht="21" customHeight="1" thickBot="1">
      <c r="A4" s="64"/>
      <c r="B4" s="48"/>
      <c r="C4" s="50"/>
      <c r="D4" s="50"/>
      <c r="E4" s="50"/>
      <c r="F4" s="50"/>
      <c r="G4" s="50"/>
      <c r="H4" s="4">
        <v>1</v>
      </c>
      <c r="I4" s="4">
        <v>2</v>
      </c>
      <c r="J4" s="4">
        <v>3</v>
      </c>
      <c r="K4" s="4" t="s">
        <v>5</v>
      </c>
      <c r="L4" s="50"/>
      <c r="M4" s="50"/>
      <c r="N4" s="52"/>
    </row>
    <row r="5" spans="1:14" ht="16">
      <c r="A5" s="53" t="s">
        <v>96</v>
      </c>
      <c r="B5" s="53"/>
      <c r="C5" s="54"/>
      <c r="D5" s="54"/>
      <c r="E5" s="54"/>
      <c r="F5" s="54"/>
      <c r="G5" s="54"/>
      <c r="H5" s="54"/>
      <c r="I5" s="54"/>
      <c r="J5" s="54"/>
      <c r="K5" s="54"/>
    </row>
    <row r="6" spans="1:14">
      <c r="A6" s="12" t="s">
        <v>52</v>
      </c>
      <c r="B6" s="11" t="s">
        <v>97</v>
      </c>
      <c r="C6" s="11" t="s">
        <v>98</v>
      </c>
      <c r="D6" s="11" t="s">
        <v>99</v>
      </c>
      <c r="E6" s="11" t="s">
        <v>330</v>
      </c>
      <c r="F6" s="11" t="s">
        <v>320</v>
      </c>
      <c r="G6" s="11" t="s">
        <v>15</v>
      </c>
      <c r="H6" s="21" t="s">
        <v>105</v>
      </c>
      <c r="I6" s="21" t="s">
        <v>71</v>
      </c>
      <c r="J6" s="23" t="s">
        <v>106</v>
      </c>
      <c r="K6" s="12"/>
      <c r="L6" s="12" t="str">
        <f>"140,0"</f>
        <v>140,0</v>
      </c>
      <c r="M6" s="12" t="str">
        <f>"166,6000"</f>
        <v>166,6000</v>
      </c>
      <c r="N6" s="11" t="s">
        <v>23</v>
      </c>
    </row>
    <row r="7" spans="1:14">
      <c r="A7" s="14" t="s">
        <v>95</v>
      </c>
      <c r="B7" s="13" t="s">
        <v>274</v>
      </c>
      <c r="C7" s="13" t="s">
        <v>275</v>
      </c>
      <c r="D7" s="13" t="s">
        <v>276</v>
      </c>
      <c r="E7" s="13" t="s">
        <v>330</v>
      </c>
      <c r="F7" s="13" t="s">
        <v>318</v>
      </c>
      <c r="G7" s="13" t="s">
        <v>15</v>
      </c>
      <c r="H7" s="22" t="s">
        <v>73</v>
      </c>
      <c r="I7" s="22" t="s">
        <v>222</v>
      </c>
      <c r="J7" s="14"/>
      <c r="K7" s="14"/>
      <c r="L7" s="14" t="str">
        <f>"125,0"</f>
        <v>125,0</v>
      </c>
      <c r="M7" s="14" t="str">
        <f>"148,3250"</f>
        <v>148,3250</v>
      </c>
      <c r="N7" s="13" t="s">
        <v>270</v>
      </c>
    </row>
    <row r="8" spans="1:14">
      <c r="B8" s="7" t="s">
        <v>53</v>
      </c>
    </row>
    <row r="9" spans="1:14" ht="16">
      <c r="A9" s="46" t="s">
        <v>204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4">
      <c r="A10" s="10" t="s">
        <v>52</v>
      </c>
      <c r="B10" s="9" t="s">
        <v>277</v>
      </c>
      <c r="C10" s="9" t="s">
        <v>278</v>
      </c>
      <c r="D10" s="9" t="s">
        <v>279</v>
      </c>
      <c r="E10" s="9" t="s">
        <v>338</v>
      </c>
      <c r="F10" s="9" t="s">
        <v>318</v>
      </c>
      <c r="G10" s="9" t="s">
        <v>280</v>
      </c>
      <c r="H10" s="19" t="s">
        <v>222</v>
      </c>
      <c r="I10" s="19" t="s">
        <v>123</v>
      </c>
      <c r="J10" s="19" t="s">
        <v>71</v>
      </c>
      <c r="K10" s="10"/>
      <c r="L10" s="10" t="str">
        <f>"140,0"</f>
        <v>140,0</v>
      </c>
      <c r="M10" s="10" t="str">
        <f>"159,8240"</f>
        <v>159,8240</v>
      </c>
      <c r="N10" s="9" t="s">
        <v>282</v>
      </c>
    </row>
    <row r="11" spans="1:14">
      <c r="B11" s="7" t="s">
        <v>53</v>
      </c>
    </row>
    <row r="12" spans="1:14" ht="16">
      <c r="A12" s="46" t="s">
        <v>57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4">
      <c r="A13" s="10" t="s">
        <v>52</v>
      </c>
      <c r="B13" s="9" t="s">
        <v>232</v>
      </c>
      <c r="C13" s="9" t="s">
        <v>233</v>
      </c>
      <c r="D13" s="9" t="s">
        <v>234</v>
      </c>
      <c r="E13" s="9" t="s">
        <v>330</v>
      </c>
      <c r="F13" s="9" t="s">
        <v>37</v>
      </c>
      <c r="G13" s="9" t="s">
        <v>323</v>
      </c>
      <c r="H13" s="19" t="s">
        <v>30</v>
      </c>
      <c r="I13" s="19" t="s">
        <v>18</v>
      </c>
      <c r="J13" s="19" t="s">
        <v>62</v>
      </c>
      <c r="K13" s="10"/>
      <c r="L13" s="10" t="str">
        <f>"185,0"</f>
        <v>185,0</v>
      </c>
      <c r="M13" s="10" t="str">
        <f>"118,1040"</f>
        <v>118,1040</v>
      </c>
      <c r="N13" s="9" t="s">
        <v>190</v>
      </c>
    </row>
    <row r="14" spans="1:14">
      <c r="B14" s="7" t="s">
        <v>53</v>
      </c>
    </row>
    <row r="15" spans="1:14" ht="16">
      <c r="A15" s="46" t="s">
        <v>24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4">
      <c r="A16" s="12" t="s">
        <v>52</v>
      </c>
      <c r="B16" s="11" t="s">
        <v>25</v>
      </c>
      <c r="C16" s="11" t="s">
        <v>26</v>
      </c>
      <c r="D16" s="11" t="s">
        <v>27</v>
      </c>
      <c r="E16" s="11" t="s">
        <v>330</v>
      </c>
      <c r="F16" s="11" t="s">
        <v>28</v>
      </c>
      <c r="G16" s="11" t="s">
        <v>322</v>
      </c>
      <c r="H16" s="21" t="s">
        <v>42</v>
      </c>
      <c r="I16" s="21" t="s">
        <v>31</v>
      </c>
      <c r="J16" s="12"/>
      <c r="K16" s="12"/>
      <c r="L16" s="12" t="str">
        <f>"210,0"</f>
        <v>210,0</v>
      </c>
      <c r="M16" s="12" t="str">
        <f>"124,6770"</f>
        <v>124,6770</v>
      </c>
      <c r="N16" s="11" t="s">
        <v>214</v>
      </c>
    </row>
    <row r="17" spans="1:14">
      <c r="A17" s="14" t="s">
        <v>52</v>
      </c>
      <c r="B17" s="13" t="s">
        <v>25</v>
      </c>
      <c r="C17" s="13" t="s">
        <v>32</v>
      </c>
      <c r="D17" s="13" t="s">
        <v>27</v>
      </c>
      <c r="E17" s="13" t="s">
        <v>331</v>
      </c>
      <c r="F17" s="13" t="s">
        <v>28</v>
      </c>
      <c r="G17" s="13" t="s">
        <v>322</v>
      </c>
      <c r="H17" s="22" t="s">
        <v>42</v>
      </c>
      <c r="I17" s="22" t="s">
        <v>31</v>
      </c>
      <c r="J17" s="14"/>
      <c r="K17" s="14"/>
      <c r="L17" s="14" t="str">
        <f>"210,0"</f>
        <v>210,0</v>
      </c>
      <c r="M17" s="14" t="str">
        <f>"132,1576"</f>
        <v>132,1576</v>
      </c>
      <c r="N17" s="13" t="s">
        <v>214</v>
      </c>
    </row>
    <row r="18" spans="1:14">
      <c r="B18" s="7" t="s">
        <v>53</v>
      </c>
    </row>
  </sheetData>
  <mergeCells count="16"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9:K9"/>
    <mergeCell ref="A12:K12"/>
    <mergeCell ref="A15:K15"/>
    <mergeCell ref="B3:B4"/>
    <mergeCell ref="L3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"/>
  <sheetViews>
    <sheetView workbookViewId="0">
      <selection activeCell="E14" sqref="E14"/>
    </sheetView>
  </sheetViews>
  <sheetFormatPr baseColWidth="10" defaultColWidth="9.1640625" defaultRowHeight="13"/>
  <cols>
    <col min="1" max="1" width="7.5" style="7" bestFit="1" customWidth="1"/>
    <col min="2" max="2" width="23.3320312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2.6640625" style="7" bestFit="1" customWidth="1"/>
    <col min="7" max="7" width="31.1640625" style="7" bestFit="1" customWidth="1"/>
    <col min="8" max="10" width="5.5" style="8" customWidth="1"/>
    <col min="11" max="11" width="4.83203125" style="8" customWidth="1"/>
    <col min="12" max="12" width="10.5" style="8" bestFit="1" customWidth="1"/>
    <col min="13" max="13" width="8.5" style="8" bestFit="1" customWidth="1"/>
    <col min="14" max="14" width="20.5" style="7" customWidth="1"/>
    <col min="15" max="16384" width="9.1640625" style="3"/>
  </cols>
  <sheetData>
    <row r="1" spans="1:14" s="2" customFormat="1" ht="29" customHeight="1">
      <c r="A1" s="55" t="s">
        <v>315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>
      <c r="A3" s="73" t="s">
        <v>327</v>
      </c>
      <c r="B3" s="66" t="s">
        <v>0</v>
      </c>
      <c r="C3" s="74" t="s">
        <v>328</v>
      </c>
      <c r="D3" s="74" t="s">
        <v>7</v>
      </c>
      <c r="E3" s="67" t="s">
        <v>329</v>
      </c>
      <c r="F3" s="67" t="s">
        <v>4</v>
      </c>
      <c r="G3" s="67" t="s">
        <v>6</v>
      </c>
      <c r="H3" s="67" t="s">
        <v>10</v>
      </c>
      <c r="I3" s="67"/>
      <c r="J3" s="67"/>
      <c r="K3" s="67"/>
      <c r="L3" s="67" t="s">
        <v>172</v>
      </c>
      <c r="M3" s="67" t="s">
        <v>3</v>
      </c>
      <c r="N3" s="68" t="s">
        <v>2</v>
      </c>
    </row>
    <row r="4" spans="1:14" s="1" customFormat="1" ht="21" customHeight="1" thickBot="1">
      <c r="A4" s="64"/>
      <c r="B4" s="48"/>
      <c r="C4" s="50"/>
      <c r="D4" s="50"/>
      <c r="E4" s="50"/>
      <c r="F4" s="50"/>
      <c r="G4" s="50"/>
      <c r="H4" s="4">
        <v>1</v>
      </c>
      <c r="I4" s="4">
        <v>2</v>
      </c>
      <c r="J4" s="4">
        <v>3</v>
      </c>
      <c r="K4" s="4" t="s">
        <v>5</v>
      </c>
      <c r="L4" s="50"/>
      <c r="M4" s="50"/>
      <c r="N4" s="52"/>
    </row>
    <row r="5" spans="1:14" ht="16">
      <c r="A5" s="53" t="s">
        <v>57</v>
      </c>
      <c r="B5" s="53"/>
      <c r="C5" s="54"/>
      <c r="D5" s="54"/>
      <c r="E5" s="54"/>
      <c r="F5" s="54"/>
      <c r="G5" s="54"/>
      <c r="H5" s="54"/>
      <c r="I5" s="54"/>
      <c r="J5" s="54"/>
      <c r="K5" s="54"/>
    </row>
    <row r="6" spans="1:14">
      <c r="A6" s="10" t="s">
        <v>52</v>
      </c>
      <c r="B6" s="9" t="s">
        <v>186</v>
      </c>
      <c r="C6" s="9" t="s">
        <v>187</v>
      </c>
      <c r="D6" s="9" t="s">
        <v>60</v>
      </c>
      <c r="E6" s="9" t="s">
        <v>330</v>
      </c>
      <c r="F6" s="9" t="s">
        <v>320</v>
      </c>
      <c r="G6" s="9" t="s">
        <v>15</v>
      </c>
      <c r="H6" s="19" t="s">
        <v>29</v>
      </c>
      <c r="I6" s="19" t="s">
        <v>78</v>
      </c>
      <c r="J6" s="20" t="s">
        <v>16</v>
      </c>
      <c r="K6" s="10"/>
      <c r="L6" s="10" t="str">
        <f>"235,0"</f>
        <v>235,0</v>
      </c>
      <c r="M6" s="10" t="str">
        <f>"150,1885"</f>
        <v>150,1885</v>
      </c>
      <c r="N6" s="9" t="s">
        <v>23</v>
      </c>
    </row>
    <row r="7" spans="1:14">
      <c r="B7" s="7" t="s">
        <v>53</v>
      </c>
    </row>
    <row r="8" spans="1:14" ht="16">
      <c r="A8" s="46" t="s">
        <v>11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4">
      <c r="A9" s="10" t="s">
        <v>52</v>
      </c>
      <c r="B9" s="9" t="s">
        <v>12</v>
      </c>
      <c r="C9" s="9" t="s">
        <v>13</v>
      </c>
      <c r="D9" s="9" t="s">
        <v>14</v>
      </c>
      <c r="E9" s="9" t="s">
        <v>330</v>
      </c>
      <c r="F9" s="9" t="s">
        <v>320</v>
      </c>
      <c r="G9" s="9" t="s">
        <v>15</v>
      </c>
      <c r="H9" s="19" t="s">
        <v>20</v>
      </c>
      <c r="I9" s="19" t="s">
        <v>21</v>
      </c>
      <c r="J9" s="20" t="s">
        <v>22</v>
      </c>
      <c r="K9" s="10"/>
      <c r="L9" s="10" t="str">
        <f>"260,0"</f>
        <v>260,0</v>
      </c>
      <c r="M9" s="10" t="str">
        <f>"158,2360"</f>
        <v>158,2360</v>
      </c>
      <c r="N9" s="9" t="s">
        <v>23</v>
      </c>
    </row>
    <row r="10" spans="1:14">
      <c r="B10" s="7" t="s">
        <v>53</v>
      </c>
    </row>
    <row r="11" spans="1:14" ht="16">
      <c r="A11" s="46" t="s">
        <v>24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4">
      <c r="A12" s="12" t="s">
        <v>52</v>
      </c>
      <c r="B12" s="11" t="s">
        <v>271</v>
      </c>
      <c r="C12" s="11" t="s">
        <v>272</v>
      </c>
      <c r="D12" s="11" t="s">
        <v>273</v>
      </c>
      <c r="E12" s="11" t="s">
        <v>330</v>
      </c>
      <c r="F12" s="11" t="s">
        <v>138</v>
      </c>
      <c r="G12" s="11" t="s">
        <v>229</v>
      </c>
      <c r="H12" s="21" t="s">
        <v>88</v>
      </c>
      <c r="I12" s="23" t="s">
        <v>169</v>
      </c>
      <c r="J12" s="23" t="s">
        <v>169</v>
      </c>
      <c r="K12" s="12"/>
      <c r="L12" s="12" t="str">
        <f>"290,0"</f>
        <v>290,0</v>
      </c>
      <c r="M12" s="12" t="str">
        <f>"173,3040"</f>
        <v>173,3040</v>
      </c>
      <c r="N12" s="11" t="s">
        <v>214</v>
      </c>
    </row>
    <row r="13" spans="1:14">
      <c r="A13" s="14" t="s">
        <v>52</v>
      </c>
      <c r="B13" s="13" t="s">
        <v>25</v>
      </c>
      <c r="C13" s="13" t="s">
        <v>32</v>
      </c>
      <c r="D13" s="13" t="s">
        <v>27</v>
      </c>
      <c r="E13" s="13" t="s">
        <v>331</v>
      </c>
      <c r="F13" s="13" t="s">
        <v>28</v>
      </c>
      <c r="G13" s="13" t="s">
        <v>322</v>
      </c>
      <c r="H13" s="22" t="s">
        <v>42</v>
      </c>
      <c r="I13" s="22" t="s">
        <v>31</v>
      </c>
      <c r="J13" s="14"/>
      <c r="K13" s="14"/>
      <c r="L13" s="14" t="str">
        <f>"210,0"</f>
        <v>210,0</v>
      </c>
      <c r="M13" s="14" t="str">
        <f>"132,1576"</f>
        <v>132,1576</v>
      </c>
      <c r="N13" s="13" t="s">
        <v>214</v>
      </c>
    </row>
    <row r="14" spans="1:14">
      <c r="B14" s="7" t="s">
        <v>53</v>
      </c>
    </row>
  </sheetData>
  <mergeCells count="15"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1:K11"/>
    <mergeCell ref="B3:B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14"/>
  <sheetViews>
    <sheetView tabSelected="1" workbookViewId="0">
      <selection activeCell="E14" sqref="E14"/>
    </sheetView>
  </sheetViews>
  <sheetFormatPr baseColWidth="10" defaultColWidth="9.1640625" defaultRowHeight="13"/>
  <cols>
    <col min="1" max="1" width="7.5" style="7" bestFit="1" customWidth="1"/>
    <col min="2" max="2" width="19.5" style="7" bestFit="1" customWidth="1"/>
    <col min="3" max="3" width="27.6640625" style="7" bestFit="1" customWidth="1"/>
    <col min="4" max="4" width="21.5" style="7" bestFit="1" customWidth="1"/>
    <col min="5" max="5" width="10.5" style="7" bestFit="1" customWidth="1"/>
    <col min="6" max="6" width="22.6640625" style="7" bestFit="1" customWidth="1"/>
    <col min="7" max="7" width="31.5" style="7" bestFit="1" customWidth="1"/>
    <col min="8" max="10" width="4.5" style="8" customWidth="1"/>
    <col min="11" max="11" width="4.83203125" style="8" customWidth="1"/>
    <col min="12" max="12" width="10.5" style="8" bestFit="1" customWidth="1"/>
    <col min="13" max="13" width="7.5" style="8" bestFit="1" customWidth="1"/>
    <col min="14" max="14" width="17.5" style="7" bestFit="1" customWidth="1"/>
    <col min="15" max="16384" width="9.1640625" style="3"/>
  </cols>
  <sheetData>
    <row r="1" spans="1:14" s="2" customFormat="1" ht="29" customHeight="1">
      <c r="A1" s="55" t="s">
        <v>316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>
      <c r="A3" s="73" t="s">
        <v>327</v>
      </c>
      <c r="B3" s="66" t="s">
        <v>0</v>
      </c>
      <c r="C3" s="74" t="s">
        <v>328</v>
      </c>
      <c r="D3" s="74" t="s">
        <v>7</v>
      </c>
      <c r="E3" s="67" t="s">
        <v>170</v>
      </c>
      <c r="F3" s="67" t="s">
        <v>4</v>
      </c>
      <c r="G3" s="67" t="s">
        <v>6</v>
      </c>
      <c r="H3" s="67" t="s">
        <v>298</v>
      </c>
      <c r="I3" s="67"/>
      <c r="J3" s="67"/>
      <c r="K3" s="67"/>
      <c r="L3" s="67" t="s">
        <v>172</v>
      </c>
      <c r="M3" s="67" t="s">
        <v>3</v>
      </c>
      <c r="N3" s="68" t="s">
        <v>2</v>
      </c>
    </row>
    <row r="4" spans="1:14" s="1" customFormat="1" ht="21" customHeight="1" thickBot="1">
      <c r="A4" s="64"/>
      <c r="B4" s="48"/>
      <c r="C4" s="50"/>
      <c r="D4" s="50"/>
      <c r="E4" s="50"/>
      <c r="F4" s="50"/>
      <c r="G4" s="50"/>
      <c r="H4" s="6">
        <v>1</v>
      </c>
      <c r="I4" s="6">
        <v>2</v>
      </c>
      <c r="J4" s="6">
        <v>3</v>
      </c>
      <c r="K4" s="6" t="s">
        <v>5</v>
      </c>
      <c r="L4" s="50"/>
      <c r="M4" s="50"/>
      <c r="N4" s="52"/>
    </row>
    <row r="5" spans="1:14" ht="16">
      <c r="A5" s="53" t="s">
        <v>107</v>
      </c>
      <c r="B5" s="53"/>
      <c r="C5" s="54"/>
      <c r="D5" s="54"/>
      <c r="E5" s="54"/>
      <c r="F5" s="54"/>
      <c r="G5" s="54"/>
      <c r="H5" s="54"/>
      <c r="I5" s="54"/>
      <c r="J5" s="54"/>
      <c r="K5" s="54"/>
    </row>
    <row r="6" spans="1:14">
      <c r="A6" s="12" t="s">
        <v>52</v>
      </c>
      <c r="B6" s="11" t="s">
        <v>290</v>
      </c>
      <c r="C6" s="11" t="s">
        <v>317</v>
      </c>
      <c r="D6" s="11" t="s">
        <v>297</v>
      </c>
      <c r="E6" s="11" t="s">
        <v>339</v>
      </c>
      <c r="F6" s="11" t="s">
        <v>318</v>
      </c>
      <c r="G6" s="11" t="s">
        <v>284</v>
      </c>
      <c r="H6" s="21" t="s">
        <v>296</v>
      </c>
      <c r="I6" s="21" t="s">
        <v>283</v>
      </c>
      <c r="J6" s="21" t="s">
        <v>176</v>
      </c>
      <c r="K6" s="12"/>
      <c r="L6" s="12" t="str">
        <f>"47,5"</f>
        <v>47,5</v>
      </c>
      <c r="M6" s="12" t="str">
        <f>"32,8676"</f>
        <v>32,8676</v>
      </c>
      <c r="N6" s="11" t="s">
        <v>214</v>
      </c>
    </row>
    <row r="7" spans="1:14">
      <c r="A7" s="14" t="s">
        <v>52</v>
      </c>
      <c r="B7" s="13" t="s">
        <v>289</v>
      </c>
      <c r="C7" s="13" t="s">
        <v>295</v>
      </c>
      <c r="D7" s="13" t="s">
        <v>294</v>
      </c>
      <c r="E7" s="13" t="s">
        <v>330</v>
      </c>
      <c r="F7" s="13" t="s">
        <v>318</v>
      </c>
      <c r="G7" s="13" t="s">
        <v>293</v>
      </c>
      <c r="H7" s="22" t="s">
        <v>140</v>
      </c>
      <c r="I7" s="24" t="s">
        <v>103</v>
      </c>
      <c r="J7" s="24" t="s">
        <v>103</v>
      </c>
      <c r="K7" s="14"/>
      <c r="L7" s="14" t="str">
        <f>"55,0"</f>
        <v>55,0</v>
      </c>
      <c r="M7" s="14" t="str">
        <f>"38,5633"</f>
        <v>38,5633</v>
      </c>
      <c r="N7" s="13" t="s">
        <v>214</v>
      </c>
    </row>
    <row r="8" spans="1:14">
      <c r="B8" s="7" t="s">
        <v>53</v>
      </c>
    </row>
    <row r="9" spans="1:14" ht="16">
      <c r="A9" s="46" t="s">
        <v>152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4">
      <c r="A10" s="10" t="s">
        <v>52</v>
      </c>
      <c r="B10" s="9" t="s">
        <v>288</v>
      </c>
      <c r="C10" s="9" t="s">
        <v>292</v>
      </c>
      <c r="D10" s="9" t="s">
        <v>291</v>
      </c>
      <c r="E10" s="9" t="s">
        <v>330</v>
      </c>
      <c r="F10" s="9" t="s">
        <v>320</v>
      </c>
      <c r="G10" s="9" t="s">
        <v>15</v>
      </c>
      <c r="H10" s="19" t="s">
        <v>130</v>
      </c>
      <c r="I10" s="19" t="s">
        <v>140</v>
      </c>
      <c r="J10" s="20" t="s">
        <v>281</v>
      </c>
      <c r="K10" s="10"/>
      <c r="L10" s="10" t="str">
        <f>"55,0"</f>
        <v>55,0</v>
      </c>
      <c r="M10" s="10" t="str">
        <f>"35,9095"</f>
        <v>35,9095</v>
      </c>
      <c r="N10" s="30" t="s">
        <v>321</v>
      </c>
    </row>
    <row r="11" spans="1:14">
      <c r="B11" s="7" t="s">
        <v>53</v>
      </c>
    </row>
    <row r="12" spans="1:14" ht="16">
      <c r="A12" s="46" t="s">
        <v>259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4">
      <c r="A13" s="10" t="s">
        <v>52</v>
      </c>
      <c r="B13" s="9" t="s">
        <v>285</v>
      </c>
      <c r="C13" s="9" t="s">
        <v>287</v>
      </c>
      <c r="D13" s="9" t="s">
        <v>286</v>
      </c>
      <c r="E13" s="9" t="s">
        <v>330</v>
      </c>
      <c r="F13" s="9" t="s">
        <v>318</v>
      </c>
      <c r="G13" s="9" t="s">
        <v>284</v>
      </c>
      <c r="H13" s="19" t="s">
        <v>133</v>
      </c>
      <c r="I13" s="19" t="s">
        <v>134</v>
      </c>
      <c r="J13" s="19" t="s">
        <v>168</v>
      </c>
      <c r="K13" s="10"/>
      <c r="L13" s="10" t="str">
        <f>"85,0"</f>
        <v>85,0</v>
      </c>
      <c r="M13" s="10" t="str">
        <f>"45,5668"</f>
        <v>45,5668</v>
      </c>
      <c r="N13" s="9" t="s">
        <v>23</v>
      </c>
    </row>
    <row r="14" spans="1:14">
      <c r="B14" s="7" t="s">
        <v>53</v>
      </c>
    </row>
  </sheetData>
  <mergeCells count="15">
    <mergeCell ref="A5:K5"/>
    <mergeCell ref="A9:K9"/>
    <mergeCell ref="A12:K12"/>
    <mergeCell ref="B3:B4"/>
    <mergeCell ref="E3:E4"/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9"/>
  <sheetViews>
    <sheetView workbookViewId="0">
      <selection activeCell="E19" sqref="E19"/>
    </sheetView>
  </sheetViews>
  <sheetFormatPr baseColWidth="10" defaultColWidth="9.1640625" defaultRowHeight="13"/>
  <cols>
    <col min="1" max="1" width="7.5" style="7" bestFit="1" customWidth="1"/>
    <col min="2" max="2" width="23.3320312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2.6640625" style="7" bestFit="1" customWidth="1"/>
    <col min="7" max="7" width="31.1640625" style="7" bestFit="1" customWidth="1"/>
    <col min="8" max="10" width="5.5" style="8" customWidth="1"/>
    <col min="11" max="11" width="4.83203125" style="8" customWidth="1"/>
    <col min="12" max="14" width="5.5" style="8" customWidth="1"/>
    <col min="15" max="15" width="4.83203125" style="8" customWidth="1"/>
    <col min="16" max="18" width="5.5" style="8" customWidth="1"/>
    <col min="19" max="19" width="4.83203125" style="8" customWidth="1"/>
    <col min="20" max="20" width="7.83203125" style="8" bestFit="1" customWidth="1"/>
    <col min="21" max="21" width="8.5" style="8" bestFit="1" customWidth="1"/>
    <col min="22" max="22" width="16.6640625" style="7" bestFit="1" customWidth="1"/>
    <col min="23" max="16384" width="9.1640625" style="3"/>
  </cols>
  <sheetData>
    <row r="1" spans="1:22" s="2" customFormat="1" ht="29" customHeight="1">
      <c r="A1" s="55" t="s">
        <v>305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2" s="2" customFormat="1" ht="62" customHeight="1" thickBot="1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</row>
    <row r="3" spans="1:22" s="1" customFormat="1" ht="12.75" customHeight="1">
      <c r="A3" s="73" t="s">
        <v>327</v>
      </c>
      <c r="B3" s="66" t="s">
        <v>0</v>
      </c>
      <c r="C3" s="74" t="s">
        <v>328</v>
      </c>
      <c r="D3" s="74" t="s">
        <v>7</v>
      </c>
      <c r="E3" s="67" t="s">
        <v>329</v>
      </c>
      <c r="F3" s="67" t="s">
        <v>4</v>
      </c>
      <c r="G3" s="67" t="s">
        <v>6</v>
      </c>
      <c r="H3" s="67" t="s">
        <v>8</v>
      </c>
      <c r="I3" s="67"/>
      <c r="J3" s="67"/>
      <c r="K3" s="67"/>
      <c r="L3" s="67" t="s">
        <v>9</v>
      </c>
      <c r="M3" s="67"/>
      <c r="N3" s="67"/>
      <c r="O3" s="67"/>
      <c r="P3" s="67" t="s">
        <v>10</v>
      </c>
      <c r="Q3" s="67"/>
      <c r="R3" s="67"/>
      <c r="S3" s="67"/>
      <c r="T3" s="67" t="s">
        <v>1</v>
      </c>
      <c r="U3" s="67" t="s">
        <v>3</v>
      </c>
      <c r="V3" s="68" t="s">
        <v>2</v>
      </c>
    </row>
    <row r="4" spans="1:22" s="1" customFormat="1" ht="21" customHeight="1" thickBot="1">
      <c r="A4" s="64"/>
      <c r="B4" s="48"/>
      <c r="C4" s="50"/>
      <c r="D4" s="50"/>
      <c r="E4" s="50"/>
      <c r="F4" s="50"/>
      <c r="G4" s="50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50"/>
      <c r="U4" s="50"/>
      <c r="V4" s="52"/>
    </row>
    <row r="5" spans="1:22" ht="16">
      <c r="A5" s="53" t="s">
        <v>57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22">
      <c r="A6" s="12" t="s">
        <v>52</v>
      </c>
      <c r="B6" s="11" t="s">
        <v>58</v>
      </c>
      <c r="C6" s="11" t="s">
        <v>59</v>
      </c>
      <c r="D6" s="11" t="s">
        <v>60</v>
      </c>
      <c r="E6" s="11" t="s">
        <v>330</v>
      </c>
      <c r="F6" s="11" t="s">
        <v>61</v>
      </c>
      <c r="G6" s="11" t="s">
        <v>324</v>
      </c>
      <c r="H6" s="23" t="s">
        <v>20</v>
      </c>
      <c r="I6" s="21" t="s">
        <v>20</v>
      </c>
      <c r="J6" s="23" t="s">
        <v>39</v>
      </c>
      <c r="K6" s="12"/>
      <c r="L6" s="21" t="s">
        <v>62</v>
      </c>
      <c r="M6" s="21" t="s">
        <v>63</v>
      </c>
      <c r="N6" s="21" t="s">
        <v>42</v>
      </c>
      <c r="O6" s="12"/>
      <c r="P6" s="21" t="s">
        <v>64</v>
      </c>
      <c r="Q6" s="21" t="s">
        <v>65</v>
      </c>
      <c r="R6" s="21" t="s">
        <v>66</v>
      </c>
      <c r="S6" s="12"/>
      <c r="T6" s="12" t="str">
        <f>"765,0"</f>
        <v>765,0</v>
      </c>
      <c r="U6" s="12" t="str">
        <f>"488,9115"</f>
        <v>488,9115</v>
      </c>
      <c r="V6" s="11" t="s">
        <v>67</v>
      </c>
    </row>
    <row r="7" spans="1:22">
      <c r="A7" s="14" t="s">
        <v>52</v>
      </c>
      <c r="B7" s="13" t="s">
        <v>68</v>
      </c>
      <c r="C7" s="13" t="s">
        <v>69</v>
      </c>
      <c r="D7" s="13" t="s">
        <v>70</v>
      </c>
      <c r="E7" s="13" t="s">
        <v>331</v>
      </c>
      <c r="F7" s="13" t="s">
        <v>318</v>
      </c>
      <c r="G7" s="13" t="s">
        <v>324</v>
      </c>
      <c r="H7" s="22" t="s">
        <v>71</v>
      </c>
      <c r="I7" s="22" t="s">
        <v>55</v>
      </c>
      <c r="J7" s="22" t="s">
        <v>72</v>
      </c>
      <c r="K7" s="14"/>
      <c r="L7" s="24" t="s">
        <v>73</v>
      </c>
      <c r="M7" s="22" t="s">
        <v>73</v>
      </c>
      <c r="N7" s="22" t="s">
        <v>71</v>
      </c>
      <c r="O7" s="14"/>
      <c r="P7" s="22" t="s">
        <v>71</v>
      </c>
      <c r="Q7" s="22" t="s">
        <v>30</v>
      </c>
      <c r="R7" s="22" t="s">
        <v>41</v>
      </c>
      <c r="S7" s="14"/>
      <c r="T7" s="14" t="str">
        <f>"500,0"</f>
        <v>500,0</v>
      </c>
      <c r="U7" s="14" t="str">
        <f>"341,3880"</f>
        <v>341,3880</v>
      </c>
      <c r="V7" s="13" t="s">
        <v>214</v>
      </c>
    </row>
    <row r="8" spans="1:22">
      <c r="B8" s="7" t="s">
        <v>53</v>
      </c>
    </row>
    <row r="9" spans="1:22" ht="16">
      <c r="A9" s="46" t="s">
        <v>11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2">
      <c r="A10" s="10" t="s">
        <v>52</v>
      </c>
      <c r="B10" s="9" t="s">
        <v>74</v>
      </c>
      <c r="C10" s="9" t="s">
        <v>75</v>
      </c>
      <c r="D10" s="9" t="s">
        <v>76</v>
      </c>
      <c r="E10" s="9" t="s">
        <v>330</v>
      </c>
      <c r="F10" s="9" t="s">
        <v>77</v>
      </c>
      <c r="G10" s="9" t="s">
        <v>15</v>
      </c>
      <c r="H10" s="19" t="s">
        <v>78</v>
      </c>
      <c r="I10" s="20" t="s">
        <v>20</v>
      </c>
      <c r="J10" s="19" t="s">
        <v>20</v>
      </c>
      <c r="K10" s="10"/>
      <c r="L10" s="19" t="s">
        <v>79</v>
      </c>
      <c r="M10" s="19" t="s">
        <v>55</v>
      </c>
      <c r="N10" s="19" t="s">
        <v>80</v>
      </c>
      <c r="O10" s="10"/>
      <c r="P10" s="19" t="s">
        <v>81</v>
      </c>
      <c r="Q10" s="19" t="s">
        <v>22</v>
      </c>
      <c r="R10" s="20" t="s">
        <v>82</v>
      </c>
      <c r="S10" s="10"/>
      <c r="T10" s="10" t="str">
        <f>"682,5"</f>
        <v>682,5</v>
      </c>
      <c r="U10" s="10" t="str">
        <f>"416,0520"</f>
        <v>416,0520</v>
      </c>
      <c r="V10" s="9" t="s">
        <v>83</v>
      </c>
    </row>
    <row r="11" spans="1:22">
      <c r="B11" s="7" t="s">
        <v>53</v>
      </c>
    </row>
    <row r="12" spans="1:22" ht="16">
      <c r="A12" s="46" t="s">
        <v>24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22">
      <c r="A13" s="12" t="s">
        <v>52</v>
      </c>
      <c r="B13" s="11" t="s">
        <v>25</v>
      </c>
      <c r="C13" s="11" t="s">
        <v>26</v>
      </c>
      <c r="D13" s="11" t="s">
        <v>27</v>
      </c>
      <c r="E13" s="11" t="s">
        <v>330</v>
      </c>
      <c r="F13" s="11" t="s">
        <v>28</v>
      </c>
      <c r="G13" s="11" t="s">
        <v>322</v>
      </c>
      <c r="H13" s="21" t="s">
        <v>42</v>
      </c>
      <c r="I13" s="21" t="s">
        <v>29</v>
      </c>
      <c r="J13" s="23" t="s">
        <v>54</v>
      </c>
      <c r="K13" s="12"/>
      <c r="L13" s="21" t="s">
        <v>55</v>
      </c>
      <c r="M13" s="21" t="s">
        <v>30</v>
      </c>
      <c r="N13" s="23" t="s">
        <v>56</v>
      </c>
      <c r="O13" s="12"/>
      <c r="P13" s="21" t="s">
        <v>42</v>
      </c>
      <c r="Q13" s="21" t="s">
        <v>31</v>
      </c>
      <c r="R13" s="12"/>
      <c r="S13" s="12"/>
      <c r="T13" s="12" t="str">
        <f>"590,0"</f>
        <v>590,0</v>
      </c>
      <c r="U13" s="12" t="str">
        <f>"350,2830"</f>
        <v>350,2830</v>
      </c>
      <c r="V13" s="11" t="s">
        <v>214</v>
      </c>
    </row>
    <row r="14" spans="1:22">
      <c r="A14" s="14" t="s">
        <v>52</v>
      </c>
      <c r="B14" s="13" t="s">
        <v>25</v>
      </c>
      <c r="C14" s="13" t="s">
        <v>32</v>
      </c>
      <c r="D14" s="13" t="s">
        <v>27</v>
      </c>
      <c r="E14" s="13" t="s">
        <v>331</v>
      </c>
      <c r="F14" s="13" t="s">
        <v>28</v>
      </c>
      <c r="G14" s="13" t="s">
        <v>322</v>
      </c>
      <c r="H14" s="22" t="s">
        <v>42</v>
      </c>
      <c r="I14" s="22" t="s">
        <v>29</v>
      </c>
      <c r="J14" s="24" t="s">
        <v>54</v>
      </c>
      <c r="K14" s="14"/>
      <c r="L14" s="22" t="s">
        <v>55</v>
      </c>
      <c r="M14" s="22" t="s">
        <v>30</v>
      </c>
      <c r="N14" s="24" t="s">
        <v>56</v>
      </c>
      <c r="O14" s="14"/>
      <c r="P14" s="22" t="s">
        <v>42</v>
      </c>
      <c r="Q14" s="22" t="s">
        <v>31</v>
      </c>
      <c r="R14" s="14"/>
      <c r="S14" s="14"/>
      <c r="T14" s="14" t="str">
        <f>"590,0"</f>
        <v>590,0</v>
      </c>
      <c r="U14" s="14" t="str">
        <f>"371,3000"</f>
        <v>371,3000</v>
      </c>
      <c r="V14" s="13" t="s">
        <v>214</v>
      </c>
    </row>
    <row r="15" spans="1:22">
      <c r="B15" s="7" t="s">
        <v>53</v>
      </c>
    </row>
    <row r="16" spans="1:22" ht="16">
      <c r="A16" s="46" t="s">
        <v>33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22">
      <c r="A17" s="12" t="s">
        <v>52</v>
      </c>
      <c r="B17" s="11" t="s">
        <v>84</v>
      </c>
      <c r="C17" s="11" t="s">
        <v>85</v>
      </c>
      <c r="D17" s="11" t="s">
        <v>86</v>
      </c>
      <c r="E17" s="11" t="s">
        <v>330</v>
      </c>
      <c r="F17" s="11" t="s">
        <v>320</v>
      </c>
      <c r="G17" s="11" t="s">
        <v>15</v>
      </c>
      <c r="H17" s="21" t="s">
        <v>87</v>
      </c>
      <c r="I17" s="21" t="s">
        <v>40</v>
      </c>
      <c r="J17" s="23" t="s">
        <v>88</v>
      </c>
      <c r="K17" s="12"/>
      <c r="L17" s="21" t="s">
        <v>31</v>
      </c>
      <c r="M17" s="23" t="s">
        <v>29</v>
      </c>
      <c r="N17" s="21" t="s">
        <v>29</v>
      </c>
      <c r="O17" s="12"/>
      <c r="P17" s="21" t="s">
        <v>87</v>
      </c>
      <c r="Q17" s="21" t="s">
        <v>89</v>
      </c>
      <c r="R17" s="23" t="s">
        <v>40</v>
      </c>
      <c r="S17" s="12"/>
      <c r="T17" s="12" t="str">
        <f>"772,5"</f>
        <v>772,5</v>
      </c>
      <c r="U17" s="12" t="str">
        <f>"440,3250"</f>
        <v>440,3250</v>
      </c>
      <c r="V17" s="29" t="s">
        <v>23</v>
      </c>
    </row>
    <row r="18" spans="1:22">
      <c r="A18" s="14" t="s">
        <v>95</v>
      </c>
      <c r="B18" s="13" t="s">
        <v>90</v>
      </c>
      <c r="C18" s="13" t="s">
        <v>91</v>
      </c>
      <c r="D18" s="13" t="s">
        <v>92</v>
      </c>
      <c r="E18" s="13" t="s">
        <v>330</v>
      </c>
      <c r="F18" s="13" t="s">
        <v>318</v>
      </c>
      <c r="G18" s="13" t="s">
        <v>15</v>
      </c>
      <c r="H18" s="22" t="s">
        <v>87</v>
      </c>
      <c r="I18" s="22" t="s">
        <v>22</v>
      </c>
      <c r="J18" s="24" t="s">
        <v>40</v>
      </c>
      <c r="K18" s="14"/>
      <c r="L18" s="22" t="s">
        <v>19</v>
      </c>
      <c r="M18" s="22" t="s">
        <v>41</v>
      </c>
      <c r="N18" s="24" t="s">
        <v>63</v>
      </c>
      <c r="O18" s="14"/>
      <c r="P18" s="22" t="s">
        <v>39</v>
      </c>
      <c r="Q18" s="24" t="s">
        <v>88</v>
      </c>
      <c r="R18" s="14"/>
      <c r="S18" s="14"/>
      <c r="T18" s="14" t="str">
        <f>"735,0"</f>
        <v>735,0</v>
      </c>
      <c r="U18" s="14" t="str">
        <f>"424,5360"</f>
        <v>424,5360</v>
      </c>
      <c r="V18" s="13" t="s">
        <v>93</v>
      </c>
    </row>
    <row r="19" spans="1:22">
      <c r="B19" s="7" t="s">
        <v>53</v>
      </c>
    </row>
  </sheetData>
  <mergeCells count="18">
    <mergeCell ref="U3:U4"/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9:S9"/>
    <mergeCell ref="A12:S12"/>
    <mergeCell ref="A16:S16"/>
    <mergeCell ref="B3:B4"/>
    <mergeCell ref="T3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8"/>
  <sheetViews>
    <sheetView workbookViewId="0">
      <selection activeCell="E8" sqref="E8"/>
    </sheetView>
  </sheetViews>
  <sheetFormatPr baseColWidth="10" defaultColWidth="9.1640625" defaultRowHeight="13"/>
  <cols>
    <col min="1" max="1" width="7.5" style="7" bestFit="1" customWidth="1"/>
    <col min="2" max="2" width="23.3320312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2.6640625" style="7" bestFit="1" customWidth="1"/>
    <col min="7" max="7" width="27.6640625" style="7" bestFit="1" customWidth="1"/>
    <col min="8" max="10" width="5.5" style="8" customWidth="1"/>
    <col min="11" max="11" width="4.83203125" style="8" customWidth="1"/>
    <col min="12" max="14" width="5.5" style="8" customWidth="1"/>
    <col min="15" max="15" width="4.83203125" style="8" customWidth="1"/>
    <col min="16" max="17" width="5.5" style="8" customWidth="1"/>
    <col min="18" max="18" width="4.6640625" style="8" customWidth="1"/>
    <col min="19" max="19" width="4.83203125" style="8" customWidth="1"/>
    <col min="20" max="20" width="7.83203125" style="8" bestFit="1" customWidth="1"/>
    <col min="21" max="21" width="8.5" style="8" bestFit="1" customWidth="1"/>
    <col min="22" max="22" width="15.5" style="7" bestFit="1" customWidth="1"/>
    <col min="23" max="16384" width="9.1640625" style="3"/>
  </cols>
  <sheetData>
    <row r="1" spans="1:22" s="2" customFormat="1" ht="29" customHeight="1">
      <c r="A1" s="55" t="s">
        <v>306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2" s="2" customFormat="1" ht="62" customHeight="1" thickBot="1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</row>
    <row r="3" spans="1:22" s="1" customFormat="1" ht="12.75" customHeight="1">
      <c r="A3" s="73" t="s">
        <v>327</v>
      </c>
      <c r="B3" s="66" t="s">
        <v>0</v>
      </c>
      <c r="C3" s="74" t="s">
        <v>328</v>
      </c>
      <c r="D3" s="74" t="s">
        <v>7</v>
      </c>
      <c r="E3" s="67" t="s">
        <v>329</v>
      </c>
      <c r="F3" s="67" t="s">
        <v>4</v>
      </c>
      <c r="G3" s="67" t="s">
        <v>6</v>
      </c>
      <c r="H3" s="67" t="s">
        <v>8</v>
      </c>
      <c r="I3" s="67"/>
      <c r="J3" s="67"/>
      <c r="K3" s="67"/>
      <c r="L3" s="67" t="s">
        <v>9</v>
      </c>
      <c r="M3" s="67"/>
      <c r="N3" s="67"/>
      <c r="O3" s="67"/>
      <c r="P3" s="67" t="s">
        <v>10</v>
      </c>
      <c r="Q3" s="67"/>
      <c r="R3" s="67"/>
      <c r="S3" s="67"/>
      <c r="T3" s="67" t="s">
        <v>1</v>
      </c>
      <c r="U3" s="67" t="s">
        <v>3</v>
      </c>
      <c r="V3" s="68" t="s">
        <v>2</v>
      </c>
    </row>
    <row r="4" spans="1:22" s="1" customFormat="1" ht="21" customHeight="1" thickBot="1">
      <c r="A4" s="64"/>
      <c r="B4" s="48"/>
      <c r="C4" s="50"/>
      <c r="D4" s="50"/>
      <c r="E4" s="50"/>
      <c r="F4" s="50"/>
      <c r="G4" s="50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50"/>
      <c r="U4" s="50"/>
      <c r="V4" s="52"/>
    </row>
    <row r="5" spans="1:22" ht="16">
      <c r="A5" s="53" t="s">
        <v>24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22">
      <c r="A6" s="12" t="s">
        <v>52</v>
      </c>
      <c r="B6" s="11" t="s">
        <v>25</v>
      </c>
      <c r="C6" s="11" t="s">
        <v>26</v>
      </c>
      <c r="D6" s="11" t="s">
        <v>27</v>
      </c>
      <c r="E6" s="11" t="s">
        <v>330</v>
      </c>
      <c r="F6" s="11" t="s">
        <v>28</v>
      </c>
      <c r="G6" s="11" t="s">
        <v>322</v>
      </c>
      <c r="H6" s="21" t="s">
        <v>42</v>
      </c>
      <c r="I6" s="21" t="s">
        <v>29</v>
      </c>
      <c r="J6" s="23" t="s">
        <v>54</v>
      </c>
      <c r="K6" s="12"/>
      <c r="L6" s="21" t="s">
        <v>55</v>
      </c>
      <c r="M6" s="21" t="s">
        <v>30</v>
      </c>
      <c r="N6" s="23" t="s">
        <v>56</v>
      </c>
      <c r="O6" s="12"/>
      <c r="P6" s="21" t="s">
        <v>42</v>
      </c>
      <c r="Q6" s="21" t="s">
        <v>31</v>
      </c>
      <c r="R6" s="12"/>
      <c r="S6" s="12"/>
      <c r="T6" s="12" t="str">
        <f>"590,0"</f>
        <v>590,0</v>
      </c>
      <c r="U6" s="12" t="str">
        <f>"350,2830"</f>
        <v>350,2830</v>
      </c>
      <c r="V6" s="11" t="s">
        <v>214</v>
      </c>
    </row>
    <row r="7" spans="1:22">
      <c r="A7" s="14" t="s">
        <v>52</v>
      </c>
      <c r="B7" s="13" t="s">
        <v>25</v>
      </c>
      <c r="C7" s="13" t="s">
        <v>32</v>
      </c>
      <c r="D7" s="13" t="s">
        <v>27</v>
      </c>
      <c r="E7" s="13" t="s">
        <v>331</v>
      </c>
      <c r="F7" s="13" t="s">
        <v>28</v>
      </c>
      <c r="G7" s="13" t="s">
        <v>322</v>
      </c>
      <c r="H7" s="22" t="s">
        <v>42</v>
      </c>
      <c r="I7" s="22" t="s">
        <v>29</v>
      </c>
      <c r="J7" s="24" t="s">
        <v>54</v>
      </c>
      <c r="K7" s="14"/>
      <c r="L7" s="22" t="s">
        <v>55</v>
      </c>
      <c r="M7" s="22" t="s">
        <v>30</v>
      </c>
      <c r="N7" s="24" t="s">
        <v>56</v>
      </c>
      <c r="O7" s="14"/>
      <c r="P7" s="22" t="s">
        <v>42</v>
      </c>
      <c r="Q7" s="22" t="s">
        <v>31</v>
      </c>
      <c r="R7" s="14"/>
      <c r="S7" s="14"/>
      <c r="T7" s="14" t="str">
        <f>"590,0"</f>
        <v>590,0</v>
      </c>
      <c r="U7" s="14" t="str">
        <f>"371,3000"</f>
        <v>371,3000</v>
      </c>
      <c r="V7" s="13" t="s">
        <v>214</v>
      </c>
    </row>
    <row r="8" spans="1:22">
      <c r="B8" s="7" t="s">
        <v>53</v>
      </c>
    </row>
  </sheetData>
  <mergeCells count="15">
    <mergeCell ref="A5:S5"/>
    <mergeCell ref="B3:B4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5">
    <pageSetUpPr fitToPage="1"/>
  </sheetPr>
  <dimension ref="A1:V15"/>
  <sheetViews>
    <sheetView workbookViewId="0">
      <selection activeCell="E15" sqref="E15"/>
    </sheetView>
  </sheetViews>
  <sheetFormatPr baseColWidth="10" defaultColWidth="9.1640625" defaultRowHeight="13"/>
  <cols>
    <col min="1" max="1" width="7.5" style="7" bestFit="1" customWidth="1"/>
    <col min="2" max="2" width="23.3320312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2.6640625" style="7" bestFit="1" customWidth="1"/>
    <col min="7" max="7" width="31.1640625" style="7" bestFit="1" customWidth="1"/>
    <col min="8" max="10" width="5.5" style="8" customWidth="1"/>
    <col min="11" max="11" width="4.83203125" style="8" customWidth="1"/>
    <col min="12" max="14" width="5.5" style="8" customWidth="1"/>
    <col min="15" max="15" width="4.83203125" style="8" customWidth="1"/>
    <col min="16" max="18" width="5.5" style="8" customWidth="1"/>
    <col min="19" max="19" width="4.83203125" style="8" customWidth="1"/>
    <col min="20" max="20" width="7.83203125" style="8" bestFit="1" customWidth="1"/>
    <col min="21" max="21" width="8.5" style="8" bestFit="1" customWidth="1"/>
    <col min="22" max="22" width="20.83203125" style="7" bestFit="1" customWidth="1"/>
    <col min="23" max="16384" width="9.1640625" style="3"/>
  </cols>
  <sheetData>
    <row r="1" spans="1:22" s="2" customFormat="1" ht="29" customHeight="1">
      <c r="A1" s="55" t="s">
        <v>307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2" s="2" customFormat="1" ht="62" customHeigh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</row>
    <row r="3" spans="1:22" s="1" customFormat="1" ht="12.75" customHeight="1">
      <c r="A3" s="63" t="s">
        <v>327</v>
      </c>
      <c r="B3" s="47" t="s">
        <v>0</v>
      </c>
      <c r="C3" s="65" t="s">
        <v>328</v>
      </c>
      <c r="D3" s="65" t="s">
        <v>7</v>
      </c>
      <c r="E3" s="49" t="s">
        <v>329</v>
      </c>
      <c r="F3" s="49" t="s">
        <v>4</v>
      </c>
      <c r="G3" s="49" t="s">
        <v>6</v>
      </c>
      <c r="H3" s="49" t="s">
        <v>8</v>
      </c>
      <c r="I3" s="49"/>
      <c r="J3" s="49"/>
      <c r="K3" s="49"/>
      <c r="L3" s="49" t="s">
        <v>9</v>
      </c>
      <c r="M3" s="49"/>
      <c r="N3" s="49"/>
      <c r="O3" s="49"/>
      <c r="P3" s="49" t="s">
        <v>10</v>
      </c>
      <c r="Q3" s="49"/>
      <c r="R3" s="49"/>
      <c r="S3" s="49"/>
      <c r="T3" s="49" t="s">
        <v>1</v>
      </c>
      <c r="U3" s="49" t="s">
        <v>3</v>
      </c>
      <c r="V3" s="51" t="s">
        <v>2</v>
      </c>
    </row>
    <row r="4" spans="1:22" s="1" customFormat="1" ht="21" customHeight="1" thickBot="1">
      <c r="A4" s="64"/>
      <c r="B4" s="48"/>
      <c r="C4" s="50"/>
      <c r="D4" s="50"/>
      <c r="E4" s="50"/>
      <c r="F4" s="50"/>
      <c r="G4" s="50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50"/>
      <c r="U4" s="50"/>
      <c r="V4" s="52"/>
    </row>
    <row r="5" spans="1:22" ht="16">
      <c r="A5" s="53" t="s">
        <v>11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22">
      <c r="A6" s="10" t="s">
        <v>52</v>
      </c>
      <c r="B6" s="9" t="s">
        <v>12</v>
      </c>
      <c r="C6" s="9" t="s">
        <v>13</v>
      </c>
      <c r="D6" s="9" t="s">
        <v>14</v>
      </c>
      <c r="E6" s="9" t="s">
        <v>330</v>
      </c>
      <c r="F6" s="9" t="s">
        <v>320</v>
      </c>
      <c r="G6" s="9" t="s">
        <v>15</v>
      </c>
      <c r="H6" s="19" t="s">
        <v>16</v>
      </c>
      <c r="I6" s="20" t="s">
        <v>17</v>
      </c>
      <c r="J6" s="19" t="s">
        <v>17</v>
      </c>
      <c r="K6" s="10"/>
      <c r="L6" s="19" t="s">
        <v>18</v>
      </c>
      <c r="M6" s="20" t="s">
        <v>19</v>
      </c>
      <c r="N6" s="20" t="s">
        <v>19</v>
      </c>
      <c r="O6" s="10"/>
      <c r="P6" s="19" t="s">
        <v>20</v>
      </c>
      <c r="Q6" s="19" t="s">
        <v>21</v>
      </c>
      <c r="R6" s="20" t="s">
        <v>22</v>
      </c>
      <c r="S6" s="10"/>
      <c r="T6" s="10" t="str">
        <f>"682,5"</f>
        <v>682,5</v>
      </c>
      <c r="U6" s="10" t="str">
        <f>"415,3695"</f>
        <v>415,3695</v>
      </c>
      <c r="V6" s="9" t="s">
        <v>23</v>
      </c>
    </row>
    <row r="7" spans="1:22">
      <c r="B7" s="7" t="s">
        <v>53</v>
      </c>
    </row>
    <row r="8" spans="1:22" ht="16">
      <c r="A8" s="46" t="s">
        <v>24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22">
      <c r="A9" s="12" t="s">
        <v>52</v>
      </c>
      <c r="B9" s="11" t="s">
        <v>25</v>
      </c>
      <c r="C9" s="11" t="s">
        <v>26</v>
      </c>
      <c r="D9" s="11" t="s">
        <v>27</v>
      </c>
      <c r="E9" s="11" t="s">
        <v>330</v>
      </c>
      <c r="F9" s="11" t="s">
        <v>28</v>
      </c>
      <c r="G9" s="11" t="s">
        <v>322</v>
      </c>
      <c r="H9" s="21" t="s">
        <v>42</v>
      </c>
      <c r="I9" s="21" t="s">
        <v>29</v>
      </c>
      <c r="J9" s="23" t="s">
        <v>54</v>
      </c>
      <c r="K9" s="12"/>
      <c r="L9" s="21" t="s">
        <v>55</v>
      </c>
      <c r="M9" s="21" t="s">
        <v>30</v>
      </c>
      <c r="N9" s="23" t="s">
        <v>56</v>
      </c>
      <c r="O9" s="12"/>
      <c r="P9" s="21" t="s">
        <v>42</v>
      </c>
      <c r="Q9" s="21" t="s">
        <v>31</v>
      </c>
      <c r="R9" s="12"/>
      <c r="S9" s="12"/>
      <c r="T9" s="12" t="str">
        <f>"590,0"</f>
        <v>590,0</v>
      </c>
      <c r="U9" s="12" t="str">
        <f>"350,2830"</f>
        <v>350,2830</v>
      </c>
      <c r="V9" s="11" t="s">
        <v>214</v>
      </c>
    </row>
    <row r="10" spans="1:22">
      <c r="A10" s="14" t="s">
        <v>52</v>
      </c>
      <c r="B10" s="13" t="s">
        <v>25</v>
      </c>
      <c r="C10" s="13" t="s">
        <v>32</v>
      </c>
      <c r="D10" s="13" t="s">
        <v>27</v>
      </c>
      <c r="E10" s="13" t="s">
        <v>331</v>
      </c>
      <c r="F10" s="13" t="s">
        <v>28</v>
      </c>
      <c r="G10" s="13" t="s">
        <v>322</v>
      </c>
      <c r="H10" s="22" t="s">
        <v>42</v>
      </c>
      <c r="I10" s="22" t="s">
        <v>29</v>
      </c>
      <c r="J10" s="24" t="s">
        <v>54</v>
      </c>
      <c r="K10" s="14"/>
      <c r="L10" s="22" t="s">
        <v>55</v>
      </c>
      <c r="M10" s="22" t="s">
        <v>30</v>
      </c>
      <c r="N10" s="24" t="s">
        <v>56</v>
      </c>
      <c r="O10" s="14"/>
      <c r="P10" s="22" t="s">
        <v>42</v>
      </c>
      <c r="Q10" s="22" t="s">
        <v>31</v>
      </c>
      <c r="R10" s="14"/>
      <c r="S10" s="14"/>
      <c r="T10" s="14" t="str">
        <f>"590,0"</f>
        <v>590,0</v>
      </c>
      <c r="U10" s="14" t="str">
        <f>"371,3000"</f>
        <v>371,3000</v>
      </c>
      <c r="V10" s="13" t="s">
        <v>214</v>
      </c>
    </row>
    <row r="11" spans="1:22">
      <c r="B11" s="7" t="s">
        <v>53</v>
      </c>
    </row>
    <row r="12" spans="1:22" ht="16">
      <c r="A12" s="46" t="s">
        <v>33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22">
      <c r="A13" s="12" t="s">
        <v>52</v>
      </c>
      <c r="B13" s="11" t="s">
        <v>34</v>
      </c>
      <c r="C13" s="11" t="s">
        <v>35</v>
      </c>
      <c r="D13" s="11" t="s">
        <v>36</v>
      </c>
      <c r="E13" s="11" t="s">
        <v>330</v>
      </c>
      <c r="F13" s="11" t="s">
        <v>37</v>
      </c>
      <c r="G13" s="11" t="s">
        <v>323</v>
      </c>
      <c r="H13" s="21" t="s">
        <v>21</v>
      </c>
      <c r="I13" s="21" t="s">
        <v>39</v>
      </c>
      <c r="J13" s="21" t="s">
        <v>40</v>
      </c>
      <c r="K13" s="12"/>
      <c r="L13" s="21" t="s">
        <v>19</v>
      </c>
      <c r="M13" s="21" t="s">
        <v>41</v>
      </c>
      <c r="N13" s="21" t="s">
        <v>42</v>
      </c>
      <c r="O13" s="12"/>
      <c r="P13" s="21" t="s">
        <v>21</v>
      </c>
      <c r="Q13" s="21" t="s">
        <v>39</v>
      </c>
      <c r="R13" s="21" t="s">
        <v>40</v>
      </c>
      <c r="S13" s="12"/>
      <c r="T13" s="12" t="str">
        <f>"760,0"</f>
        <v>760,0</v>
      </c>
      <c r="U13" s="12" t="str">
        <f>"433,7320"</f>
        <v>433,7320</v>
      </c>
      <c r="V13" s="29" t="s">
        <v>303</v>
      </c>
    </row>
    <row r="14" spans="1:22">
      <c r="A14" s="14" t="s">
        <v>52</v>
      </c>
      <c r="B14" s="13" t="s">
        <v>34</v>
      </c>
      <c r="C14" s="13" t="s">
        <v>43</v>
      </c>
      <c r="D14" s="13" t="s">
        <v>36</v>
      </c>
      <c r="E14" s="13" t="s">
        <v>331</v>
      </c>
      <c r="F14" s="13" t="s">
        <v>37</v>
      </c>
      <c r="G14" s="13" t="s">
        <v>323</v>
      </c>
      <c r="H14" s="22" t="s">
        <v>21</v>
      </c>
      <c r="I14" s="22" t="s">
        <v>39</v>
      </c>
      <c r="J14" s="22" t="s">
        <v>40</v>
      </c>
      <c r="K14" s="14"/>
      <c r="L14" s="22" t="s">
        <v>19</v>
      </c>
      <c r="M14" s="22" t="s">
        <v>41</v>
      </c>
      <c r="N14" s="22" t="s">
        <v>42</v>
      </c>
      <c r="O14" s="14"/>
      <c r="P14" s="22" t="s">
        <v>21</v>
      </c>
      <c r="Q14" s="22" t="s">
        <v>39</v>
      </c>
      <c r="R14" s="22" t="s">
        <v>40</v>
      </c>
      <c r="S14" s="14"/>
      <c r="T14" s="14" t="str">
        <f>"760,0"</f>
        <v>760,0</v>
      </c>
      <c r="U14" s="14" t="str">
        <f>"439,8042"</f>
        <v>439,8042</v>
      </c>
      <c r="V14" s="32" t="s">
        <v>303</v>
      </c>
    </row>
    <row r="15" spans="1:22">
      <c r="B15" s="7" t="s">
        <v>53</v>
      </c>
    </row>
  </sheetData>
  <mergeCells count="17">
    <mergeCell ref="T3:T4"/>
    <mergeCell ref="U3:U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  <mergeCell ref="A5:S5"/>
    <mergeCell ref="A8:S8"/>
    <mergeCell ref="A12:S12"/>
    <mergeCell ref="B3:B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2"/>
  <sheetViews>
    <sheetView workbookViewId="0">
      <selection activeCell="E43" sqref="E43"/>
    </sheetView>
  </sheetViews>
  <sheetFormatPr baseColWidth="10" defaultColWidth="9.1640625" defaultRowHeight="13"/>
  <cols>
    <col min="1" max="1" width="7.5" style="7" bestFit="1" customWidth="1"/>
    <col min="2" max="2" width="23.3320312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2.6640625" style="7" bestFit="1" customWidth="1"/>
    <col min="7" max="7" width="33.5" style="7" bestFit="1" customWidth="1"/>
    <col min="8" max="10" width="5.5" style="8" customWidth="1"/>
    <col min="11" max="11" width="4.83203125" style="8" customWidth="1"/>
    <col min="12" max="12" width="10.5" style="34" bestFit="1" customWidth="1"/>
    <col min="13" max="13" width="8.5" style="8" bestFit="1" customWidth="1"/>
    <col min="14" max="14" width="17.5" style="7" bestFit="1" customWidth="1"/>
    <col min="15" max="16384" width="9.1640625" style="3"/>
  </cols>
  <sheetData>
    <row r="1" spans="1:14" s="2" customFormat="1" ht="29" customHeight="1">
      <c r="A1" s="55" t="s">
        <v>308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>
      <c r="A3" s="73" t="s">
        <v>327</v>
      </c>
      <c r="B3" s="66" t="s">
        <v>0</v>
      </c>
      <c r="C3" s="74" t="s">
        <v>328</v>
      </c>
      <c r="D3" s="74" t="s">
        <v>7</v>
      </c>
      <c r="E3" s="67" t="s">
        <v>329</v>
      </c>
      <c r="F3" s="67" t="s">
        <v>4</v>
      </c>
      <c r="G3" s="67" t="s">
        <v>6</v>
      </c>
      <c r="H3" s="67" t="s">
        <v>9</v>
      </c>
      <c r="I3" s="67"/>
      <c r="J3" s="67"/>
      <c r="K3" s="67"/>
      <c r="L3" s="75" t="s">
        <v>172</v>
      </c>
      <c r="M3" s="67" t="s">
        <v>3</v>
      </c>
      <c r="N3" s="68" t="s">
        <v>2</v>
      </c>
    </row>
    <row r="4" spans="1:14" s="1" customFormat="1" ht="21" customHeight="1" thickBot="1">
      <c r="A4" s="64"/>
      <c r="B4" s="48"/>
      <c r="C4" s="50"/>
      <c r="D4" s="50"/>
      <c r="E4" s="50"/>
      <c r="F4" s="50"/>
      <c r="G4" s="50"/>
      <c r="H4" s="4">
        <v>1</v>
      </c>
      <c r="I4" s="4">
        <v>2</v>
      </c>
      <c r="J4" s="4">
        <v>3</v>
      </c>
      <c r="K4" s="4" t="s">
        <v>5</v>
      </c>
      <c r="L4" s="76"/>
      <c r="M4" s="50"/>
      <c r="N4" s="52"/>
    </row>
    <row r="5" spans="1:14" ht="16">
      <c r="A5" s="53" t="s">
        <v>96</v>
      </c>
      <c r="B5" s="53"/>
      <c r="C5" s="54"/>
      <c r="D5" s="54"/>
      <c r="E5" s="54"/>
      <c r="F5" s="54"/>
      <c r="G5" s="54"/>
      <c r="H5" s="54"/>
      <c r="I5" s="54"/>
      <c r="J5" s="54"/>
      <c r="K5" s="54"/>
    </row>
    <row r="6" spans="1:14">
      <c r="A6" s="10" t="s">
        <v>52</v>
      </c>
      <c r="B6" s="9" t="s">
        <v>97</v>
      </c>
      <c r="C6" s="9" t="s">
        <v>98</v>
      </c>
      <c r="D6" s="9" t="s">
        <v>99</v>
      </c>
      <c r="E6" s="9" t="s">
        <v>330</v>
      </c>
      <c r="F6" s="9" t="s">
        <v>320</v>
      </c>
      <c r="G6" s="9" t="s">
        <v>15</v>
      </c>
      <c r="H6" s="19" t="s">
        <v>103</v>
      </c>
      <c r="I6" s="20" t="s">
        <v>104</v>
      </c>
      <c r="J6" s="20" t="s">
        <v>104</v>
      </c>
      <c r="K6" s="10"/>
      <c r="L6" s="33" t="str">
        <f>"60,0"</f>
        <v>60,0</v>
      </c>
      <c r="M6" s="10" t="str">
        <f>"71,4000"</f>
        <v>71,4000</v>
      </c>
      <c r="N6" s="9" t="s">
        <v>23</v>
      </c>
    </row>
    <row r="7" spans="1:14">
      <c r="B7" s="7" t="s">
        <v>53</v>
      </c>
    </row>
    <row r="8" spans="1:14" ht="16">
      <c r="A8" s="46" t="s">
        <v>204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4">
      <c r="A9" s="10" t="s">
        <v>52</v>
      </c>
      <c r="B9" s="9" t="s">
        <v>205</v>
      </c>
      <c r="C9" s="9" t="s">
        <v>206</v>
      </c>
      <c r="D9" s="9" t="s">
        <v>207</v>
      </c>
      <c r="E9" s="9" t="s">
        <v>331</v>
      </c>
      <c r="F9" s="9" t="s">
        <v>318</v>
      </c>
      <c r="G9" s="9" t="s">
        <v>15</v>
      </c>
      <c r="H9" s="19" t="s">
        <v>140</v>
      </c>
      <c r="I9" s="20" t="s">
        <v>103</v>
      </c>
      <c r="J9" s="19" t="s">
        <v>103</v>
      </c>
      <c r="K9" s="10"/>
      <c r="L9" s="33" t="str">
        <f>"60,0"</f>
        <v>60,0</v>
      </c>
      <c r="M9" s="10" t="str">
        <f>"74,6135"</f>
        <v>74,6135</v>
      </c>
      <c r="N9" s="9" t="s">
        <v>208</v>
      </c>
    </row>
    <row r="10" spans="1:14">
      <c r="B10" s="7" t="s">
        <v>53</v>
      </c>
    </row>
    <row r="11" spans="1:14" ht="16">
      <c r="A11" s="46" t="s">
        <v>144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4">
      <c r="A12" s="12" t="s">
        <v>52</v>
      </c>
      <c r="B12" s="11" t="s">
        <v>209</v>
      </c>
      <c r="C12" s="11" t="s">
        <v>210</v>
      </c>
      <c r="D12" s="11" t="s">
        <v>211</v>
      </c>
      <c r="E12" s="11" t="s">
        <v>335</v>
      </c>
      <c r="F12" s="11" t="s">
        <v>318</v>
      </c>
      <c r="G12" s="11" t="s">
        <v>212</v>
      </c>
      <c r="H12" s="23" t="s">
        <v>213</v>
      </c>
      <c r="I12" s="23" t="s">
        <v>213</v>
      </c>
      <c r="J12" s="21" t="s">
        <v>133</v>
      </c>
      <c r="K12" s="12"/>
      <c r="L12" s="35" t="str">
        <f>"75,0"</f>
        <v>75,0</v>
      </c>
      <c r="M12" s="12" t="str">
        <f>"59,2575"</f>
        <v>59,2575</v>
      </c>
      <c r="N12" s="11" t="s">
        <v>214</v>
      </c>
    </row>
    <row r="13" spans="1:14">
      <c r="A13" s="14" t="s">
        <v>52</v>
      </c>
      <c r="B13" s="13" t="s">
        <v>215</v>
      </c>
      <c r="C13" s="13" t="s">
        <v>216</v>
      </c>
      <c r="D13" s="13" t="s">
        <v>217</v>
      </c>
      <c r="E13" s="13" t="s">
        <v>336</v>
      </c>
      <c r="F13" s="13" t="s">
        <v>37</v>
      </c>
      <c r="G13" s="13" t="s">
        <v>38</v>
      </c>
      <c r="H13" s="22" t="s">
        <v>134</v>
      </c>
      <c r="I13" s="22" t="s">
        <v>141</v>
      </c>
      <c r="J13" s="24" t="s">
        <v>150</v>
      </c>
      <c r="K13" s="14"/>
      <c r="L13" s="36" t="str">
        <f>"90,0"</f>
        <v>90,0</v>
      </c>
      <c r="M13" s="14" t="str">
        <f>"73,0980"</f>
        <v>73,0980</v>
      </c>
      <c r="N13" s="13" t="s">
        <v>190</v>
      </c>
    </row>
    <row r="14" spans="1:14">
      <c r="B14" s="7" t="s">
        <v>53</v>
      </c>
    </row>
    <row r="15" spans="1:14" ht="16">
      <c r="A15" s="46" t="s">
        <v>107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4">
      <c r="A16" s="10" t="s">
        <v>52</v>
      </c>
      <c r="B16" s="9" t="s">
        <v>218</v>
      </c>
      <c r="C16" s="9" t="s">
        <v>219</v>
      </c>
      <c r="D16" s="9" t="s">
        <v>220</v>
      </c>
      <c r="E16" s="9" t="s">
        <v>336</v>
      </c>
      <c r="F16" s="9" t="s">
        <v>318</v>
      </c>
      <c r="G16" s="9" t="s">
        <v>15</v>
      </c>
      <c r="H16" s="19" t="s">
        <v>221</v>
      </c>
      <c r="I16" s="19" t="s">
        <v>122</v>
      </c>
      <c r="J16" s="20" t="s">
        <v>222</v>
      </c>
      <c r="K16" s="10"/>
      <c r="L16" s="33" t="str">
        <f>"122,5"</f>
        <v>122,5</v>
      </c>
      <c r="M16" s="10" t="str">
        <f>"88,2000"</f>
        <v>88,2000</v>
      </c>
      <c r="N16" s="30" t="s">
        <v>300</v>
      </c>
    </row>
    <row r="17" spans="1:14">
      <c r="B17" s="7" t="s">
        <v>53</v>
      </c>
    </row>
    <row r="18" spans="1:14" ht="16">
      <c r="A18" s="46" t="s">
        <v>152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4">
      <c r="A19" s="12" t="s">
        <v>52</v>
      </c>
      <c r="B19" s="11" t="s">
        <v>223</v>
      </c>
      <c r="C19" s="11" t="s">
        <v>224</v>
      </c>
      <c r="D19" s="11" t="s">
        <v>225</v>
      </c>
      <c r="E19" s="11" t="s">
        <v>338</v>
      </c>
      <c r="F19" s="11" t="s">
        <v>318</v>
      </c>
      <c r="G19" s="11" t="s">
        <v>319</v>
      </c>
      <c r="H19" s="21" t="s">
        <v>73</v>
      </c>
      <c r="I19" s="21" t="s">
        <v>105</v>
      </c>
      <c r="J19" s="12" t="s">
        <v>55</v>
      </c>
      <c r="K19" s="12"/>
      <c r="L19" s="35" t="str">
        <f>"130,0"</f>
        <v>130,0</v>
      </c>
      <c r="M19" s="12" t="str">
        <f>"87,2820"</f>
        <v>87,2820</v>
      </c>
      <c r="N19" s="11" t="s">
        <v>214</v>
      </c>
    </row>
    <row r="20" spans="1:14">
      <c r="A20" s="14" t="s">
        <v>52</v>
      </c>
      <c r="B20" s="13" t="s">
        <v>226</v>
      </c>
      <c r="C20" s="13" t="s">
        <v>227</v>
      </c>
      <c r="D20" s="13" t="s">
        <v>228</v>
      </c>
      <c r="E20" s="13" t="s">
        <v>330</v>
      </c>
      <c r="F20" s="13" t="s">
        <v>138</v>
      </c>
      <c r="G20" s="13" t="s">
        <v>229</v>
      </c>
      <c r="H20" s="22" t="s">
        <v>123</v>
      </c>
      <c r="I20" s="22" t="s">
        <v>79</v>
      </c>
      <c r="J20" s="22" t="s">
        <v>55</v>
      </c>
      <c r="K20" s="14"/>
      <c r="L20" s="36" t="str">
        <f>"150,0"</f>
        <v>150,0</v>
      </c>
      <c r="M20" s="14" t="str">
        <f>"100,6350"</f>
        <v>100,6350</v>
      </c>
      <c r="N20" s="13" t="s">
        <v>151</v>
      </c>
    </row>
    <row r="21" spans="1:14">
      <c r="B21" s="7" t="s">
        <v>53</v>
      </c>
    </row>
    <row r="22" spans="1:14" ht="16">
      <c r="A22" s="46" t="s">
        <v>57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4">
      <c r="A23" s="12" t="s">
        <v>52</v>
      </c>
      <c r="B23" s="11" t="s">
        <v>230</v>
      </c>
      <c r="C23" s="11" t="s">
        <v>231</v>
      </c>
      <c r="D23" s="11" t="s">
        <v>60</v>
      </c>
      <c r="E23" s="11" t="s">
        <v>330</v>
      </c>
      <c r="F23" s="11" t="s">
        <v>138</v>
      </c>
      <c r="G23" s="11" t="s">
        <v>229</v>
      </c>
      <c r="H23" s="21" t="s">
        <v>55</v>
      </c>
      <c r="I23" s="23" t="s">
        <v>156</v>
      </c>
      <c r="J23" s="21" t="s">
        <v>80</v>
      </c>
      <c r="K23" s="12"/>
      <c r="L23" s="35" t="str">
        <f>"157,5"</f>
        <v>157,5</v>
      </c>
      <c r="M23" s="12" t="str">
        <f>"100,6583"</f>
        <v>100,6583</v>
      </c>
      <c r="N23" s="11" t="s">
        <v>151</v>
      </c>
    </row>
    <row r="24" spans="1:14">
      <c r="A24" s="26" t="s">
        <v>95</v>
      </c>
      <c r="B24" s="25" t="s">
        <v>232</v>
      </c>
      <c r="C24" s="25" t="s">
        <v>233</v>
      </c>
      <c r="D24" s="25" t="s">
        <v>234</v>
      </c>
      <c r="E24" s="25" t="s">
        <v>330</v>
      </c>
      <c r="F24" s="25" t="s">
        <v>37</v>
      </c>
      <c r="G24" s="25" t="s">
        <v>38</v>
      </c>
      <c r="H24" s="27" t="s">
        <v>113</v>
      </c>
      <c r="I24" s="28" t="s">
        <v>156</v>
      </c>
      <c r="J24" s="27" t="s">
        <v>156</v>
      </c>
      <c r="K24" s="26"/>
      <c r="L24" s="45" t="str">
        <f>"155,0"</f>
        <v>155,0</v>
      </c>
      <c r="M24" s="26" t="str">
        <f>"98,9520"</f>
        <v>98,9520</v>
      </c>
      <c r="N24" s="25" t="s">
        <v>190</v>
      </c>
    </row>
    <row r="25" spans="1:14">
      <c r="A25" s="14" t="s">
        <v>52</v>
      </c>
      <c r="B25" s="13" t="s">
        <v>235</v>
      </c>
      <c r="C25" s="13" t="s">
        <v>236</v>
      </c>
      <c r="D25" s="13" t="s">
        <v>237</v>
      </c>
      <c r="E25" s="13" t="s">
        <v>331</v>
      </c>
      <c r="F25" s="13" t="s">
        <v>318</v>
      </c>
      <c r="G25" s="13" t="s">
        <v>15</v>
      </c>
      <c r="H25" s="22" t="s">
        <v>113</v>
      </c>
      <c r="I25" s="24" t="s">
        <v>238</v>
      </c>
      <c r="J25" s="24" t="s">
        <v>238</v>
      </c>
      <c r="K25" s="14"/>
      <c r="L25" s="36" t="str">
        <f>"145,0"</f>
        <v>145,0</v>
      </c>
      <c r="M25" s="14" t="str">
        <f>"94,4095"</f>
        <v>94,4095</v>
      </c>
      <c r="N25" s="13" t="s">
        <v>214</v>
      </c>
    </row>
    <row r="26" spans="1:14">
      <c r="B26" s="7" t="s">
        <v>53</v>
      </c>
    </row>
    <row r="27" spans="1:14" ht="16">
      <c r="A27" s="46" t="s">
        <v>11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4">
      <c r="A28" s="12" t="s">
        <v>52</v>
      </c>
      <c r="B28" s="11" t="s">
        <v>239</v>
      </c>
      <c r="C28" s="11" t="s">
        <v>240</v>
      </c>
      <c r="D28" s="11" t="s">
        <v>241</v>
      </c>
      <c r="E28" s="11" t="s">
        <v>330</v>
      </c>
      <c r="F28" s="11" t="s">
        <v>61</v>
      </c>
      <c r="G28" s="11" t="s">
        <v>324</v>
      </c>
      <c r="H28" s="21" t="s">
        <v>55</v>
      </c>
      <c r="I28" s="21" t="s">
        <v>117</v>
      </c>
      <c r="J28" s="21" t="s">
        <v>242</v>
      </c>
      <c r="K28" s="12"/>
      <c r="L28" s="35" t="str">
        <f>"172,5"</f>
        <v>172,5</v>
      </c>
      <c r="M28" s="12" t="str">
        <f>"107,2950"</f>
        <v>107,2950</v>
      </c>
      <c r="N28" s="29" t="s">
        <v>299</v>
      </c>
    </row>
    <row r="29" spans="1:14">
      <c r="A29" s="26" t="s">
        <v>95</v>
      </c>
      <c r="B29" s="25" t="s">
        <v>243</v>
      </c>
      <c r="C29" s="25" t="s">
        <v>244</v>
      </c>
      <c r="D29" s="25" t="s">
        <v>245</v>
      </c>
      <c r="E29" s="25" t="s">
        <v>330</v>
      </c>
      <c r="F29" s="25" t="s">
        <v>246</v>
      </c>
      <c r="G29" s="25" t="s">
        <v>112</v>
      </c>
      <c r="H29" s="27" t="s">
        <v>117</v>
      </c>
      <c r="I29" s="27" t="s">
        <v>247</v>
      </c>
      <c r="J29" s="28" t="s">
        <v>242</v>
      </c>
      <c r="K29" s="26"/>
      <c r="L29" s="45" t="str">
        <f>"167,5"</f>
        <v>167,5</v>
      </c>
      <c r="M29" s="26" t="str">
        <f>"102,4765"</f>
        <v>102,4765</v>
      </c>
      <c r="N29" s="25" t="s">
        <v>248</v>
      </c>
    </row>
    <row r="30" spans="1:14">
      <c r="A30" s="26" t="s">
        <v>266</v>
      </c>
      <c r="B30" s="25" t="s">
        <v>249</v>
      </c>
      <c r="C30" s="25" t="s">
        <v>250</v>
      </c>
      <c r="D30" s="25" t="s">
        <v>251</v>
      </c>
      <c r="E30" s="25" t="s">
        <v>330</v>
      </c>
      <c r="F30" s="25" t="s">
        <v>318</v>
      </c>
      <c r="G30" s="25" t="s">
        <v>15</v>
      </c>
      <c r="H30" s="28" t="s">
        <v>55</v>
      </c>
      <c r="I30" s="28" t="s">
        <v>117</v>
      </c>
      <c r="J30" s="28" t="s">
        <v>117</v>
      </c>
      <c r="K30" s="26"/>
      <c r="L30" s="45">
        <v>0</v>
      </c>
      <c r="M30" s="26" t="str">
        <f>"0,0000"</f>
        <v>0,0000</v>
      </c>
      <c r="N30" s="25" t="s">
        <v>214</v>
      </c>
    </row>
    <row r="31" spans="1:14">
      <c r="A31" s="14" t="s">
        <v>52</v>
      </c>
      <c r="B31" s="13" t="s">
        <v>243</v>
      </c>
      <c r="C31" s="13" t="s">
        <v>252</v>
      </c>
      <c r="D31" s="13" t="s">
        <v>245</v>
      </c>
      <c r="E31" s="13" t="s">
        <v>331</v>
      </c>
      <c r="F31" s="13" t="s">
        <v>246</v>
      </c>
      <c r="G31" s="13" t="s">
        <v>112</v>
      </c>
      <c r="H31" s="22" t="s">
        <v>117</v>
      </c>
      <c r="I31" s="22" t="s">
        <v>247</v>
      </c>
      <c r="J31" s="24" t="s">
        <v>242</v>
      </c>
      <c r="K31" s="14"/>
      <c r="L31" s="36" t="str">
        <f>"167,5"</f>
        <v>167,5</v>
      </c>
      <c r="M31" s="14" t="str">
        <f>"110,4697"</f>
        <v>110,4697</v>
      </c>
      <c r="N31" s="13" t="s">
        <v>248</v>
      </c>
    </row>
    <row r="32" spans="1:14">
      <c r="B32" s="7" t="s">
        <v>53</v>
      </c>
    </row>
    <row r="33" spans="1:14" ht="16">
      <c r="A33" s="46" t="s">
        <v>24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4">
      <c r="A34" s="12" t="s">
        <v>52</v>
      </c>
      <c r="B34" s="11" t="s">
        <v>253</v>
      </c>
      <c r="C34" s="11" t="s">
        <v>254</v>
      </c>
      <c r="D34" s="11" t="s">
        <v>255</v>
      </c>
      <c r="E34" s="11" t="s">
        <v>330</v>
      </c>
      <c r="F34" s="11" t="s">
        <v>138</v>
      </c>
      <c r="G34" s="11" t="s">
        <v>229</v>
      </c>
      <c r="H34" s="21" t="s">
        <v>62</v>
      </c>
      <c r="I34" s="23" t="s">
        <v>41</v>
      </c>
      <c r="J34" s="23" t="s">
        <v>63</v>
      </c>
      <c r="K34" s="12"/>
      <c r="L34" s="35" t="str">
        <f>"185,0"</f>
        <v>185,0</v>
      </c>
      <c r="M34" s="12" t="str">
        <f>"109,0020"</f>
        <v>109,0020</v>
      </c>
      <c r="N34" s="11" t="s">
        <v>151</v>
      </c>
    </row>
    <row r="35" spans="1:14">
      <c r="A35" s="26" t="s">
        <v>95</v>
      </c>
      <c r="B35" s="25" t="s">
        <v>25</v>
      </c>
      <c r="C35" s="25" t="s">
        <v>26</v>
      </c>
      <c r="D35" s="25" t="s">
        <v>27</v>
      </c>
      <c r="E35" s="25" t="s">
        <v>330</v>
      </c>
      <c r="F35" s="25" t="s">
        <v>28</v>
      </c>
      <c r="G35" s="25" t="s">
        <v>322</v>
      </c>
      <c r="H35" s="27" t="s">
        <v>55</v>
      </c>
      <c r="I35" s="27" t="s">
        <v>30</v>
      </c>
      <c r="J35" s="28" t="s">
        <v>56</v>
      </c>
      <c r="K35" s="26"/>
      <c r="L35" s="45" t="str">
        <f>"160,0"</f>
        <v>160,0</v>
      </c>
      <c r="M35" s="26" t="str">
        <f>"94,9920"</f>
        <v>94,9920</v>
      </c>
      <c r="N35" s="25" t="s">
        <v>214</v>
      </c>
    </row>
    <row r="36" spans="1:14">
      <c r="A36" s="14" t="s">
        <v>52</v>
      </c>
      <c r="B36" s="13" t="s">
        <v>25</v>
      </c>
      <c r="C36" s="13" t="s">
        <v>32</v>
      </c>
      <c r="D36" s="13" t="s">
        <v>27</v>
      </c>
      <c r="E36" s="13" t="s">
        <v>331</v>
      </c>
      <c r="F36" s="13" t="s">
        <v>28</v>
      </c>
      <c r="G36" s="13" t="s">
        <v>322</v>
      </c>
      <c r="H36" s="22" t="s">
        <v>55</v>
      </c>
      <c r="I36" s="22" t="s">
        <v>30</v>
      </c>
      <c r="J36" s="24" t="s">
        <v>56</v>
      </c>
      <c r="K36" s="14"/>
      <c r="L36" s="36" t="str">
        <f>"160,0"</f>
        <v>160,0</v>
      </c>
      <c r="M36" s="14" t="str">
        <f>"100,6915"</f>
        <v>100,6915</v>
      </c>
      <c r="N36" s="13" t="s">
        <v>214</v>
      </c>
    </row>
    <row r="37" spans="1:14">
      <c r="B37" s="7" t="s">
        <v>53</v>
      </c>
    </row>
    <row r="38" spans="1:14" ht="16">
      <c r="A38" s="46" t="s">
        <v>33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4">
      <c r="A39" s="10" t="s">
        <v>52</v>
      </c>
      <c r="B39" s="9" t="s">
        <v>256</v>
      </c>
      <c r="C39" s="9" t="s">
        <v>257</v>
      </c>
      <c r="D39" s="9" t="s">
        <v>258</v>
      </c>
      <c r="E39" s="9" t="s">
        <v>330</v>
      </c>
      <c r="F39" s="9" t="s">
        <v>138</v>
      </c>
      <c r="G39" s="9" t="s">
        <v>229</v>
      </c>
      <c r="H39" s="19" t="s">
        <v>19</v>
      </c>
      <c r="I39" s="19" t="s">
        <v>41</v>
      </c>
      <c r="J39" s="20" t="s">
        <v>42</v>
      </c>
      <c r="K39" s="10"/>
      <c r="L39" s="33" t="str">
        <f>"190,0"</f>
        <v>190,0</v>
      </c>
      <c r="M39" s="10" t="str">
        <f>"111,7200"</f>
        <v>111,7200</v>
      </c>
      <c r="N39" s="9" t="s">
        <v>151</v>
      </c>
    </row>
    <row r="40" spans="1:14">
      <c r="B40" s="7" t="s">
        <v>53</v>
      </c>
    </row>
    <row r="41" spans="1:14" ht="16">
      <c r="A41" s="46" t="s">
        <v>259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4">
      <c r="A42" s="10" t="s">
        <v>52</v>
      </c>
      <c r="B42" s="9" t="s">
        <v>260</v>
      </c>
      <c r="C42" s="9" t="s">
        <v>261</v>
      </c>
      <c r="D42" s="9" t="s">
        <v>262</v>
      </c>
      <c r="E42" s="9" t="s">
        <v>330</v>
      </c>
      <c r="F42" s="9" t="s">
        <v>318</v>
      </c>
      <c r="G42" s="9" t="s">
        <v>15</v>
      </c>
      <c r="H42" s="20" t="s">
        <v>55</v>
      </c>
      <c r="I42" s="19" t="s">
        <v>55</v>
      </c>
      <c r="J42" s="20" t="s">
        <v>80</v>
      </c>
      <c r="K42" s="10"/>
      <c r="L42" s="33" t="str">
        <f>"150,0"</f>
        <v>150,0</v>
      </c>
      <c r="M42" s="10" t="str">
        <f>"84,9750"</f>
        <v>84,9750</v>
      </c>
      <c r="N42" s="9" t="s">
        <v>214</v>
      </c>
    </row>
    <row r="43" spans="1:14">
      <c r="B43" s="7" t="s">
        <v>53</v>
      </c>
    </row>
    <row r="44" spans="1:14">
      <c r="B44" s="7" t="s">
        <v>53</v>
      </c>
    </row>
    <row r="45" spans="1:14">
      <c r="B45" s="7" t="s">
        <v>53</v>
      </c>
    </row>
    <row r="46" spans="1:14" ht="18">
      <c r="B46" s="15" t="s">
        <v>44</v>
      </c>
      <c r="C46" s="15"/>
    </row>
    <row r="47" spans="1:14" ht="16">
      <c r="B47" s="16" t="s">
        <v>45</v>
      </c>
      <c r="C47" s="16"/>
    </row>
    <row r="48" spans="1:14" ht="14">
      <c r="B48" s="17"/>
      <c r="C48" s="18" t="s">
        <v>46</v>
      </c>
    </row>
    <row r="49" spans="2:6" ht="14">
      <c r="B49" s="5" t="s">
        <v>47</v>
      </c>
      <c r="C49" s="5" t="s">
        <v>214</v>
      </c>
      <c r="D49" s="5" t="s">
        <v>325</v>
      </c>
      <c r="E49" s="5" t="s">
        <v>171</v>
      </c>
      <c r="F49" s="5" t="s">
        <v>48</v>
      </c>
    </row>
    <row r="50" spans="2:6">
      <c r="B50" s="7" t="s">
        <v>256</v>
      </c>
      <c r="C50" s="7" t="s">
        <v>46</v>
      </c>
      <c r="D50" s="8" t="s">
        <v>49</v>
      </c>
      <c r="E50" s="8" t="s">
        <v>41</v>
      </c>
      <c r="F50" s="8" t="s">
        <v>263</v>
      </c>
    </row>
    <row r="51" spans="2:6">
      <c r="B51" s="7" t="s">
        <v>253</v>
      </c>
      <c r="C51" s="7" t="s">
        <v>46</v>
      </c>
      <c r="D51" s="8" t="s">
        <v>51</v>
      </c>
      <c r="E51" s="8" t="s">
        <v>62</v>
      </c>
      <c r="F51" s="8" t="s">
        <v>264</v>
      </c>
    </row>
    <row r="52" spans="2:6">
      <c r="B52" s="7" t="s">
        <v>239</v>
      </c>
      <c r="C52" s="7" t="s">
        <v>46</v>
      </c>
      <c r="D52" s="8" t="s">
        <v>50</v>
      </c>
      <c r="E52" s="8" t="s">
        <v>242</v>
      </c>
      <c r="F52" s="8" t="s">
        <v>265</v>
      </c>
    </row>
  </sheetData>
  <mergeCells count="22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33:K33"/>
    <mergeCell ref="A38:K38"/>
    <mergeCell ref="A41:K41"/>
    <mergeCell ref="B3:B4"/>
    <mergeCell ref="A8:K8"/>
    <mergeCell ref="A11:K11"/>
    <mergeCell ref="A15:K15"/>
    <mergeCell ref="A18:K18"/>
    <mergeCell ref="A22:K22"/>
    <mergeCell ref="A27:K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workbookViewId="0">
      <selection activeCell="E25" sqref="E25"/>
    </sheetView>
  </sheetViews>
  <sheetFormatPr baseColWidth="10" defaultColWidth="9.1640625" defaultRowHeight="13"/>
  <cols>
    <col min="1" max="1" width="7.5" style="7" bestFit="1" customWidth="1"/>
    <col min="2" max="2" width="23.3320312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2.6640625" style="7" bestFit="1" customWidth="1"/>
    <col min="7" max="7" width="31.1640625" style="7" bestFit="1" customWidth="1"/>
    <col min="8" max="10" width="5.5" style="8" customWidth="1"/>
    <col min="11" max="11" width="4.83203125" style="8" customWidth="1"/>
    <col min="12" max="12" width="10.5" style="8" bestFit="1" customWidth="1"/>
    <col min="13" max="13" width="8.5" style="8" bestFit="1" customWidth="1"/>
    <col min="14" max="14" width="27.5" style="7" bestFit="1" customWidth="1"/>
    <col min="15" max="16384" width="9.1640625" style="3"/>
  </cols>
  <sheetData>
    <row r="1" spans="1:14" s="2" customFormat="1" ht="29" customHeight="1">
      <c r="A1" s="55" t="s">
        <v>309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>
      <c r="A3" s="73" t="s">
        <v>327</v>
      </c>
      <c r="B3" s="66" t="s">
        <v>0</v>
      </c>
      <c r="C3" s="74" t="s">
        <v>328</v>
      </c>
      <c r="D3" s="74" t="s">
        <v>7</v>
      </c>
      <c r="E3" s="67" t="s">
        <v>329</v>
      </c>
      <c r="F3" s="67" t="s">
        <v>4</v>
      </c>
      <c r="G3" s="67" t="s">
        <v>6</v>
      </c>
      <c r="H3" s="67" t="s">
        <v>9</v>
      </c>
      <c r="I3" s="67"/>
      <c r="J3" s="67"/>
      <c r="K3" s="67"/>
      <c r="L3" s="67" t="s">
        <v>172</v>
      </c>
      <c r="M3" s="67" t="s">
        <v>3</v>
      </c>
      <c r="N3" s="68" t="s">
        <v>2</v>
      </c>
    </row>
    <row r="4" spans="1:14" s="1" customFormat="1" ht="21" customHeight="1" thickBot="1">
      <c r="A4" s="64"/>
      <c r="B4" s="48"/>
      <c r="C4" s="50"/>
      <c r="D4" s="50"/>
      <c r="E4" s="50"/>
      <c r="F4" s="50"/>
      <c r="G4" s="50"/>
      <c r="H4" s="4">
        <v>1</v>
      </c>
      <c r="I4" s="4">
        <v>2</v>
      </c>
      <c r="J4" s="4">
        <v>3</v>
      </c>
      <c r="K4" s="4" t="s">
        <v>5</v>
      </c>
      <c r="L4" s="50"/>
      <c r="M4" s="50"/>
      <c r="N4" s="52"/>
    </row>
    <row r="5" spans="1:14" ht="16">
      <c r="A5" s="53" t="s">
        <v>126</v>
      </c>
      <c r="B5" s="53"/>
      <c r="C5" s="54"/>
      <c r="D5" s="54"/>
      <c r="E5" s="54"/>
      <c r="F5" s="54"/>
      <c r="G5" s="54"/>
      <c r="H5" s="54"/>
      <c r="I5" s="54"/>
      <c r="J5" s="54"/>
      <c r="K5" s="54"/>
    </row>
    <row r="6" spans="1:14">
      <c r="A6" s="10" t="s">
        <v>52</v>
      </c>
      <c r="B6" s="9" t="s">
        <v>173</v>
      </c>
      <c r="C6" s="9" t="s">
        <v>174</v>
      </c>
      <c r="D6" s="9" t="s">
        <v>175</v>
      </c>
      <c r="E6" s="9" t="s">
        <v>335</v>
      </c>
      <c r="F6" s="9" t="s">
        <v>320</v>
      </c>
      <c r="G6" s="9" t="s">
        <v>15</v>
      </c>
      <c r="H6" s="19" t="s">
        <v>176</v>
      </c>
      <c r="I6" s="19" t="s">
        <v>130</v>
      </c>
      <c r="J6" s="19" t="s">
        <v>177</v>
      </c>
      <c r="K6" s="19" t="s">
        <v>140</v>
      </c>
      <c r="L6" s="10" t="str">
        <f>"52,5"</f>
        <v>52,5</v>
      </c>
      <c r="M6" s="10" t="str">
        <f>"53,7180"</f>
        <v>53,7180</v>
      </c>
      <c r="N6" s="9" t="s">
        <v>23</v>
      </c>
    </row>
    <row r="7" spans="1:14">
      <c r="B7" s="7" t="s">
        <v>53</v>
      </c>
    </row>
    <row r="8" spans="1:14" ht="16">
      <c r="A8" s="46" t="s">
        <v>57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4">
      <c r="A9" s="12" t="s">
        <v>52</v>
      </c>
      <c r="B9" s="11" t="s">
        <v>58</v>
      </c>
      <c r="C9" s="11" t="s">
        <v>59</v>
      </c>
      <c r="D9" s="11" t="s">
        <v>60</v>
      </c>
      <c r="E9" s="11" t="s">
        <v>330</v>
      </c>
      <c r="F9" s="11" t="s">
        <v>61</v>
      </c>
      <c r="G9" s="11" t="s">
        <v>324</v>
      </c>
      <c r="H9" s="21" t="s">
        <v>62</v>
      </c>
      <c r="I9" s="21" t="s">
        <v>63</v>
      </c>
      <c r="J9" s="21" t="s">
        <v>42</v>
      </c>
      <c r="K9" s="12"/>
      <c r="L9" s="12" t="str">
        <f>"200,0"</f>
        <v>200,0</v>
      </c>
      <c r="M9" s="12" t="str">
        <f>"127,8200"</f>
        <v>127,8200</v>
      </c>
      <c r="N9" s="11" t="s">
        <v>67</v>
      </c>
    </row>
    <row r="10" spans="1:14">
      <c r="A10" s="26" t="s">
        <v>95</v>
      </c>
      <c r="B10" s="25" t="s">
        <v>178</v>
      </c>
      <c r="C10" s="25" t="s">
        <v>179</v>
      </c>
      <c r="D10" s="25" t="s">
        <v>180</v>
      </c>
      <c r="E10" s="25" t="s">
        <v>330</v>
      </c>
      <c r="F10" s="25" t="s">
        <v>37</v>
      </c>
      <c r="G10" s="25" t="s">
        <v>323</v>
      </c>
      <c r="H10" s="27" t="s">
        <v>72</v>
      </c>
      <c r="I10" s="28" t="s">
        <v>19</v>
      </c>
      <c r="J10" s="27" t="s">
        <v>19</v>
      </c>
      <c r="K10" s="26"/>
      <c r="L10" s="26" t="str">
        <f>"180,0"</f>
        <v>180,0</v>
      </c>
      <c r="M10" s="26" t="str">
        <f>"117,8820"</f>
        <v>117,8820</v>
      </c>
      <c r="N10" s="31" t="s">
        <v>301</v>
      </c>
    </row>
    <row r="11" spans="1:14">
      <c r="A11" s="26" t="s">
        <v>202</v>
      </c>
      <c r="B11" s="25" t="s">
        <v>181</v>
      </c>
      <c r="C11" s="25" t="s">
        <v>182</v>
      </c>
      <c r="D11" s="25" t="s">
        <v>183</v>
      </c>
      <c r="E11" s="25" t="s">
        <v>330</v>
      </c>
      <c r="F11" s="25" t="s">
        <v>318</v>
      </c>
      <c r="G11" s="25" t="s">
        <v>184</v>
      </c>
      <c r="H11" s="27" t="s">
        <v>19</v>
      </c>
      <c r="I11" s="28" t="s">
        <v>63</v>
      </c>
      <c r="J11" s="28" t="s">
        <v>185</v>
      </c>
      <c r="K11" s="26"/>
      <c r="L11" s="26" t="str">
        <f>"180,0"</f>
        <v>180,0</v>
      </c>
      <c r="M11" s="26" t="str">
        <f>"115,1100"</f>
        <v>115,1100</v>
      </c>
      <c r="N11" s="25" t="s">
        <v>214</v>
      </c>
    </row>
    <row r="12" spans="1:14">
      <c r="A12" s="14" t="s">
        <v>203</v>
      </c>
      <c r="B12" s="13" t="s">
        <v>186</v>
      </c>
      <c r="C12" s="13" t="s">
        <v>187</v>
      </c>
      <c r="D12" s="13" t="s">
        <v>60</v>
      </c>
      <c r="E12" s="13" t="s">
        <v>330</v>
      </c>
      <c r="F12" s="13" t="s">
        <v>320</v>
      </c>
      <c r="G12" s="13" t="s">
        <v>15</v>
      </c>
      <c r="H12" s="22" t="s">
        <v>56</v>
      </c>
      <c r="I12" s="24" t="s">
        <v>18</v>
      </c>
      <c r="J12" s="24" t="s">
        <v>18</v>
      </c>
      <c r="K12" s="14"/>
      <c r="L12" s="14" t="str">
        <f>"165,0"</f>
        <v>165,0</v>
      </c>
      <c r="M12" s="14" t="str">
        <f>"105,4515"</f>
        <v>105,4515</v>
      </c>
      <c r="N12" s="13" t="s">
        <v>23</v>
      </c>
    </row>
    <row r="13" spans="1:14">
      <c r="B13" s="7" t="s">
        <v>53</v>
      </c>
    </row>
    <row r="14" spans="1:14" ht="16">
      <c r="A14" s="46" t="s">
        <v>11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4">
      <c r="A15" s="12" t="s">
        <v>52</v>
      </c>
      <c r="B15" s="11" t="s">
        <v>188</v>
      </c>
      <c r="C15" s="11" t="s">
        <v>189</v>
      </c>
      <c r="D15" s="11" t="s">
        <v>14</v>
      </c>
      <c r="E15" s="11" t="s">
        <v>330</v>
      </c>
      <c r="F15" s="11" t="s">
        <v>37</v>
      </c>
      <c r="G15" s="11" t="s">
        <v>323</v>
      </c>
      <c r="H15" s="21" t="s">
        <v>18</v>
      </c>
      <c r="I15" s="21" t="s">
        <v>62</v>
      </c>
      <c r="J15" s="21" t="s">
        <v>41</v>
      </c>
      <c r="K15" s="12"/>
      <c r="L15" s="12" t="str">
        <f>"190,0"</f>
        <v>190,0</v>
      </c>
      <c r="M15" s="12" t="str">
        <f>"115,6340"</f>
        <v>115,6340</v>
      </c>
      <c r="N15" s="11" t="s">
        <v>190</v>
      </c>
    </row>
    <row r="16" spans="1:14">
      <c r="A16" s="26" t="s">
        <v>95</v>
      </c>
      <c r="B16" s="25" t="s">
        <v>12</v>
      </c>
      <c r="C16" s="25" t="s">
        <v>13</v>
      </c>
      <c r="D16" s="25" t="s">
        <v>14</v>
      </c>
      <c r="E16" s="25" t="s">
        <v>330</v>
      </c>
      <c r="F16" s="25" t="s">
        <v>320</v>
      </c>
      <c r="G16" s="25" t="s">
        <v>15</v>
      </c>
      <c r="H16" s="27" t="s">
        <v>18</v>
      </c>
      <c r="I16" s="28" t="s">
        <v>19</v>
      </c>
      <c r="J16" s="28" t="s">
        <v>19</v>
      </c>
      <c r="K16" s="26"/>
      <c r="L16" s="26" t="str">
        <f>"175,0"</f>
        <v>175,0</v>
      </c>
      <c r="M16" s="26" t="str">
        <f>"106,5050"</f>
        <v>106,5050</v>
      </c>
      <c r="N16" s="25" t="s">
        <v>23</v>
      </c>
    </row>
    <row r="17" spans="1:14">
      <c r="A17" s="14" t="s">
        <v>202</v>
      </c>
      <c r="B17" s="13" t="s">
        <v>191</v>
      </c>
      <c r="C17" s="13" t="s">
        <v>192</v>
      </c>
      <c r="D17" s="13" t="s">
        <v>193</v>
      </c>
      <c r="E17" s="13" t="s">
        <v>330</v>
      </c>
      <c r="F17" s="13" t="s">
        <v>318</v>
      </c>
      <c r="G17" s="13" t="s">
        <v>194</v>
      </c>
      <c r="H17" s="24" t="s">
        <v>72</v>
      </c>
      <c r="I17" s="24" t="s">
        <v>72</v>
      </c>
      <c r="J17" s="22" t="s">
        <v>72</v>
      </c>
      <c r="K17" s="14"/>
      <c r="L17" s="14" t="str">
        <f>"170,0"</f>
        <v>170,0</v>
      </c>
      <c r="M17" s="14" t="str">
        <f>"104,5840"</f>
        <v>104,5840</v>
      </c>
      <c r="N17" s="13" t="s">
        <v>214</v>
      </c>
    </row>
    <row r="18" spans="1:14">
      <c r="B18" s="7" t="s">
        <v>53</v>
      </c>
    </row>
    <row r="19" spans="1:14" ht="16">
      <c r="A19" s="46" t="s">
        <v>24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4">
      <c r="A20" s="12" t="s">
        <v>52</v>
      </c>
      <c r="B20" s="11" t="s">
        <v>195</v>
      </c>
      <c r="C20" s="11" t="s">
        <v>196</v>
      </c>
      <c r="D20" s="11" t="s">
        <v>197</v>
      </c>
      <c r="E20" s="11" t="s">
        <v>330</v>
      </c>
      <c r="F20" s="11" t="s">
        <v>318</v>
      </c>
      <c r="G20" s="11" t="s">
        <v>198</v>
      </c>
      <c r="H20" s="21" t="s">
        <v>72</v>
      </c>
      <c r="I20" s="23" t="s">
        <v>19</v>
      </c>
      <c r="J20" s="23" t="s">
        <v>19</v>
      </c>
      <c r="K20" s="12"/>
      <c r="L20" s="12" t="str">
        <f>"170,0"</f>
        <v>170,0</v>
      </c>
      <c r="M20" s="12" t="str">
        <f>"100,2150"</f>
        <v>100,2150</v>
      </c>
      <c r="N20" s="11" t="s">
        <v>214</v>
      </c>
    </row>
    <row r="21" spans="1:14">
      <c r="A21" s="14" t="s">
        <v>52</v>
      </c>
      <c r="B21" s="13" t="s">
        <v>25</v>
      </c>
      <c r="C21" s="13" t="s">
        <v>32</v>
      </c>
      <c r="D21" s="13" t="s">
        <v>27</v>
      </c>
      <c r="E21" s="13" t="s">
        <v>331</v>
      </c>
      <c r="F21" s="13" t="s">
        <v>28</v>
      </c>
      <c r="G21" s="13" t="s">
        <v>322</v>
      </c>
      <c r="H21" s="22" t="s">
        <v>55</v>
      </c>
      <c r="I21" s="22" t="s">
        <v>30</v>
      </c>
      <c r="J21" s="24" t="s">
        <v>56</v>
      </c>
      <c r="K21" s="14"/>
      <c r="L21" s="14" t="str">
        <f>"160,0"</f>
        <v>160,0</v>
      </c>
      <c r="M21" s="14" t="str">
        <f>"100,6915"</f>
        <v>100,6915</v>
      </c>
      <c r="N21" s="13" t="s">
        <v>214</v>
      </c>
    </row>
    <row r="22" spans="1:14">
      <c r="B22" s="7" t="s">
        <v>53</v>
      </c>
    </row>
    <row r="23" spans="1:14" ht="16">
      <c r="A23" s="46" t="s">
        <v>33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4">
      <c r="A24" s="10" t="s">
        <v>52</v>
      </c>
      <c r="B24" s="9" t="s">
        <v>84</v>
      </c>
      <c r="C24" s="9" t="s">
        <v>85</v>
      </c>
      <c r="D24" s="9" t="s">
        <v>86</v>
      </c>
      <c r="E24" s="9" t="s">
        <v>330</v>
      </c>
      <c r="F24" s="9" t="s">
        <v>320</v>
      </c>
      <c r="G24" s="9" t="s">
        <v>15</v>
      </c>
      <c r="H24" s="19" t="s">
        <v>31</v>
      </c>
      <c r="I24" s="20" t="s">
        <v>29</v>
      </c>
      <c r="J24" s="19" t="s">
        <v>29</v>
      </c>
      <c r="K24" s="10"/>
      <c r="L24" s="10" t="str">
        <f>"220,0"</f>
        <v>220,0</v>
      </c>
      <c r="M24" s="10" t="str">
        <f>"125,4000"</f>
        <v>125,4000</v>
      </c>
      <c r="N24" s="30" t="s">
        <v>23</v>
      </c>
    </row>
    <row r="25" spans="1:14">
      <c r="B25" s="7" t="s">
        <v>53</v>
      </c>
    </row>
    <row r="26" spans="1:14">
      <c r="B26" s="7" t="s">
        <v>53</v>
      </c>
    </row>
    <row r="27" spans="1:14">
      <c r="B27" s="7" t="s">
        <v>53</v>
      </c>
    </row>
    <row r="28" spans="1:14" ht="18">
      <c r="B28" s="15" t="s">
        <v>44</v>
      </c>
      <c r="C28" s="15"/>
    </row>
    <row r="29" spans="1:14" ht="16">
      <c r="B29" s="16" t="s">
        <v>45</v>
      </c>
      <c r="C29" s="16"/>
      <c r="G29" s="3"/>
    </row>
    <row r="30" spans="1:14" ht="14">
      <c r="B30" s="17"/>
      <c r="C30" s="18" t="s">
        <v>46</v>
      </c>
      <c r="G30" s="3"/>
    </row>
    <row r="31" spans="1:14" ht="14">
      <c r="B31" s="5" t="s">
        <v>47</v>
      </c>
      <c r="C31" s="5" t="s">
        <v>214</v>
      </c>
      <c r="D31" s="5" t="s">
        <v>325</v>
      </c>
      <c r="E31" s="5" t="s">
        <v>171</v>
      </c>
      <c r="F31" s="5" t="s">
        <v>48</v>
      </c>
      <c r="G31" s="3"/>
    </row>
    <row r="32" spans="1:14">
      <c r="B32" s="7" t="s">
        <v>58</v>
      </c>
      <c r="C32" s="7" t="s">
        <v>46</v>
      </c>
      <c r="D32" s="8" t="s">
        <v>94</v>
      </c>
      <c r="E32" s="8" t="s">
        <v>42</v>
      </c>
      <c r="F32" s="8" t="s">
        <v>199</v>
      </c>
      <c r="G32" s="3"/>
    </row>
    <row r="33" spans="2:7">
      <c r="B33" s="7" t="s">
        <v>84</v>
      </c>
      <c r="C33" s="7" t="s">
        <v>46</v>
      </c>
      <c r="D33" s="8" t="s">
        <v>49</v>
      </c>
      <c r="E33" s="8" t="s">
        <v>29</v>
      </c>
      <c r="F33" s="8" t="s">
        <v>200</v>
      </c>
      <c r="G33" s="3"/>
    </row>
    <row r="34" spans="2:7">
      <c r="B34" s="7" t="s">
        <v>178</v>
      </c>
      <c r="C34" s="7" t="s">
        <v>46</v>
      </c>
      <c r="D34" s="8" t="s">
        <v>94</v>
      </c>
      <c r="E34" s="8" t="s">
        <v>19</v>
      </c>
      <c r="F34" s="8" t="s">
        <v>201</v>
      </c>
    </row>
  </sheetData>
  <mergeCells count="17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4:K14"/>
    <mergeCell ref="A19:K19"/>
    <mergeCell ref="A23:K23"/>
    <mergeCell ref="B3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1"/>
  <sheetViews>
    <sheetView workbookViewId="0">
      <selection sqref="A1:N2"/>
    </sheetView>
  </sheetViews>
  <sheetFormatPr baseColWidth="10" defaultColWidth="9.1640625" defaultRowHeight="13"/>
  <cols>
    <col min="1" max="1" width="7.5" style="7" bestFit="1" customWidth="1"/>
    <col min="2" max="2" width="23.3320312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2.6640625" style="7" bestFit="1" customWidth="1"/>
    <col min="7" max="7" width="31.1640625" style="7" bestFit="1" customWidth="1"/>
    <col min="8" max="10" width="5.5" style="8" customWidth="1"/>
    <col min="11" max="11" width="4.83203125" style="8" customWidth="1"/>
    <col min="12" max="12" width="10.5" style="8" bestFit="1" customWidth="1"/>
    <col min="13" max="13" width="8.5" style="8" bestFit="1" customWidth="1"/>
    <col min="14" max="14" width="15.5" style="7" bestFit="1" customWidth="1"/>
    <col min="15" max="16384" width="9.1640625" style="3"/>
  </cols>
  <sheetData>
    <row r="1" spans="1:14" s="2" customFormat="1" ht="29" customHeight="1">
      <c r="A1" s="55" t="s">
        <v>310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>
      <c r="A3" s="73" t="s">
        <v>327</v>
      </c>
      <c r="B3" s="66" t="s">
        <v>0</v>
      </c>
      <c r="C3" s="74" t="s">
        <v>328</v>
      </c>
      <c r="D3" s="74" t="s">
        <v>7</v>
      </c>
      <c r="E3" s="67" t="s">
        <v>170</v>
      </c>
      <c r="F3" s="67" t="s">
        <v>4</v>
      </c>
      <c r="G3" s="67" t="s">
        <v>6</v>
      </c>
      <c r="H3" s="67" t="s">
        <v>9</v>
      </c>
      <c r="I3" s="67"/>
      <c r="J3" s="67"/>
      <c r="K3" s="67"/>
      <c r="L3" s="67" t="s">
        <v>172</v>
      </c>
      <c r="M3" s="67" t="s">
        <v>3</v>
      </c>
      <c r="N3" s="68" t="s">
        <v>2</v>
      </c>
    </row>
    <row r="4" spans="1:14" s="1" customFormat="1" ht="21" customHeight="1" thickBot="1">
      <c r="A4" s="64"/>
      <c r="B4" s="48"/>
      <c r="C4" s="50"/>
      <c r="D4" s="50"/>
      <c r="E4" s="50"/>
      <c r="F4" s="50"/>
      <c r="G4" s="50"/>
      <c r="H4" s="4">
        <v>1</v>
      </c>
      <c r="I4" s="4">
        <v>2</v>
      </c>
      <c r="J4" s="4">
        <v>3</v>
      </c>
      <c r="K4" s="4" t="s">
        <v>5</v>
      </c>
      <c r="L4" s="50"/>
      <c r="M4" s="50"/>
      <c r="N4" s="52"/>
    </row>
    <row r="5" spans="1:14" ht="16">
      <c r="A5" s="53" t="s">
        <v>11</v>
      </c>
      <c r="B5" s="53"/>
      <c r="C5" s="54"/>
      <c r="D5" s="54"/>
      <c r="E5" s="54"/>
      <c r="F5" s="54"/>
      <c r="G5" s="54"/>
      <c r="H5" s="54"/>
      <c r="I5" s="54"/>
      <c r="J5" s="54"/>
      <c r="K5" s="54"/>
    </row>
    <row r="6" spans="1:14">
      <c r="A6" s="10" t="s">
        <v>52</v>
      </c>
      <c r="B6" s="9" t="s">
        <v>267</v>
      </c>
      <c r="C6" s="9" t="s">
        <v>268</v>
      </c>
      <c r="D6" s="9" t="s">
        <v>269</v>
      </c>
      <c r="E6" s="9" t="s">
        <v>330</v>
      </c>
      <c r="F6" s="9" t="s">
        <v>318</v>
      </c>
      <c r="G6" s="9" t="s">
        <v>15</v>
      </c>
      <c r="H6" s="19" t="s">
        <v>71</v>
      </c>
      <c r="I6" s="19" t="s">
        <v>55</v>
      </c>
      <c r="J6" s="20" t="s">
        <v>30</v>
      </c>
      <c r="K6" s="10"/>
      <c r="L6" s="10" t="str">
        <f>"150,0"</f>
        <v>150,0</v>
      </c>
      <c r="M6" s="10" t="str">
        <f>"88,9725"</f>
        <v>88,9725</v>
      </c>
      <c r="N6" s="9" t="s">
        <v>270</v>
      </c>
    </row>
    <row r="7" spans="1:14">
      <c r="B7" s="7" t="s">
        <v>53</v>
      </c>
    </row>
    <row r="8" spans="1:14" ht="16">
      <c r="A8" s="46" t="s">
        <v>24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4">
      <c r="A9" s="12" t="s">
        <v>52</v>
      </c>
      <c r="B9" s="11" t="s">
        <v>25</v>
      </c>
      <c r="C9" s="11" t="s">
        <v>26</v>
      </c>
      <c r="D9" s="11" t="s">
        <v>27</v>
      </c>
      <c r="E9" s="11" t="s">
        <v>330</v>
      </c>
      <c r="F9" s="11" t="s">
        <v>28</v>
      </c>
      <c r="G9" s="11" t="s">
        <v>322</v>
      </c>
      <c r="H9" s="21" t="s">
        <v>42</v>
      </c>
      <c r="I9" s="21" t="s">
        <v>29</v>
      </c>
      <c r="J9" s="21" t="s">
        <v>54</v>
      </c>
      <c r="K9" s="12"/>
      <c r="L9" s="12" t="str">
        <f>"230,0"</f>
        <v>230,0</v>
      </c>
      <c r="M9" s="12" t="str">
        <f>"130,4330"</f>
        <v>130,4330</v>
      </c>
      <c r="N9" s="11" t="s">
        <v>214</v>
      </c>
    </row>
    <row r="10" spans="1:14">
      <c r="A10" s="14" t="s">
        <v>52</v>
      </c>
      <c r="B10" s="13" t="s">
        <v>25</v>
      </c>
      <c r="C10" s="13" t="s">
        <v>32</v>
      </c>
      <c r="D10" s="13" t="s">
        <v>27</v>
      </c>
      <c r="E10" s="13" t="s">
        <v>331</v>
      </c>
      <c r="F10" s="13" t="s">
        <v>28</v>
      </c>
      <c r="G10" s="13" t="s">
        <v>322</v>
      </c>
      <c r="H10" s="22" t="s">
        <v>42</v>
      </c>
      <c r="I10" s="22" t="s">
        <v>29</v>
      </c>
      <c r="J10" s="22" t="s">
        <v>54</v>
      </c>
      <c r="K10" s="14"/>
      <c r="L10" s="14" t="str">
        <f>"230,0"</f>
        <v>230,0</v>
      </c>
      <c r="M10" s="14" t="str">
        <f>"137,6068"</f>
        <v>137,6068</v>
      </c>
      <c r="N10" s="13" t="s">
        <v>214</v>
      </c>
    </row>
    <row r="11" spans="1:14">
      <c r="B11" s="7" t="s">
        <v>53</v>
      </c>
    </row>
  </sheetData>
  <mergeCells count="14"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B3:B4"/>
    <mergeCell ref="L3:L4"/>
    <mergeCell ref="M3:M4"/>
    <mergeCell ref="N3:N4"/>
    <mergeCell ref="A5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"/>
  <sheetViews>
    <sheetView workbookViewId="0">
      <selection activeCell="E7" sqref="E7"/>
    </sheetView>
  </sheetViews>
  <sheetFormatPr baseColWidth="10" defaultColWidth="9.1640625" defaultRowHeight="13"/>
  <cols>
    <col min="1" max="1" width="7.5" style="7" bestFit="1" customWidth="1"/>
    <col min="2" max="2" width="23.33203125" style="7" bestFit="1" customWidth="1"/>
    <col min="3" max="3" width="26.33203125" style="7" bestFit="1" customWidth="1"/>
    <col min="4" max="4" width="21.5" style="7" bestFit="1" customWidth="1"/>
    <col min="5" max="5" width="10.5" style="7" bestFit="1" customWidth="1"/>
    <col min="6" max="6" width="22.6640625" style="7" bestFit="1" customWidth="1"/>
    <col min="7" max="7" width="27.6640625" style="7" bestFit="1" customWidth="1"/>
    <col min="8" max="8" width="5.5" style="8" customWidth="1"/>
    <col min="9" max="10" width="5.6640625" style="8" bestFit="1" customWidth="1"/>
    <col min="11" max="11" width="4.83203125" style="8" customWidth="1"/>
    <col min="12" max="12" width="10.5" style="8" bestFit="1" customWidth="1"/>
    <col min="13" max="13" width="8.5" style="8" bestFit="1" customWidth="1"/>
    <col min="14" max="14" width="15.5" style="7" bestFit="1" customWidth="1"/>
    <col min="15" max="16384" width="9.1640625" style="3"/>
  </cols>
  <sheetData>
    <row r="1" spans="1:14" s="2" customFormat="1" ht="29" customHeight="1">
      <c r="A1" s="55" t="s">
        <v>311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>
      <c r="A3" s="73" t="s">
        <v>327</v>
      </c>
      <c r="B3" s="66" t="s">
        <v>0</v>
      </c>
      <c r="C3" s="74" t="s">
        <v>328</v>
      </c>
      <c r="D3" s="74" t="s">
        <v>7</v>
      </c>
      <c r="E3" s="67" t="s">
        <v>170</v>
      </c>
      <c r="F3" s="67" t="s">
        <v>4</v>
      </c>
      <c r="G3" s="67" t="s">
        <v>6</v>
      </c>
      <c r="H3" s="67" t="s">
        <v>9</v>
      </c>
      <c r="I3" s="67"/>
      <c r="J3" s="67"/>
      <c r="K3" s="67"/>
      <c r="L3" s="67" t="s">
        <v>172</v>
      </c>
      <c r="M3" s="67" t="s">
        <v>3</v>
      </c>
      <c r="N3" s="68" t="s">
        <v>2</v>
      </c>
    </row>
    <row r="4" spans="1:14" s="1" customFormat="1" ht="21" customHeight="1" thickBot="1">
      <c r="A4" s="64"/>
      <c r="B4" s="48"/>
      <c r="C4" s="50"/>
      <c r="D4" s="50"/>
      <c r="E4" s="50"/>
      <c r="F4" s="50"/>
      <c r="G4" s="50"/>
      <c r="H4" s="4">
        <v>1</v>
      </c>
      <c r="I4" s="4">
        <v>2</v>
      </c>
      <c r="J4" s="4">
        <v>3</v>
      </c>
      <c r="K4" s="4" t="s">
        <v>5</v>
      </c>
      <c r="L4" s="50"/>
      <c r="M4" s="50"/>
      <c r="N4" s="52"/>
    </row>
    <row r="5" spans="1:14" ht="16">
      <c r="A5" s="53" t="s">
        <v>24</v>
      </c>
      <c r="B5" s="53"/>
      <c r="C5" s="54"/>
      <c r="D5" s="54"/>
      <c r="E5" s="54"/>
      <c r="F5" s="54"/>
      <c r="G5" s="54"/>
      <c r="H5" s="54"/>
      <c r="I5" s="54"/>
      <c r="J5" s="54"/>
      <c r="K5" s="54"/>
    </row>
    <row r="6" spans="1:14">
      <c r="A6" s="10" t="s">
        <v>52</v>
      </c>
      <c r="B6" s="9" t="s">
        <v>25</v>
      </c>
      <c r="C6" s="9" t="s">
        <v>26</v>
      </c>
      <c r="D6" s="9" t="s">
        <v>27</v>
      </c>
      <c r="E6" s="9" t="s">
        <v>330</v>
      </c>
      <c r="F6" s="9" t="s">
        <v>28</v>
      </c>
      <c r="G6" s="9" t="s">
        <v>322</v>
      </c>
      <c r="H6" s="19" t="s">
        <v>42</v>
      </c>
      <c r="I6" s="19" t="s">
        <v>29</v>
      </c>
      <c r="J6" s="19" t="s">
        <v>54</v>
      </c>
      <c r="K6" s="10"/>
      <c r="L6" s="10" t="str">
        <f>"230,0"</f>
        <v>230,0</v>
      </c>
      <c r="M6" s="10" t="str">
        <f>"130,4330"</f>
        <v>130,4330</v>
      </c>
      <c r="N6" s="9" t="s">
        <v>214</v>
      </c>
    </row>
    <row r="7" spans="1:14">
      <c r="B7" s="7" t="s">
        <v>53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"/>
  <sheetViews>
    <sheetView workbookViewId="0">
      <selection activeCell="E8" sqref="E8"/>
    </sheetView>
  </sheetViews>
  <sheetFormatPr baseColWidth="10" defaultColWidth="9.1640625" defaultRowHeight="13"/>
  <cols>
    <col min="1" max="1" width="7.5" style="7" bestFit="1" customWidth="1"/>
    <col min="2" max="2" width="23.3320312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2.6640625" style="7" bestFit="1" customWidth="1"/>
    <col min="7" max="7" width="27.6640625" style="7" bestFit="1" customWidth="1"/>
    <col min="8" max="10" width="5.5" style="8" customWidth="1"/>
    <col min="11" max="11" width="4.83203125" style="8" customWidth="1"/>
    <col min="12" max="12" width="10.5" style="8" bestFit="1" customWidth="1"/>
    <col min="13" max="13" width="8.5" style="8" bestFit="1" customWidth="1"/>
    <col min="14" max="14" width="15.5" style="7" bestFit="1" customWidth="1"/>
    <col min="15" max="16384" width="9.1640625" style="3"/>
  </cols>
  <sheetData>
    <row r="1" spans="1:14" s="2" customFormat="1" ht="29" customHeight="1">
      <c r="A1" s="55" t="s">
        <v>312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s="1" customFormat="1" ht="12.75" customHeight="1">
      <c r="A3" s="73" t="s">
        <v>327</v>
      </c>
      <c r="B3" s="66" t="s">
        <v>0</v>
      </c>
      <c r="C3" s="74" t="s">
        <v>328</v>
      </c>
      <c r="D3" s="74" t="s">
        <v>7</v>
      </c>
      <c r="E3" s="67" t="s">
        <v>170</v>
      </c>
      <c r="F3" s="67" t="s">
        <v>4</v>
      </c>
      <c r="G3" s="67" t="s">
        <v>6</v>
      </c>
      <c r="H3" s="67" t="s">
        <v>9</v>
      </c>
      <c r="I3" s="67"/>
      <c r="J3" s="67"/>
      <c r="K3" s="67"/>
      <c r="L3" s="67" t="s">
        <v>172</v>
      </c>
      <c r="M3" s="67" t="s">
        <v>3</v>
      </c>
      <c r="N3" s="68" t="s">
        <v>2</v>
      </c>
    </row>
    <row r="4" spans="1:14" s="1" customFormat="1" ht="21" customHeight="1" thickBot="1">
      <c r="A4" s="64"/>
      <c r="B4" s="48"/>
      <c r="C4" s="50"/>
      <c r="D4" s="50"/>
      <c r="E4" s="50"/>
      <c r="F4" s="50"/>
      <c r="G4" s="50"/>
      <c r="H4" s="4">
        <v>1</v>
      </c>
      <c r="I4" s="4">
        <v>2</v>
      </c>
      <c r="J4" s="4">
        <v>3</v>
      </c>
      <c r="K4" s="4" t="s">
        <v>5</v>
      </c>
      <c r="L4" s="50"/>
      <c r="M4" s="50"/>
      <c r="N4" s="52"/>
    </row>
    <row r="5" spans="1:14" ht="16">
      <c r="A5" s="53" t="s">
        <v>24</v>
      </c>
      <c r="B5" s="53"/>
      <c r="C5" s="54"/>
      <c r="D5" s="54"/>
      <c r="E5" s="54"/>
      <c r="F5" s="54"/>
      <c r="G5" s="54"/>
      <c r="H5" s="54"/>
      <c r="I5" s="54"/>
      <c r="J5" s="54"/>
      <c r="K5" s="54"/>
    </row>
    <row r="6" spans="1:14">
      <c r="A6" s="12" t="s">
        <v>52</v>
      </c>
      <c r="B6" s="11" t="s">
        <v>25</v>
      </c>
      <c r="C6" s="11" t="s">
        <v>26</v>
      </c>
      <c r="D6" s="11" t="s">
        <v>27</v>
      </c>
      <c r="E6" s="11" t="s">
        <v>330</v>
      </c>
      <c r="F6" s="11" t="s">
        <v>28</v>
      </c>
      <c r="G6" s="37" t="s">
        <v>322</v>
      </c>
      <c r="H6" s="41" t="s">
        <v>54</v>
      </c>
      <c r="I6" s="23" t="s">
        <v>20</v>
      </c>
      <c r="J6" s="42" t="s">
        <v>20</v>
      </c>
      <c r="K6" s="39"/>
      <c r="L6" s="12" t="str">
        <f>"250,0"</f>
        <v>250,0</v>
      </c>
      <c r="M6" s="12" t="str">
        <f>"141,7750"</f>
        <v>141,7750</v>
      </c>
      <c r="N6" s="11" t="s">
        <v>214</v>
      </c>
    </row>
    <row r="7" spans="1:14">
      <c r="A7" s="14" t="s">
        <v>52</v>
      </c>
      <c r="B7" s="13" t="s">
        <v>25</v>
      </c>
      <c r="C7" s="13" t="s">
        <v>32</v>
      </c>
      <c r="D7" s="13" t="s">
        <v>27</v>
      </c>
      <c r="E7" s="13" t="s">
        <v>331</v>
      </c>
      <c r="F7" s="13" t="s">
        <v>28</v>
      </c>
      <c r="G7" s="38" t="s">
        <v>322</v>
      </c>
      <c r="H7" s="43" t="s">
        <v>54</v>
      </c>
      <c r="I7" s="24" t="s">
        <v>20</v>
      </c>
      <c r="J7" s="44" t="s">
        <v>20</v>
      </c>
      <c r="K7" s="40"/>
      <c r="L7" s="14" t="str">
        <f>"250,0"</f>
        <v>250,0</v>
      </c>
      <c r="M7" s="14" t="str">
        <f>"149,5726"</f>
        <v>149,5726</v>
      </c>
      <c r="N7" s="13" t="s">
        <v>214</v>
      </c>
    </row>
    <row r="8" spans="1:14">
      <c r="B8" s="7" t="s">
        <v>53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ПЛ б э ДК</vt:lpstr>
      <vt:lpstr>WRPF ПЛ без экипировки</vt:lpstr>
      <vt:lpstr>WRPF ПЛ в бинтах ДК</vt:lpstr>
      <vt:lpstr>WRPF ПЛ в бинтах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Тяга без экипировки ДК</vt:lpstr>
      <vt:lpstr>WRPF Тяга без экипировки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2020-09-16T15:07:45Z</dcterms:modified>
</cp:coreProperties>
</file>