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Сентябрь/"/>
    </mc:Choice>
  </mc:AlternateContent>
  <xr:revisionPtr revIDLastSave="0" documentId="13_ncr:1_{CA1C0D2A-6936-C74A-816F-B8C4C99B5B1F}" xr6:coauthVersionLast="45" xr6:coauthVersionMax="45" xr10:uidLastSave="{00000000-0000-0000-0000-000000000000}"/>
  <bookViews>
    <workbookView xWindow="0" yWindow="460" windowWidth="28800" windowHeight="16100" firstSheet="12" activeTab="17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ПЛ в бинтах" sheetId="7" r:id="rId4"/>
    <sheet name="IPL Присед в бинтах ДК" sheetId="16" r:id="rId5"/>
    <sheet name="IPL Жим без экипировки ДК" sheetId="10" r:id="rId6"/>
    <sheet name="IPL Жим без экипировки" sheetId="9" r:id="rId7"/>
    <sheet name="IPL Жим однослой ДК" sheetId="12" r:id="rId8"/>
    <sheet name="IPL Жим однослой" sheetId="11" r:id="rId9"/>
    <sheet name="СПР Жим софт однопетельная ДК" sheetId="19" r:id="rId10"/>
    <sheet name="СПР Жим софт однопетельная" sheetId="18" r:id="rId11"/>
    <sheet name="СПР Жим софт многопетельная ДК" sheetId="21" r:id="rId12"/>
    <sheet name="СПР Жим софт многопетельная" sheetId="20" r:id="rId13"/>
    <sheet name="IPL Тяга без экипировки ДК" sheetId="14" r:id="rId14"/>
    <sheet name="IPL Тяга без экипировки" sheetId="13" r:id="rId15"/>
    <sheet name="СПР Жим стоя ДК" sheetId="23" r:id="rId16"/>
    <sheet name="СПР Подъем на бицепс ДК" sheetId="25" r:id="rId17"/>
    <sheet name="СПР Подъем на бицепс" sheetId="24" r:id="rId18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25" l="1"/>
  <c r="K27" i="25"/>
  <c r="E27" i="25"/>
  <c r="L24" i="25"/>
  <c r="K24" i="25"/>
  <c r="E24" i="25"/>
  <c r="L23" i="25"/>
  <c r="K23" i="25"/>
  <c r="E23" i="25"/>
  <c r="L20" i="25"/>
  <c r="K20" i="25"/>
  <c r="E20" i="25"/>
  <c r="L19" i="25"/>
  <c r="K19" i="25"/>
  <c r="E19" i="25"/>
  <c r="L18" i="25"/>
  <c r="K18" i="25"/>
  <c r="E18" i="25"/>
  <c r="L17" i="25"/>
  <c r="K17" i="25"/>
  <c r="E17" i="25"/>
  <c r="L16" i="25"/>
  <c r="K16" i="25"/>
  <c r="E16" i="25"/>
  <c r="L13" i="25"/>
  <c r="K13" i="25"/>
  <c r="E13" i="25"/>
  <c r="L10" i="25"/>
  <c r="K10" i="25"/>
  <c r="E10" i="25"/>
  <c r="L7" i="25"/>
  <c r="E7" i="25"/>
  <c r="L6" i="25"/>
  <c r="K6" i="25"/>
  <c r="E6" i="25"/>
  <c r="L16" i="24"/>
  <c r="E16" i="24"/>
  <c r="L13" i="24"/>
  <c r="K13" i="24"/>
  <c r="E13" i="24"/>
  <c r="L12" i="24"/>
  <c r="K12" i="24"/>
  <c r="E12" i="24"/>
  <c r="L9" i="24"/>
  <c r="K9" i="24"/>
  <c r="E9" i="24"/>
  <c r="L6" i="24"/>
  <c r="K6" i="24"/>
  <c r="E6" i="24"/>
  <c r="L7" i="23"/>
  <c r="K7" i="23"/>
  <c r="E7" i="23"/>
  <c r="L6" i="23"/>
  <c r="K6" i="23"/>
  <c r="E6" i="23"/>
  <c r="L9" i="21"/>
  <c r="E9" i="21"/>
  <c r="L6" i="21"/>
  <c r="K6" i="21"/>
  <c r="E6" i="21"/>
  <c r="L6" i="20"/>
  <c r="K6" i="20"/>
  <c r="E6" i="20"/>
  <c r="L15" i="19"/>
  <c r="K15" i="19"/>
  <c r="E15" i="19"/>
  <c r="L12" i="19"/>
  <c r="K12" i="19"/>
  <c r="E12" i="19"/>
  <c r="L9" i="19"/>
  <c r="K9" i="19"/>
  <c r="E9" i="19"/>
  <c r="L6" i="19"/>
  <c r="K6" i="19"/>
  <c r="E6" i="19"/>
  <c r="L14" i="18"/>
  <c r="K14" i="18"/>
  <c r="E14" i="18"/>
  <c r="L13" i="18"/>
  <c r="K13" i="18"/>
  <c r="E13" i="18"/>
  <c r="L10" i="18"/>
  <c r="K10" i="18"/>
  <c r="E10" i="18"/>
  <c r="L9" i="18"/>
  <c r="K9" i="18"/>
  <c r="E9" i="18"/>
  <c r="L6" i="18"/>
  <c r="K6" i="18"/>
  <c r="E6" i="18"/>
  <c r="L9" i="16"/>
  <c r="K9" i="16"/>
  <c r="E9" i="16"/>
  <c r="L6" i="16"/>
  <c r="K6" i="16"/>
  <c r="E6" i="16"/>
  <c r="L22" i="14"/>
  <c r="K22" i="14"/>
  <c r="E22" i="14"/>
  <c r="L19" i="14"/>
  <c r="K19" i="14"/>
  <c r="E19" i="14"/>
  <c r="L16" i="14"/>
  <c r="K16" i="14"/>
  <c r="E16" i="14"/>
  <c r="L15" i="14"/>
  <c r="K15" i="14"/>
  <c r="E15" i="14"/>
  <c r="L12" i="14"/>
  <c r="K12" i="14"/>
  <c r="E12" i="14"/>
  <c r="L9" i="14"/>
  <c r="K9" i="14"/>
  <c r="E9" i="14"/>
  <c r="L6" i="14"/>
  <c r="K6" i="14"/>
  <c r="E6" i="14"/>
  <c r="L15" i="13"/>
  <c r="K15" i="13"/>
  <c r="E15" i="13"/>
  <c r="L12" i="13"/>
  <c r="K12" i="13"/>
  <c r="E12" i="13"/>
  <c r="L9" i="13"/>
  <c r="K9" i="13"/>
  <c r="E9" i="13"/>
  <c r="L6" i="13"/>
  <c r="K6" i="13"/>
  <c r="E6" i="13"/>
  <c r="L6" i="12"/>
  <c r="K6" i="12"/>
  <c r="E6" i="12"/>
  <c r="L6" i="11"/>
  <c r="K6" i="11"/>
  <c r="E6" i="11"/>
  <c r="L45" i="10"/>
  <c r="K45" i="10"/>
  <c r="E45" i="10"/>
  <c r="L44" i="10"/>
  <c r="K44" i="10"/>
  <c r="E44" i="10"/>
  <c r="L43" i="10"/>
  <c r="K43" i="10"/>
  <c r="E43" i="10"/>
  <c r="L40" i="10"/>
  <c r="K40" i="10"/>
  <c r="E40" i="10"/>
  <c r="L39" i="10"/>
  <c r="K39" i="10"/>
  <c r="E39" i="10"/>
  <c r="L38" i="10"/>
  <c r="K38" i="10"/>
  <c r="E38" i="10"/>
  <c r="L37" i="10"/>
  <c r="K37" i="10"/>
  <c r="E37" i="10"/>
  <c r="L34" i="10"/>
  <c r="K34" i="10"/>
  <c r="E34" i="10"/>
  <c r="L33" i="10"/>
  <c r="K33" i="10"/>
  <c r="E33" i="10"/>
  <c r="L32" i="10"/>
  <c r="K32" i="10"/>
  <c r="E32" i="10"/>
  <c r="L29" i="10"/>
  <c r="K29" i="10"/>
  <c r="E29" i="10"/>
  <c r="L28" i="10"/>
  <c r="K28" i="10"/>
  <c r="E28" i="10"/>
  <c r="L27" i="10"/>
  <c r="K27" i="10"/>
  <c r="E27" i="10"/>
  <c r="L26" i="10"/>
  <c r="K26" i="10"/>
  <c r="E26" i="10"/>
  <c r="L25" i="10"/>
  <c r="K25" i="10"/>
  <c r="E25" i="10"/>
  <c r="L24" i="10"/>
  <c r="K24" i="10"/>
  <c r="E24" i="10"/>
  <c r="L21" i="10"/>
  <c r="E21" i="10"/>
  <c r="L20" i="10"/>
  <c r="K20" i="10"/>
  <c r="E20" i="10"/>
  <c r="L19" i="10"/>
  <c r="K19" i="10"/>
  <c r="E19" i="10"/>
  <c r="L16" i="10"/>
  <c r="K16" i="10"/>
  <c r="E16" i="10"/>
  <c r="L13" i="10"/>
  <c r="K13" i="10"/>
  <c r="E13" i="10"/>
  <c r="L10" i="10"/>
  <c r="K10" i="10"/>
  <c r="E10" i="10"/>
  <c r="L9" i="10"/>
  <c r="K9" i="10"/>
  <c r="E9" i="10"/>
  <c r="L6" i="10"/>
  <c r="K6" i="10"/>
  <c r="E6" i="10"/>
  <c r="L36" i="9"/>
  <c r="K36" i="9"/>
  <c r="E36" i="9"/>
  <c r="L33" i="9"/>
  <c r="K33" i="9"/>
  <c r="E33" i="9"/>
  <c r="L32" i="9"/>
  <c r="K32" i="9"/>
  <c r="E32" i="9"/>
  <c r="L31" i="9"/>
  <c r="K31" i="9"/>
  <c r="E31" i="9"/>
  <c r="L30" i="9"/>
  <c r="K30" i="9"/>
  <c r="E30" i="9"/>
  <c r="L27" i="9"/>
  <c r="K27" i="9"/>
  <c r="E27" i="9"/>
  <c r="L26" i="9"/>
  <c r="K26" i="9"/>
  <c r="E26" i="9"/>
  <c r="L23" i="9"/>
  <c r="K23" i="9"/>
  <c r="E23" i="9"/>
  <c r="L22" i="9"/>
  <c r="K22" i="9"/>
  <c r="E22" i="9"/>
  <c r="L21" i="9"/>
  <c r="K21" i="9"/>
  <c r="E21" i="9"/>
  <c r="L18" i="9"/>
  <c r="K18" i="9"/>
  <c r="E18" i="9"/>
  <c r="L15" i="9"/>
  <c r="K15" i="9"/>
  <c r="E15" i="9"/>
  <c r="L14" i="9"/>
  <c r="K14" i="9"/>
  <c r="E14" i="9"/>
  <c r="L13" i="9"/>
  <c r="K13" i="9"/>
  <c r="E13" i="9"/>
  <c r="L12" i="9"/>
  <c r="K12" i="9"/>
  <c r="E12" i="9"/>
  <c r="L9" i="9"/>
  <c r="K9" i="9"/>
  <c r="E9" i="9"/>
  <c r="L6" i="9"/>
  <c r="K6" i="9"/>
  <c r="E6" i="9"/>
  <c r="T7" i="8"/>
  <c r="S7" i="8"/>
  <c r="E7" i="8"/>
  <c r="T6" i="8"/>
  <c r="S6" i="8"/>
  <c r="E6" i="8"/>
  <c r="T6" i="7"/>
  <c r="S6" i="7"/>
  <c r="E6" i="7"/>
  <c r="T26" i="6"/>
  <c r="S26" i="6"/>
  <c r="E26" i="6"/>
  <c r="T25" i="6"/>
  <c r="S25" i="6"/>
  <c r="E25" i="6"/>
  <c r="T22" i="6"/>
  <c r="S22" i="6"/>
  <c r="E22" i="6"/>
  <c r="T21" i="6"/>
  <c r="S21" i="6"/>
  <c r="E21" i="6"/>
  <c r="T20" i="6"/>
  <c r="S20" i="6"/>
  <c r="E20" i="6"/>
  <c r="T19" i="6"/>
  <c r="S19" i="6"/>
  <c r="E19" i="6"/>
  <c r="T16" i="6"/>
  <c r="S16" i="6"/>
  <c r="E16" i="6"/>
  <c r="T13" i="6"/>
  <c r="S13" i="6"/>
  <c r="E13" i="6"/>
  <c r="T10" i="6"/>
  <c r="S10" i="6"/>
  <c r="E10" i="6"/>
  <c r="T7" i="6"/>
  <c r="S7" i="6"/>
  <c r="E7" i="6"/>
  <c r="T6" i="6"/>
  <c r="S6" i="6"/>
  <c r="E6" i="6"/>
  <c r="T16" i="5"/>
  <c r="S16" i="5"/>
  <c r="E16" i="5"/>
  <c r="T13" i="5"/>
  <c r="S13" i="5"/>
  <c r="E13" i="5"/>
  <c r="T10" i="5"/>
  <c r="S10" i="5"/>
  <c r="E10" i="5"/>
  <c r="T9" i="5"/>
  <c r="S9" i="5"/>
  <c r="E9" i="5"/>
  <c r="T6" i="5"/>
  <c r="S6" i="5"/>
  <c r="E6" i="5"/>
</calcChain>
</file>

<file path=xl/sharedStrings.xml><?xml version="1.0" encoding="utf-8"?>
<sst xmlns="http://schemas.openxmlformats.org/spreadsheetml/2006/main" count="1352" uniqueCount="437">
  <si>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</si>
  <si>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</si>
  <si>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</si>
  <si>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</si>
  <si>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</si>
  <si>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</si>
  <si>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</si>
  <si>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</si>
  <si>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</si>
  <si>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</si>
  <si>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82.5</t>
  </si>
  <si>
    <t>Кузнецов Павел</t>
  </si>
  <si>
    <t>Открытая (11.01.1989)/31</t>
  </si>
  <si>
    <t>81,40</t>
  </si>
  <si>
    <t xml:space="preserve">RUS/Самара </t>
  </si>
  <si>
    <t>170,0</t>
  </si>
  <si>
    <t>185,0</t>
  </si>
  <si>
    <t>192,5</t>
  </si>
  <si>
    <t>117,5</t>
  </si>
  <si>
    <t>125,0</t>
  </si>
  <si>
    <t>130,0</t>
  </si>
  <si>
    <t>200,0</t>
  </si>
  <si>
    <t>215,0</t>
  </si>
  <si>
    <t>225,0</t>
  </si>
  <si>
    <t>ВЕСОВАЯ КАТЕГОРИЯ   100</t>
  </si>
  <si>
    <t>Казачков Иван</t>
  </si>
  <si>
    <t>Открытая (01.04.1989)/31</t>
  </si>
  <si>
    <t>100,00</t>
  </si>
  <si>
    <t xml:space="preserve">RUS/Тольятти </t>
  </si>
  <si>
    <t>250,0</t>
  </si>
  <si>
    <t>265,0</t>
  </si>
  <si>
    <t>280,0</t>
  </si>
  <si>
    <t>165,0</t>
  </si>
  <si>
    <t>175,0</t>
  </si>
  <si>
    <t>300,0</t>
  </si>
  <si>
    <t>310,0</t>
  </si>
  <si>
    <t xml:space="preserve">Луговой А. </t>
  </si>
  <si>
    <t>Олефир Александр</t>
  </si>
  <si>
    <t>Открытая (06.07.1981)/39</t>
  </si>
  <si>
    <t>98,50</t>
  </si>
  <si>
    <t>235,0</t>
  </si>
  <si>
    <t>245,0</t>
  </si>
  <si>
    <t>177,5</t>
  </si>
  <si>
    <t>190,0</t>
  </si>
  <si>
    <t>240,0</t>
  </si>
  <si>
    <t>ВЕСОВАЯ КАТЕГОРИЯ   110</t>
  </si>
  <si>
    <t>Зайцев Владимир</t>
  </si>
  <si>
    <t>107,80</t>
  </si>
  <si>
    <t>105,0</t>
  </si>
  <si>
    <t>115,0</t>
  </si>
  <si>
    <t>95,0</t>
  </si>
  <si>
    <t>140,0</t>
  </si>
  <si>
    <t>155,0</t>
  </si>
  <si>
    <t>ВЕСОВАЯ КАТЕГОРИЯ   125</t>
  </si>
  <si>
    <t>Крыцков Николай</t>
  </si>
  <si>
    <t>Открытая (19.06.1982)/38</t>
  </si>
  <si>
    <t>116,90</t>
  </si>
  <si>
    <t>210,0</t>
  </si>
  <si>
    <t>180,0</t>
  </si>
  <si>
    <t>187,5</t>
  </si>
  <si>
    <t>220,0</t>
  </si>
  <si>
    <t>260,0</t>
  </si>
  <si>
    <t>1</t>
  </si>
  <si>
    <t/>
  </si>
  <si>
    <t>2</t>
  </si>
  <si>
    <t>ВЕСОВАЯ КАТЕГОРИЯ   52</t>
  </si>
  <si>
    <t>Горожанина Ольга</t>
  </si>
  <si>
    <t>Открытая (05.11.1983)/36</t>
  </si>
  <si>
    <t>51,60</t>
  </si>
  <si>
    <t xml:space="preserve">RUS/Ульяновск </t>
  </si>
  <si>
    <t>77,5</t>
  </si>
  <si>
    <t>80,0</t>
  </si>
  <si>
    <t>50,0</t>
  </si>
  <si>
    <t>52,5</t>
  </si>
  <si>
    <t>55,0</t>
  </si>
  <si>
    <t>90,0</t>
  </si>
  <si>
    <t>102,5</t>
  </si>
  <si>
    <t>Гаврилова Ольга</t>
  </si>
  <si>
    <t>Открытая (30.11.1985)/34</t>
  </si>
  <si>
    <t>51,10</t>
  </si>
  <si>
    <t>70,0</t>
  </si>
  <si>
    <t>57,5</t>
  </si>
  <si>
    <t>87,5</t>
  </si>
  <si>
    <t>ВЕСОВАЯ КАТЕГОРИЯ   60</t>
  </si>
  <si>
    <t>Сычева Елена</t>
  </si>
  <si>
    <t>Открытая (22.07.1985)/35</t>
  </si>
  <si>
    <t>58,90</t>
  </si>
  <si>
    <t>107,5</t>
  </si>
  <si>
    <t>110,0</t>
  </si>
  <si>
    <t>65,0</t>
  </si>
  <si>
    <t>67,5</t>
  </si>
  <si>
    <t>135,0</t>
  </si>
  <si>
    <t>145,0</t>
  </si>
  <si>
    <t>ВЕСОВАЯ КАТЕГОРИЯ   75</t>
  </si>
  <si>
    <t>Бурлин Демьян</t>
  </si>
  <si>
    <t>Юноши 15-19 (02.12.2003)/16</t>
  </si>
  <si>
    <t>74,70</t>
  </si>
  <si>
    <t>100,0</t>
  </si>
  <si>
    <t>150,0</t>
  </si>
  <si>
    <t>Шайтуров Александр</t>
  </si>
  <si>
    <t>Открытая (24.04.1984)/36</t>
  </si>
  <si>
    <t xml:space="preserve">RUS/Пугачёв </t>
  </si>
  <si>
    <t>160,0</t>
  </si>
  <si>
    <t>ВЕСОВАЯ КАТЕГОРИЯ   90</t>
  </si>
  <si>
    <t>Зарин Александр</t>
  </si>
  <si>
    <t>Открытая (27.06.1994)/26</t>
  </si>
  <si>
    <t>86,10</t>
  </si>
  <si>
    <t>205,0</t>
  </si>
  <si>
    <t>120,0</t>
  </si>
  <si>
    <t>230,0</t>
  </si>
  <si>
    <t>257,5</t>
  </si>
  <si>
    <t xml:space="preserve">Бакунц Г. </t>
  </si>
  <si>
    <t>Владимиров Владимир</t>
  </si>
  <si>
    <t>Открытая (30.04.1993)/27</t>
  </si>
  <si>
    <t>86,90</t>
  </si>
  <si>
    <t xml:space="preserve">RUS/Пенза </t>
  </si>
  <si>
    <t>172,5</t>
  </si>
  <si>
    <t>162,5</t>
  </si>
  <si>
    <t>Карпунин Сергей</t>
  </si>
  <si>
    <t>Открытая (18.10.1987)/32</t>
  </si>
  <si>
    <t>89,60</t>
  </si>
  <si>
    <t xml:space="preserve">RUS/Бузулук </t>
  </si>
  <si>
    <t>195,0</t>
  </si>
  <si>
    <t>142,5</t>
  </si>
  <si>
    <t>147,5</t>
  </si>
  <si>
    <t>Самсонов Валентин</t>
  </si>
  <si>
    <t>Открытая (25.11.1990)/29</t>
  </si>
  <si>
    <t>89,10</t>
  </si>
  <si>
    <t>132,5</t>
  </si>
  <si>
    <t>Лукьянченко Алексей</t>
  </si>
  <si>
    <t>Открытая (10.08.1986)/34</t>
  </si>
  <si>
    <t>99,00</t>
  </si>
  <si>
    <t>Тресков Виктор</t>
  </si>
  <si>
    <t>Открытая (06.01.1971)/49</t>
  </si>
  <si>
    <t>95,10</t>
  </si>
  <si>
    <t>3</t>
  </si>
  <si>
    <t>4</t>
  </si>
  <si>
    <t>Елютин Андрей</t>
  </si>
  <si>
    <t>Открытая (13.02.1986)/34</t>
  </si>
  <si>
    <t>110,60</t>
  </si>
  <si>
    <t xml:space="preserve">RUS/Чапаевск </t>
  </si>
  <si>
    <t>157,5</t>
  </si>
  <si>
    <t>270,0</t>
  </si>
  <si>
    <t>Киреев Петр</t>
  </si>
  <si>
    <t>Открытая (05.02.1996)/24</t>
  </si>
  <si>
    <t>103,90</t>
  </si>
  <si>
    <t xml:space="preserve">RUS/Саратов </t>
  </si>
  <si>
    <t>Чистяков Николай</t>
  </si>
  <si>
    <t>Открытая (31.10.1984)/35</t>
  </si>
  <si>
    <t>108,40</t>
  </si>
  <si>
    <t>217,5</t>
  </si>
  <si>
    <t>222,5</t>
  </si>
  <si>
    <t>137,5</t>
  </si>
  <si>
    <t>ВЕСОВАЯ КАТЕГОРИЯ   48</t>
  </si>
  <si>
    <t>Лебедева Наталья</t>
  </si>
  <si>
    <t>47,60</t>
  </si>
  <si>
    <t>30,0</t>
  </si>
  <si>
    <t>32,5</t>
  </si>
  <si>
    <t>35,0</t>
  </si>
  <si>
    <t>Бородюк Глеб</t>
  </si>
  <si>
    <t>Юноши 15-19 (14.05.2006)/14</t>
  </si>
  <si>
    <t>47,70</t>
  </si>
  <si>
    <t>Иваев Руслан</t>
  </si>
  <si>
    <t>Открытая (08.09.1986)/34</t>
  </si>
  <si>
    <t>80,70</t>
  </si>
  <si>
    <t>Плотников Владимир</t>
  </si>
  <si>
    <t>Открытая (24.06.1981)/39</t>
  </si>
  <si>
    <t>80,30</t>
  </si>
  <si>
    <t>Грищенко Андрей</t>
  </si>
  <si>
    <t>Открытая (19.06.1996)/24</t>
  </si>
  <si>
    <t>81,20</t>
  </si>
  <si>
    <t>Рязанов Борис</t>
  </si>
  <si>
    <t>82,50</t>
  </si>
  <si>
    <t xml:space="preserve">RUS/Оренбург </t>
  </si>
  <si>
    <t>156,0</t>
  </si>
  <si>
    <t>Вавилов Сергей</t>
  </si>
  <si>
    <t>Открытая (26.01.1996)/24</t>
  </si>
  <si>
    <t>88,20</t>
  </si>
  <si>
    <t xml:space="preserve">RUS/Зеленодольск </t>
  </si>
  <si>
    <t>Нефедов Михаил</t>
  </si>
  <si>
    <t>Открытая (07.05.1972)/48</t>
  </si>
  <si>
    <t>99,40</t>
  </si>
  <si>
    <t>167,5</t>
  </si>
  <si>
    <t xml:space="preserve">Гаржа Л. </t>
  </si>
  <si>
    <t>Шмыров Максим</t>
  </si>
  <si>
    <t>Открытая (07.11.1988)/31</t>
  </si>
  <si>
    <t>96,00</t>
  </si>
  <si>
    <t>Аминов Руслан</t>
  </si>
  <si>
    <t>Открытая (13.10.1987)/32</t>
  </si>
  <si>
    <t>107,40</t>
  </si>
  <si>
    <t>Стулов Илья</t>
  </si>
  <si>
    <t>Открытая (14.05.1986)/34</t>
  </si>
  <si>
    <t>107,10</t>
  </si>
  <si>
    <t>Кулагин Андрей</t>
  </si>
  <si>
    <t>Открытая (16.09.1978)/42</t>
  </si>
  <si>
    <t>118,30</t>
  </si>
  <si>
    <t>Панченко Михаил</t>
  </si>
  <si>
    <t>Открытая (25.04.1993)/27</t>
  </si>
  <si>
    <t>116,30</t>
  </si>
  <si>
    <t>Горшунов Сергей</t>
  </si>
  <si>
    <t>110,50</t>
  </si>
  <si>
    <t>ВЕСОВАЯ КАТЕГОРИЯ   140</t>
  </si>
  <si>
    <t>Пожидаев Олег</t>
  </si>
  <si>
    <t>Открытая (25.06.1992)/28</t>
  </si>
  <si>
    <t>136,00</t>
  </si>
  <si>
    <t>255,0</t>
  </si>
  <si>
    <t>Результат</t>
  </si>
  <si>
    <t>Кожуховская Ирина</t>
  </si>
  <si>
    <t>Открытая (05.07.1986)/34</t>
  </si>
  <si>
    <t>50,70</t>
  </si>
  <si>
    <t>60,0</t>
  </si>
  <si>
    <t>62,5</t>
  </si>
  <si>
    <t>ВЕСОВАЯ КАТЕГОРИЯ   67.5</t>
  </si>
  <si>
    <t>Варакина Екатерина</t>
  </si>
  <si>
    <t>Открытая (14.07.1995)/25</t>
  </si>
  <si>
    <t>65,90</t>
  </si>
  <si>
    <t>75,0</t>
  </si>
  <si>
    <t>85,0</t>
  </si>
  <si>
    <t>Толстошеев Артем</t>
  </si>
  <si>
    <t>Открытая (22.08.1985)/35</t>
  </si>
  <si>
    <t>67,20</t>
  </si>
  <si>
    <t>Загудаев Леонид</t>
  </si>
  <si>
    <t>Юноши 15-19 (19.07.2002)/18</t>
  </si>
  <si>
    <t>70,60</t>
  </si>
  <si>
    <t>112,5</t>
  </si>
  <si>
    <t>Гугняков Александр</t>
  </si>
  <si>
    <t>Открытая (17.09.1974)/46</t>
  </si>
  <si>
    <t>71,20</t>
  </si>
  <si>
    <t>Синин Алексей</t>
  </si>
  <si>
    <t>Открытая (18.07.1993)/27</t>
  </si>
  <si>
    <t>74,50</t>
  </si>
  <si>
    <t>Ошков Александр</t>
  </si>
  <si>
    <t>Юноши 15-19 (26.11.2003)/16</t>
  </si>
  <si>
    <t>76,90</t>
  </si>
  <si>
    <t xml:space="preserve">RUS/Волжск </t>
  </si>
  <si>
    <t>Сидоров Андрей</t>
  </si>
  <si>
    <t>Открытая (29.07.1986)/34</t>
  </si>
  <si>
    <t>80,80</t>
  </si>
  <si>
    <t>Леонтьев Александр</t>
  </si>
  <si>
    <t>Открытая (20.07.1990)/30</t>
  </si>
  <si>
    <t>81,90</t>
  </si>
  <si>
    <t xml:space="preserve">KAZ/Уральск </t>
  </si>
  <si>
    <t>Князев Андрей</t>
  </si>
  <si>
    <t>Открытая (10.03.1982)/38</t>
  </si>
  <si>
    <t>79,70</t>
  </si>
  <si>
    <t>Алексеев Владимир</t>
  </si>
  <si>
    <t>Открытая (24.07.1987)/33</t>
  </si>
  <si>
    <t>81,00</t>
  </si>
  <si>
    <t>Подгорнов Олег</t>
  </si>
  <si>
    <t>Открытая (02.12.1987)/32</t>
  </si>
  <si>
    <t>75,90</t>
  </si>
  <si>
    <t>Карпухин Павел</t>
  </si>
  <si>
    <t>Открытая (16.10.1987)/32</t>
  </si>
  <si>
    <t>90,00</t>
  </si>
  <si>
    <t>202,5</t>
  </si>
  <si>
    <t>Малолетнев Игорь</t>
  </si>
  <si>
    <t>Открытая (22.08.1996)/24</t>
  </si>
  <si>
    <t>84,40</t>
  </si>
  <si>
    <t>Зарипов Рафаиль</t>
  </si>
  <si>
    <t>Юноши 15-19 (16.04.2001)/19</t>
  </si>
  <si>
    <t>98,10</t>
  </si>
  <si>
    <t>127,5</t>
  </si>
  <si>
    <t>Плотников Герман</t>
  </si>
  <si>
    <t>Открытая (08.05.1976)/44</t>
  </si>
  <si>
    <t>96,70</t>
  </si>
  <si>
    <t xml:space="preserve">RUS/Сызрань </t>
  </si>
  <si>
    <t>Челноков Юрий</t>
  </si>
  <si>
    <t>99,70</t>
  </si>
  <si>
    <t>Алиев Сахиб</t>
  </si>
  <si>
    <t>Открытая (29.11.1988)/31</t>
  </si>
  <si>
    <t>107,90</t>
  </si>
  <si>
    <t xml:space="preserve">RUS/Казань </t>
  </si>
  <si>
    <t>Проценко Сергей</t>
  </si>
  <si>
    <t>Открытая (13.09.1988)/32</t>
  </si>
  <si>
    <t>108,70</t>
  </si>
  <si>
    <t>Подторжнов Алексей</t>
  </si>
  <si>
    <t>Открытая (06.04.1979)/41</t>
  </si>
  <si>
    <t>107,60</t>
  </si>
  <si>
    <t>-</t>
  </si>
  <si>
    <t>5</t>
  </si>
  <si>
    <t>Яковлев Максим</t>
  </si>
  <si>
    <t>Открытая (17.06.1982)/38</t>
  </si>
  <si>
    <t>89,00</t>
  </si>
  <si>
    <t>Бакунц Гагик</t>
  </si>
  <si>
    <t>Открытая (22.03.1990)/30</t>
  </si>
  <si>
    <t>Барковская Полина</t>
  </si>
  <si>
    <t>Открытая (12.06.1980)/40</t>
  </si>
  <si>
    <t>59,20</t>
  </si>
  <si>
    <t>92,5</t>
  </si>
  <si>
    <t>Улеев Радмир</t>
  </si>
  <si>
    <t>Открытая (03.06.1996)/24</t>
  </si>
  <si>
    <t>71,40</t>
  </si>
  <si>
    <t>Пинясов Сергей</t>
  </si>
  <si>
    <t>Открытая (14.11.1994)/25</t>
  </si>
  <si>
    <t>99,20</t>
  </si>
  <si>
    <t>290,0</t>
  </si>
  <si>
    <t>Новлянский Виктор</t>
  </si>
  <si>
    <t>103,10</t>
  </si>
  <si>
    <t>182,5</t>
  </si>
  <si>
    <t>ВЕСОВАЯ КАТЕГОРИЯ   56</t>
  </si>
  <si>
    <t>Смородина Надежда</t>
  </si>
  <si>
    <t>Девушки 15-19 (20.12.2001)/18</t>
  </si>
  <si>
    <t>55,50</t>
  </si>
  <si>
    <t xml:space="preserve">RUS/Отрадный </t>
  </si>
  <si>
    <t>Мансуров Вадуд</t>
  </si>
  <si>
    <t>Открытая (16.11.1993)/26</t>
  </si>
  <si>
    <t>76,70</t>
  </si>
  <si>
    <t>262,5</t>
  </si>
  <si>
    <t>Шарапов Евгений</t>
  </si>
  <si>
    <t>Открытая (05.07.1988)/32</t>
  </si>
  <si>
    <t>Гридин Роман</t>
  </si>
  <si>
    <t>85,70</t>
  </si>
  <si>
    <t>Майоров Никита</t>
  </si>
  <si>
    <t>Открытая (18.05.1992)/28</t>
  </si>
  <si>
    <t>98,70</t>
  </si>
  <si>
    <t>Нарбекова Марина</t>
  </si>
  <si>
    <t>Открытая (14.10.1980)/39</t>
  </si>
  <si>
    <t>64,20</t>
  </si>
  <si>
    <t>237,5</t>
  </si>
  <si>
    <t>Хацаюк Антон</t>
  </si>
  <si>
    <t>Открытая (22.05.1986)/34</t>
  </si>
  <si>
    <t>98,60</t>
  </si>
  <si>
    <t>207,5</t>
  </si>
  <si>
    <t>Хомяков Виталий</t>
  </si>
  <si>
    <t>Открытая (19.05.1996)/24</t>
  </si>
  <si>
    <t>120,70</t>
  </si>
  <si>
    <t>267,5</t>
  </si>
  <si>
    <t>Красильников Виталий</t>
  </si>
  <si>
    <t>Открытая (08.05.1981)/39</t>
  </si>
  <si>
    <t>275,0</t>
  </si>
  <si>
    <t>Луцук Виталий</t>
  </si>
  <si>
    <t>Открытая (20.03.1991)/29</t>
  </si>
  <si>
    <t>95,60</t>
  </si>
  <si>
    <t>ВЕСОВАЯ КАТЕГОРИЯ   140+</t>
  </si>
  <si>
    <t>Демьянчук Юрий</t>
  </si>
  <si>
    <t>145,50</t>
  </si>
  <si>
    <t>320,0</t>
  </si>
  <si>
    <t>330,0</t>
  </si>
  <si>
    <t>Жим стоя</t>
  </si>
  <si>
    <t>Замятина Наталья</t>
  </si>
  <si>
    <t>Открытая (14.04.1980)/40</t>
  </si>
  <si>
    <t>63,10</t>
  </si>
  <si>
    <t>37,5</t>
  </si>
  <si>
    <t>40,0</t>
  </si>
  <si>
    <t>27,5</t>
  </si>
  <si>
    <t>Кнутова Татьяна</t>
  </si>
  <si>
    <t>Открытая (16.06.1972)/48</t>
  </si>
  <si>
    <t>64,10</t>
  </si>
  <si>
    <t>42,5</t>
  </si>
  <si>
    <t>25,0</t>
  </si>
  <si>
    <t>Подъем на бицепс</t>
  </si>
  <si>
    <t>Малахов Сергей</t>
  </si>
  <si>
    <t>Открытая (20.08.1991)/29</t>
  </si>
  <si>
    <t>74,80</t>
  </si>
  <si>
    <t>72,5</t>
  </si>
  <si>
    <t>Солдатов Максим</t>
  </si>
  <si>
    <t>Открытая (27.09.1982)/37</t>
  </si>
  <si>
    <t>Лебедев Андрей</t>
  </si>
  <si>
    <t>89,30</t>
  </si>
  <si>
    <t>45,0</t>
  </si>
  <si>
    <t>Сидорова Наталья</t>
  </si>
  <si>
    <t>63,0</t>
  </si>
  <si>
    <t>47,5</t>
  </si>
  <si>
    <t>Поздняков Вячеслав</t>
  </si>
  <si>
    <t>Открытая (28.09.1971)/48</t>
  </si>
  <si>
    <t>82,40</t>
  </si>
  <si>
    <t>Невзоров Андрей</t>
  </si>
  <si>
    <t>Открытая (26.09.1979)/41</t>
  </si>
  <si>
    <t>93,30</t>
  </si>
  <si>
    <t>Кубок Восточной Европы
СПР Жим лежа в многопетельной софт экипировке ДК
Самара/Самарская область, 25-27 сентября 2020 года</t>
  </si>
  <si>
    <t>Кубок Восточной Европы
СПР Жим лежа в многопетельной софт экипировке
Самара/Самарская область, 25-27 сентября 2020 года</t>
  </si>
  <si>
    <t>Кубок Восточной Европы
СПР Жим лежа в однопетельной софт экипировке ДК
Самара/Самарская область, 25-27 сентября 2020 года</t>
  </si>
  <si>
    <t>Кубок Восточной Европы
СПР Жим лежа в однопетельной софт экипировке
Самара/Самарская область, 25-27 сентября 2020 года</t>
  </si>
  <si>
    <t>Кубок Восточной Европы
IPL Присед в бинтах ДК
Самара/Самарская область, 25-27 сентября 2020 года</t>
  </si>
  <si>
    <t>Кубок Восточной Европы
IPL Становая тяга без экипировки ДК
Самара/Самарская область, 25-27 сентября 2020 года</t>
  </si>
  <si>
    <t>Кубок Восточной Европы
IPL Становая тяга без экипировки
Самара/Самарская область, 25-27 сентября 2020 года</t>
  </si>
  <si>
    <t>Кубок Восточной Европы
IPL Жим лежа в однослойной экипировке ДК
Самара/Самарская область, 25-27 сентября 2020 года</t>
  </si>
  <si>
    <t>Кубок Восточной Европы
IPL Жим лежа в однослойной экипировке
Самара/Самарская область, 25-27 сентября 2020 года</t>
  </si>
  <si>
    <t>Кубок Восточной Европы
IPL Жим лежа без экипировки ДК
Самара/Самарская область, 25-27 сентября 2020 года</t>
  </si>
  <si>
    <t>Кубок Восточной Европы
IPL Жим лежа без экипировки
Самара/Самарская область, 25-27 сентября 2020 года</t>
  </si>
  <si>
    <t>Кубок Восточной Европы
IPL Пауэрлифтинг в бинтах ДК
Самара/Самарская область, 25-27 сентября 2020 года</t>
  </si>
  <si>
    <t>Кубок Восточной Европы
IPL Пауэрлифтинг в бинтах
Самара/Самарская область, 25-27 сентября 2020 года</t>
  </si>
  <si>
    <t>Кубок Восточной Европы
IPL Пауэрлифтинг без экипировки ДК
Самара/Самарская область, 25-27 сентября 2020 года</t>
  </si>
  <si>
    <t>Кубок Восточной Европы
IPL Пауэрлифтинг без экипировки
Самара/Самарская область, 25-27 сентября 2020 года</t>
  </si>
  <si>
    <t>Ошков С.</t>
  </si>
  <si>
    <t xml:space="preserve"> RUS/Самара </t>
  </si>
  <si>
    <t>Юниорки 20-23 (31.03.1998)/22</t>
  </si>
  <si>
    <t>Юноши 13-19 (26.11.2003)/16</t>
  </si>
  <si>
    <t>Мастера 50-59 (13.07.1963)/57</t>
  </si>
  <si>
    <t>Мастера 40-49 (03.10.1978)/41</t>
  </si>
  <si>
    <t>Мастера 45-49 (28.01.1972)/48</t>
  </si>
  <si>
    <t>Мастера 40-44 (02.01.1977)/43</t>
  </si>
  <si>
    <t>Мастера 40-44 (08.05.1976)/44</t>
  </si>
  <si>
    <t>Мастера 50-54 (10.01.1968)/52</t>
  </si>
  <si>
    <t>Мастера 65-69 (13.06.1954)/66</t>
  </si>
  <si>
    <t>Мастера 45-49 (07.05.1972)/48</t>
  </si>
  <si>
    <t>Мастера 40-44 (16.09.1978)/42</t>
  </si>
  <si>
    <t>Мастера 40-44 (26.05.1976)/44</t>
  </si>
  <si>
    <t>Мастера 70-74 (02.11.1949)/70</t>
  </si>
  <si>
    <t>Кучин И.</t>
  </si>
  <si>
    <t>Тресков В.</t>
  </si>
  <si>
    <t xml:space="preserve"> RUS/Димитровград </t>
  </si>
  <si>
    <t>Пешков А.</t>
  </si>
  <si>
    <t>Замятин И.</t>
  </si>
  <si>
    <t>Трухтанов П.</t>
  </si>
  <si>
    <t>Кубок Восточной Европы
СПР Строгий подъем штанги на бицепс ДК
Самара/Самарская область, 25-27 сентября 2020 года</t>
  </si>
  <si>
    <t>Кубок Восточной Европы
СПР Строгий подъем штанги на бицепс
Самара/Самарская область, 25-27 сентября 2020 года</t>
  </si>
  <si>
    <t>Кубок Восточной Европы
СПР Жим штанги стоя ДК
Самара/Самарская область, 25-27 сентября 2020 года</t>
  </si>
  <si>
    <t>Шилин А.</t>
  </si>
  <si>
    <t>Арусланов Ш.</t>
  </si>
  <si>
    <t>Поздняков В.</t>
  </si>
  <si>
    <t xml:space="preserve"> RUS/Ульяновск </t>
  </si>
  <si>
    <t xml:space="preserve"> RUS/Сызрань </t>
  </si>
  <si>
    <t xml:space="preserve"> RUS/Новотроицк  </t>
  </si>
  <si>
    <t xml:space="preserve">  RUS/Новотроицк  </t>
  </si>
  <si>
    <t>Долгов С.</t>
  </si>
  <si>
    <t>Олефир А.</t>
  </si>
  <si>
    <t>Звягин Р.</t>
  </si>
  <si>
    <t>Чаплыгин А.</t>
  </si>
  <si>
    <t>Кулагин А.</t>
  </si>
  <si>
    <t>Луцук В.</t>
  </si>
  <si>
    <t>Балашов В.</t>
  </si>
  <si>
    <t>Мастера 50-54 (01.11.1965)/54</t>
  </si>
  <si>
    <t xml:space="preserve">  RUS/Сызрань </t>
  </si>
  <si>
    <t xml:space="preserve"> RUS/Ульяновск</t>
  </si>
  <si>
    <t xml:space="preserve"> RUS/Димитровград</t>
  </si>
  <si>
    <t>Гусев А.</t>
  </si>
  <si>
    <t>Суслов Н.</t>
  </si>
  <si>
    <t>Карпюков А.</t>
  </si>
  <si>
    <t>Аверьянов В.</t>
  </si>
  <si>
    <t>Брославский В.</t>
  </si>
  <si>
    <t>Беловал Е.</t>
  </si>
  <si>
    <t>Хитрин Д.</t>
  </si>
  <si>
    <t>RUS/Новотроицк</t>
  </si>
  <si>
    <t>№</t>
  </si>
  <si>
    <t xml:space="preserve">
Дата рождения/Возраст</t>
  </si>
  <si>
    <t>Возрастная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</si>
</sst>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U2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6.5" style="5" bestFit="1" customWidth="1"/>
    <col min="4" max="4" width="21.5" style="5" bestFit="1" customWidth="1"/>
    <col min="5" max="5" width="18.664062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1640625" style="5" bestFit="1" customWidth="1"/>
    <col min="22" max="16384" width="9.1640625" style="3"/>
  </cols>
  <sheetData>
    <row r="1" spans="1:21" s="2" customFormat="1" ht="29" customHeight="1">
      <c r="A1" s="28" t="s">
        <v>382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40" t="s">
        <v>9</v>
      </c>
      <c r="P3" s="40"/>
      <c r="Q3" s="40"/>
      <c r="R3" s="40"/>
      <c r="S3" s="40" t="s">
        <v>1</v>
      </c>
      <c r="T3" s="40" t="s">
        <v>3</v>
      </c>
      <c r="U3" s="43" t="s">
        <v>2</v>
      </c>
    </row>
    <row r="4" spans="1:21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4"/>
    </row>
    <row r="5" spans="1:21" ht="16">
      <c r="A5" s="45" t="s">
        <v>65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10" t="s">
        <v>62</v>
      </c>
      <c r="B6" s="9" t="s">
        <v>66</v>
      </c>
      <c r="C6" s="9" t="s">
        <v>67</v>
      </c>
      <c r="D6" s="9" t="s">
        <v>68</v>
      </c>
      <c r="E6" s="9" t="str">
        <f>"1,2541"</f>
        <v>1,2541</v>
      </c>
      <c r="F6" s="9" t="s">
        <v>69</v>
      </c>
      <c r="G6" s="15" t="s">
        <v>70</v>
      </c>
      <c r="H6" s="20" t="s">
        <v>71</v>
      </c>
      <c r="I6" s="20" t="s">
        <v>71</v>
      </c>
      <c r="J6" s="10"/>
      <c r="K6" s="20" t="s">
        <v>72</v>
      </c>
      <c r="L6" s="15" t="s">
        <v>73</v>
      </c>
      <c r="M6" s="20" t="s">
        <v>74</v>
      </c>
      <c r="N6" s="10"/>
      <c r="O6" s="15" t="s">
        <v>75</v>
      </c>
      <c r="P6" s="15" t="s">
        <v>76</v>
      </c>
      <c r="Q6" s="20" t="s">
        <v>18</v>
      </c>
      <c r="R6" s="10"/>
      <c r="S6" s="10" t="str">
        <f>"232,5"</f>
        <v>232,5</v>
      </c>
      <c r="T6" s="10" t="str">
        <f>"291,5782"</f>
        <v>291,5782</v>
      </c>
      <c r="U6" s="9"/>
    </row>
    <row r="7" spans="1:21">
      <c r="A7" s="12" t="s">
        <v>64</v>
      </c>
      <c r="B7" s="11" t="s">
        <v>77</v>
      </c>
      <c r="C7" s="11" t="s">
        <v>78</v>
      </c>
      <c r="D7" s="11" t="s">
        <v>79</v>
      </c>
      <c r="E7" s="11" t="str">
        <f>"1,2635"</f>
        <v>1,2635</v>
      </c>
      <c r="F7" s="11" t="s">
        <v>14</v>
      </c>
      <c r="G7" s="17" t="s">
        <v>80</v>
      </c>
      <c r="H7" s="17" t="s">
        <v>71</v>
      </c>
      <c r="I7" s="16" t="s">
        <v>75</v>
      </c>
      <c r="J7" s="12"/>
      <c r="K7" s="17" t="s">
        <v>74</v>
      </c>
      <c r="L7" s="16" t="s">
        <v>81</v>
      </c>
      <c r="M7" s="17" t="s">
        <v>81</v>
      </c>
      <c r="N7" s="12"/>
      <c r="O7" s="17" t="s">
        <v>80</v>
      </c>
      <c r="P7" s="16" t="s">
        <v>71</v>
      </c>
      <c r="Q7" s="17" t="s">
        <v>82</v>
      </c>
      <c r="R7" s="12"/>
      <c r="S7" s="12" t="str">
        <f>"225,0"</f>
        <v>225,0</v>
      </c>
      <c r="T7" s="12" t="str">
        <f>"284,2875"</f>
        <v>284,2875</v>
      </c>
      <c r="U7" s="11"/>
    </row>
    <row r="8" spans="1:21">
      <c r="B8" s="5" t="s">
        <v>63</v>
      </c>
    </row>
    <row r="9" spans="1:21" ht="16">
      <c r="A9" s="47" t="s">
        <v>83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21">
      <c r="A10" s="8" t="s">
        <v>62</v>
      </c>
      <c r="B10" s="7" t="s">
        <v>84</v>
      </c>
      <c r="C10" s="7" t="s">
        <v>85</v>
      </c>
      <c r="D10" s="7" t="s">
        <v>86</v>
      </c>
      <c r="E10" s="7" t="str">
        <f>"1,1310"</f>
        <v>1,1310</v>
      </c>
      <c r="F10" s="7" t="s">
        <v>14</v>
      </c>
      <c r="G10" s="13" t="s">
        <v>76</v>
      </c>
      <c r="H10" s="13" t="s">
        <v>87</v>
      </c>
      <c r="I10" s="13" t="s">
        <v>88</v>
      </c>
      <c r="J10" s="8"/>
      <c r="K10" s="14" t="s">
        <v>89</v>
      </c>
      <c r="L10" s="13" t="s">
        <v>90</v>
      </c>
      <c r="M10" s="13" t="s">
        <v>80</v>
      </c>
      <c r="N10" s="8"/>
      <c r="O10" s="13" t="s">
        <v>91</v>
      </c>
      <c r="P10" s="13" t="s">
        <v>51</v>
      </c>
      <c r="Q10" s="13" t="s">
        <v>92</v>
      </c>
      <c r="R10" s="8"/>
      <c r="S10" s="8" t="str">
        <f>"325,0"</f>
        <v>325,0</v>
      </c>
      <c r="T10" s="8" t="str">
        <f>"367,5750"</f>
        <v>367,5750</v>
      </c>
      <c r="U10" s="7"/>
    </row>
    <row r="11" spans="1:21">
      <c r="B11" s="5" t="s">
        <v>63</v>
      </c>
    </row>
    <row r="12" spans="1:21" ht="16">
      <c r="A12" s="47" t="s">
        <v>93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21">
      <c r="A13" s="8" t="s">
        <v>62</v>
      </c>
      <c r="B13" s="7" t="s">
        <v>94</v>
      </c>
      <c r="C13" s="7" t="s">
        <v>95</v>
      </c>
      <c r="D13" s="7" t="s">
        <v>96</v>
      </c>
      <c r="E13" s="7" t="str">
        <f>"0,7146"</f>
        <v>0,7146</v>
      </c>
      <c r="F13" s="7" t="s">
        <v>14</v>
      </c>
      <c r="G13" s="13" t="s">
        <v>20</v>
      </c>
      <c r="H13" s="14" t="s">
        <v>51</v>
      </c>
      <c r="I13" s="14" t="s">
        <v>92</v>
      </c>
      <c r="J13" s="8"/>
      <c r="K13" s="13" t="s">
        <v>75</v>
      </c>
      <c r="L13" s="13" t="s">
        <v>97</v>
      </c>
      <c r="M13" s="14" t="s">
        <v>48</v>
      </c>
      <c r="N13" s="8"/>
      <c r="O13" s="13" t="s">
        <v>51</v>
      </c>
      <c r="P13" s="13" t="s">
        <v>98</v>
      </c>
      <c r="Q13" s="14" t="s">
        <v>15</v>
      </c>
      <c r="R13" s="8"/>
      <c r="S13" s="8" t="str">
        <f>"380,0"</f>
        <v>380,0</v>
      </c>
      <c r="T13" s="8" t="str">
        <f>"271,5480"</f>
        <v>271,5480</v>
      </c>
      <c r="U13" s="7"/>
    </row>
    <row r="14" spans="1:21">
      <c r="B14" s="5" t="s">
        <v>63</v>
      </c>
    </row>
    <row r="15" spans="1:21" ht="16">
      <c r="A15" s="47" t="s">
        <v>10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21">
      <c r="A16" s="8" t="s">
        <v>62</v>
      </c>
      <c r="B16" s="7" t="s">
        <v>99</v>
      </c>
      <c r="C16" s="7" t="s">
        <v>100</v>
      </c>
      <c r="D16" s="7" t="s">
        <v>13</v>
      </c>
      <c r="E16" s="7" t="str">
        <f>"0,6754"</f>
        <v>0,6754</v>
      </c>
      <c r="F16" s="7" t="s">
        <v>101</v>
      </c>
      <c r="G16" s="13" t="s">
        <v>102</v>
      </c>
      <c r="H16" s="13" t="s">
        <v>15</v>
      </c>
      <c r="I16" s="13" t="s">
        <v>58</v>
      </c>
      <c r="J16" s="8"/>
      <c r="K16" s="13" t="s">
        <v>20</v>
      </c>
      <c r="L16" s="13" t="s">
        <v>51</v>
      </c>
      <c r="M16" s="14" t="s">
        <v>92</v>
      </c>
      <c r="N16" s="8"/>
      <c r="O16" s="14" t="s">
        <v>21</v>
      </c>
      <c r="P16" s="13" t="s">
        <v>21</v>
      </c>
      <c r="Q16" s="14" t="s">
        <v>22</v>
      </c>
      <c r="R16" s="8"/>
      <c r="S16" s="8" t="str">
        <f>"520,0"</f>
        <v>520,0</v>
      </c>
      <c r="T16" s="8" t="str">
        <f>"351,2080"</f>
        <v>351,2080</v>
      </c>
      <c r="U16" s="7"/>
    </row>
    <row r="17" spans="1:21">
      <c r="B17" s="5" t="s">
        <v>63</v>
      </c>
    </row>
    <row r="18" spans="1:21" ht="16">
      <c r="A18" s="47" t="s">
        <v>103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21">
      <c r="A19" s="10" t="s">
        <v>62</v>
      </c>
      <c r="B19" s="9" t="s">
        <v>104</v>
      </c>
      <c r="C19" s="9" t="s">
        <v>105</v>
      </c>
      <c r="D19" s="9" t="s">
        <v>106</v>
      </c>
      <c r="E19" s="9" t="str">
        <f>"0,6536"</f>
        <v>0,6536</v>
      </c>
      <c r="F19" s="9" t="s">
        <v>14</v>
      </c>
      <c r="G19" s="15" t="s">
        <v>107</v>
      </c>
      <c r="H19" s="20" t="s">
        <v>22</v>
      </c>
      <c r="I19" s="20" t="s">
        <v>60</v>
      </c>
      <c r="J19" s="10"/>
      <c r="K19" s="15" t="s">
        <v>108</v>
      </c>
      <c r="L19" s="15" t="s">
        <v>20</v>
      </c>
      <c r="M19" s="15" t="s">
        <v>91</v>
      </c>
      <c r="N19" s="10"/>
      <c r="O19" s="15" t="s">
        <v>109</v>
      </c>
      <c r="P19" s="20" t="s">
        <v>110</v>
      </c>
      <c r="Q19" s="20" t="s">
        <v>110</v>
      </c>
      <c r="R19" s="10"/>
      <c r="S19" s="10" t="str">
        <f>"570,0"</f>
        <v>570,0</v>
      </c>
      <c r="T19" s="10" t="str">
        <f>"372,5520"</f>
        <v>372,5520</v>
      </c>
      <c r="U19" s="9" t="s">
        <v>111</v>
      </c>
    </row>
    <row r="20" spans="1:21">
      <c r="A20" s="19" t="s">
        <v>64</v>
      </c>
      <c r="B20" s="18" t="s">
        <v>112</v>
      </c>
      <c r="C20" s="18" t="s">
        <v>113</v>
      </c>
      <c r="D20" s="18" t="s">
        <v>114</v>
      </c>
      <c r="E20" s="18" t="str">
        <f>"0,6503"</f>
        <v>0,6503</v>
      </c>
      <c r="F20" s="18" t="s">
        <v>115</v>
      </c>
      <c r="G20" s="21" t="s">
        <v>32</v>
      </c>
      <c r="H20" s="21" t="s">
        <v>116</v>
      </c>
      <c r="I20" s="21" t="s">
        <v>58</v>
      </c>
      <c r="J20" s="19"/>
      <c r="K20" s="21" t="s">
        <v>52</v>
      </c>
      <c r="L20" s="21" t="s">
        <v>102</v>
      </c>
      <c r="M20" s="22" t="s">
        <v>117</v>
      </c>
      <c r="N20" s="19"/>
      <c r="O20" s="21" t="s">
        <v>43</v>
      </c>
      <c r="P20" s="21" t="s">
        <v>107</v>
      </c>
      <c r="Q20" s="21" t="s">
        <v>57</v>
      </c>
      <c r="R20" s="19"/>
      <c r="S20" s="19" t="str">
        <f>"550,0"</f>
        <v>550,0</v>
      </c>
      <c r="T20" s="19" t="str">
        <f>"357,6650"</f>
        <v>357,6650</v>
      </c>
      <c r="U20" s="18"/>
    </row>
    <row r="21" spans="1:21">
      <c r="A21" s="19" t="s">
        <v>135</v>
      </c>
      <c r="B21" s="18" t="s">
        <v>118</v>
      </c>
      <c r="C21" s="18" t="s">
        <v>119</v>
      </c>
      <c r="D21" s="18" t="s">
        <v>120</v>
      </c>
      <c r="E21" s="18" t="str">
        <f>"0,6398"</f>
        <v>0,6398</v>
      </c>
      <c r="F21" s="18" t="s">
        <v>121</v>
      </c>
      <c r="G21" s="21" t="s">
        <v>16</v>
      </c>
      <c r="H21" s="21" t="s">
        <v>122</v>
      </c>
      <c r="I21" s="22" t="s">
        <v>21</v>
      </c>
      <c r="J21" s="19"/>
      <c r="K21" s="21" t="s">
        <v>123</v>
      </c>
      <c r="L21" s="22" t="s">
        <v>124</v>
      </c>
      <c r="M21" s="22" t="s">
        <v>124</v>
      </c>
      <c r="N21" s="19"/>
      <c r="O21" s="21" t="s">
        <v>57</v>
      </c>
      <c r="P21" s="22" t="s">
        <v>40</v>
      </c>
      <c r="Q21" s="22" t="s">
        <v>40</v>
      </c>
      <c r="R21" s="19"/>
      <c r="S21" s="19" t="str">
        <f>"547,5"</f>
        <v>547,5</v>
      </c>
      <c r="T21" s="19" t="str">
        <f>"350,2905"</f>
        <v>350,2905</v>
      </c>
      <c r="U21" s="18"/>
    </row>
    <row r="22" spans="1:21">
      <c r="A22" s="12" t="s">
        <v>136</v>
      </c>
      <c r="B22" s="11" t="s">
        <v>125</v>
      </c>
      <c r="C22" s="11" t="s">
        <v>126</v>
      </c>
      <c r="D22" s="11" t="s">
        <v>127</v>
      </c>
      <c r="E22" s="11" t="str">
        <f>"0,6417"</f>
        <v>0,6417</v>
      </c>
      <c r="F22" s="11" t="s">
        <v>14</v>
      </c>
      <c r="G22" s="17" t="s">
        <v>98</v>
      </c>
      <c r="H22" s="17" t="s">
        <v>52</v>
      </c>
      <c r="I22" s="16" t="s">
        <v>102</v>
      </c>
      <c r="J22" s="12"/>
      <c r="K22" s="17" t="s">
        <v>19</v>
      </c>
      <c r="L22" s="17" t="s">
        <v>128</v>
      </c>
      <c r="M22" s="17" t="s">
        <v>91</v>
      </c>
      <c r="N22" s="12"/>
      <c r="O22" s="17" t="s">
        <v>43</v>
      </c>
      <c r="P22" s="17" t="s">
        <v>21</v>
      </c>
      <c r="Q22" s="16" t="s">
        <v>107</v>
      </c>
      <c r="R22" s="12"/>
      <c r="S22" s="12" t="str">
        <f>"490,0"</f>
        <v>490,0</v>
      </c>
      <c r="T22" s="12" t="str">
        <f>"314,4330"</f>
        <v>314,4330</v>
      </c>
      <c r="U22" s="11"/>
    </row>
    <row r="23" spans="1:21">
      <c r="B23" s="5" t="s">
        <v>63</v>
      </c>
    </row>
    <row r="24" spans="1:21" ht="16">
      <c r="A24" s="47" t="s">
        <v>24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21">
      <c r="A25" s="10" t="s">
        <v>62</v>
      </c>
      <c r="B25" s="9" t="s">
        <v>129</v>
      </c>
      <c r="C25" s="9" t="s">
        <v>130</v>
      </c>
      <c r="D25" s="9" t="s">
        <v>131</v>
      </c>
      <c r="E25" s="9" t="str">
        <f>"0,6111"</f>
        <v>0,6111</v>
      </c>
      <c r="F25" s="9" t="s">
        <v>14</v>
      </c>
      <c r="G25" s="15" t="s">
        <v>43</v>
      </c>
      <c r="H25" s="20" t="s">
        <v>107</v>
      </c>
      <c r="I25" s="20" t="s">
        <v>57</v>
      </c>
      <c r="J25" s="10"/>
      <c r="K25" s="15" t="s">
        <v>98</v>
      </c>
      <c r="L25" s="15" t="s">
        <v>102</v>
      </c>
      <c r="M25" s="15" t="s">
        <v>117</v>
      </c>
      <c r="N25" s="10"/>
      <c r="O25" s="15" t="s">
        <v>43</v>
      </c>
      <c r="P25" s="15" t="s">
        <v>57</v>
      </c>
      <c r="Q25" s="15" t="s">
        <v>22</v>
      </c>
      <c r="R25" s="10"/>
      <c r="S25" s="10" t="str">
        <f>"567,5"</f>
        <v>567,5</v>
      </c>
      <c r="T25" s="10" t="str">
        <f>"346,7993"</f>
        <v>346,7993</v>
      </c>
      <c r="U25" s="9"/>
    </row>
    <row r="26" spans="1:21">
      <c r="A26" s="12" t="s">
        <v>64</v>
      </c>
      <c r="B26" s="11" t="s">
        <v>132</v>
      </c>
      <c r="C26" s="11" t="s">
        <v>133</v>
      </c>
      <c r="D26" s="11" t="s">
        <v>134</v>
      </c>
      <c r="E26" s="11" t="str">
        <f>"0,6217"</f>
        <v>0,6217</v>
      </c>
      <c r="F26" s="11" t="s">
        <v>385</v>
      </c>
      <c r="G26" s="17" t="s">
        <v>43</v>
      </c>
      <c r="H26" s="16" t="s">
        <v>107</v>
      </c>
      <c r="I26" s="16" t="s">
        <v>107</v>
      </c>
      <c r="J26" s="12"/>
      <c r="K26" s="17" t="s">
        <v>19</v>
      </c>
      <c r="L26" s="16" t="s">
        <v>91</v>
      </c>
      <c r="M26" s="16" t="s">
        <v>91</v>
      </c>
      <c r="N26" s="12"/>
      <c r="O26" s="17" t="s">
        <v>21</v>
      </c>
      <c r="P26" s="16" t="s">
        <v>60</v>
      </c>
      <c r="Q26" s="17" t="s">
        <v>60</v>
      </c>
      <c r="R26" s="12"/>
      <c r="S26" s="12" t="str">
        <f>"535,0"</f>
        <v>535,0</v>
      </c>
      <c r="T26" s="12" t="str">
        <f>"332,6095"</f>
        <v>332,6095</v>
      </c>
      <c r="U26" s="11"/>
    </row>
    <row r="27" spans="1:21">
      <c r="B27" s="5" t="s">
        <v>63</v>
      </c>
    </row>
  </sheetData>
  <mergeCells count="19">
    <mergeCell ref="A24:R24"/>
    <mergeCell ref="A5:R5"/>
    <mergeCell ref="A9:R9"/>
    <mergeCell ref="A12:R12"/>
    <mergeCell ref="A15:R15"/>
    <mergeCell ref="A18:R18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28" t="s">
        <v>371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8</v>
      </c>
      <c r="H3" s="40"/>
      <c r="I3" s="40"/>
      <c r="J3" s="40"/>
      <c r="K3" s="40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93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327</v>
      </c>
      <c r="C6" s="7" t="s">
        <v>328</v>
      </c>
      <c r="D6" s="7" t="s">
        <v>96</v>
      </c>
      <c r="E6" s="7" t="str">
        <f>"0,6906"</f>
        <v>0,6906</v>
      </c>
      <c r="F6" s="7" t="s">
        <v>265</v>
      </c>
      <c r="G6" s="14" t="s">
        <v>21</v>
      </c>
      <c r="H6" s="13" t="s">
        <v>21</v>
      </c>
      <c r="I6" s="13" t="s">
        <v>22</v>
      </c>
      <c r="J6" s="8"/>
      <c r="K6" s="8" t="str">
        <f>"215,0"</f>
        <v>215,0</v>
      </c>
      <c r="L6" s="8" t="str">
        <f>"148,4790"</f>
        <v>148,4790</v>
      </c>
      <c r="M6" s="7"/>
    </row>
    <row r="7" spans="1:13">
      <c r="B7" s="5" t="s">
        <v>63</v>
      </c>
    </row>
    <row r="8" spans="1:13" ht="16">
      <c r="A8" s="47" t="s">
        <v>10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62</v>
      </c>
      <c r="B9" s="7" t="s">
        <v>165</v>
      </c>
      <c r="C9" s="7" t="s">
        <v>166</v>
      </c>
      <c r="D9" s="7" t="s">
        <v>167</v>
      </c>
      <c r="E9" s="7" t="str">
        <f>"0,6561"</f>
        <v>0,6561</v>
      </c>
      <c r="F9" s="7" t="s">
        <v>14</v>
      </c>
      <c r="G9" s="13" t="s">
        <v>43</v>
      </c>
      <c r="H9" s="13" t="s">
        <v>254</v>
      </c>
      <c r="I9" s="8"/>
      <c r="J9" s="8"/>
      <c r="K9" s="8" t="str">
        <f>"202,5"</f>
        <v>202,5</v>
      </c>
      <c r="L9" s="8" t="str">
        <f>"132,8704"</f>
        <v>132,8704</v>
      </c>
      <c r="M9" s="7"/>
    </row>
    <row r="10" spans="1:13">
      <c r="B10" s="5" t="s">
        <v>63</v>
      </c>
    </row>
    <row r="11" spans="1:13" ht="16">
      <c r="A11" s="47" t="s">
        <v>103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8" t="s">
        <v>62</v>
      </c>
      <c r="B12" s="7" t="s">
        <v>251</v>
      </c>
      <c r="C12" s="7" t="s">
        <v>252</v>
      </c>
      <c r="D12" s="7" t="s">
        <v>253</v>
      </c>
      <c r="E12" s="7" t="str">
        <f>"0,6119"</f>
        <v>0,6119</v>
      </c>
      <c r="F12" s="7" t="s">
        <v>412</v>
      </c>
      <c r="G12" s="13" t="s">
        <v>30</v>
      </c>
      <c r="H12" s="13" t="s">
        <v>142</v>
      </c>
      <c r="I12" s="13" t="s">
        <v>329</v>
      </c>
      <c r="J12" s="8"/>
      <c r="K12" s="8" t="str">
        <f>"275,0"</f>
        <v>275,0</v>
      </c>
      <c r="L12" s="8" t="str">
        <f>"168,2588"</f>
        <v>168,2588</v>
      </c>
      <c r="M12" s="7"/>
    </row>
    <row r="13" spans="1:13">
      <c r="B13" s="5" t="s">
        <v>63</v>
      </c>
    </row>
    <row r="14" spans="1:13" ht="16">
      <c r="A14" s="47" t="s">
        <v>24</v>
      </c>
      <c r="B14" s="47"/>
      <c r="C14" s="48"/>
      <c r="D14" s="48"/>
      <c r="E14" s="48"/>
      <c r="F14" s="48"/>
      <c r="G14" s="48"/>
      <c r="H14" s="48"/>
      <c r="I14" s="48"/>
      <c r="J14" s="48"/>
    </row>
    <row r="15" spans="1:13">
      <c r="A15" s="8" t="s">
        <v>62</v>
      </c>
      <c r="B15" s="7" t="s">
        <v>330</v>
      </c>
      <c r="C15" s="7" t="s">
        <v>331</v>
      </c>
      <c r="D15" s="7" t="s">
        <v>332</v>
      </c>
      <c r="E15" s="7" t="str">
        <f>"0,5932"</f>
        <v>0,5932</v>
      </c>
      <c r="F15" s="7" t="s">
        <v>14</v>
      </c>
      <c r="G15" s="13" t="s">
        <v>21</v>
      </c>
      <c r="H15" s="13" t="s">
        <v>57</v>
      </c>
      <c r="I15" s="14" t="s">
        <v>318</v>
      </c>
      <c r="J15" s="8"/>
      <c r="K15" s="8" t="str">
        <f>"210,0"</f>
        <v>210,0</v>
      </c>
      <c r="L15" s="8" t="str">
        <f>"124,5615"</f>
        <v>124,5615</v>
      </c>
      <c r="M15" s="7"/>
    </row>
    <row r="16" spans="1:13">
      <c r="B16" s="5" t="s">
        <v>63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5"/>
  <sheetViews>
    <sheetView workbookViewId="0">
      <selection activeCell="E3" sqref="E3:E4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28" t="s">
        <v>372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8</v>
      </c>
      <c r="H3" s="40"/>
      <c r="I3" s="40"/>
      <c r="J3" s="40"/>
      <c r="K3" s="40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165</v>
      </c>
      <c r="C6" s="7" t="s">
        <v>166</v>
      </c>
      <c r="D6" s="7" t="s">
        <v>167</v>
      </c>
      <c r="E6" s="7" t="str">
        <f>"0,6561"</f>
        <v>0,6561</v>
      </c>
      <c r="F6" s="7" t="s">
        <v>14</v>
      </c>
      <c r="G6" s="13" t="s">
        <v>43</v>
      </c>
      <c r="H6" s="13" t="s">
        <v>254</v>
      </c>
      <c r="I6" s="8"/>
      <c r="J6" s="8"/>
      <c r="K6" s="8" t="str">
        <f>"202,5"</f>
        <v>202,5</v>
      </c>
      <c r="L6" s="8" t="str">
        <f>"132,8704"</f>
        <v>132,8704</v>
      </c>
      <c r="M6" s="7"/>
    </row>
    <row r="7" spans="1:13">
      <c r="B7" s="5" t="s">
        <v>63</v>
      </c>
    </row>
    <row r="8" spans="1:13" ht="16">
      <c r="A8" s="47" t="s">
        <v>24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10" t="s">
        <v>62</v>
      </c>
      <c r="B9" s="9" t="s">
        <v>37</v>
      </c>
      <c r="C9" s="9" t="s">
        <v>38</v>
      </c>
      <c r="D9" s="9" t="s">
        <v>39</v>
      </c>
      <c r="E9" s="9" t="str">
        <f>"0,5850"</f>
        <v>0,5850</v>
      </c>
      <c r="F9" s="9" t="s">
        <v>413</v>
      </c>
      <c r="G9" s="15" t="s">
        <v>60</v>
      </c>
      <c r="H9" s="15" t="s">
        <v>109</v>
      </c>
      <c r="I9" s="15" t="s">
        <v>318</v>
      </c>
      <c r="J9" s="10"/>
      <c r="K9" s="10" t="str">
        <f>"237,5"</f>
        <v>237,5</v>
      </c>
      <c r="L9" s="10" t="str">
        <f>"138,9494"</f>
        <v>138,9494</v>
      </c>
      <c r="M9" s="9" t="s">
        <v>415</v>
      </c>
    </row>
    <row r="10" spans="1:13">
      <c r="A10" s="12" t="s">
        <v>64</v>
      </c>
      <c r="B10" s="11" t="s">
        <v>319</v>
      </c>
      <c r="C10" s="11" t="s">
        <v>320</v>
      </c>
      <c r="D10" s="11" t="s">
        <v>321</v>
      </c>
      <c r="E10" s="11" t="str">
        <f>"0,5848"</f>
        <v>0,5848</v>
      </c>
      <c r="F10" s="11" t="s">
        <v>414</v>
      </c>
      <c r="G10" s="16" t="s">
        <v>43</v>
      </c>
      <c r="H10" s="17" t="s">
        <v>43</v>
      </c>
      <c r="I10" s="17" t="s">
        <v>322</v>
      </c>
      <c r="J10" s="12"/>
      <c r="K10" s="12" t="str">
        <f>"207,5"</f>
        <v>207,5</v>
      </c>
      <c r="L10" s="12" t="str">
        <f>"121,3460"</f>
        <v>121,3460</v>
      </c>
      <c r="M10" s="11" t="s">
        <v>416</v>
      </c>
    </row>
    <row r="11" spans="1:13">
      <c r="B11" s="5" t="s">
        <v>63</v>
      </c>
    </row>
    <row r="12" spans="1:13" ht="16">
      <c r="A12" s="47" t="s">
        <v>53</v>
      </c>
      <c r="B12" s="47"/>
      <c r="C12" s="48"/>
      <c r="D12" s="48"/>
      <c r="E12" s="48"/>
      <c r="F12" s="48"/>
      <c r="G12" s="48"/>
      <c r="H12" s="48"/>
      <c r="I12" s="48"/>
      <c r="J12" s="48"/>
    </row>
    <row r="13" spans="1:13">
      <c r="A13" s="10" t="s">
        <v>62</v>
      </c>
      <c r="B13" s="9" t="s">
        <v>193</v>
      </c>
      <c r="C13" s="9" t="s">
        <v>194</v>
      </c>
      <c r="D13" s="9" t="s">
        <v>195</v>
      </c>
      <c r="E13" s="9" t="str">
        <f>"0,5527"</f>
        <v>0,5527</v>
      </c>
      <c r="F13" s="9" t="s">
        <v>14</v>
      </c>
      <c r="G13" s="15" t="s">
        <v>31</v>
      </c>
      <c r="H13" s="15" t="s">
        <v>295</v>
      </c>
      <c r="I13" s="15" t="s">
        <v>34</v>
      </c>
      <c r="J13" s="15" t="s">
        <v>35</v>
      </c>
      <c r="K13" s="10" t="str">
        <f>"300,0"</f>
        <v>300,0</v>
      </c>
      <c r="L13" s="10" t="str">
        <f>"165,8100"</f>
        <v>165,8100</v>
      </c>
      <c r="M13" s="9"/>
    </row>
    <row r="14" spans="1:13">
      <c r="A14" s="12" t="s">
        <v>64</v>
      </c>
      <c r="B14" s="11" t="s">
        <v>323</v>
      </c>
      <c r="C14" s="11" t="s">
        <v>324</v>
      </c>
      <c r="D14" s="11" t="s">
        <v>325</v>
      </c>
      <c r="E14" s="11" t="str">
        <f>"0,5502"</f>
        <v>0,5502</v>
      </c>
      <c r="F14" s="11" t="s">
        <v>14</v>
      </c>
      <c r="G14" s="17" t="s">
        <v>61</v>
      </c>
      <c r="H14" s="17" t="s">
        <v>326</v>
      </c>
      <c r="I14" s="17" t="s">
        <v>142</v>
      </c>
      <c r="J14" s="12"/>
      <c r="K14" s="12" t="str">
        <f>"270,0"</f>
        <v>270,0</v>
      </c>
      <c r="L14" s="12" t="str">
        <f>"148,5675"</f>
        <v>148,5675</v>
      </c>
      <c r="M14" s="11" t="s">
        <v>403</v>
      </c>
    </row>
    <row r="15" spans="1:13">
      <c r="B15" s="5" t="s">
        <v>63</v>
      </c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24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28" t="s">
        <v>369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8</v>
      </c>
      <c r="H3" s="40"/>
      <c r="I3" s="40"/>
      <c r="J3" s="40"/>
      <c r="K3" s="49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50"/>
      <c r="L4" s="39"/>
      <c r="M4" s="44"/>
    </row>
    <row r="5" spans="1:13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165</v>
      </c>
      <c r="C6" s="7" t="s">
        <v>166</v>
      </c>
      <c r="D6" s="7" t="s">
        <v>167</v>
      </c>
      <c r="E6" s="7" t="str">
        <f>"0,6561"</f>
        <v>0,6561</v>
      </c>
      <c r="F6" s="7" t="s">
        <v>14</v>
      </c>
      <c r="G6" s="13" t="s">
        <v>43</v>
      </c>
      <c r="H6" s="13" t="s">
        <v>254</v>
      </c>
      <c r="I6" s="8"/>
      <c r="J6" s="8"/>
      <c r="K6" s="23" t="str">
        <f>"202,5"</f>
        <v>202,5</v>
      </c>
      <c r="L6" s="8" t="str">
        <f>"132,8704"</f>
        <v>132,8704</v>
      </c>
      <c r="M6" s="7"/>
    </row>
    <row r="7" spans="1:13">
      <c r="B7" s="5" t="s">
        <v>63</v>
      </c>
    </row>
    <row r="8" spans="1:13" ht="16">
      <c r="A8" s="47" t="s">
        <v>333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278</v>
      </c>
      <c r="B9" s="7" t="s">
        <v>334</v>
      </c>
      <c r="C9" s="7" t="s">
        <v>389</v>
      </c>
      <c r="D9" s="7" t="s">
        <v>335</v>
      </c>
      <c r="E9" s="7" t="str">
        <f>"0,5266"</f>
        <v>0,5266</v>
      </c>
      <c r="F9" s="7" t="s">
        <v>265</v>
      </c>
      <c r="G9" s="14" t="s">
        <v>336</v>
      </c>
      <c r="H9" s="14" t="s">
        <v>336</v>
      </c>
      <c r="I9" s="14" t="s">
        <v>337</v>
      </c>
      <c r="J9" s="8"/>
      <c r="K9" s="23">
        <v>0</v>
      </c>
      <c r="L9" s="8" t="str">
        <f>"0,0000"</f>
        <v>0,0000</v>
      </c>
      <c r="M9" s="7"/>
    </row>
    <row r="10" spans="1:13">
      <c r="B10" s="5" t="s">
        <v>63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8" width="5.5" style="6" customWidth="1"/>
    <col min="9" max="9" width="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28" t="s">
        <v>370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8</v>
      </c>
      <c r="H3" s="40"/>
      <c r="I3" s="40"/>
      <c r="J3" s="40"/>
      <c r="K3" s="40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165</v>
      </c>
      <c r="C6" s="7" t="s">
        <v>166</v>
      </c>
      <c r="D6" s="7" t="s">
        <v>167</v>
      </c>
      <c r="E6" s="7" t="str">
        <f>"0,6561"</f>
        <v>0,6561</v>
      </c>
      <c r="F6" s="7" t="s">
        <v>14</v>
      </c>
      <c r="G6" s="13" t="s">
        <v>43</v>
      </c>
      <c r="H6" s="13" t="s">
        <v>254</v>
      </c>
      <c r="I6" s="8"/>
      <c r="J6" s="8"/>
      <c r="K6" s="8" t="str">
        <f>"202,5"</f>
        <v>202,5</v>
      </c>
      <c r="L6" s="8" t="str">
        <f>"132,8704"</f>
        <v>132,8704</v>
      </c>
      <c r="M6" s="7"/>
    </row>
    <row r="7" spans="1:13">
      <c r="B7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2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" style="5" bestFit="1" customWidth="1"/>
    <col min="14" max="16384" width="9.1640625" style="3"/>
  </cols>
  <sheetData>
    <row r="1" spans="1:13" s="2" customFormat="1" ht="29" customHeight="1">
      <c r="A1" s="28" t="s">
        <v>374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434</v>
      </c>
      <c r="B3" s="58" t="s">
        <v>0</v>
      </c>
      <c r="C3" s="56" t="s">
        <v>435</v>
      </c>
      <c r="D3" s="56" t="s">
        <v>5</v>
      </c>
      <c r="E3" s="57" t="s">
        <v>436</v>
      </c>
      <c r="F3" s="57" t="s">
        <v>6</v>
      </c>
      <c r="G3" s="57" t="s">
        <v>9</v>
      </c>
      <c r="H3" s="57"/>
      <c r="I3" s="57"/>
      <c r="J3" s="57"/>
      <c r="K3" s="57" t="s">
        <v>206</v>
      </c>
      <c r="L3" s="57" t="s">
        <v>3</v>
      </c>
      <c r="M3" s="59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65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66</v>
      </c>
      <c r="C6" s="7" t="s">
        <v>67</v>
      </c>
      <c r="D6" s="7" t="s">
        <v>68</v>
      </c>
      <c r="E6" s="7" t="str">
        <f>"1,2541"</f>
        <v>1,2541</v>
      </c>
      <c r="F6" s="7" t="s">
        <v>69</v>
      </c>
      <c r="G6" s="13" t="s">
        <v>75</v>
      </c>
      <c r="H6" s="13" t="s">
        <v>76</v>
      </c>
      <c r="I6" s="14" t="s">
        <v>18</v>
      </c>
      <c r="J6" s="8"/>
      <c r="K6" s="8" t="str">
        <f>"102,5"</f>
        <v>102,5</v>
      </c>
      <c r="L6" s="8" t="str">
        <f>"128,5452"</f>
        <v>128,5452</v>
      </c>
      <c r="M6" s="7"/>
    </row>
    <row r="7" spans="1:13">
      <c r="B7" s="5" t="s">
        <v>63</v>
      </c>
    </row>
    <row r="8" spans="1:13" ht="16">
      <c r="A8" s="47" t="s">
        <v>299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62</v>
      </c>
      <c r="B9" s="7" t="s">
        <v>300</v>
      </c>
      <c r="C9" s="7" t="s">
        <v>301</v>
      </c>
      <c r="D9" s="7" t="s">
        <v>302</v>
      </c>
      <c r="E9" s="7" t="str">
        <f>"1,1849"</f>
        <v>1,1849</v>
      </c>
      <c r="F9" s="7" t="s">
        <v>303</v>
      </c>
      <c r="G9" s="14" t="s">
        <v>88</v>
      </c>
      <c r="H9" s="13" t="s">
        <v>88</v>
      </c>
      <c r="I9" s="13" t="s">
        <v>19</v>
      </c>
      <c r="J9" s="8"/>
      <c r="K9" s="8" t="str">
        <f>"125,0"</f>
        <v>125,0</v>
      </c>
      <c r="L9" s="8" t="str">
        <f>"148,1125"</f>
        <v>148,1125</v>
      </c>
      <c r="M9" s="7" t="s">
        <v>418</v>
      </c>
    </row>
    <row r="10" spans="1:13">
      <c r="B10" s="5" t="s">
        <v>63</v>
      </c>
    </row>
    <row r="11" spans="1:13" ht="16">
      <c r="A11" s="47" t="s">
        <v>93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8" t="s">
        <v>62</v>
      </c>
      <c r="B12" s="7" t="s">
        <v>94</v>
      </c>
      <c r="C12" s="7" t="s">
        <v>95</v>
      </c>
      <c r="D12" s="7" t="s">
        <v>96</v>
      </c>
      <c r="E12" s="7" t="str">
        <f>"0,7146"</f>
        <v>0,7146</v>
      </c>
      <c r="F12" s="7" t="s">
        <v>14</v>
      </c>
      <c r="G12" s="13" t="s">
        <v>51</v>
      </c>
      <c r="H12" s="13" t="s">
        <v>98</v>
      </c>
      <c r="I12" s="14" t="s">
        <v>15</v>
      </c>
      <c r="J12" s="8"/>
      <c r="K12" s="8" t="str">
        <f>"150,0"</f>
        <v>150,0</v>
      </c>
      <c r="L12" s="8" t="str">
        <f>"107,1900"</f>
        <v>107,1900</v>
      </c>
      <c r="M12" s="7"/>
    </row>
    <row r="13" spans="1:13">
      <c r="B13" s="5" t="s">
        <v>63</v>
      </c>
    </row>
    <row r="14" spans="1:13" ht="16">
      <c r="A14" s="47" t="s">
        <v>10</v>
      </c>
      <c r="B14" s="47"/>
      <c r="C14" s="48"/>
      <c r="D14" s="48"/>
      <c r="E14" s="48"/>
      <c r="F14" s="48"/>
      <c r="G14" s="48"/>
      <c r="H14" s="48"/>
      <c r="I14" s="48"/>
      <c r="J14" s="48"/>
    </row>
    <row r="15" spans="1:13">
      <c r="A15" s="10" t="s">
        <v>62</v>
      </c>
      <c r="B15" s="9" t="s">
        <v>304</v>
      </c>
      <c r="C15" s="9" t="s">
        <v>305</v>
      </c>
      <c r="D15" s="9" t="s">
        <v>306</v>
      </c>
      <c r="E15" s="9" t="str">
        <f>"0,7017"</f>
        <v>0,7017</v>
      </c>
      <c r="F15" s="9" t="s">
        <v>146</v>
      </c>
      <c r="G15" s="15" t="s">
        <v>29</v>
      </c>
      <c r="H15" s="15" t="s">
        <v>205</v>
      </c>
      <c r="I15" s="15" t="s">
        <v>307</v>
      </c>
      <c r="J15" s="10"/>
      <c r="K15" s="10" t="str">
        <f>"262,5"</f>
        <v>262,5</v>
      </c>
      <c r="L15" s="10" t="str">
        <f>"184,1962"</f>
        <v>184,1962</v>
      </c>
      <c r="M15" s="9"/>
    </row>
    <row r="16" spans="1:13">
      <c r="A16" s="12" t="s">
        <v>64</v>
      </c>
      <c r="B16" s="11" t="s">
        <v>308</v>
      </c>
      <c r="C16" s="11" t="s">
        <v>309</v>
      </c>
      <c r="D16" s="11" t="s">
        <v>170</v>
      </c>
      <c r="E16" s="11" t="str">
        <f>"0,6764"</f>
        <v>0,6764</v>
      </c>
      <c r="F16" s="11" t="s">
        <v>14</v>
      </c>
      <c r="G16" s="17" t="s">
        <v>43</v>
      </c>
      <c r="H16" s="17" t="s">
        <v>107</v>
      </c>
      <c r="I16" s="16" t="s">
        <v>60</v>
      </c>
      <c r="J16" s="12"/>
      <c r="K16" s="12" t="str">
        <f>"205,0"</f>
        <v>205,0</v>
      </c>
      <c r="L16" s="12" t="str">
        <f>"138,6620"</f>
        <v>138,6620</v>
      </c>
      <c r="M16" s="11" t="s">
        <v>419</v>
      </c>
    </row>
    <row r="17" spans="1:13">
      <c r="B17" s="5" t="s">
        <v>63</v>
      </c>
    </row>
    <row r="18" spans="1:13" ht="16">
      <c r="A18" s="47" t="s">
        <v>103</v>
      </c>
      <c r="B18" s="47"/>
      <c r="C18" s="48"/>
      <c r="D18" s="48"/>
      <c r="E18" s="48"/>
      <c r="F18" s="48"/>
      <c r="G18" s="48"/>
      <c r="H18" s="48"/>
      <c r="I18" s="48"/>
      <c r="J18" s="48"/>
    </row>
    <row r="19" spans="1:13">
      <c r="A19" s="8" t="s">
        <v>62</v>
      </c>
      <c r="B19" s="7" t="s">
        <v>310</v>
      </c>
      <c r="C19" s="7" t="s">
        <v>390</v>
      </c>
      <c r="D19" s="7" t="s">
        <v>311</v>
      </c>
      <c r="E19" s="7" t="str">
        <f>"0,6553"</f>
        <v>0,6553</v>
      </c>
      <c r="F19" s="7" t="s">
        <v>14</v>
      </c>
      <c r="G19" s="13" t="s">
        <v>51</v>
      </c>
      <c r="H19" s="13" t="s">
        <v>98</v>
      </c>
      <c r="I19" s="13" t="s">
        <v>102</v>
      </c>
      <c r="J19" s="8"/>
      <c r="K19" s="8" t="str">
        <f>"160,0"</f>
        <v>160,0</v>
      </c>
      <c r="L19" s="8" t="str">
        <f>"116,8007"</f>
        <v>116,8007</v>
      </c>
      <c r="M19" s="7" t="s">
        <v>420</v>
      </c>
    </row>
    <row r="20" spans="1:13">
      <c r="B20" s="5" t="s">
        <v>63</v>
      </c>
    </row>
    <row r="21" spans="1:13" ht="16">
      <c r="A21" s="47" t="s">
        <v>24</v>
      </c>
      <c r="B21" s="47"/>
      <c r="C21" s="48"/>
      <c r="D21" s="48"/>
      <c r="E21" s="48"/>
      <c r="F21" s="48"/>
      <c r="G21" s="48"/>
      <c r="H21" s="48"/>
      <c r="I21" s="48"/>
      <c r="J21" s="48"/>
    </row>
    <row r="22" spans="1:13">
      <c r="A22" s="8" t="s">
        <v>62</v>
      </c>
      <c r="B22" s="7" t="s">
        <v>312</v>
      </c>
      <c r="C22" s="7" t="s">
        <v>313</v>
      </c>
      <c r="D22" s="7" t="s">
        <v>314</v>
      </c>
      <c r="E22" s="7" t="str">
        <f>"0,6118"</f>
        <v>0,6118</v>
      </c>
      <c r="F22" s="7" t="s">
        <v>14</v>
      </c>
      <c r="G22" s="13" t="s">
        <v>57</v>
      </c>
      <c r="H22" s="13" t="s">
        <v>151</v>
      </c>
      <c r="I22" s="13" t="s">
        <v>40</v>
      </c>
      <c r="J22" s="8"/>
      <c r="K22" s="8" t="str">
        <f>"235,0"</f>
        <v>235,0</v>
      </c>
      <c r="L22" s="8" t="str">
        <f>"143,7730"</f>
        <v>143,7730</v>
      </c>
      <c r="M22" s="7"/>
    </row>
    <row r="23" spans="1:13">
      <c r="B23" s="5" t="s">
        <v>63</v>
      </c>
    </row>
  </sheetData>
  <mergeCells count="17">
    <mergeCell ref="A21:J21"/>
    <mergeCell ref="A5:J5"/>
    <mergeCell ref="A8:J8"/>
    <mergeCell ref="A11:J11"/>
    <mergeCell ref="A14:J14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7.33203125" style="5" customWidth="1"/>
    <col min="14" max="16384" width="9.1640625" style="3"/>
  </cols>
  <sheetData>
    <row r="1" spans="1:13" s="2" customFormat="1" ht="29" customHeight="1">
      <c r="A1" s="28" t="s">
        <v>375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9</v>
      </c>
      <c r="H3" s="40"/>
      <c r="I3" s="40"/>
      <c r="J3" s="40"/>
      <c r="K3" s="40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83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285</v>
      </c>
      <c r="C6" s="7" t="s">
        <v>286</v>
      </c>
      <c r="D6" s="7" t="s">
        <v>287</v>
      </c>
      <c r="E6" s="7" t="str">
        <f>"1,1266"</f>
        <v>1,1266</v>
      </c>
      <c r="F6" s="7" t="s">
        <v>28</v>
      </c>
      <c r="G6" s="14" t="s">
        <v>71</v>
      </c>
      <c r="H6" s="13" t="s">
        <v>217</v>
      </c>
      <c r="I6" s="13" t="s">
        <v>288</v>
      </c>
      <c r="J6" s="8"/>
      <c r="K6" s="8" t="str">
        <f>"92,5"</f>
        <v>92,5</v>
      </c>
      <c r="L6" s="8" t="str">
        <f>"104,2105"</f>
        <v>104,2105</v>
      </c>
      <c r="M6" s="7"/>
    </row>
    <row r="7" spans="1:13">
      <c r="B7" s="5" t="s">
        <v>63</v>
      </c>
    </row>
    <row r="8" spans="1:13" ht="16">
      <c r="A8" s="47" t="s">
        <v>93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62</v>
      </c>
      <c r="B9" s="7" t="s">
        <v>289</v>
      </c>
      <c r="C9" s="7" t="s">
        <v>290</v>
      </c>
      <c r="D9" s="7" t="s">
        <v>291</v>
      </c>
      <c r="E9" s="7" t="str">
        <f>"0,7383"</f>
        <v>0,7383</v>
      </c>
      <c r="F9" s="7" t="s">
        <v>28</v>
      </c>
      <c r="G9" s="13" t="s">
        <v>43</v>
      </c>
      <c r="H9" s="13" t="s">
        <v>21</v>
      </c>
      <c r="I9" s="13" t="s">
        <v>57</v>
      </c>
      <c r="J9" s="8"/>
      <c r="K9" s="8" t="str">
        <f>"210,0"</f>
        <v>210,0</v>
      </c>
      <c r="L9" s="8" t="str">
        <f>"155,0430"</f>
        <v>155,0430</v>
      </c>
      <c r="M9" s="7"/>
    </row>
    <row r="10" spans="1:13">
      <c r="B10" s="5" t="s">
        <v>63</v>
      </c>
    </row>
    <row r="11" spans="1:13" ht="16">
      <c r="A11" s="47" t="s">
        <v>24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8" t="s">
        <v>62</v>
      </c>
      <c r="B12" s="7" t="s">
        <v>292</v>
      </c>
      <c r="C12" s="7" t="s">
        <v>293</v>
      </c>
      <c r="D12" s="7" t="s">
        <v>294</v>
      </c>
      <c r="E12" s="7" t="str">
        <f>"0,6106"</f>
        <v>0,6106</v>
      </c>
      <c r="F12" s="7" t="s">
        <v>146</v>
      </c>
      <c r="G12" s="13" t="s">
        <v>142</v>
      </c>
      <c r="H12" s="13" t="s">
        <v>31</v>
      </c>
      <c r="I12" s="14" t="s">
        <v>295</v>
      </c>
      <c r="J12" s="8"/>
      <c r="K12" s="8" t="str">
        <f>"280,0"</f>
        <v>280,0</v>
      </c>
      <c r="L12" s="8" t="str">
        <f>"170,9680"</f>
        <v>170,9680</v>
      </c>
      <c r="M12" s="7"/>
    </row>
    <row r="13" spans="1:13">
      <c r="B13" s="5" t="s">
        <v>63</v>
      </c>
    </row>
    <row r="14" spans="1:13" ht="16">
      <c r="A14" s="47" t="s">
        <v>45</v>
      </c>
      <c r="B14" s="47"/>
      <c r="C14" s="48"/>
      <c r="D14" s="48"/>
      <c r="E14" s="48"/>
      <c r="F14" s="48"/>
      <c r="G14" s="48"/>
      <c r="H14" s="48"/>
      <c r="I14" s="48"/>
      <c r="J14" s="48"/>
    </row>
    <row r="15" spans="1:13">
      <c r="A15" s="8" t="s">
        <v>62</v>
      </c>
      <c r="B15" s="7" t="s">
        <v>296</v>
      </c>
      <c r="C15" s="7" t="s">
        <v>422</v>
      </c>
      <c r="D15" s="7" t="s">
        <v>297</v>
      </c>
      <c r="E15" s="7" t="str">
        <f>"0,6015"</f>
        <v>0,6015</v>
      </c>
      <c r="F15" s="7" t="s">
        <v>14</v>
      </c>
      <c r="G15" s="13" t="s">
        <v>15</v>
      </c>
      <c r="H15" s="13" t="s">
        <v>298</v>
      </c>
      <c r="I15" s="13" t="s">
        <v>43</v>
      </c>
      <c r="J15" s="8"/>
      <c r="K15" s="8" t="str">
        <f>"190,0"</f>
        <v>190,0</v>
      </c>
      <c r="L15" s="8" t="str">
        <f>"140,3420"</f>
        <v>140,3420</v>
      </c>
      <c r="M15" s="7" t="s">
        <v>421</v>
      </c>
    </row>
    <row r="16" spans="1:13">
      <c r="B16" s="5" t="s">
        <v>63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4.5" style="6" customWidth="1"/>
    <col min="10" max="10" width="4.83203125" style="6" customWidth="1"/>
    <col min="11" max="11" width="7.83203125" style="6" bestFit="1" customWidth="1"/>
    <col min="12" max="12" width="7.5" style="6" bestFit="1" customWidth="1"/>
    <col min="13" max="13" width="16.33203125" style="5" bestFit="1" customWidth="1"/>
    <col min="14" max="16384" width="9.1640625" style="3"/>
  </cols>
  <sheetData>
    <row r="1" spans="1:13" s="2" customFormat="1" ht="29" customHeight="1">
      <c r="A1" s="28" t="s">
        <v>407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338</v>
      </c>
      <c r="H3" s="40"/>
      <c r="I3" s="40"/>
      <c r="J3" s="40"/>
      <c r="K3" s="40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212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62</v>
      </c>
      <c r="B6" s="9" t="s">
        <v>339</v>
      </c>
      <c r="C6" s="9" t="s">
        <v>340</v>
      </c>
      <c r="D6" s="9" t="s">
        <v>341</v>
      </c>
      <c r="E6" s="9" t="str">
        <f>"0,9487"</f>
        <v>0,9487</v>
      </c>
      <c r="F6" s="9" t="s">
        <v>14</v>
      </c>
      <c r="G6" s="15" t="s">
        <v>158</v>
      </c>
      <c r="H6" s="15" t="s">
        <v>342</v>
      </c>
      <c r="I6" s="15" t="s">
        <v>343</v>
      </c>
      <c r="J6" s="10"/>
      <c r="K6" s="10" t="str">
        <f>"40,0"</f>
        <v>40,0</v>
      </c>
      <c r="L6" s="10" t="str">
        <f>"37,9460"</f>
        <v>37,9460</v>
      </c>
      <c r="M6" s="9" t="s">
        <v>403</v>
      </c>
    </row>
    <row r="7" spans="1:13">
      <c r="A7" s="12" t="s">
        <v>64</v>
      </c>
      <c r="B7" s="11" t="s">
        <v>345</v>
      </c>
      <c r="C7" s="11" t="s">
        <v>346</v>
      </c>
      <c r="D7" s="11" t="s">
        <v>347</v>
      </c>
      <c r="E7" s="11" t="str">
        <f>"0,9373"</f>
        <v>0,9373</v>
      </c>
      <c r="F7" s="11" t="s">
        <v>14</v>
      </c>
      <c r="G7" s="17" t="s">
        <v>158</v>
      </c>
      <c r="H7" s="17" t="s">
        <v>343</v>
      </c>
      <c r="I7" s="16" t="s">
        <v>348</v>
      </c>
      <c r="J7" s="12"/>
      <c r="K7" s="12" t="str">
        <f>"40,0"</f>
        <v>40,0</v>
      </c>
      <c r="L7" s="12" t="str">
        <f>"37,4940"</f>
        <v>37,4940</v>
      </c>
      <c r="M7" s="11" t="s">
        <v>404</v>
      </c>
    </row>
    <row r="8" spans="1:13">
      <c r="B8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4.5" style="6" customWidth="1"/>
    <col min="10" max="10" width="4.83203125" style="6" customWidth="1"/>
    <col min="11" max="11" width="10.5" style="24" bestFit="1" customWidth="1"/>
    <col min="12" max="12" width="7.5" style="6" bestFit="1" customWidth="1"/>
    <col min="13" max="13" width="27.5" style="5" bestFit="1" customWidth="1"/>
    <col min="14" max="16384" width="9.1640625" style="3"/>
  </cols>
  <sheetData>
    <row r="1" spans="1:13" s="2" customFormat="1" ht="29" customHeight="1">
      <c r="A1" s="28" t="s">
        <v>405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350</v>
      </c>
      <c r="H3" s="40"/>
      <c r="I3" s="40"/>
      <c r="J3" s="40"/>
      <c r="K3" s="49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50"/>
      <c r="L4" s="39"/>
      <c r="M4" s="44"/>
    </row>
    <row r="5" spans="1:13" ht="16">
      <c r="A5" s="45" t="s">
        <v>65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10" t="s">
        <v>62</v>
      </c>
      <c r="B6" s="9" t="s">
        <v>360</v>
      </c>
      <c r="C6" s="9" t="s">
        <v>386</v>
      </c>
      <c r="D6" s="9" t="s">
        <v>68</v>
      </c>
      <c r="E6" s="9" t="str">
        <f>"1,1144"</f>
        <v>1,1144</v>
      </c>
      <c r="F6" s="9" t="s">
        <v>14</v>
      </c>
      <c r="G6" s="15" t="s">
        <v>156</v>
      </c>
      <c r="H6" s="20" t="s">
        <v>157</v>
      </c>
      <c r="I6" s="20" t="s">
        <v>157</v>
      </c>
      <c r="J6" s="10"/>
      <c r="K6" s="25" t="str">
        <f>"30,0"</f>
        <v>30,0</v>
      </c>
      <c r="L6" s="10" t="str">
        <f>"33,4320"</f>
        <v>33,4320</v>
      </c>
      <c r="M6" s="9" t="s">
        <v>402</v>
      </c>
    </row>
    <row r="7" spans="1:13">
      <c r="A7" s="12" t="s">
        <v>278</v>
      </c>
      <c r="B7" s="11" t="s">
        <v>66</v>
      </c>
      <c r="C7" s="11" t="s">
        <v>67</v>
      </c>
      <c r="D7" s="11" t="s">
        <v>68</v>
      </c>
      <c r="E7" s="11" t="str">
        <f>"1,1144"</f>
        <v>1,1144</v>
      </c>
      <c r="F7" s="11" t="s">
        <v>69</v>
      </c>
      <c r="G7" s="16" t="s">
        <v>349</v>
      </c>
      <c r="H7" s="12"/>
      <c r="I7" s="12"/>
      <c r="J7" s="12"/>
      <c r="K7" s="27">
        <v>0</v>
      </c>
      <c r="L7" s="12" t="str">
        <f>"0,0000"</f>
        <v>0,0000</v>
      </c>
      <c r="M7" s="11"/>
    </row>
    <row r="8" spans="1:13">
      <c r="B8" s="5" t="s">
        <v>63</v>
      </c>
    </row>
    <row r="9" spans="1:13" ht="16">
      <c r="A9" s="47" t="s">
        <v>212</v>
      </c>
      <c r="B9" s="47"/>
      <c r="C9" s="48"/>
      <c r="D9" s="48"/>
      <c r="E9" s="48"/>
      <c r="F9" s="48"/>
      <c r="G9" s="48"/>
      <c r="H9" s="48"/>
      <c r="I9" s="48"/>
      <c r="J9" s="48"/>
    </row>
    <row r="10" spans="1:13">
      <c r="A10" s="8" t="s">
        <v>62</v>
      </c>
      <c r="B10" s="7" t="s">
        <v>339</v>
      </c>
      <c r="C10" s="7" t="s">
        <v>340</v>
      </c>
      <c r="D10" s="7" t="s">
        <v>341</v>
      </c>
      <c r="E10" s="7" t="str">
        <f>"0,9487"</f>
        <v>0,9487</v>
      </c>
      <c r="F10" s="7" t="s">
        <v>14</v>
      </c>
      <c r="G10" s="13" t="s">
        <v>344</v>
      </c>
      <c r="H10" s="13" t="s">
        <v>156</v>
      </c>
      <c r="I10" s="14" t="s">
        <v>158</v>
      </c>
      <c r="J10" s="8"/>
      <c r="K10" s="23" t="str">
        <f>"30,0"</f>
        <v>30,0</v>
      </c>
      <c r="L10" s="8" t="str">
        <f>"28,4595"</f>
        <v>28,4595</v>
      </c>
      <c r="M10" s="7" t="s">
        <v>403</v>
      </c>
    </row>
    <row r="11" spans="1:13">
      <c r="B11" s="5" t="s">
        <v>63</v>
      </c>
    </row>
    <row r="12" spans="1:13" ht="16">
      <c r="A12" s="47" t="s">
        <v>212</v>
      </c>
      <c r="B12" s="47"/>
      <c r="C12" s="48"/>
      <c r="D12" s="48"/>
      <c r="E12" s="48"/>
      <c r="F12" s="48"/>
      <c r="G12" s="48"/>
      <c r="H12" s="48"/>
      <c r="I12" s="48"/>
      <c r="J12" s="48"/>
    </row>
    <row r="13" spans="1:13">
      <c r="A13" s="8" t="s">
        <v>62</v>
      </c>
      <c r="B13" s="7" t="s">
        <v>218</v>
      </c>
      <c r="C13" s="7" t="s">
        <v>219</v>
      </c>
      <c r="D13" s="7" t="s">
        <v>220</v>
      </c>
      <c r="E13" s="7" t="str">
        <f>"0,7513"</f>
        <v>0,7513</v>
      </c>
      <c r="F13" s="7" t="s">
        <v>411</v>
      </c>
      <c r="G13" s="13" t="s">
        <v>359</v>
      </c>
      <c r="H13" s="13" t="s">
        <v>72</v>
      </c>
      <c r="I13" s="13" t="s">
        <v>74</v>
      </c>
      <c r="J13" s="14" t="s">
        <v>361</v>
      </c>
      <c r="K13" s="23" t="str">
        <f>"55,0"</f>
        <v>55,0</v>
      </c>
      <c r="L13" s="8" t="str">
        <f>"41,3188"</f>
        <v>41,3188</v>
      </c>
      <c r="M13" s="7" t="s">
        <v>408</v>
      </c>
    </row>
    <row r="14" spans="1:13">
      <c r="B14" s="5" t="s">
        <v>63</v>
      </c>
    </row>
    <row r="15" spans="1:13" ht="16">
      <c r="A15" s="47" t="s">
        <v>10</v>
      </c>
      <c r="B15" s="47"/>
      <c r="C15" s="48"/>
      <c r="D15" s="48"/>
      <c r="E15" s="48"/>
      <c r="F15" s="48"/>
      <c r="G15" s="48"/>
      <c r="H15" s="48"/>
      <c r="I15" s="48"/>
      <c r="J15" s="48"/>
    </row>
    <row r="16" spans="1:13">
      <c r="A16" s="10" t="s">
        <v>62</v>
      </c>
      <c r="B16" s="9" t="s">
        <v>231</v>
      </c>
      <c r="C16" s="9" t="s">
        <v>387</v>
      </c>
      <c r="D16" s="9" t="s">
        <v>233</v>
      </c>
      <c r="E16" s="9" t="str">
        <f>"0,6761"</f>
        <v>0,6761</v>
      </c>
      <c r="F16" s="9" t="s">
        <v>234</v>
      </c>
      <c r="G16" s="15" t="s">
        <v>359</v>
      </c>
      <c r="H16" s="15" t="s">
        <v>362</v>
      </c>
      <c r="I16" s="15" t="s">
        <v>72</v>
      </c>
      <c r="J16" s="10"/>
      <c r="K16" s="25" t="str">
        <f>"50,0"</f>
        <v>50,0</v>
      </c>
      <c r="L16" s="10" t="str">
        <f>"33,8050"</f>
        <v>33,8050</v>
      </c>
      <c r="M16" s="9" t="s">
        <v>384</v>
      </c>
    </row>
    <row r="17" spans="1:13">
      <c r="A17" s="19" t="s">
        <v>62</v>
      </c>
      <c r="B17" s="18" t="s">
        <v>235</v>
      </c>
      <c r="C17" s="18" t="s">
        <v>236</v>
      </c>
      <c r="D17" s="18" t="s">
        <v>237</v>
      </c>
      <c r="E17" s="18" t="str">
        <f>"0,6535"</f>
        <v>0,6535</v>
      </c>
      <c r="F17" s="18" t="s">
        <v>14</v>
      </c>
      <c r="G17" s="21" t="s">
        <v>81</v>
      </c>
      <c r="H17" s="21" t="s">
        <v>89</v>
      </c>
      <c r="I17" s="21" t="s">
        <v>80</v>
      </c>
      <c r="J17" s="19"/>
      <c r="K17" s="26" t="str">
        <f>"70,0"</f>
        <v>70,0</v>
      </c>
      <c r="L17" s="19" t="str">
        <f>"45,7415"</f>
        <v>45,7415</v>
      </c>
      <c r="M17" s="18"/>
    </row>
    <row r="18" spans="1:13">
      <c r="A18" s="19" t="s">
        <v>64</v>
      </c>
      <c r="B18" s="18" t="s">
        <v>363</v>
      </c>
      <c r="C18" s="18" t="s">
        <v>364</v>
      </c>
      <c r="D18" s="18" t="s">
        <v>365</v>
      </c>
      <c r="E18" s="18" t="str">
        <f>"0,6451"</f>
        <v>0,6451</v>
      </c>
      <c r="F18" s="18" t="s">
        <v>14</v>
      </c>
      <c r="G18" s="21" t="s">
        <v>211</v>
      </c>
      <c r="H18" s="21" t="s">
        <v>90</v>
      </c>
      <c r="I18" s="22" t="s">
        <v>80</v>
      </c>
      <c r="J18" s="19"/>
      <c r="K18" s="26" t="str">
        <f>"67,5"</f>
        <v>67,5</v>
      </c>
      <c r="L18" s="19" t="str">
        <f>"43,5442"</f>
        <v>43,5442</v>
      </c>
      <c r="M18" s="18"/>
    </row>
    <row r="19" spans="1:13">
      <c r="A19" s="19" t="s">
        <v>135</v>
      </c>
      <c r="B19" s="18" t="s">
        <v>165</v>
      </c>
      <c r="C19" s="18" t="s">
        <v>166</v>
      </c>
      <c r="D19" s="18" t="s">
        <v>167</v>
      </c>
      <c r="E19" s="18" t="str">
        <f>"0,6561"</f>
        <v>0,6561</v>
      </c>
      <c r="F19" s="18" t="s">
        <v>14</v>
      </c>
      <c r="G19" s="21" t="s">
        <v>72</v>
      </c>
      <c r="H19" s="21" t="s">
        <v>211</v>
      </c>
      <c r="I19" s="19"/>
      <c r="J19" s="19"/>
      <c r="K19" s="26" t="str">
        <f>"62,5"</f>
        <v>62,5</v>
      </c>
      <c r="L19" s="19" t="str">
        <f>"41,0094"</f>
        <v>41,0094</v>
      </c>
      <c r="M19" s="18"/>
    </row>
    <row r="20" spans="1:13">
      <c r="A20" s="12" t="s">
        <v>136</v>
      </c>
      <c r="B20" s="11" t="s">
        <v>242</v>
      </c>
      <c r="C20" s="11" t="s">
        <v>243</v>
      </c>
      <c r="D20" s="11" t="s">
        <v>244</v>
      </c>
      <c r="E20" s="11" t="str">
        <f>"0,6595"</f>
        <v>0,6595</v>
      </c>
      <c r="F20" s="11" t="s">
        <v>14</v>
      </c>
      <c r="G20" s="17" t="s">
        <v>343</v>
      </c>
      <c r="H20" s="17" t="s">
        <v>72</v>
      </c>
      <c r="I20" s="16" t="s">
        <v>89</v>
      </c>
      <c r="J20" s="12"/>
      <c r="K20" s="27" t="str">
        <f>"50,0"</f>
        <v>50,0</v>
      </c>
      <c r="L20" s="12" t="str">
        <f>"32,9750"</f>
        <v>32,9750</v>
      </c>
      <c r="M20" s="11" t="s">
        <v>409</v>
      </c>
    </row>
    <row r="21" spans="1:13">
      <c r="B21" s="5" t="s">
        <v>63</v>
      </c>
    </row>
    <row r="22" spans="1:13" ht="16">
      <c r="A22" s="47" t="s">
        <v>103</v>
      </c>
      <c r="B22" s="47"/>
      <c r="C22" s="48"/>
      <c r="D22" s="48"/>
      <c r="E22" s="48"/>
      <c r="F22" s="48"/>
      <c r="G22" s="48"/>
      <c r="H22" s="48"/>
      <c r="I22" s="48"/>
      <c r="J22" s="48"/>
    </row>
    <row r="23" spans="1:13">
      <c r="A23" s="10" t="s">
        <v>62</v>
      </c>
      <c r="B23" s="9" t="s">
        <v>355</v>
      </c>
      <c r="C23" s="9" t="s">
        <v>356</v>
      </c>
      <c r="D23" s="9" t="s">
        <v>282</v>
      </c>
      <c r="E23" s="9" t="str">
        <f>"0,6157"</f>
        <v>0,6157</v>
      </c>
      <c r="F23" s="9" t="s">
        <v>14</v>
      </c>
      <c r="G23" s="15" t="s">
        <v>211</v>
      </c>
      <c r="H23" s="15" t="s">
        <v>90</v>
      </c>
      <c r="I23" s="15" t="s">
        <v>354</v>
      </c>
      <c r="J23" s="10"/>
      <c r="K23" s="25" t="str">
        <f>"72,5"</f>
        <v>72,5</v>
      </c>
      <c r="L23" s="10" t="str">
        <f>"44,6383"</f>
        <v>44,6383</v>
      </c>
      <c r="M23" s="9" t="s">
        <v>404</v>
      </c>
    </row>
    <row r="24" spans="1:13">
      <c r="A24" s="12" t="s">
        <v>62</v>
      </c>
      <c r="B24" s="11" t="s">
        <v>357</v>
      </c>
      <c r="C24" s="11" t="s">
        <v>388</v>
      </c>
      <c r="D24" s="11" t="s">
        <v>358</v>
      </c>
      <c r="E24" s="11" t="str">
        <f>"0,6145"</f>
        <v>0,6145</v>
      </c>
      <c r="F24" s="11" t="s">
        <v>14</v>
      </c>
      <c r="G24" s="17" t="s">
        <v>359</v>
      </c>
      <c r="H24" s="16" t="s">
        <v>72</v>
      </c>
      <c r="I24" s="16" t="s">
        <v>72</v>
      </c>
      <c r="J24" s="12"/>
      <c r="K24" s="27" t="str">
        <f>"45,0"</f>
        <v>45,0</v>
      </c>
      <c r="L24" s="12" t="str">
        <f>"35,0662"</f>
        <v>35,0662</v>
      </c>
      <c r="M24" s="11" t="s">
        <v>410</v>
      </c>
    </row>
    <row r="25" spans="1:13">
      <c r="B25" s="5" t="s">
        <v>63</v>
      </c>
    </row>
    <row r="26" spans="1:13" ht="16">
      <c r="A26" s="47" t="s">
        <v>24</v>
      </c>
      <c r="B26" s="47"/>
      <c r="C26" s="48"/>
      <c r="D26" s="48"/>
      <c r="E26" s="48"/>
      <c r="F26" s="48"/>
      <c r="G26" s="48"/>
      <c r="H26" s="48"/>
      <c r="I26" s="48"/>
      <c r="J26" s="48"/>
    </row>
    <row r="27" spans="1:13">
      <c r="A27" s="8" t="s">
        <v>62</v>
      </c>
      <c r="B27" s="7" t="s">
        <v>366</v>
      </c>
      <c r="C27" s="7" t="s">
        <v>367</v>
      </c>
      <c r="D27" s="7" t="s">
        <v>368</v>
      </c>
      <c r="E27" s="7" t="str">
        <f>"0,6003"</f>
        <v>0,6003</v>
      </c>
      <c r="F27" s="7" t="s">
        <v>14</v>
      </c>
      <c r="G27" s="13" t="s">
        <v>72</v>
      </c>
      <c r="H27" s="13" t="s">
        <v>210</v>
      </c>
      <c r="I27" s="13" t="s">
        <v>211</v>
      </c>
      <c r="J27" s="8"/>
      <c r="K27" s="23" t="str">
        <f>"62,5"</f>
        <v>62,5</v>
      </c>
      <c r="L27" s="8" t="str">
        <f>"37,5188"</f>
        <v>37,5188</v>
      </c>
      <c r="M27" s="7"/>
    </row>
    <row r="28" spans="1:13">
      <c r="B28" s="5" t="s">
        <v>63</v>
      </c>
    </row>
  </sheetData>
  <mergeCells count="17">
    <mergeCell ref="A26:J26"/>
    <mergeCell ref="A5:J5"/>
    <mergeCell ref="A9:J9"/>
    <mergeCell ref="A12:J12"/>
    <mergeCell ref="A15:J15"/>
    <mergeCell ref="A22:J22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7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4.5" style="6" customWidth="1"/>
    <col min="10" max="10" width="4.83203125" style="6" customWidth="1"/>
    <col min="11" max="11" width="10.5" style="24" bestFit="1" customWidth="1"/>
    <col min="12" max="12" width="7.5" style="6" bestFit="1" customWidth="1"/>
    <col min="13" max="13" width="16.33203125" style="5" bestFit="1" customWidth="1"/>
    <col min="14" max="16384" width="9.1640625" style="3"/>
  </cols>
  <sheetData>
    <row r="1" spans="1:13" s="2" customFormat="1" ht="29" customHeight="1">
      <c r="A1" s="28" t="s">
        <v>406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350</v>
      </c>
      <c r="H3" s="40"/>
      <c r="I3" s="40"/>
      <c r="J3" s="40"/>
      <c r="K3" s="49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50"/>
      <c r="L4" s="39"/>
      <c r="M4" s="44"/>
    </row>
    <row r="5" spans="1:13" ht="16">
      <c r="A5" s="45" t="s">
        <v>93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351</v>
      </c>
      <c r="C6" s="7" t="s">
        <v>352</v>
      </c>
      <c r="D6" s="7" t="s">
        <v>353</v>
      </c>
      <c r="E6" s="7" t="str">
        <f>"0,6899"</f>
        <v>0,6899</v>
      </c>
      <c r="F6" s="7" t="s">
        <v>385</v>
      </c>
      <c r="G6" s="13" t="s">
        <v>89</v>
      </c>
      <c r="H6" s="13" t="s">
        <v>80</v>
      </c>
      <c r="I6" s="13" t="s">
        <v>354</v>
      </c>
      <c r="J6" s="8"/>
      <c r="K6" s="23" t="str">
        <f>"72,5"</f>
        <v>72,5</v>
      </c>
      <c r="L6" s="8" t="str">
        <f>"50,0177"</f>
        <v>50,0177</v>
      </c>
      <c r="M6" s="7"/>
    </row>
    <row r="7" spans="1:13">
      <c r="B7" s="5" t="s">
        <v>63</v>
      </c>
    </row>
    <row r="8" spans="1:13" ht="16">
      <c r="A8" s="47" t="s">
        <v>10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62</v>
      </c>
      <c r="B9" s="7" t="s">
        <v>165</v>
      </c>
      <c r="C9" s="7" t="s">
        <v>166</v>
      </c>
      <c r="D9" s="7" t="s">
        <v>167</v>
      </c>
      <c r="E9" s="7" t="str">
        <f>"0,6561"</f>
        <v>0,6561</v>
      </c>
      <c r="F9" s="7" t="s">
        <v>14</v>
      </c>
      <c r="G9" s="13" t="s">
        <v>72</v>
      </c>
      <c r="H9" s="13" t="s">
        <v>211</v>
      </c>
      <c r="I9" s="8"/>
      <c r="J9" s="8"/>
      <c r="K9" s="23" t="str">
        <f>"62,5"</f>
        <v>62,5</v>
      </c>
      <c r="L9" s="8" t="str">
        <f>"41,0094"</f>
        <v>41,0094</v>
      </c>
      <c r="M9" s="7"/>
    </row>
    <row r="10" spans="1:13">
      <c r="B10" s="5" t="s">
        <v>63</v>
      </c>
    </row>
    <row r="11" spans="1:13" ht="16">
      <c r="A11" s="47" t="s">
        <v>103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10" t="s">
        <v>62</v>
      </c>
      <c r="B12" s="9" t="s">
        <v>355</v>
      </c>
      <c r="C12" s="9" t="s">
        <v>356</v>
      </c>
      <c r="D12" s="9" t="s">
        <v>282</v>
      </c>
      <c r="E12" s="9" t="str">
        <f>"0,6157"</f>
        <v>0,6157</v>
      </c>
      <c r="F12" s="9" t="s">
        <v>14</v>
      </c>
      <c r="G12" s="15" t="s">
        <v>211</v>
      </c>
      <c r="H12" s="15" t="s">
        <v>90</v>
      </c>
      <c r="I12" s="15" t="s">
        <v>354</v>
      </c>
      <c r="J12" s="10"/>
      <c r="K12" s="25" t="str">
        <f>"72,5"</f>
        <v>72,5</v>
      </c>
      <c r="L12" s="10" t="str">
        <f>"44,6383"</f>
        <v>44,6383</v>
      </c>
      <c r="M12" s="9" t="s">
        <v>404</v>
      </c>
    </row>
    <row r="13" spans="1:13">
      <c r="A13" s="12" t="s">
        <v>62</v>
      </c>
      <c r="B13" s="11" t="s">
        <v>357</v>
      </c>
      <c r="C13" s="11" t="s">
        <v>388</v>
      </c>
      <c r="D13" s="11" t="s">
        <v>358</v>
      </c>
      <c r="E13" s="11" t="str">
        <f>"0,6145"</f>
        <v>0,6145</v>
      </c>
      <c r="F13" s="11" t="s">
        <v>14</v>
      </c>
      <c r="G13" s="17" t="s">
        <v>359</v>
      </c>
      <c r="H13" s="16" t="s">
        <v>72</v>
      </c>
      <c r="I13" s="16" t="s">
        <v>72</v>
      </c>
      <c r="J13" s="12"/>
      <c r="K13" s="27" t="str">
        <f>"45,0"</f>
        <v>45,0</v>
      </c>
      <c r="L13" s="12" t="str">
        <f>"35,0662"</f>
        <v>35,0662</v>
      </c>
      <c r="M13" s="11" t="s">
        <v>410</v>
      </c>
    </row>
    <row r="14" spans="1:13">
      <c r="B14" s="5" t="s">
        <v>63</v>
      </c>
    </row>
    <row r="15" spans="1:13" ht="16">
      <c r="A15" s="47" t="s">
        <v>201</v>
      </c>
      <c r="B15" s="47"/>
      <c r="C15" s="48"/>
      <c r="D15" s="48"/>
      <c r="E15" s="48"/>
      <c r="F15" s="48"/>
      <c r="G15" s="48"/>
      <c r="H15" s="48"/>
      <c r="I15" s="48"/>
      <c r="J15" s="48"/>
    </row>
    <row r="16" spans="1:13">
      <c r="A16" s="8" t="s">
        <v>278</v>
      </c>
      <c r="B16" s="7" t="s">
        <v>202</v>
      </c>
      <c r="C16" s="7" t="s">
        <v>203</v>
      </c>
      <c r="D16" s="7" t="s">
        <v>204</v>
      </c>
      <c r="E16" s="7" t="str">
        <f>"0,5346"</f>
        <v>0,5346</v>
      </c>
      <c r="F16" s="7" t="s">
        <v>14</v>
      </c>
      <c r="G16" s="14" t="s">
        <v>50</v>
      </c>
      <c r="H16" s="8"/>
      <c r="I16" s="8"/>
      <c r="J16" s="8"/>
      <c r="K16" s="23">
        <v>0</v>
      </c>
      <c r="L16" s="8" t="str">
        <f>"0,0000"</f>
        <v>0,0000</v>
      </c>
      <c r="M16" s="7" t="s">
        <v>400</v>
      </c>
    </row>
    <row r="17" spans="2:2">
      <c r="B17" s="5" t="s">
        <v>63</v>
      </c>
    </row>
  </sheetData>
  <mergeCells count="15">
    <mergeCell ref="A8:J8"/>
    <mergeCell ref="A11:J11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5">
    <pageSetUpPr fitToPage="1"/>
  </sheetPr>
  <dimension ref="A1:U1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28" t="s">
        <v>383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40" t="s">
        <v>9</v>
      </c>
      <c r="P3" s="40"/>
      <c r="Q3" s="40"/>
      <c r="R3" s="40"/>
      <c r="S3" s="40" t="s">
        <v>1</v>
      </c>
      <c r="T3" s="40" t="s">
        <v>3</v>
      </c>
      <c r="U3" s="43" t="s">
        <v>2</v>
      </c>
    </row>
    <row r="4" spans="1:21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4"/>
    </row>
    <row r="5" spans="1:21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8" t="s">
        <v>62</v>
      </c>
      <c r="B6" s="7" t="s">
        <v>11</v>
      </c>
      <c r="C6" s="7" t="s">
        <v>12</v>
      </c>
      <c r="D6" s="7" t="s">
        <v>13</v>
      </c>
      <c r="E6" s="7" t="str">
        <f>"0,6754"</f>
        <v>0,6754</v>
      </c>
      <c r="F6" s="7" t="s">
        <v>14</v>
      </c>
      <c r="G6" s="13" t="s">
        <v>15</v>
      </c>
      <c r="H6" s="13" t="s">
        <v>16</v>
      </c>
      <c r="I6" s="13" t="s">
        <v>17</v>
      </c>
      <c r="J6" s="8"/>
      <c r="K6" s="13" t="s">
        <v>18</v>
      </c>
      <c r="L6" s="13" t="s">
        <v>19</v>
      </c>
      <c r="M6" s="14" t="s">
        <v>20</v>
      </c>
      <c r="N6" s="8"/>
      <c r="O6" s="13" t="s">
        <v>21</v>
      </c>
      <c r="P6" s="13" t="s">
        <v>22</v>
      </c>
      <c r="Q6" s="13" t="s">
        <v>23</v>
      </c>
      <c r="R6" s="8"/>
      <c r="S6" s="8" t="str">
        <f>"542,5"</f>
        <v>542,5</v>
      </c>
      <c r="T6" s="8" t="str">
        <f>"366,4045"</f>
        <v>366,4045</v>
      </c>
      <c r="U6" s="7"/>
    </row>
    <row r="7" spans="1:21">
      <c r="B7" s="5" t="s">
        <v>63</v>
      </c>
    </row>
    <row r="8" spans="1:21" ht="16">
      <c r="A8" s="47" t="s">
        <v>24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1">
      <c r="A9" s="10" t="s">
        <v>62</v>
      </c>
      <c r="B9" s="9" t="s">
        <v>25</v>
      </c>
      <c r="C9" s="9" t="s">
        <v>26</v>
      </c>
      <c r="D9" s="9" t="s">
        <v>27</v>
      </c>
      <c r="E9" s="9" t="str">
        <f>"0,6086"</f>
        <v>0,6086</v>
      </c>
      <c r="F9" s="9" t="s">
        <v>28</v>
      </c>
      <c r="G9" s="15" t="s">
        <v>29</v>
      </c>
      <c r="H9" s="15" t="s">
        <v>30</v>
      </c>
      <c r="I9" s="15" t="s">
        <v>31</v>
      </c>
      <c r="J9" s="10"/>
      <c r="K9" s="15" t="s">
        <v>32</v>
      </c>
      <c r="L9" s="15" t="s">
        <v>33</v>
      </c>
      <c r="M9" s="15" t="s">
        <v>16</v>
      </c>
      <c r="N9" s="10"/>
      <c r="O9" s="15" t="s">
        <v>31</v>
      </c>
      <c r="P9" s="15" t="s">
        <v>34</v>
      </c>
      <c r="Q9" s="15" t="s">
        <v>35</v>
      </c>
      <c r="R9" s="10"/>
      <c r="S9" s="10" t="str">
        <f>"775,0"</f>
        <v>775,0</v>
      </c>
      <c r="T9" s="10" t="str">
        <f>"471,6650"</f>
        <v>471,6650</v>
      </c>
      <c r="U9" s="9" t="s">
        <v>36</v>
      </c>
    </row>
    <row r="10" spans="1:21">
      <c r="A10" s="12" t="s">
        <v>64</v>
      </c>
      <c r="B10" s="11" t="s">
        <v>37</v>
      </c>
      <c r="C10" s="11" t="s">
        <v>38</v>
      </c>
      <c r="D10" s="11" t="s">
        <v>39</v>
      </c>
      <c r="E10" s="11" t="str">
        <f>"0,6123"</f>
        <v>0,6123</v>
      </c>
      <c r="F10" s="11" t="s">
        <v>433</v>
      </c>
      <c r="G10" s="16" t="s">
        <v>40</v>
      </c>
      <c r="H10" s="17" t="s">
        <v>40</v>
      </c>
      <c r="I10" s="17" t="s">
        <v>41</v>
      </c>
      <c r="J10" s="12"/>
      <c r="K10" s="17" t="s">
        <v>32</v>
      </c>
      <c r="L10" s="17" t="s">
        <v>42</v>
      </c>
      <c r="M10" s="16" t="s">
        <v>43</v>
      </c>
      <c r="N10" s="12"/>
      <c r="O10" s="16" t="s">
        <v>44</v>
      </c>
      <c r="P10" s="17" t="s">
        <v>44</v>
      </c>
      <c r="Q10" s="17" t="s">
        <v>29</v>
      </c>
      <c r="R10" s="12"/>
      <c r="S10" s="12" t="str">
        <f>"672,5"</f>
        <v>672,5</v>
      </c>
      <c r="T10" s="12" t="str">
        <f>"411,7717"</f>
        <v>411,7717</v>
      </c>
      <c r="U10" s="11" t="s">
        <v>415</v>
      </c>
    </row>
    <row r="11" spans="1:21">
      <c r="B11" s="5" t="s">
        <v>63</v>
      </c>
    </row>
    <row r="12" spans="1:21" ht="16">
      <c r="A12" s="47" t="s">
        <v>45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21">
      <c r="A13" s="8" t="s">
        <v>62</v>
      </c>
      <c r="B13" s="7" t="s">
        <v>46</v>
      </c>
      <c r="C13" s="7" t="s">
        <v>398</v>
      </c>
      <c r="D13" s="7" t="s">
        <v>47</v>
      </c>
      <c r="E13" s="7" t="str">
        <f>"0,5923"</f>
        <v>0,5923</v>
      </c>
      <c r="F13" s="7" t="s">
        <v>14</v>
      </c>
      <c r="G13" s="13" t="s">
        <v>48</v>
      </c>
      <c r="H13" s="13" t="s">
        <v>49</v>
      </c>
      <c r="I13" s="13" t="s">
        <v>19</v>
      </c>
      <c r="J13" s="8"/>
      <c r="K13" s="13" t="s">
        <v>50</v>
      </c>
      <c r="L13" s="14" t="s">
        <v>49</v>
      </c>
      <c r="M13" s="14" t="s">
        <v>49</v>
      </c>
      <c r="N13" s="8"/>
      <c r="O13" s="13" t="s">
        <v>51</v>
      </c>
      <c r="P13" s="13" t="s">
        <v>52</v>
      </c>
      <c r="Q13" s="13" t="s">
        <v>32</v>
      </c>
      <c r="R13" s="8"/>
      <c r="S13" s="8" t="str">
        <f>"385,0"</f>
        <v>385,0</v>
      </c>
      <c r="T13" s="8" t="str">
        <f>"387,6603"</f>
        <v>387,6603</v>
      </c>
      <c r="U13" s="7"/>
    </row>
    <row r="14" spans="1:21">
      <c r="B14" s="5" t="s">
        <v>63</v>
      </c>
    </row>
    <row r="15" spans="1:21" ht="16">
      <c r="A15" s="47" t="s">
        <v>53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21">
      <c r="A16" s="8" t="s">
        <v>62</v>
      </c>
      <c r="B16" s="7" t="s">
        <v>54</v>
      </c>
      <c r="C16" s="7" t="s">
        <v>55</v>
      </c>
      <c r="D16" s="7" t="s">
        <v>56</v>
      </c>
      <c r="E16" s="7" t="str">
        <f>"0,5786"</f>
        <v>0,5786</v>
      </c>
      <c r="F16" s="7" t="s">
        <v>14</v>
      </c>
      <c r="G16" s="13" t="s">
        <v>57</v>
      </c>
      <c r="H16" s="14" t="s">
        <v>23</v>
      </c>
      <c r="I16" s="8"/>
      <c r="J16" s="8"/>
      <c r="K16" s="13" t="s">
        <v>58</v>
      </c>
      <c r="L16" s="14" t="s">
        <v>59</v>
      </c>
      <c r="M16" s="8"/>
      <c r="N16" s="8"/>
      <c r="O16" s="13" t="s">
        <v>60</v>
      </c>
      <c r="P16" s="13" t="s">
        <v>44</v>
      </c>
      <c r="Q16" s="13" t="s">
        <v>61</v>
      </c>
      <c r="R16" s="8"/>
      <c r="S16" s="8" t="str">
        <f>"650,0"</f>
        <v>650,0</v>
      </c>
      <c r="T16" s="8" t="str">
        <f>"376,0900"</f>
        <v>376,0900</v>
      </c>
      <c r="U16" s="7"/>
    </row>
    <row r="17" spans="2:2">
      <c r="B17" s="5" t="s">
        <v>63</v>
      </c>
    </row>
  </sheetData>
  <mergeCells count="17">
    <mergeCell ref="A5:R5"/>
    <mergeCell ref="A8:R8"/>
    <mergeCell ref="A12:R12"/>
    <mergeCell ref="A15:R1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28" t="s">
        <v>380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40" t="s">
        <v>9</v>
      </c>
      <c r="P3" s="40"/>
      <c r="Q3" s="40"/>
      <c r="R3" s="40"/>
      <c r="S3" s="40" t="s">
        <v>1</v>
      </c>
      <c r="T3" s="40" t="s">
        <v>3</v>
      </c>
      <c r="U3" s="43" t="s">
        <v>2</v>
      </c>
    </row>
    <row r="4" spans="1:21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4"/>
    </row>
    <row r="5" spans="1:21" ht="16">
      <c r="A5" s="45" t="s">
        <v>45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10" t="s">
        <v>62</v>
      </c>
      <c r="B6" s="9" t="s">
        <v>143</v>
      </c>
      <c r="C6" s="9" t="s">
        <v>144</v>
      </c>
      <c r="D6" s="9" t="s">
        <v>145</v>
      </c>
      <c r="E6" s="9" t="str">
        <f>"0,5998"</f>
        <v>0,5998</v>
      </c>
      <c r="F6" s="9" t="s">
        <v>146</v>
      </c>
      <c r="G6" s="15" t="s">
        <v>109</v>
      </c>
      <c r="H6" s="15" t="s">
        <v>44</v>
      </c>
      <c r="I6" s="20" t="s">
        <v>29</v>
      </c>
      <c r="J6" s="10"/>
      <c r="K6" s="15" t="s">
        <v>51</v>
      </c>
      <c r="L6" s="15" t="s">
        <v>124</v>
      </c>
      <c r="M6" s="20" t="s">
        <v>52</v>
      </c>
      <c r="N6" s="10"/>
      <c r="O6" s="20" t="s">
        <v>61</v>
      </c>
      <c r="P6" s="15" t="s">
        <v>61</v>
      </c>
      <c r="Q6" s="20" t="s">
        <v>31</v>
      </c>
      <c r="R6" s="10"/>
      <c r="S6" s="10" t="str">
        <f>"647,5"</f>
        <v>647,5</v>
      </c>
      <c r="T6" s="10" t="str">
        <f>"388,3705"</f>
        <v>388,3705</v>
      </c>
      <c r="U6" s="9"/>
    </row>
    <row r="7" spans="1:21">
      <c r="A7" s="12" t="s">
        <v>64</v>
      </c>
      <c r="B7" s="11" t="s">
        <v>147</v>
      </c>
      <c r="C7" s="11" t="s">
        <v>148</v>
      </c>
      <c r="D7" s="11" t="s">
        <v>149</v>
      </c>
      <c r="E7" s="11" t="str">
        <f>"0,5912"</f>
        <v>0,5912</v>
      </c>
      <c r="F7" s="11" t="s">
        <v>14</v>
      </c>
      <c r="G7" s="17" t="s">
        <v>57</v>
      </c>
      <c r="H7" s="16" t="s">
        <v>150</v>
      </c>
      <c r="I7" s="17" t="s">
        <v>151</v>
      </c>
      <c r="J7" s="12"/>
      <c r="K7" s="16" t="s">
        <v>91</v>
      </c>
      <c r="L7" s="17" t="s">
        <v>152</v>
      </c>
      <c r="M7" s="17" t="s">
        <v>123</v>
      </c>
      <c r="N7" s="12"/>
      <c r="O7" s="17" t="s">
        <v>57</v>
      </c>
      <c r="P7" s="17" t="s">
        <v>109</v>
      </c>
      <c r="Q7" s="16" t="s">
        <v>41</v>
      </c>
      <c r="R7" s="12"/>
      <c r="S7" s="12" t="str">
        <f>"595,0"</f>
        <v>595,0</v>
      </c>
      <c r="T7" s="12" t="str">
        <f>"351,7640"</f>
        <v>351,7640</v>
      </c>
      <c r="U7" s="11"/>
    </row>
    <row r="8" spans="1:21">
      <c r="B8" s="5" t="s">
        <v>63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U7"/>
  <sheetViews>
    <sheetView workbookViewId="0">
      <selection activeCell="F6" sqref="F1:F1048576"/>
    </sheetView>
  </sheetViews>
  <sheetFormatPr baseColWidth="10" defaultColWidth="9.1640625" defaultRowHeight="13"/>
  <cols>
    <col min="1" max="1" width="7.5" style="5" bestFit="1" customWidth="1"/>
    <col min="2" max="2" width="14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28" t="s">
        <v>381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7</v>
      </c>
      <c r="H3" s="40"/>
      <c r="I3" s="40"/>
      <c r="J3" s="40"/>
      <c r="K3" s="40" t="s">
        <v>8</v>
      </c>
      <c r="L3" s="40"/>
      <c r="M3" s="40"/>
      <c r="N3" s="40"/>
      <c r="O3" s="40" t="s">
        <v>9</v>
      </c>
      <c r="P3" s="40"/>
      <c r="Q3" s="40"/>
      <c r="R3" s="40"/>
      <c r="S3" s="40" t="s">
        <v>1</v>
      </c>
      <c r="T3" s="40" t="s">
        <v>3</v>
      </c>
      <c r="U3" s="43" t="s">
        <v>2</v>
      </c>
    </row>
    <row r="4" spans="1:21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44"/>
    </row>
    <row r="5" spans="1:21" ht="16">
      <c r="A5" s="45" t="s">
        <v>53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8" t="s">
        <v>62</v>
      </c>
      <c r="B6" s="7" t="s">
        <v>137</v>
      </c>
      <c r="C6" s="7" t="s">
        <v>138</v>
      </c>
      <c r="D6" s="7" t="s">
        <v>139</v>
      </c>
      <c r="E6" s="7" t="str">
        <f>"0,5875"</f>
        <v>0,5875</v>
      </c>
      <c r="F6" s="7" t="s">
        <v>140</v>
      </c>
      <c r="G6" s="14" t="s">
        <v>60</v>
      </c>
      <c r="H6" s="14" t="s">
        <v>60</v>
      </c>
      <c r="I6" s="13" t="s">
        <v>60</v>
      </c>
      <c r="J6" s="8"/>
      <c r="K6" s="13" t="s">
        <v>98</v>
      </c>
      <c r="L6" s="14" t="s">
        <v>141</v>
      </c>
      <c r="M6" s="14" t="s">
        <v>141</v>
      </c>
      <c r="N6" s="8"/>
      <c r="O6" s="13" t="s">
        <v>29</v>
      </c>
      <c r="P6" s="13" t="s">
        <v>142</v>
      </c>
      <c r="Q6" s="13" t="s">
        <v>31</v>
      </c>
      <c r="R6" s="8"/>
      <c r="S6" s="8" t="str">
        <f>"650,0"</f>
        <v>650,0</v>
      </c>
      <c r="T6" s="8" t="str">
        <f>"381,8750"</f>
        <v>381,8750</v>
      </c>
      <c r="U6" s="7"/>
    </row>
    <row r="7" spans="1:21">
      <c r="B7" s="5" t="s">
        <v>63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28" t="s">
        <v>373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7</v>
      </c>
      <c r="H3" s="40"/>
      <c r="I3" s="40"/>
      <c r="J3" s="40"/>
      <c r="K3" s="40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212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315</v>
      </c>
      <c r="C6" s="7" t="s">
        <v>316</v>
      </c>
      <c r="D6" s="7" t="s">
        <v>317</v>
      </c>
      <c r="E6" s="7" t="str">
        <f>"1,0588"</f>
        <v>1,0588</v>
      </c>
      <c r="F6" s="7" t="s">
        <v>265</v>
      </c>
      <c r="G6" s="13" t="s">
        <v>97</v>
      </c>
      <c r="H6" s="13" t="s">
        <v>88</v>
      </c>
      <c r="I6" s="14" t="s">
        <v>108</v>
      </c>
      <c r="J6" s="8"/>
      <c r="K6" s="8" t="str">
        <f>"110,0"</f>
        <v>110,0</v>
      </c>
      <c r="L6" s="8" t="str">
        <f>"116,4680"</f>
        <v>116,4680</v>
      </c>
      <c r="M6" s="7" t="s">
        <v>417</v>
      </c>
    </row>
    <row r="7" spans="1:13">
      <c r="B7" s="5" t="s">
        <v>63</v>
      </c>
    </row>
    <row r="8" spans="1:13" ht="16">
      <c r="A8" s="47" t="s">
        <v>45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62</v>
      </c>
      <c r="B9" s="7" t="s">
        <v>147</v>
      </c>
      <c r="C9" s="7" t="s">
        <v>148</v>
      </c>
      <c r="D9" s="7" t="s">
        <v>149</v>
      </c>
      <c r="E9" s="7" t="str">
        <f>"0,5912"</f>
        <v>0,5912</v>
      </c>
      <c r="F9" s="7" t="s">
        <v>14</v>
      </c>
      <c r="G9" s="13" t="s">
        <v>57</v>
      </c>
      <c r="H9" s="14" t="s">
        <v>150</v>
      </c>
      <c r="I9" s="13" t="s">
        <v>151</v>
      </c>
      <c r="J9" s="8"/>
      <c r="K9" s="8" t="str">
        <f>"222,5"</f>
        <v>222,5</v>
      </c>
      <c r="L9" s="8" t="str">
        <f>"131,5420"</f>
        <v>131,5420</v>
      </c>
      <c r="M9" s="7"/>
    </row>
    <row r="10" spans="1:13">
      <c r="B10" s="5" t="s">
        <v>63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46"/>
  <sheetViews>
    <sheetView workbookViewId="0">
      <selection activeCell="A47" sqref="A47:XFD61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8.5" style="5" bestFit="1" customWidth="1"/>
    <col min="7" max="9" width="5.5" style="6" customWidth="1"/>
    <col min="10" max="10" width="4.83203125" style="6" customWidth="1"/>
    <col min="11" max="11" width="7.83203125" style="24" bestFit="1" customWidth="1"/>
    <col min="12" max="12" width="8.5" style="6" bestFit="1" customWidth="1"/>
    <col min="13" max="13" width="26.33203125" style="5" bestFit="1" customWidth="1"/>
    <col min="14" max="16384" width="9.1640625" style="3"/>
  </cols>
  <sheetData>
    <row r="1" spans="1:13" s="2" customFormat="1" ht="29" customHeight="1">
      <c r="A1" s="28" t="s">
        <v>378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8</v>
      </c>
      <c r="H3" s="40"/>
      <c r="I3" s="40"/>
      <c r="J3" s="40"/>
      <c r="K3" s="49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50"/>
      <c r="L4" s="39"/>
      <c r="M4" s="44"/>
    </row>
    <row r="5" spans="1:13" ht="16">
      <c r="A5" s="45" t="s">
        <v>153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154</v>
      </c>
      <c r="C6" s="7" t="s">
        <v>391</v>
      </c>
      <c r="D6" s="7" t="s">
        <v>155</v>
      </c>
      <c r="E6" s="7" t="str">
        <f>"1,3326"</f>
        <v>1,3326</v>
      </c>
      <c r="F6" s="7" t="s">
        <v>14</v>
      </c>
      <c r="G6" s="13" t="s">
        <v>156</v>
      </c>
      <c r="H6" s="13" t="s">
        <v>157</v>
      </c>
      <c r="I6" s="14" t="s">
        <v>158</v>
      </c>
      <c r="J6" s="8"/>
      <c r="K6" s="23" t="str">
        <f>"32,5"</f>
        <v>32,5</v>
      </c>
      <c r="L6" s="8" t="str">
        <f>"44,5222"</f>
        <v>44,5222</v>
      </c>
      <c r="M6" s="7" t="s">
        <v>410</v>
      </c>
    </row>
    <row r="7" spans="1:13">
      <c r="B7" s="5" t="s">
        <v>63</v>
      </c>
    </row>
    <row r="8" spans="1:13" ht="16">
      <c r="A8" s="47" t="s">
        <v>65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10" t="s">
        <v>62</v>
      </c>
      <c r="B9" s="9" t="s">
        <v>207</v>
      </c>
      <c r="C9" s="9" t="s">
        <v>208</v>
      </c>
      <c r="D9" s="9" t="s">
        <v>209</v>
      </c>
      <c r="E9" s="9" t="str">
        <f>"1,2711"</f>
        <v>1,2711</v>
      </c>
      <c r="F9" s="9" t="s">
        <v>14</v>
      </c>
      <c r="G9" s="15" t="s">
        <v>210</v>
      </c>
      <c r="H9" s="15" t="s">
        <v>211</v>
      </c>
      <c r="I9" s="20" t="s">
        <v>89</v>
      </c>
      <c r="J9" s="10"/>
      <c r="K9" s="25" t="str">
        <f>"62,5"</f>
        <v>62,5</v>
      </c>
      <c r="L9" s="10" t="str">
        <f>"79,4438"</f>
        <v>79,4438</v>
      </c>
      <c r="M9" s="9" t="s">
        <v>426</v>
      </c>
    </row>
    <row r="10" spans="1:13">
      <c r="A10" s="12" t="s">
        <v>64</v>
      </c>
      <c r="B10" s="11" t="s">
        <v>77</v>
      </c>
      <c r="C10" s="11" t="s">
        <v>78</v>
      </c>
      <c r="D10" s="11" t="s">
        <v>79</v>
      </c>
      <c r="E10" s="11" t="str">
        <f>"1,2635"</f>
        <v>1,2635</v>
      </c>
      <c r="F10" s="11" t="s">
        <v>14</v>
      </c>
      <c r="G10" s="17" t="s">
        <v>81</v>
      </c>
      <c r="H10" s="17" t="s">
        <v>210</v>
      </c>
      <c r="I10" s="16" t="s">
        <v>211</v>
      </c>
      <c r="J10" s="12"/>
      <c r="K10" s="27" t="str">
        <f>"60,0"</f>
        <v>60,0</v>
      </c>
      <c r="L10" s="12" t="str">
        <f>"75,8100"</f>
        <v>75,8100</v>
      </c>
      <c r="M10" s="11"/>
    </row>
    <row r="11" spans="1:13">
      <c r="B11" s="5" t="s">
        <v>63</v>
      </c>
    </row>
    <row r="12" spans="1:13" ht="16">
      <c r="A12" s="47" t="s">
        <v>212</v>
      </c>
      <c r="B12" s="47"/>
      <c r="C12" s="48"/>
      <c r="D12" s="48"/>
      <c r="E12" s="48"/>
      <c r="F12" s="48"/>
      <c r="G12" s="48"/>
      <c r="H12" s="48"/>
      <c r="I12" s="48"/>
      <c r="J12" s="48"/>
    </row>
    <row r="13" spans="1:13">
      <c r="A13" s="8" t="s">
        <v>62</v>
      </c>
      <c r="B13" s="7" t="s">
        <v>213</v>
      </c>
      <c r="C13" s="7" t="s">
        <v>214</v>
      </c>
      <c r="D13" s="7" t="s">
        <v>215</v>
      </c>
      <c r="E13" s="7" t="str">
        <f>"1,0385"</f>
        <v>1,0385</v>
      </c>
      <c r="F13" s="7" t="s">
        <v>178</v>
      </c>
      <c r="G13" s="13" t="s">
        <v>216</v>
      </c>
      <c r="H13" s="13" t="s">
        <v>71</v>
      </c>
      <c r="I13" s="14" t="s">
        <v>217</v>
      </c>
      <c r="J13" s="8"/>
      <c r="K13" s="23" t="str">
        <f>"80,0"</f>
        <v>80,0</v>
      </c>
      <c r="L13" s="8" t="str">
        <f>"83,0800"</f>
        <v>83,0800</v>
      </c>
      <c r="M13" s="7" t="s">
        <v>427</v>
      </c>
    </row>
    <row r="14" spans="1:13">
      <c r="B14" s="5" t="s">
        <v>63</v>
      </c>
    </row>
    <row r="15" spans="1:13" ht="16">
      <c r="A15" s="47" t="s">
        <v>212</v>
      </c>
      <c r="B15" s="47"/>
      <c r="C15" s="48"/>
      <c r="D15" s="48"/>
      <c r="E15" s="48"/>
      <c r="F15" s="48"/>
      <c r="G15" s="48"/>
      <c r="H15" s="48"/>
      <c r="I15" s="48"/>
      <c r="J15" s="48"/>
    </row>
    <row r="16" spans="1:13">
      <c r="A16" s="8" t="s">
        <v>62</v>
      </c>
      <c r="B16" s="7" t="s">
        <v>218</v>
      </c>
      <c r="C16" s="7" t="s">
        <v>219</v>
      </c>
      <c r="D16" s="7" t="s">
        <v>220</v>
      </c>
      <c r="E16" s="7" t="str">
        <f>"0,7738"</f>
        <v>0,7738</v>
      </c>
      <c r="F16" s="7" t="s">
        <v>424</v>
      </c>
      <c r="G16" s="14" t="s">
        <v>87</v>
      </c>
      <c r="H16" s="13" t="s">
        <v>88</v>
      </c>
      <c r="I16" s="14" t="s">
        <v>19</v>
      </c>
      <c r="J16" s="8"/>
      <c r="K16" s="23" t="str">
        <f>"110,0"</f>
        <v>110,0</v>
      </c>
      <c r="L16" s="8" t="str">
        <f>"85,1180"</f>
        <v>85,1180</v>
      </c>
      <c r="M16" s="7" t="s">
        <v>408</v>
      </c>
    </row>
    <row r="17" spans="1:13">
      <c r="B17" s="5" t="s">
        <v>63</v>
      </c>
    </row>
    <row r="18" spans="1:13" ht="16">
      <c r="A18" s="47" t="s">
        <v>93</v>
      </c>
      <c r="B18" s="47"/>
      <c r="C18" s="48"/>
      <c r="D18" s="48"/>
      <c r="E18" s="48"/>
      <c r="F18" s="48"/>
      <c r="G18" s="48"/>
      <c r="H18" s="48"/>
      <c r="I18" s="48"/>
      <c r="J18" s="48"/>
    </row>
    <row r="19" spans="1:13">
      <c r="A19" s="10" t="s">
        <v>62</v>
      </c>
      <c r="B19" s="9" t="s">
        <v>221</v>
      </c>
      <c r="C19" s="9" t="s">
        <v>222</v>
      </c>
      <c r="D19" s="9" t="s">
        <v>223</v>
      </c>
      <c r="E19" s="9" t="str">
        <f>"0,7445"</f>
        <v>0,7445</v>
      </c>
      <c r="F19" s="9" t="s">
        <v>423</v>
      </c>
      <c r="G19" s="15" t="s">
        <v>97</v>
      </c>
      <c r="H19" s="15" t="s">
        <v>87</v>
      </c>
      <c r="I19" s="15" t="s">
        <v>224</v>
      </c>
      <c r="J19" s="10"/>
      <c r="K19" s="25" t="str">
        <f>"112,5"</f>
        <v>112,5</v>
      </c>
      <c r="L19" s="10" t="str">
        <f>"83,7562"</f>
        <v>83,7562</v>
      </c>
      <c r="M19" s="9" t="s">
        <v>399</v>
      </c>
    </row>
    <row r="20" spans="1:13">
      <c r="A20" s="19" t="s">
        <v>62</v>
      </c>
      <c r="B20" s="18" t="s">
        <v>225</v>
      </c>
      <c r="C20" s="18" t="s">
        <v>226</v>
      </c>
      <c r="D20" s="18" t="s">
        <v>227</v>
      </c>
      <c r="E20" s="18" t="str">
        <f>"0,7398"</f>
        <v>0,7398</v>
      </c>
      <c r="F20" s="18" t="s">
        <v>14</v>
      </c>
      <c r="G20" s="21" t="s">
        <v>98</v>
      </c>
      <c r="H20" s="21" t="s">
        <v>52</v>
      </c>
      <c r="I20" s="21" t="s">
        <v>141</v>
      </c>
      <c r="J20" s="19"/>
      <c r="K20" s="26" t="str">
        <f>"157,5"</f>
        <v>157,5</v>
      </c>
      <c r="L20" s="19" t="str">
        <f>"116,5185"</f>
        <v>116,5185</v>
      </c>
      <c r="M20" s="18"/>
    </row>
    <row r="21" spans="1:13">
      <c r="A21" s="12" t="s">
        <v>278</v>
      </c>
      <c r="B21" s="11" t="s">
        <v>228</v>
      </c>
      <c r="C21" s="11" t="s">
        <v>229</v>
      </c>
      <c r="D21" s="11" t="s">
        <v>230</v>
      </c>
      <c r="E21" s="11" t="str">
        <f>"0,7159"</f>
        <v>0,7159</v>
      </c>
      <c r="F21" s="11" t="s">
        <v>241</v>
      </c>
      <c r="G21" s="16" t="s">
        <v>108</v>
      </c>
      <c r="H21" s="16" t="s">
        <v>108</v>
      </c>
      <c r="I21" s="16" t="s">
        <v>108</v>
      </c>
      <c r="J21" s="12"/>
      <c r="K21" s="27">
        <v>0</v>
      </c>
      <c r="L21" s="12" t="str">
        <f>"0,0000"</f>
        <v>0,0000</v>
      </c>
      <c r="M21" s="11"/>
    </row>
    <row r="22" spans="1:13">
      <c r="B22" s="5" t="s">
        <v>63</v>
      </c>
    </row>
    <row r="23" spans="1:13" ht="16">
      <c r="A23" s="47" t="s">
        <v>10</v>
      </c>
      <c r="B23" s="47"/>
      <c r="C23" s="48"/>
      <c r="D23" s="48"/>
      <c r="E23" s="48"/>
      <c r="F23" s="48"/>
      <c r="G23" s="48"/>
      <c r="H23" s="48"/>
      <c r="I23" s="48"/>
      <c r="J23" s="48"/>
    </row>
    <row r="24" spans="1:13">
      <c r="A24" s="10" t="s">
        <v>62</v>
      </c>
      <c r="B24" s="9" t="s">
        <v>231</v>
      </c>
      <c r="C24" s="9" t="s">
        <v>232</v>
      </c>
      <c r="D24" s="9" t="s">
        <v>233</v>
      </c>
      <c r="E24" s="9" t="str">
        <f>"0,7005"</f>
        <v>0,7005</v>
      </c>
      <c r="F24" s="9" t="s">
        <v>234</v>
      </c>
      <c r="G24" s="15" t="s">
        <v>48</v>
      </c>
      <c r="H24" s="15" t="s">
        <v>87</v>
      </c>
      <c r="I24" s="20" t="s">
        <v>88</v>
      </c>
      <c r="J24" s="10"/>
      <c r="K24" s="25" t="str">
        <f>"107,5"</f>
        <v>107,5</v>
      </c>
      <c r="L24" s="10" t="str">
        <f>"75,3038"</f>
        <v>75,3038</v>
      </c>
      <c r="M24" s="9" t="s">
        <v>384</v>
      </c>
    </row>
    <row r="25" spans="1:13">
      <c r="A25" s="19" t="s">
        <v>62</v>
      </c>
      <c r="B25" s="18" t="s">
        <v>235</v>
      </c>
      <c r="C25" s="18" t="s">
        <v>236</v>
      </c>
      <c r="D25" s="18" t="s">
        <v>237</v>
      </c>
      <c r="E25" s="18" t="str">
        <f>"0,6785"</f>
        <v>0,6785</v>
      </c>
      <c r="F25" s="18" t="s">
        <v>14</v>
      </c>
      <c r="G25" s="21" t="s">
        <v>102</v>
      </c>
      <c r="H25" s="21" t="s">
        <v>182</v>
      </c>
      <c r="I25" s="21" t="s">
        <v>116</v>
      </c>
      <c r="J25" s="19"/>
      <c r="K25" s="26" t="str">
        <f>"172,5"</f>
        <v>172,5</v>
      </c>
      <c r="L25" s="19" t="str">
        <f>"117,0412"</f>
        <v>117,0412</v>
      </c>
      <c r="M25" s="18"/>
    </row>
    <row r="26" spans="1:13">
      <c r="A26" s="19" t="s">
        <v>64</v>
      </c>
      <c r="B26" s="18" t="s">
        <v>238</v>
      </c>
      <c r="C26" s="18" t="s">
        <v>239</v>
      </c>
      <c r="D26" s="18" t="s">
        <v>240</v>
      </c>
      <c r="E26" s="18" t="str">
        <f>"0,6729"</f>
        <v>0,6729</v>
      </c>
      <c r="F26" s="18" t="s">
        <v>241</v>
      </c>
      <c r="G26" s="21" t="s">
        <v>98</v>
      </c>
      <c r="H26" s="22" t="s">
        <v>141</v>
      </c>
      <c r="I26" s="22" t="s">
        <v>102</v>
      </c>
      <c r="J26" s="19"/>
      <c r="K26" s="26" t="str">
        <f>"150,0"</f>
        <v>150,0</v>
      </c>
      <c r="L26" s="19" t="str">
        <f>"100,9350"</f>
        <v>100,9350</v>
      </c>
      <c r="M26" s="18"/>
    </row>
    <row r="27" spans="1:13">
      <c r="A27" s="19" t="s">
        <v>135</v>
      </c>
      <c r="B27" s="18" t="s">
        <v>242</v>
      </c>
      <c r="C27" s="18" t="s">
        <v>243</v>
      </c>
      <c r="D27" s="18" t="s">
        <v>244</v>
      </c>
      <c r="E27" s="18" t="str">
        <f>"0,6843"</f>
        <v>0,6843</v>
      </c>
      <c r="F27" s="18" t="s">
        <v>14</v>
      </c>
      <c r="G27" s="21" t="s">
        <v>20</v>
      </c>
      <c r="H27" s="21" t="s">
        <v>152</v>
      </c>
      <c r="I27" s="22" t="s">
        <v>92</v>
      </c>
      <c r="J27" s="19"/>
      <c r="K27" s="26" t="str">
        <f>"137,5"</f>
        <v>137,5</v>
      </c>
      <c r="L27" s="19" t="str">
        <f>"94,0913"</f>
        <v>94,0913</v>
      </c>
      <c r="M27" s="18" t="s">
        <v>409</v>
      </c>
    </row>
    <row r="28" spans="1:13">
      <c r="A28" s="19" t="s">
        <v>136</v>
      </c>
      <c r="B28" s="18" t="s">
        <v>245</v>
      </c>
      <c r="C28" s="18" t="s">
        <v>246</v>
      </c>
      <c r="D28" s="18" t="s">
        <v>247</v>
      </c>
      <c r="E28" s="18" t="str">
        <f>"0,6774"</f>
        <v>0,6774</v>
      </c>
      <c r="F28" s="18" t="s">
        <v>425</v>
      </c>
      <c r="G28" s="21" t="s">
        <v>152</v>
      </c>
      <c r="H28" s="22" t="s">
        <v>92</v>
      </c>
      <c r="I28" s="22" t="s">
        <v>92</v>
      </c>
      <c r="J28" s="19"/>
      <c r="K28" s="26" t="str">
        <f>"137,5"</f>
        <v>137,5</v>
      </c>
      <c r="L28" s="19" t="str">
        <f>"93,1425"</f>
        <v>93,1425</v>
      </c>
      <c r="M28" s="18"/>
    </row>
    <row r="29" spans="1:13">
      <c r="A29" s="12" t="s">
        <v>279</v>
      </c>
      <c r="B29" s="11" t="s">
        <v>248</v>
      </c>
      <c r="C29" s="11" t="s">
        <v>249</v>
      </c>
      <c r="D29" s="11" t="s">
        <v>250</v>
      </c>
      <c r="E29" s="11" t="str">
        <f>"0,7067"</f>
        <v>0,7067</v>
      </c>
      <c r="F29" s="11" t="s">
        <v>14</v>
      </c>
      <c r="G29" s="17" t="s">
        <v>18</v>
      </c>
      <c r="H29" s="17" t="s">
        <v>19</v>
      </c>
      <c r="I29" s="17" t="s">
        <v>128</v>
      </c>
      <c r="J29" s="12"/>
      <c r="K29" s="27" t="str">
        <f>"132,5"</f>
        <v>132,5</v>
      </c>
      <c r="L29" s="12" t="str">
        <f>"93,6378"</f>
        <v>93,6378</v>
      </c>
      <c r="M29" s="11" t="s">
        <v>409</v>
      </c>
    </row>
    <row r="30" spans="1:13">
      <c r="B30" s="5" t="s">
        <v>63</v>
      </c>
    </row>
    <row r="31" spans="1:13" ht="16">
      <c r="A31" s="47" t="s">
        <v>103</v>
      </c>
      <c r="B31" s="47"/>
      <c r="C31" s="48"/>
      <c r="D31" s="48"/>
      <c r="E31" s="48"/>
      <c r="F31" s="48"/>
      <c r="G31" s="48"/>
      <c r="H31" s="48"/>
      <c r="I31" s="48"/>
      <c r="J31" s="48"/>
    </row>
    <row r="32" spans="1:13">
      <c r="A32" s="10" t="s">
        <v>62</v>
      </c>
      <c r="B32" s="9" t="s">
        <v>251</v>
      </c>
      <c r="C32" s="9" t="s">
        <v>252</v>
      </c>
      <c r="D32" s="9" t="s">
        <v>253</v>
      </c>
      <c r="E32" s="9" t="str">
        <f>"0,6384"</f>
        <v>0,6384</v>
      </c>
      <c r="F32" s="9" t="s">
        <v>412</v>
      </c>
      <c r="G32" s="15" t="s">
        <v>58</v>
      </c>
      <c r="H32" s="15" t="s">
        <v>43</v>
      </c>
      <c r="I32" s="15" t="s">
        <v>254</v>
      </c>
      <c r="J32" s="10"/>
      <c r="K32" s="25" t="str">
        <f>"202,5"</f>
        <v>202,5</v>
      </c>
      <c r="L32" s="10" t="str">
        <f>"129,2760"</f>
        <v>129,2760</v>
      </c>
      <c r="M32" s="9"/>
    </row>
    <row r="33" spans="1:13">
      <c r="A33" s="19" t="s">
        <v>64</v>
      </c>
      <c r="B33" s="18" t="s">
        <v>255</v>
      </c>
      <c r="C33" s="18" t="s">
        <v>256</v>
      </c>
      <c r="D33" s="18" t="s">
        <v>257</v>
      </c>
      <c r="E33" s="18" t="str">
        <f>"0,6610"</f>
        <v>0,6610</v>
      </c>
      <c r="F33" s="18" t="s">
        <v>115</v>
      </c>
      <c r="G33" s="21" t="s">
        <v>102</v>
      </c>
      <c r="H33" s="22" t="s">
        <v>32</v>
      </c>
      <c r="I33" s="22" t="s">
        <v>32</v>
      </c>
      <c r="J33" s="19"/>
      <c r="K33" s="26" t="str">
        <f>"160,0"</f>
        <v>160,0</v>
      </c>
      <c r="L33" s="19" t="str">
        <f>"105,7600"</f>
        <v>105,7600</v>
      </c>
      <c r="M33" s="18"/>
    </row>
    <row r="34" spans="1:13">
      <c r="A34" s="12" t="s">
        <v>135</v>
      </c>
      <c r="B34" s="11" t="s">
        <v>125</v>
      </c>
      <c r="C34" s="11" t="s">
        <v>126</v>
      </c>
      <c r="D34" s="11" t="s">
        <v>127</v>
      </c>
      <c r="E34" s="11" t="str">
        <f>"0,6417"</f>
        <v>0,6417</v>
      </c>
      <c r="F34" s="11" t="s">
        <v>14</v>
      </c>
      <c r="G34" s="17" t="s">
        <v>19</v>
      </c>
      <c r="H34" s="17" t="s">
        <v>128</v>
      </c>
      <c r="I34" s="17" t="s">
        <v>91</v>
      </c>
      <c r="J34" s="12"/>
      <c r="K34" s="27" t="str">
        <f>"135,0"</f>
        <v>135,0</v>
      </c>
      <c r="L34" s="12" t="str">
        <f>"86,6295"</f>
        <v>86,6295</v>
      </c>
      <c r="M34" s="11"/>
    </row>
    <row r="35" spans="1:13">
      <c r="B35" s="5" t="s">
        <v>63</v>
      </c>
    </row>
    <row r="36" spans="1:13" ht="16">
      <c r="A36" s="47" t="s">
        <v>24</v>
      </c>
      <c r="B36" s="47"/>
      <c r="C36" s="48"/>
      <c r="D36" s="48"/>
      <c r="E36" s="48"/>
      <c r="F36" s="48"/>
      <c r="G36" s="48"/>
      <c r="H36" s="48"/>
      <c r="I36" s="48"/>
      <c r="J36" s="48"/>
    </row>
    <row r="37" spans="1:13">
      <c r="A37" s="10" t="s">
        <v>62</v>
      </c>
      <c r="B37" s="9" t="s">
        <v>258</v>
      </c>
      <c r="C37" s="9" t="s">
        <v>259</v>
      </c>
      <c r="D37" s="9" t="s">
        <v>260</v>
      </c>
      <c r="E37" s="9" t="str">
        <f>"0,6134"</f>
        <v>0,6134</v>
      </c>
      <c r="F37" s="9" t="s">
        <v>14</v>
      </c>
      <c r="G37" s="15" t="s">
        <v>261</v>
      </c>
      <c r="H37" s="15" t="s">
        <v>91</v>
      </c>
      <c r="I37" s="15" t="s">
        <v>51</v>
      </c>
      <c r="J37" s="10"/>
      <c r="K37" s="25" t="str">
        <f>"140,0"</f>
        <v>140,0</v>
      </c>
      <c r="L37" s="10" t="str">
        <f>"85,8760"</f>
        <v>85,8760</v>
      </c>
      <c r="M37" s="9" t="s">
        <v>409</v>
      </c>
    </row>
    <row r="38" spans="1:13">
      <c r="A38" s="19" t="s">
        <v>62</v>
      </c>
      <c r="B38" s="18" t="s">
        <v>262</v>
      </c>
      <c r="C38" s="18" t="s">
        <v>263</v>
      </c>
      <c r="D38" s="18" t="s">
        <v>264</v>
      </c>
      <c r="E38" s="18" t="str">
        <f>"0,6172"</f>
        <v>0,6172</v>
      </c>
      <c r="F38" s="18" t="s">
        <v>265</v>
      </c>
      <c r="G38" s="21" t="s">
        <v>102</v>
      </c>
      <c r="H38" s="21" t="s">
        <v>182</v>
      </c>
      <c r="I38" s="21" t="s">
        <v>116</v>
      </c>
      <c r="J38" s="19"/>
      <c r="K38" s="26" t="str">
        <f>"172,5"</f>
        <v>172,5</v>
      </c>
      <c r="L38" s="19" t="str">
        <f>"106,4670"</f>
        <v>106,4670</v>
      </c>
      <c r="M38" s="18" t="s">
        <v>399</v>
      </c>
    </row>
    <row r="39" spans="1:13">
      <c r="A39" s="19" t="s">
        <v>62</v>
      </c>
      <c r="B39" s="18" t="s">
        <v>262</v>
      </c>
      <c r="C39" s="18" t="s">
        <v>392</v>
      </c>
      <c r="D39" s="18" t="s">
        <v>264</v>
      </c>
      <c r="E39" s="18" t="str">
        <f>"0,6172"</f>
        <v>0,6172</v>
      </c>
      <c r="F39" s="18" t="s">
        <v>265</v>
      </c>
      <c r="G39" s="21" t="s">
        <v>102</v>
      </c>
      <c r="H39" s="21" t="s">
        <v>182</v>
      </c>
      <c r="I39" s="21" t="s">
        <v>116</v>
      </c>
      <c r="J39" s="19"/>
      <c r="K39" s="26" t="str">
        <f>"172,5"</f>
        <v>172,5</v>
      </c>
      <c r="L39" s="19" t="str">
        <f>"111,1516"</f>
        <v>111,1516</v>
      </c>
      <c r="M39" s="18" t="s">
        <v>399</v>
      </c>
    </row>
    <row r="40" spans="1:13">
      <c r="A40" s="12" t="s">
        <v>62</v>
      </c>
      <c r="B40" s="11" t="s">
        <v>266</v>
      </c>
      <c r="C40" s="11" t="s">
        <v>393</v>
      </c>
      <c r="D40" s="11" t="s">
        <v>267</v>
      </c>
      <c r="E40" s="11" t="str">
        <f>"0,6093"</f>
        <v>0,6093</v>
      </c>
      <c r="F40" s="11" t="s">
        <v>14</v>
      </c>
      <c r="G40" s="17" t="s">
        <v>49</v>
      </c>
      <c r="H40" s="17" t="s">
        <v>108</v>
      </c>
      <c r="I40" s="16" t="s">
        <v>19</v>
      </c>
      <c r="J40" s="12"/>
      <c r="K40" s="27" t="str">
        <f>"120,0"</f>
        <v>120,0</v>
      </c>
      <c r="L40" s="12" t="str">
        <f>"86,7887"</f>
        <v>86,7887</v>
      </c>
      <c r="M40" s="11" t="s">
        <v>400</v>
      </c>
    </row>
    <row r="41" spans="1:13">
      <c r="B41" s="5" t="s">
        <v>63</v>
      </c>
    </row>
    <row r="42" spans="1:13" ht="16">
      <c r="A42" s="47" t="s">
        <v>45</v>
      </c>
      <c r="B42" s="47"/>
      <c r="C42" s="48"/>
      <c r="D42" s="48"/>
      <c r="E42" s="48"/>
      <c r="F42" s="48"/>
      <c r="G42" s="48"/>
      <c r="H42" s="48"/>
      <c r="I42" s="48"/>
      <c r="J42" s="48"/>
    </row>
    <row r="43" spans="1:13">
      <c r="A43" s="10" t="s">
        <v>62</v>
      </c>
      <c r="B43" s="9" t="s">
        <v>268</v>
      </c>
      <c r="C43" s="9" t="s">
        <v>269</v>
      </c>
      <c r="D43" s="9" t="s">
        <v>270</v>
      </c>
      <c r="E43" s="9" t="str">
        <f>"0,5921"</f>
        <v>0,5921</v>
      </c>
      <c r="F43" s="9" t="s">
        <v>271</v>
      </c>
      <c r="G43" s="15" t="s">
        <v>15</v>
      </c>
      <c r="H43" s="15" t="s">
        <v>58</v>
      </c>
      <c r="I43" s="20" t="s">
        <v>43</v>
      </c>
      <c r="J43" s="10"/>
      <c r="K43" s="25" t="str">
        <f>"180,0"</f>
        <v>180,0</v>
      </c>
      <c r="L43" s="10" t="str">
        <f>"106,5780"</f>
        <v>106,5780</v>
      </c>
      <c r="M43" s="9"/>
    </row>
    <row r="44" spans="1:13">
      <c r="A44" s="19" t="s">
        <v>64</v>
      </c>
      <c r="B44" s="18" t="s">
        <v>272</v>
      </c>
      <c r="C44" s="18" t="s">
        <v>273</v>
      </c>
      <c r="D44" s="18" t="s">
        <v>274</v>
      </c>
      <c r="E44" s="18" t="str">
        <f>"0,5907"</f>
        <v>0,5907</v>
      </c>
      <c r="F44" s="18" t="s">
        <v>121</v>
      </c>
      <c r="G44" s="22" t="s">
        <v>33</v>
      </c>
      <c r="H44" s="21" t="s">
        <v>33</v>
      </c>
      <c r="I44" s="22" t="s">
        <v>58</v>
      </c>
      <c r="J44" s="19"/>
      <c r="K44" s="26" t="str">
        <f>"175,0"</f>
        <v>175,0</v>
      </c>
      <c r="L44" s="19" t="str">
        <f>"103,3725"</f>
        <v>103,3725</v>
      </c>
      <c r="M44" s="18"/>
    </row>
    <row r="45" spans="1:13">
      <c r="A45" s="12" t="s">
        <v>135</v>
      </c>
      <c r="B45" s="11" t="s">
        <v>275</v>
      </c>
      <c r="C45" s="11" t="s">
        <v>276</v>
      </c>
      <c r="D45" s="11" t="s">
        <v>277</v>
      </c>
      <c r="E45" s="11" t="str">
        <f>"0,5926"</f>
        <v>0,5926</v>
      </c>
      <c r="F45" s="11" t="s">
        <v>146</v>
      </c>
      <c r="G45" s="17" t="s">
        <v>32</v>
      </c>
      <c r="H45" s="17" t="s">
        <v>116</v>
      </c>
      <c r="I45" s="16" t="s">
        <v>42</v>
      </c>
      <c r="J45" s="12"/>
      <c r="K45" s="27" t="str">
        <f>"172,5"</f>
        <v>172,5</v>
      </c>
      <c r="L45" s="12" t="str">
        <f>"102,2235"</f>
        <v>102,2235</v>
      </c>
      <c r="M45" s="11"/>
    </row>
    <row r="46" spans="1:13">
      <c r="B46" s="5" t="s">
        <v>63</v>
      </c>
    </row>
  </sheetData>
  <mergeCells count="20">
    <mergeCell ref="A36:J36"/>
    <mergeCell ref="A42:J42"/>
    <mergeCell ref="B3:B4"/>
    <mergeCell ref="A8:J8"/>
    <mergeCell ref="A12:J12"/>
    <mergeCell ref="A15:J15"/>
    <mergeCell ref="A18:J18"/>
    <mergeCell ref="A23:J23"/>
    <mergeCell ref="A31:J31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3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8.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3.1640625" style="5" bestFit="1" customWidth="1"/>
    <col min="14" max="16384" width="9.1640625" style="3"/>
  </cols>
  <sheetData>
    <row r="1" spans="1:13" s="2" customFormat="1" ht="29" customHeight="1">
      <c r="A1" s="28" t="s">
        <v>379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8</v>
      </c>
      <c r="H3" s="40"/>
      <c r="I3" s="40"/>
      <c r="J3" s="40"/>
      <c r="K3" s="40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153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154</v>
      </c>
      <c r="C6" s="7" t="s">
        <v>391</v>
      </c>
      <c r="D6" s="7" t="s">
        <v>155</v>
      </c>
      <c r="E6" s="7" t="str">
        <f>"1,3326"</f>
        <v>1,3326</v>
      </c>
      <c r="F6" s="7" t="s">
        <v>14</v>
      </c>
      <c r="G6" s="13" t="s">
        <v>156</v>
      </c>
      <c r="H6" s="13" t="s">
        <v>157</v>
      </c>
      <c r="I6" s="14" t="s">
        <v>158</v>
      </c>
      <c r="J6" s="8"/>
      <c r="K6" s="8" t="str">
        <f>"32,5"</f>
        <v>32,5</v>
      </c>
      <c r="L6" s="8" t="str">
        <f>"44,5222"</f>
        <v>44,5222</v>
      </c>
      <c r="M6" s="7" t="s">
        <v>410</v>
      </c>
    </row>
    <row r="7" spans="1:13">
      <c r="B7" s="5" t="s">
        <v>63</v>
      </c>
    </row>
    <row r="8" spans="1:13" ht="16">
      <c r="A8" s="47" t="s">
        <v>65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8" t="s">
        <v>62</v>
      </c>
      <c r="B9" s="7" t="s">
        <v>159</v>
      </c>
      <c r="C9" s="7" t="s">
        <v>160</v>
      </c>
      <c r="D9" s="7" t="s">
        <v>161</v>
      </c>
      <c r="E9" s="7" t="str">
        <f>"1,0779"</f>
        <v>1,0779</v>
      </c>
      <c r="F9" s="7" t="s">
        <v>14</v>
      </c>
      <c r="G9" s="13" t="s">
        <v>156</v>
      </c>
      <c r="H9" s="14" t="s">
        <v>158</v>
      </c>
      <c r="I9" s="14" t="s">
        <v>158</v>
      </c>
      <c r="J9" s="8"/>
      <c r="K9" s="8" t="str">
        <f>"30,0"</f>
        <v>30,0</v>
      </c>
      <c r="L9" s="8" t="str">
        <f>"32,3370"</f>
        <v>32,3370</v>
      </c>
      <c r="M9" s="7" t="s">
        <v>428</v>
      </c>
    </row>
    <row r="10" spans="1:13">
      <c r="B10" s="5" t="s">
        <v>63</v>
      </c>
    </row>
    <row r="11" spans="1:13" ht="16">
      <c r="A11" s="47" t="s">
        <v>10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10" t="s">
        <v>62</v>
      </c>
      <c r="B12" s="9" t="s">
        <v>162</v>
      </c>
      <c r="C12" s="9" t="s">
        <v>163</v>
      </c>
      <c r="D12" s="9" t="s">
        <v>164</v>
      </c>
      <c r="E12" s="9" t="str">
        <f>"0,6790"</f>
        <v>0,6790</v>
      </c>
      <c r="F12" s="9" t="s">
        <v>14</v>
      </c>
      <c r="G12" s="15" t="s">
        <v>52</v>
      </c>
      <c r="H12" s="15" t="s">
        <v>32</v>
      </c>
      <c r="I12" s="15" t="s">
        <v>15</v>
      </c>
      <c r="J12" s="10"/>
      <c r="K12" s="10" t="str">
        <f>"170,0"</f>
        <v>170,0</v>
      </c>
      <c r="L12" s="10" t="str">
        <f>"115,4300"</f>
        <v>115,4300</v>
      </c>
      <c r="M12" s="9" t="s">
        <v>429</v>
      </c>
    </row>
    <row r="13" spans="1:13">
      <c r="A13" s="19" t="s">
        <v>64</v>
      </c>
      <c r="B13" s="18" t="s">
        <v>165</v>
      </c>
      <c r="C13" s="18" t="s">
        <v>166</v>
      </c>
      <c r="D13" s="18" t="s">
        <v>167</v>
      </c>
      <c r="E13" s="18" t="str">
        <f>"0,6811"</f>
        <v>0,6811</v>
      </c>
      <c r="F13" s="18" t="s">
        <v>14</v>
      </c>
      <c r="G13" s="21" t="s">
        <v>98</v>
      </c>
      <c r="H13" s="19"/>
      <c r="I13" s="19"/>
      <c r="J13" s="19"/>
      <c r="K13" s="19" t="str">
        <f>"150,0"</f>
        <v>150,0</v>
      </c>
      <c r="L13" s="19" t="str">
        <f>"102,1650"</f>
        <v>102,1650</v>
      </c>
      <c r="M13" s="18"/>
    </row>
    <row r="14" spans="1:13">
      <c r="A14" s="19" t="s">
        <v>135</v>
      </c>
      <c r="B14" s="18" t="s">
        <v>168</v>
      </c>
      <c r="C14" s="18" t="s">
        <v>169</v>
      </c>
      <c r="D14" s="18" t="s">
        <v>170</v>
      </c>
      <c r="E14" s="18" t="str">
        <f>"0,6764"</f>
        <v>0,6764</v>
      </c>
      <c r="F14" s="18" t="s">
        <v>28</v>
      </c>
      <c r="G14" s="21" t="s">
        <v>92</v>
      </c>
      <c r="H14" s="22" t="s">
        <v>52</v>
      </c>
      <c r="I14" s="22" t="s">
        <v>52</v>
      </c>
      <c r="J14" s="19"/>
      <c r="K14" s="19" t="str">
        <f>"145,0"</f>
        <v>145,0</v>
      </c>
      <c r="L14" s="19" t="str">
        <f>"98,0780"</f>
        <v>98,0780</v>
      </c>
      <c r="M14" s="18" t="s">
        <v>430</v>
      </c>
    </row>
    <row r="15" spans="1:13">
      <c r="A15" s="12" t="s">
        <v>62</v>
      </c>
      <c r="B15" s="11" t="s">
        <v>171</v>
      </c>
      <c r="C15" s="11" t="s">
        <v>394</v>
      </c>
      <c r="D15" s="11" t="s">
        <v>172</v>
      </c>
      <c r="E15" s="11" t="str">
        <f>"0,6699"</f>
        <v>0,6699</v>
      </c>
      <c r="F15" s="11" t="s">
        <v>173</v>
      </c>
      <c r="G15" s="16" t="s">
        <v>92</v>
      </c>
      <c r="H15" s="17" t="s">
        <v>98</v>
      </c>
      <c r="I15" s="17" t="s">
        <v>174</v>
      </c>
      <c r="J15" s="17" t="s">
        <v>141</v>
      </c>
      <c r="K15" s="12" t="str">
        <f>"156,0"</f>
        <v>156,0</v>
      </c>
      <c r="L15" s="12" t="str">
        <f>"163,5494"</f>
        <v>163,5494</v>
      </c>
      <c r="M15" s="11"/>
    </row>
    <row r="16" spans="1:13">
      <c r="B16" s="5" t="s">
        <v>63</v>
      </c>
    </row>
    <row r="17" spans="1:13" ht="16">
      <c r="A17" s="47" t="s">
        <v>103</v>
      </c>
      <c r="B17" s="47"/>
      <c r="C17" s="48"/>
      <c r="D17" s="48"/>
      <c r="E17" s="48"/>
      <c r="F17" s="48"/>
      <c r="G17" s="48"/>
      <c r="H17" s="48"/>
      <c r="I17" s="48"/>
      <c r="J17" s="48"/>
    </row>
    <row r="18" spans="1:13">
      <c r="A18" s="8" t="s">
        <v>62</v>
      </c>
      <c r="B18" s="7" t="s">
        <v>175</v>
      </c>
      <c r="C18" s="7" t="s">
        <v>176</v>
      </c>
      <c r="D18" s="7" t="s">
        <v>177</v>
      </c>
      <c r="E18" s="7" t="str">
        <f>"0,6451"</f>
        <v>0,6451</v>
      </c>
      <c r="F18" s="7" t="s">
        <v>178</v>
      </c>
      <c r="G18" s="13" t="s">
        <v>32</v>
      </c>
      <c r="H18" s="14" t="s">
        <v>15</v>
      </c>
      <c r="I18" s="14" t="s">
        <v>15</v>
      </c>
      <c r="J18" s="8"/>
      <c r="K18" s="8" t="str">
        <f>"165,0"</f>
        <v>165,0</v>
      </c>
      <c r="L18" s="8" t="str">
        <f>"106,4415"</f>
        <v>106,4415</v>
      </c>
      <c r="M18" s="7" t="s">
        <v>431</v>
      </c>
    </row>
    <row r="19" spans="1:13">
      <c r="B19" s="5" t="s">
        <v>63</v>
      </c>
    </row>
    <row r="20" spans="1:13" ht="16">
      <c r="A20" s="47" t="s">
        <v>24</v>
      </c>
      <c r="B20" s="47"/>
      <c r="C20" s="48"/>
      <c r="D20" s="48"/>
      <c r="E20" s="48"/>
      <c r="F20" s="48"/>
      <c r="G20" s="48"/>
      <c r="H20" s="48"/>
      <c r="I20" s="48"/>
      <c r="J20" s="48"/>
    </row>
    <row r="21" spans="1:13">
      <c r="A21" s="10" t="s">
        <v>62</v>
      </c>
      <c r="B21" s="9" t="s">
        <v>179</v>
      </c>
      <c r="C21" s="9" t="s">
        <v>180</v>
      </c>
      <c r="D21" s="9" t="s">
        <v>181</v>
      </c>
      <c r="E21" s="9" t="str">
        <f>"0,6101"</f>
        <v>0,6101</v>
      </c>
      <c r="F21" s="9" t="s">
        <v>14</v>
      </c>
      <c r="G21" s="15" t="s">
        <v>182</v>
      </c>
      <c r="H21" s="10"/>
      <c r="I21" s="10"/>
      <c r="J21" s="10"/>
      <c r="K21" s="10" t="str">
        <f>"167,5"</f>
        <v>167,5</v>
      </c>
      <c r="L21" s="10" t="str">
        <f>"102,1917"</f>
        <v>102,1917</v>
      </c>
      <c r="M21" s="9" t="s">
        <v>183</v>
      </c>
    </row>
    <row r="22" spans="1:13">
      <c r="A22" s="19" t="s">
        <v>64</v>
      </c>
      <c r="B22" s="18" t="s">
        <v>184</v>
      </c>
      <c r="C22" s="18" t="s">
        <v>185</v>
      </c>
      <c r="D22" s="18" t="s">
        <v>186</v>
      </c>
      <c r="E22" s="18" t="str">
        <f>"0,6191"</f>
        <v>0,6191</v>
      </c>
      <c r="F22" s="18" t="s">
        <v>14</v>
      </c>
      <c r="G22" s="21" t="s">
        <v>141</v>
      </c>
      <c r="H22" s="22" t="s">
        <v>32</v>
      </c>
      <c r="I22" s="22" t="s">
        <v>32</v>
      </c>
      <c r="J22" s="19"/>
      <c r="K22" s="19" t="str">
        <f>"157,5"</f>
        <v>157,5</v>
      </c>
      <c r="L22" s="19" t="str">
        <f>"97,5082"</f>
        <v>97,5082</v>
      </c>
      <c r="M22" s="18"/>
    </row>
    <row r="23" spans="1:13">
      <c r="A23" s="12" t="s">
        <v>62</v>
      </c>
      <c r="B23" s="11" t="s">
        <v>179</v>
      </c>
      <c r="C23" s="11" t="s">
        <v>395</v>
      </c>
      <c r="D23" s="11" t="s">
        <v>181</v>
      </c>
      <c r="E23" s="11" t="str">
        <f>"0,6101"</f>
        <v>0,6101</v>
      </c>
      <c r="F23" s="11" t="s">
        <v>14</v>
      </c>
      <c r="G23" s="17" t="s">
        <v>182</v>
      </c>
      <c r="H23" s="12"/>
      <c r="I23" s="12"/>
      <c r="J23" s="12"/>
      <c r="K23" s="12" t="str">
        <f>"167,5"</f>
        <v>167,5</v>
      </c>
      <c r="L23" s="12" t="str">
        <f>"113,8416"</f>
        <v>113,8416</v>
      </c>
      <c r="M23" s="11" t="s">
        <v>183</v>
      </c>
    </row>
    <row r="24" spans="1:13">
      <c r="B24" s="5" t="s">
        <v>63</v>
      </c>
    </row>
    <row r="25" spans="1:13" ht="16">
      <c r="A25" s="47" t="s">
        <v>45</v>
      </c>
      <c r="B25" s="47"/>
      <c r="C25" s="48"/>
      <c r="D25" s="48"/>
      <c r="E25" s="48"/>
      <c r="F25" s="48"/>
      <c r="G25" s="48"/>
      <c r="H25" s="48"/>
      <c r="I25" s="48"/>
      <c r="J25" s="48"/>
    </row>
    <row r="26" spans="1:13">
      <c r="A26" s="10" t="s">
        <v>62</v>
      </c>
      <c r="B26" s="9" t="s">
        <v>187</v>
      </c>
      <c r="C26" s="9" t="s">
        <v>188</v>
      </c>
      <c r="D26" s="9" t="s">
        <v>189</v>
      </c>
      <c r="E26" s="9" t="str">
        <f>"0,5930"</f>
        <v>0,5930</v>
      </c>
      <c r="F26" s="9" t="s">
        <v>146</v>
      </c>
      <c r="G26" s="20" t="s">
        <v>102</v>
      </c>
      <c r="H26" s="15" t="s">
        <v>102</v>
      </c>
      <c r="I26" s="20" t="s">
        <v>15</v>
      </c>
      <c r="J26" s="10"/>
      <c r="K26" s="10" t="str">
        <f>"160,0"</f>
        <v>160,0</v>
      </c>
      <c r="L26" s="10" t="str">
        <f>"94,8800"</f>
        <v>94,8800</v>
      </c>
      <c r="M26" s="9"/>
    </row>
    <row r="27" spans="1:13">
      <c r="A27" s="12" t="s">
        <v>64</v>
      </c>
      <c r="B27" s="11" t="s">
        <v>190</v>
      </c>
      <c r="C27" s="11" t="s">
        <v>191</v>
      </c>
      <c r="D27" s="11" t="s">
        <v>192</v>
      </c>
      <c r="E27" s="11" t="str">
        <f>"0,5935"</f>
        <v>0,5935</v>
      </c>
      <c r="F27" s="11" t="s">
        <v>14</v>
      </c>
      <c r="G27" s="17" t="s">
        <v>98</v>
      </c>
      <c r="H27" s="16" t="s">
        <v>102</v>
      </c>
      <c r="I27" s="16" t="s">
        <v>102</v>
      </c>
      <c r="J27" s="12"/>
      <c r="K27" s="12" t="str">
        <f>"150,0"</f>
        <v>150,0</v>
      </c>
      <c r="L27" s="12" t="str">
        <f>"89,0250"</f>
        <v>89,0250</v>
      </c>
      <c r="M27" s="11"/>
    </row>
    <row r="28" spans="1:13">
      <c r="B28" s="5" t="s">
        <v>63</v>
      </c>
    </row>
    <row r="29" spans="1:13" ht="16">
      <c r="A29" s="47" t="s">
        <v>53</v>
      </c>
      <c r="B29" s="47"/>
      <c r="C29" s="48"/>
      <c r="D29" s="48"/>
      <c r="E29" s="48"/>
      <c r="F29" s="48"/>
      <c r="G29" s="48"/>
      <c r="H29" s="48"/>
      <c r="I29" s="48"/>
      <c r="J29" s="48"/>
    </row>
    <row r="30" spans="1:13">
      <c r="A30" s="10" t="s">
        <v>62</v>
      </c>
      <c r="B30" s="9" t="s">
        <v>193</v>
      </c>
      <c r="C30" s="9" t="s">
        <v>194</v>
      </c>
      <c r="D30" s="9" t="s">
        <v>195</v>
      </c>
      <c r="E30" s="9" t="str">
        <f>"0,5769"</f>
        <v>0,5769</v>
      </c>
      <c r="F30" s="9" t="s">
        <v>14</v>
      </c>
      <c r="G30" s="15" t="s">
        <v>109</v>
      </c>
      <c r="H30" s="20" t="s">
        <v>44</v>
      </c>
      <c r="I30" s="20" t="s">
        <v>44</v>
      </c>
      <c r="J30" s="10"/>
      <c r="K30" s="10" t="str">
        <f>"230,0"</f>
        <v>230,0</v>
      </c>
      <c r="L30" s="10" t="str">
        <f>"132,6870"</f>
        <v>132,6870</v>
      </c>
      <c r="M30" s="9"/>
    </row>
    <row r="31" spans="1:13">
      <c r="A31" s="19" t="s">
        <v>64</v>
      </c>
      <c r="B31" s="18" t="s">
        <v>196</v>
      </c>
      <c r="C31" s="18" t="s">
        <v>197</v>
      </c>
      <c r="D31" s="18" t="s">
        <v>198</v>
      </c>
      <c r="E31" s="18" t="str">
        <f>"0,5793"</f>
        <v>0,5793</v>
      </c>
      <c r="F31" s="18" t="s">
        <v>14</v>
      </c>
      <c r="G31" s="21" t="s">
        <v>21</v>
      </c>
      <c r="H31" s="22" t="s">
        <v>60</v>
      </c>
      <c r="I31" s="22" t="s">
        <v>40</v>
      </c>
      <c r="J31" s="19"/>
      <c r="K31" s="19" t="str">
        <f>"200,0"</f>
        <v>200,0</v>
      </c>
      <c r="L31" s="19" t="str">
        <f>"115,8600"</f>
        <v>115,8600</v>
      </c>
      <c r="M31" s="18" t="s">
        <v>432</v>
      </c>
    </row>
    <row r="32" spans="1:13">
      <c r="A32" s="19" t="s">
        <v>62</v>
      </c>
      <c r="B32" s="18" t="s">
        <v>193</v>
      </c>
      <c r="C32" s="18" t="s">
        <v>396</v>
      </c>
      <c r="D32" s="18" t="s">
        <v>195</v>
      </c>
      <c r="E32" s="18" t="str">
        <f>"0,5769"</f>
        <v>0,5769</v>
      </c>
      <c r="F32" s="18" t="s">
        <v>14</v>
      </c>
      <c r="G32" s="21" t="s">
        <v>109</v>
      </c>
      <c r="H32" s="22" t="s">
        <v>44</v>
      </c>
      <c r="I32" s="22" t="s">
        <v>44</v>
      </c>
      <c r="J32" s="19"/>
      <c r="K32" s="19" t="str">
        <f>"230,0"</f>
        <v>230,0</v>
      </c>
      <c r="L32" s="19" t="str">
        <f>"134,5446"</f>
        <v>134,5446</v>
      </c>
      <c r="M32" s="18"/>
    </row>
    <row r="33" spans="1:13">
      <c r="A33" s="12" t="s">
        <v>64</v>
      </c>
      <c r="B33" s="11" t="s">
        <v>199</v>
      </c>
      <c r="C33" s="11" t="s">
        <v>397</v>
      </c>
      <c r="D33" s="11" t="s">
        <v>200</v>
      </c>
      <c r="E33" s="11" t="str">
        <f>"0,5877"</f>
        <v>0,5877</v>
      </c>
      <c r="F33" s="11" t="s">
        <v>401</v>
      </c>
      <c r="G33" s="17" t="s">
        <v>98</v>
      </c>
      <c r="H33" s="17" t="s">
        <v>102</v>
      </c>
      <c r="I33" s="17" t="s">
        <v>182</v>
      </c>
      <c r="J33" s="12"/>
      <c r="K33" s="12" t="str">
        <f>"167,5"</f>
        <v>167,5</v>
      </c>
      <c r="L33" s="12" t="str">
        <f>"102,7711"</f>
        <v>102,7711</v>
      </c>
      <c r="M33" s="11"/>
    </row>
    <row r="34" spans="1:13">
      <c r="B34" s="5" t="s">
        <v>63</v>
      </c>
    </row>
    <row r="35" spans="1:13" ht="16">
      <c r="A35" s="47" t="s">
        <v>201</v>
      </c>
      <c r="B35" s="47"/>
      <c r="C35" s="48"/>
      <c r="D35" s="48"/>
      <c r="E35" s="48"/>
      <c r="F35" s="48"/>
      <c r="G35" s="48"/>
      <c r="H35" s="48"/>
      <c r="I35" s="48"/>
      <c r="J35" s="48"/>
    </row>
    <row r="36" spans="1:13">
      <c r="A36" s="8" t="s">
        <v>62</v>
      </c>
      <c r="B36" s="7" t="s">
        <v>202</v>
      </c>
      <c r="C36" s="7" t="s">
        <v>203</v>
      </c>
      <c r="D36" s="7" t="s">
        <v>204</v>
      </c>
      <c r="E36" s="7" t="str">
        <f>"0,5613"</f>
        <v>0,5613</v>
      </c>
      <c r="F36" s="7" t="s">
        <v>14</v>
      </c>
      <c r="G36" s="13" t="s">
        <v>41</v>
      </c>
      <c r="H36" s="14" t="s">
        <v>205</v>
      </c>
      <c r="I36" s="14" t="s">
        <v>205</v>
      </c>
      <c r="J36" s="8"/>
      <c r="K36" s="8" t="str">
        <f>"245,0"</f>
        <v>245,0</v>
      </c>
      <c r="L36" s="8" t="str">
        <f>"137,5185"</f>
        <v>137,5185</v>
      </c>
      <c r="M36" s="7" t="s">
        <v>400</v>
      </c>
    </row>
    <row r="37" spans="1:13">
      <c r="B37" s="5" t="s">
        <v>63</v>
      </c>
    </row>
  </sheetData>
  <mergeCells count="19">
    <mergeCell ref="A35:J35"/>
    <mergeCell ref="B3:B4"/>
    <mergeCell ref="A8:J8"/>
    <mergeCell ref="A11:J11"/>
    <mergeCell ref="A17:J17"/>
    <mergeCell ref="A20:J20"/>
    <mergeCell ref="A25:J25"/>
    <mergeCell ref="A29:J29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7"/>
  <sheetViews>
    <sheetView workbookViewId="0">
      <selection activeCell="E3" sqref="E3:E4"/>
    </sheetView>
  </sheetViews>
  <sheetFormatPr baseColWidth="10" defaultColWidth="9.1640625" defaultRowHeight="13"/>
  <cols>
    <col min="1" max="1" width="7.5" style="5" bestFit="1" customWidth="1"/>
    <col min="2" max="2" width="25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28" t="s">
        <v>376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8</v>
      </c>
      <c r="H3" s="40"/>
      <c r="I3" s="40"/>
      <c r="J3" s="40"/>
      <c r="K3" s="40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53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283</v>
      </c>
      <c r="C6" s="7" t="s">
        <v>284</v>
      </c>
      <c r="D6" s="7" t="s">
        <v>56</v>
      </c>
      <c r="E6" s="7" t="str">
        <f>"0,5786"</f>
        <v>0,5786</v>
      </c>
      <c r="F6" s="7" t="s">
        <v>14</v>
      </c>
      <c r="G6" s="13" t="s">
        <v>21</v>
      </c>
      <c r="H6" s="13" t="s">
        <v>22</v>
      </c>
      <c r="I6" s="14" t="s">
        <v>151</v>
      </c>
      <c r="J6" s="8"/>
      <c r="K6" s="8" t="str">
        <f>"215,0"</f>
        <v>215,0</v>
      </c>
      <c r="L6" s="8" t="str">
        <f>"124,3990"</f>
        <v>124,3990</v>
      </c>
      <c r="M6" s="7"/>
    </row>
    <row r="7" spans="1:13">
      <c r="B7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28" t="s">
        <v>377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" customHeight="1" thickBo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434</v>
      </c>
      <c r="B3" s="41" t="s">
        <v>0</v>
      </c>
      <c r="C3" s="38" t="s">
        <v>435</v>
      </c>
      <c r="D3" s="38" t="s">
        <v>5</v>
      </c>
      <c r="E3" s="40" t="s">
        <v>436</v>
      </c>
      <c r="F3" s="40" t="s">
        <v>6</v>
      </c>
      <c r="G3" s="40" t="s">
        <v>8</v>
      </c>
      <c r="H3" s="40"/>
      <c r="I3" s="40"/>
      <c r="J3" s="40"/>
      <c r="K3" s="40" t="s">
        <v>206</v>
      </c>
      <c r="L3" s="40" t="s">
        <v>3</v>
      </c>
      <c r="M3" s="43" t="s">
        <v>2</v>
      </c>
    </row>
    <row r="4" spans="1:13" s="1" customFormat="1" ht="21" customHeight="1" thickBot="1">
      <c r="A4" s="37"/>
      <c r="B4" s="42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44"/>
    </row>
    <row r="5" spans="1:13" ht="16">
      <c r="A5" s="45" t="s">
        <v>103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62</v>
      </c>
      <c r="B6" s="7" t="s">
        <v>280</v>
      </c>
      <c r="C6" s="7" t="s">
        <v>281</v>
      </c>
      <c r="D6" s="7" t="s">
        <v>282</v>
      </c>
      <c r="E6" s="7" t="str">
        <f>"0,6421"</f>
        <v>0,6421</v>
      </c>
      <c r="F6" s="7" t="s">
        <v>14</v>
      </c>
      <c r="G6" s="13" t="s">
        <v>33</v>
      </c>
      <c r="H6" s="13" t="s">
        <v>16</v>
      </c>
      <c r="I6" s="14" t="s">
        <v>21</v>
      </c>
      <c r="J6" s="8"/>
      <c r="K6" s="8" t="str">
        <f>"185,0"</f>
        <v>185,0</v>
      </c>
      <c r="L6" s="8" t="str">
        <f>"118,7885"</f>
        <v>118,7885</v>
      </c>
      <c r="M6" s="7" t="s">
        <v>404</v>
      </c>
    </row>
    <row r="7" spans="1:13">
      <c r="B7" s="5" t="s">
        <v>63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Присед в бинтах ДК</vt:lpstr>
      <vt:lpstr>IPL Жим без экипировки ДК</vt:lpstr>
      <vt:lpstr>IPL Жим без экипировки</vt:lpstr>
      <vt:lpstr>IPL Жим однослой ДК</vt:lpstr>
      <vt:lpstr>IPL Жим однослой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IPL Тяга без экипировки ДК</vt:lpstr>
      <vt:lpstr>IPL Тяга без экипировки</vt:lpstr>
      <vt:lpstr>СПР Жим стоя ДК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2020-09-27T02:10:51Z</dcterms:modified>
</cp:coreProperties>
</file>