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Сентябрь/"/>
    </mc:Choice>
  </mc:AlternateContent>
  <xr:revisionPtr revIDLastSave="0" documentId="13_ncr:1_{69C36BC5-781E-504B-8156-4489C579CD07}" xr6:coauthVersionLast="45" xr6:coauthVersionMax="45" xr10:uidLastSave="{00000000-0000-0000-0000-000000000000}"/>
  <bookViews>
    <workbookView xWindow="0" yWindow="460" windowWidth="28800" windowHeight="16100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" sheetId="5" r:id="rId3"/>
    <sheet name="WRPF Жим лежа без экип ДК" sheetId="15" r:id="rId4"/>
    <sheet name="WRPF Жим лежа без экип" sheetId="14" r:id="rId5"/>
    <sheet name="WEPF Жим софт однопетельная ДК" sheetId="16" r:id="rId6"/>
    <sheet name="WEPF Жим софт однопетельная" sheetId="13" r:id="rId7"/>
    <sheet name="WEPF Жим софт многопетельнаяДК" sheetId="20" r:id="rId8"/>
    <sheet name="WRPF Жим СФО" sheetId="40" r:id="rId9"/>
    <sheet name="WRPF Тяга без экипировки ДК" sheetId="24" r:id="rId10"/>
    <sheet name="WRPF Тяга без экипировки" sheetId="23" r:id="rId11"/>
    <sheet name="WRPF Подъем на бицепс" sheetId="31" r:id="rId12"/>
  </sheets>
  <definedNames>
    <definedName name="_FilterDatabase" localSheetId="2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6" i="9" l="1"/>
  <c r="L6" i="40" l="1"/>
  <c r="K6" i="40"/>
  <c r="L17" i="31"/>
  <c r="K17" i="31"/>
  <c r="L14" i="31"/>
  <c r="K14" i="31"/>
  <c r="L13" i="31"/>
  <c r="K13" i="31"/>
  <c r="L10" i="31"/>
  <c r="K10" i="31"/>
  <c r="L9" i="31"/>
  <c r="K9" i="31"/>
  <c r="L6" i="31"/>
  <c r="K6" i="31"/>
  <c r="L19" i="24"/>
  <c r="K19" i="24"/>
  <c r="L16" i="24"/>
  <c r="K16" i="24"/>
  <c r="L15" i="24"/>
  <c r="K15" i="24"/>
  <c r="L14" i="24"/>
  <c r="K14" i="24"/>
  <c r="L13" i="24"/>
  <c r="K13" i="24"/>
  <c r="L10" i="24"/>
  <c r="K10" i="24"/>
  <c r="L9" i="24"/>
  <c r="K9" i="24"/>
  <c r="L6" i="24"/>
  <c r="K6" i="24"/>
  <c r="L24" i="23"/>
  <c r="K24" i="23"/>
  <c r="L21" i="23"/>
  <c r="K21" i="23"/>
  <c r="L18" i="23"/>
  <c r="K18" i="23"/>
  <c r="L15" i="23"/>
  <c r="K15" i="23"/>
  <c r="L12" i="23"/>
  <c r="K12" i="23"/>
  <c r="L9" i="23"/>
  <c r="K9" i="23"/>
  <c r="L6" i="23"/>
  <c r="K6" i="23"/>
  <c r="L6" i="20"/>
  <c r="L10" i="16"/>
  <c r="K10" i="16"/>
  <c r="L7" i="16"/>
  <c r="K7" i="16"/>
  <c r="L6" i="16"/>
  <c r="K6" i="16"/>
  <c r="L30" i="15"/>
  <c r="K30" i="15"/>
  <c r="L27" i="15"/>
  <c r="K27" i="15"/>
  <c r="L24" i="15"/>
  <c r="K24" i="15"/>
  <c r="L23" i="15"/>
  <c r="K23" i="15"/>
  <c r="L22" i="15"/>
  <c r="K22" i="15"/>
  <c r="L19" i="15"/>
  <c r="K19" i="15"/>
  <c r="L18" i="15"/>
  <c r="K18" i="15"/>
  <c r="L15" i="15"/>
  <c r="K15" i="15"/>
  <c r="L14" i="15"/>
  <c r="K14" i="15"/>
  <c r="L11" i="15"/>
  <c r="K11" i="15"/>
  <c r="L8" i="15"/>
  <c r="L7" i="15"/>
  <c r="L6" i="15"/>
  <c r="K6" i="15"/>
  <c r="L30" i="14"/>
  <c r="K30" i="14"/>
  <c r="L27" i="14"/>
  <c r="K27" i="14"/>
  <c r="L26" i="14"/>
  <c r="K26" i="14"/>
  <c r="L25" i="14"/>
  <c r="K25" i="14"/>
  <c r="L22" i="14"/>
  <c r="K22" i="14"/>
  <c r="L19" i="14"/>
  <c r="K19" i="14"/>
  <c r="L16" i="14"/>
  <c r="L13" i="14"/>
  <c r="K13" i="14"/>
  <c r="L10" i="14"/>
  <c r="K10" i="14"/>
  <c r="L9" i="14"/>
  <c r="K9" i="14"/>
  <c r="L6" i="14"/>
  <c r="K6" i="14"/>
  <c r="L14" i="13"/>
  <c r="K14" i="13"/>
  <c r="L11" i="13"/>
  <c r="K11" i="13"/>
  <c r="L10" i="13"/>
  <c r="K10" i="13"/>
  <c r="L9" i="13"/>
  <c r="K9" i="13"/>
  <c r="L6" i="13"/>
  <c r="K6" i="13"/>
  <c r="T34" i="10"/>
  <c r="S34" i="10"/>
  <c r="T31" i="10"/>
  <c r="S31" i="10"/>
  <c r="T30" i="10"/>
  <c r="S30" i="10"/>
  <c r="T27" i="10"/>
  <c r="S27" i="10"/>
  <c r="T26" i="10"/>
  <c r="S26" i="10"/>
  <c r="T23" i="10"/>
  <c r="S23" i="10"/>
  <c r="T20" i="10"/>
  <c r="S20" i="10"/>
  <c r="T17" i="10"/>
  <c r="S17" i="10"/>
  <c r="T16" i="10"/>
  <c r="S16" i="10"/>
  <c r="T13" i="10"/>
  <c r="S13" i="10"/>
  <c r="T12" i="10"/>
  <c r="S12" i="10"/>
  <c r="T9" i="10"/>
  <c r="S9" i="10"/>
  <c r="T6" i="10"/>
  <c r="S6" i="10"/>
  <c r="T19" i="9"/>
  <c r="S19" i="9"/>
  <c r="T13" i="9"/>
  <c r="S13" i="9"/>
  <c r="T12" i="9"/>
  <c r="S12" i="9"/>
  <c r="T9" i="9"/>
  <c r="S9" i="9"/>
  <c r="T6" i="9"/>
  <c r="S6" i="9"/>
  <c r="T9" i="5"/>
  <c r="S9" i="5"/>
  <c r="T6" i="5"/>
  <c r="S6" i="5"/>
</calcChain>
</file>

<file path=xl/sharedStrings.xml><?xml version="1.0" encoding="utf-8"?>
<sst xmlns="http://schemas.openxmlformats.org/spreadsheetml/2006/main" count="1155" uniqueCount="374">
  <si>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</si>
  <si>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</si>
  <si>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</si>
  <si>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</si>
  <si>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</si>
  <si>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</si>
  <si>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</si>
  <si>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</si>
  <si>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</si>
  <si>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</si>
  <si>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</si>
  <si>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Печерская Елена</t>
  </si>
  <si>
    <t>Открытая (08.02.1991)/29</t>
  </si>
  <si>
    <t>75,00</t>
  </si>
  <si>
    <t>170,0</t>
  </si>
  <si>
    <t>180,0</t>
  </si>
  <si>
    <t>190,0</t>
  </si>
  <si>
    <t>90,0</t>
  </si>
  <si>
    <t>95,0</t>
  </si>
  <si>
    <t>100,0</t>
  </si>
  <si>
    <t>187,5</t>
  </si>
  <si>
    <t xml:space="preserve">Суслов Н. </t>
  </si>
  <si>
    <t>ВЕСОВАЯ КАТЕГОРИЯ   90</t>
  </si>
  <si>
    <t>Катаев Ленур</t>
  </si>
  <si>
    <t>Открытая (11.10.1994)/25</t>
  </si>
  <si>
    <t>90,00</t>
  </si>
  <si>
    <t>250,0</t>
  </si>
  <si>
    <t>265,0</t>
  </si>
  <si>
    <t>192,5</t>
  </si>
  <si>
    <t>197,5</t>
  </si>
  <si>
    <t>260,0</t>
  </si>
  <si>
    <t>270,0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</si>
  <si>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</si>
  <si>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</si>
  <si>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</si>
  <si>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</si>
  <si>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</si>
  <si>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Мужчины </t>
  </si>
  <si>
    <t>90</t>
  </si>
  <si>
    <t>1</t>
  </si>
  <si>
    <t/>
  </si>
  <si>
    <t>ВЕСОВАЯ КАТЕГОРИЯ   67.5</t>
  </si>
  <si>
    <t>Антонова Юлия</t>
  </si>
  <si>
    <t>Открытая (01.02.1980)/40</t>
  </si>
  <si>
    <t>64,00</t>
  </si>
  <si>
    <t>150,0</t>
  </si>
  <si>
    <t>157,5</t>
  </si>
  <si>
    <t>97,5</t>
  </si>
  <si>
    <t>155,0</t>
  </si>
  <si>
    <t>165,0</t>
  </si>
  <si>
    <t>175,0</t>
  </si>
  <si>
    <t xml:space="preserve">Анненков Э. </t>
  </si>
  <si>
    <t>Черемных Иван</t>
  </si>
  <si>
    <t>Юноши 14-16 (04.11.2005)/14</t>
  </si>
  <si>
    <t>69,30</t>
  </si>
  <si>
    <t>107,5</t>
  </si>
  <si>
    <t>115,0</t>
  </si>
  <si>
    <t>80,0</t>
  </si>
  <si>
    <t>85,0</t>
  </si>
  <si>
    <t>110,0</t>
  </si>
  <si>
    <t>120,0</t>
  </si>
  <si>
    <t>130,0</t>
  </si>
  <si>
    <t>Коротич Кирилл</t>
  </si>
  <si>
    <t>Юниоры (15.08.1997)/23</t>
  </si>
  <si>
    <t>89,00</t>
  </si>
  <si>
    <t>200,0</t>
  </si>
  <si>
    <t>215,0</t>
  </si>
  <si>
    <t>220,0</t>
  </si>
  <si>
    <t>135,0</t>
  </si>
  <si>
    <t>145,0</t>
  </si>
  <si>
    <t>237,5</t>
  </si>
  <si>
    <t>247,5</t>
  </si>
  <si>
    <t xml:space="preserve">Поддубный Д. </t>
  </si>
  <si>
    <t>Открытая (15.08.1997)/23</t>
  </si>
  <si>
    <t>ВЕСОВАЯ КАТЕГОРИЯ   125</t>
  </si>
  <si>
    <t>Буряченко Андрей</t>
  </si>
  <si>
    <t>Открытая (30.12.1976)/43</t>
  </si>
  <si>
    <t>120,30</t>
  </si>
  <si>
    <t>225,0</t>
  </si>
  <si>
    <t>235,0</t>
  </si>
  <si>
    <t>245,0</t>
  </si>
  <si>
    <t>205,0</t>
  </si>
  <si>
    <t>240,0</t>
  </si>
  <si>
    <t>255,0</t>
  </si>
  <si>
    <t>ВЕСОВАЯ КАТЕГОРИЯ   140+</t>
  </si>
  <si>
    <t>Клюка Антон</t>
  </si>
  <si>
    <t>Открытая (30.10.1983)/36</t>
  </si>
  <si>
    <t>157,00</t>
  </si>
  <si>
    <t>310,0</t>
  </si>
  <si>
    <t>335,0</t>
  </si>
  <si>
    <t>350,0</t>
  </si>
  <si>
    <t>300,0</t>
  </si>
  <si>
    <t>325,0</t>
  </si>
  <si>
    <t>ВЕСОВАЯ КАТЕГОРИЯ   48</t>
  </si>
  <si>
    <t>Виниченко Ольга</t>
  </si>
  <si>
    <t>Открытая (08.08.1996)/24</t>
  </si>
  <si>
    <t>45,60</t>
  </si>
  <si>
    <t>55,0</t>
  </si>
  <si>
    <t>62,5</t>
  </si>
  <si>
    <t>70,0</t>
  </si>
  <si>
    <t>32,5</t>
  </si>
  <si>
    <t>37,5</t>
  </si>
  <si>
    <t>40,0</t>
  </si>
  <si>
    <t>60,0</t>
  </si>
  <si>
    <t>65,0</t>
  </si>
  <si>
    <t xml:space="preserve">Атаев Р. </t>
  </si>
  <si>
    <t>ВЕСОВАЯ КАТЕГОРИЯ   52</t>
  </si>
  <si>
    <t>Истраткина Ольга</t>
  </si>
  <si>
    <t>Девушки 17-19 (29.12.2000)/19</t>
  </si>
  <si>
    <t>52,00</t>
  </si>
  <si>
    <t>105,0</t>
  </si>
  <si>
    <t>45,0</t>
  </si>
  <si>
    <t>50,0</t>
  </si>
  <si>
    <t xml:space="preserve">Хасая Х. </t>
  </si>
  <si>
    <t>ВЕСОВАЯ КАТЕГОРИЯ   56</t>
  </si>
  <si>
    <t>Аксёнова Наталья</t>
  </si>
  <si>
    <t>Юниорки (31.10.1998)/21</t>
  </si>
  <si>
    <t>55,70</t>
  </si>
  <si>
    <t>47,5</t>
  </si>
  <si>
    <t>Новрузова Рена</t>
  </si>
  <si>
    <t>Открытая (17.12.1987)/32</t>
  </si>
  <si>
    <t>54,70</t>
  </si>
  <si>
    <t>117,5</t>
  </si>
  <si>
    <t>127,5</t>
  </si>
  <si>
    <t xml:space="preserve">Салимов У. </t>
  </si>
  <si>
    <t>Остапенко Елена</t>
  </si>
  <si>
    <t>Открытая (21.04.1993)/27</t>
  </si>
  <si>
    <t>66,40</t>
  </si>
  <si>
    <t xml:space="preserve">Михайлутин Н. </t>
  </si>
  <si>
    <t>Котенко Ирина</t>
  </si>
  <si>
    <t>Открытая (18.11.1987)/32</t>
  </si>
  <si>
    <t>66,10</t>
  </si>
  <si>
    <t>42,5</t>
  </si>
  <si>
    <t>ВЕСОВАЯ КАТЕГОРИЯ   90+</t>
  </si>
  <si>
    <t>Ярошенко Екатерина</t>
  </si>
  <si>
    <t>Открытая (15.04.1993)/27</t>
  </si>
  <si>
    <t>94,60</t>
  </si>
  <si>
    <t>125,0</t>
  </si>
  <si>
    <t>52,5</t>
  </si>
  <si>
    <t>142,5</t>
  </si>
  <si>
    <t xml:space="preserve">Эреджепов Р. </t>
  </si>
  <si>
    <t>Богодист Владислав</t>
  </si>
  <si>
    <t>Юноши 14-16 (20.01.2004)/16</t>
  </si>
  <si>
    <t>65,60</t>
  </si>
  <si>
    <t>140,0</t>
  </si>
  <si>
    <t>Воронин Даниил</t>
  </si>
  <si>
    <t>Юноши 17-19 (07.03.2002)/18</t>
  </si>
  <si>
    <t>86,00</t>
  </si>
  <si>
    <t>210,0</t>
  </si>
  <si>
    <t>Михайлутин Николай</t>
  </si>
  <si>
    <t>Открытая (08.03.1988)/32</t>
  </si>
  <si>
    <t>86,90</t>
  </si>
  <si>
    <t>ВЕСОВАЯ КАТЕГОРИЯ   100</t>
  </si>
  <si>
    <t>Гордиенко Николай</t>
  </si>
  <si>
    <t>Открытая (13.01.1992)/28</t>
  </si>
  <si>
    <t>94,10</t>
  </si>
  <si>
    <t>230,0</t>
  </si>
  <si>
    <t>252,5</t>
  </si>
  <si>
    <t>Никишов Юрий</t>
  </si>
  <si>
    <t>Открытая (29.02.1984)/36</t>
  </si>
  <si>
    <t>99,40</t>
  </si>
  <si>
    <t>185,0</t>
  </si>
  <si>
    <t>Сейт-Арифов Хайсер</t>
  </si>
  <si>
    <t>Открытая (10.06.1987)/33</t>
  </si>
  <si>
    <t>123,00</t>
  </si>
  <si>
    <t>132,5</t>
  </si>
  <si>
    <t xml:space="preserve">Сейтнебиев М. </t>
  </si>
  <si>
    <t>56</t>
  </si>
  <si>
    <t>307,5</t>
  </si>
  <si>
    <t>90+</t>
  </si>
  <si>
    <t>337,5</t>
  </si>
  <si>
    <t>100</t>
  </si>
  <si>
    <t>2</t>
  </si>
  <si>
    <t>Стасюк Денис</t>
  </si>
  <si>
    <t>Открытая (30.05.1993)/27</t>
  </si>
  <si>
    <t>90,90</t>
  </si>
  <si>
    <t xml:space="preserve">Стасюк А. </t>
  </si>
  <si>
    <t>Багач Сергей</t>
  </si>
  <si>
    <t>Мастера 40-49 (01.05.1973)/47</t>
  </si>
  <si>
    <t>96,70</t>
  </si>
  <si>
    <t>202,5</t>
  </si>
  <si>
    <t>212,5</t>
  </si>
  <si>
    <t>Леоненко Василий</t>
  </si>
  <si>
    <t>Мастера 50-59 (06.04.1967)/53</t>
  </si>
  <si>
    <t xml:space="preserve">Похватько Р. </t>
  </si>
  <si>
    <t>ВЕСОВАЯ КАТЕГОРИЯ   110</t>
  </si>
  <si>
    <t>Стасюк Артем</t>
  </si>
  <si>
    <t>102,35</t>
  </si>
  <si>
    <t>290,0</t>
  </si>
  <si>
    <t xml:space="preserve">Результат </t>
  </si>
  <si>
    <t>Результат</t>
  </si>
  <si>
    <t>ВЕСОВАЯ КАТЕГОРИЯ   60</t>
  </si>
  <si>
    <t>Суховей Наталья</t>
  </si>
  <si>
    <t>Мастера 50-59 (25.11.1960)/59</t>
  </si>
  <si>
    <t>57,30</t>
  </si>
  <si>
    <t xml:space="preserve">Антонова Ю. </t>
  </si>
  <si>
    <t>Никишова Анна</t>
  </si>
  <si>
    <t>Открытая (26.12.1989)/30</t>
  </si>
  <si>
    <t>67,50</t>
  </si>
  <si>
    <t>162,5</t>
  </si>
  <si>
    <t xml:space="preserve">Смирнов Б. </t>
  </si>
  <si>
    <t>Орещук Александра</t>
  </si>
  <si>
    <t>Открытая (14.08.1981)/39</t>
  </si>
  <si>
    <t>71,70</t>
  </si>
  <si>
    <t xml:space="preserve">Павленко Д. </t>
  </si>
  <si>
    <t>ВЕСОВАЯ КАТЕГОРИЯ   82.5</t>
  </si>
  <si>
    <t>Чжан Даниил</t>
  </si>
  <si>
    <t>Юноши 14-16 (08.12.2003)/16</t>
  </si>
  <si>
    <t>76,90</t>
  </si>
  <si>
    <t>87,5</t>
  </si>
  <si>
    <t>Виноградский Артём</t>
  </si>
  <si>
    <t>Открытая (15.08.1986)/34</t>
  </si>
  <si>
    <t>87,50</t>
  </si>
  <si>
    <t>Кирияк Виктор</t>
  </si>
  <si>
    <t>Открытая (22.06.1996)/24</t>
  </si>
  <si>
    <t>98,00</t>
  </si>
  <si>
    <t>195,0</t>
  </si>
  <si>
    <t>Павленко Денис</t>
  </si>
  <si>
    <t>Открытая (11.03.1993)/27</t>
  </si>
  <si>
    <t>104,60</t>
  </si>
  <si>
    <t>217,5</t>
  </si>
  <si>
    <t>222,5</t>
  </si>
  <si>
    <t>Агафонов Максим</t>
  </si>
  <si>
    <t>Открытая (17.08.1980)/40</t>
  </si>
  <si>
    <t>106,90</t>
  </si>
  <si>
    <t>Мастера 40-49 (17.08.1980)/40</t>
  </si>
  <si>
    <t>Педосюк Сергей</t>
  </si>
  <si>
    <t>Мастера 50-59 (18.07.1966)/54</t>
  </si>
  <si>
    <t>116,00</t>
  </si>
  <si>
    <t xml:space="preserve">Багач С. </t>
  </si>
  <si>
    <t>-</t>
  </si>
  <si>
    <t>Дейнеко Светлана</t>
  </si>
  <si>
    <t>Открытая (25.05.1986)/34</t>
  </si>
  <si>
    <t>53,80</t>
  </si>
  <si>
    <t>Разумова Наталья</t>
  </si>
  <si>
    <t>Открытая (05.07.1976)/44</t>
  </si>
  <si>
    <t>56,00</t>
  </si>
  <si>
    <t>72,5</t>
  </si>
  <si>
    <t>Мастера 40-49 (05.07.1976)/44</t>
  </si>
  <si>
    <t>Марук Оксана</t>
  </si>
  <si>
    <t>Открытая (06.02.1973)/47</t>
  </si>
  <si>
    <t>66,00</t>
  </si>
  <si>
    <t>75,0</t>
  </si>
  <si>
    <t>Солдаткин Никита</t>
  </si>
  <si>
    <t>81,60</t>
  </si>
  <si>
    <t>Открытая (31.08.2003)/17</t>
  </si>
  <si>
    <t>Рогов Андрей</t>
  </si>
  <si>
    <t>Открытая (26.12.1987)/32</t>
  </si>
  <si>
    <t>89,10</t>
  </si>
  <si>
    <t>160,0</t>
  </si>
  <si>
    <t>Хухрин Дмитрий</t>
  </si>
  <si>
    <t>Открытая (30.11.1988)/31</t>
  </si>
  <si>
    <t>86,80</t>
  </si>
  <si>
    <t>Якушев Андрей</t>
  </si>
  <si>
    <t>Юноши 14-16 (22.07.2004)/16</t>
  </si>
  <si>
    <t>96,00</t>
  </si>
  <si>
    <t xml:space="preserve">Камышнюк С. </t>
  </si>
  <si>
    <t>Циснецкий Антон</t>
  </si>
  <si>
    <t>Открытая (06.05.1991)/29</t>
  </si>
  <si>
    <t>98,10</t>
  </si>
  <si>
    <t>Шульга Олег</t>
  </si>
  <si>
    <t>Мастера 50-59 (31.03.1969)/51</t>
  </si>
  <si>
    <t>98,70</t>
  </si>
  <si>
    <t>Матюшенко Юрий</t>
  </si>
  <si>
    <t>Мастера 50-59 (18.01.1969)/51</t>
  </si>
  <si>
    <t>108,70</t>
  </si>
  <si>
    <t>ВЕСОВАЯ КАТЕГОРИЯ   140</t>
  </si>
  <si>
    <t>Буянов Александр</t>
  </si>
  <si>
    <t>Открытая (18.05.1981)/39</t>
  </si>
  <si>
    <t>131,60</t>
  </si>
  <si>
    <t>177,5</t>
  </si>
  <si>
    <t>182,5</t>
  </si>
  <si>
    <t>140</t>
  </si>
  <si>
    <t>Григорян Эдуард</t>
  </si>
  <si>
    <t>Открытая (12.05.1977)/43</t>
  </si>
  <si>
    <t>79,40</t>
  </si>
  <si>
    <t>Мастера 40-49 (12.05.1977)/43</t>
  </si>
  <si>
    <t>Копылов Максим</t>
  </si>
  <si>
    <t>Открытая (11.05.1996)/24</t>
  </si>
  <si>
    <t>97,00</t>
  </si>
  <si>
    <t xml:space="preserve">Листопад И. </t>
  </si>
  <si>
    <t>Хроменкова Людмила</t>
  </si>
  <si>
    <t>Открытая (20.09.1961)/59</t>
  </si>
  <si>
    <t>55,90</t>
  </si>
  <si>
    <t xml:space="preserve">Хроменков А. </t>
  </si>
  <si>
    <t>82,50</t>
  </si>
  <si>
    <t>Хроменков Алексей</t>
  </si>
  <si>
    <t>Мастера 60-69 (02.10.1957)/62</t>
  </si>
  <si>
    <t>100,00</t>
  </si>
  <si>
    <t>Эреджепов Рустем</t>
  </si>
  <si>
    <t>Открытая (05.08.1982)/38</t>
  </si>
  <si>
    <t>107,50</t>
  </si>
  <si>
    <t>280,0</t>
  </si>
  <si>
    <t>Хайбуллаев Идрис</t>
  </si>
  <si>
    <t>Открытая (23.08.1993)/27</t>
  </si>
  <si>
    <t xml:space="preserve">Пинчук В. </t>
  </si>
  <si>
    <t>Котнышев Михаил</t>
  </si>
  <si>
    <t>Юниоры (25.03.1997)/23</t>
  </si>
  <si>
    <t>78,60</t>
  </si>
  <si>
    <t>Писарев Николай</t>
  </si>
  <si>
    <t>Открытая (30.06.1988)/32</t>
  </si>
  <si>
    <t>80,80</t>
  </si>
  <si>
    <t>Открытая (06.04.1967)/53</t>
  </si>
  <si>
    <t>Левченко Вадим</t>
  </si>
  <si>
    <t>Открытая (23.01.2000)/20</t>
  </si>
  <si>
    <t>100,10</t>
  </si>
  <si>
    <t>Подъем на бицепс</t>
  </si>
  <si>
    <t>Сушко Наталья</t>
  </si>
  <si>
    <t>Открытая (12.07.1982)/38</t>
  </si>
  <si>
    <t>54,50</t>
  </si>
  <si>
    <t>20,0</t>
  </si>
  <si>
    <t>25,0</t>
  </si>
  <si>
    <t xml:space="preserve">Белянский Е. </t>
  </si>
  <si>
    <t>Турчин Владимир</t>
  </si>
  <si>
    <t>82,80</t>
  </si>
  <si>
    <t>57,5</t>
  </si>
  <si>
    <t>Белянский Евгений</t>
  </si>
  <si>
    <t>Открытая (16.03.1988)/32</t>
  </si>
  <si>
    <t>98,40</t>
  </si>
  <si>
    <t>Бураков Александр</t>
  </si>
  <si>
    <t>Открытая (15.06.1993)/27</t>
  </si>
  <si>
    <t>77,5</t>
  </si>
  <si>
    <t>Согин Вадим</t>
  </si>
  <si>
    <t>Открытая (13.07.1982)/38</t>
  </si>
  <si>
    <t>122,45</t>
  </si>
  <si>
    <t>Мамутов Руслан</t>
  </si>
  <si>
    <t>Открытая (12.08.1993)/27</t>
  </si>
  <si>
    <t>81,90</t>
  </si>
  <si>
    <t xml:space="preserve">Бураков А. </t>
  </si>
  <si>
    <t xml:space="preserve">Севастополь/Республика Крым </t>
  </si>
  <si>
    <t xml:space="preserve">Симферополь/Республика Крым </t>
  </si>
  <si>
    <t>Всероссийский мастерский турнир «Могущество Атлантов IV»
WRPF любители Пауэрлифтинг без экипировки ДК
Симферополь/Республика Крым, 27 сентября 2020 года</t>
  </si>
  <si>
    <t>Всероссийский мастерский турнир «Могущество Атлантов IV»
WRPF любители Пауэрлифтинг без экипировки
Симферополь/Республика Крым, 27 сентября 2020 года</t>
  </si>
  <si>
    <t>Всероссийский мастерский турнир «Могущество Атлантов IV»
WRPF любители Пауэрлифтинг классический в бинтах
Симферополь/Республика Крым, 27 сентября 2020 года</t>
  </si>
  <si>
    <t>Всероссийский мастерский турнир «Могущество Атлантов IV»
WRPF любители Жим лежа без экипировки ДК
Симферополь/Республика Крым, 27 сентября 2020 года</t>
  </si>
  <si>
    <t>Всероссийский мастерский турнир «Могущество Атлантов IV»
WRPF любители Жим лежа без экипировки
Симферополь/Республика Крым, 27 сентября 2020 года</t>
  </si>
  <si>
    <t>Всероссийский мастерский турнир «Могущество Атлантов IV»
WEPF Жим лежа в однопетельной софт экипировке ДК
Симферополь/Республика Крым, 27 сентября 2020 года</t>
  </si>
  <si>
    <t>Всероссийский мастерский турнир «Могущество Атлантов IV»
WEPF Жим лежа в однопетельной софт экипировке
Симферополь/Республика Крым, 27 сентября 2020 года</t>
  </si>
  <si>
    <t>Всероссийский мастерский турнир «Могущество Атлантов IV»
WEPF Жим лежа в многопетельной софт экипировке ДК
Симферополь/Республика Крым, 27 сентября 2020 года</t>
  </si>
  <si>
    <t>Всероссийский мастерский турнир «Могущество Атлантов IV»
WRPF Жим лежа СФО
Симферополь/Республика Крым, 27 сентября 2020 года</t>
  </si>
  <si>
    <t>Всероссийский мастерский турнир «Могущество Атлантов IV»
WRPF любители Становая тяга без экипировки ДК
Симферополь/Республика Крым, 27 сентября 2020 года</t>
  </si>
  <si>
    <t>Всероссийский мастерский турнир «Могущество Атлантов IV»
WRPF любители Становая тяга без экипировки
Симферополь/Республика Крым, 27 сентября 2020 года</t>
  </si>
  <si>
    <t>Всероссийский мастерский турнир «Могущество Атлантов IV»
WRPF Строгий подъем штанги на бицепс
Симферополь/Республика Крым, 27 сентября 2020 года</t>
  </si>
  <si>
    <t xml:space="preserve">Севастополь/ Республика Крым </t>
  </si>
  <si>
    <t xml:space="preserve">Белогорск/Республика Крым </t>
  </si>
  <si>
    <t xml:space="preserve">Керчь/Республика Крым </t>
  </si>
  <si>
    <t xml:space="preserve">Ялта/Республика Крым </t>
  </si>
  <si>
    <t xml:space="preserve">Саки/Республика Крым </t>
  </si>
  <si>
    <t xml:space="preserve">Бахчисарай/Республика Крым </t>
  </si>
  <si>
    <t>Сулава И.</t>
  </si>
  <si>
    <t>Похватько Р.</t>
  </si>
  <si>
    <t>Сороколетов Е.</t>
  </si>
  <si>
    <t>Эреджепов Т.</t>
  </si>
  <si>
    <t>Белаш Д.</t>
  </si>
  <si>
    <t>Павленко Д.</t>
  </si>
  <si>
    <t>Быков П.</t>
  </si>
  <si>
    <t>Багач С.</t>
  </si>
  <si>
    <t>Юноши 17-19 (31.08.2003)/17</t>
  </si>
  <si>
    <t>Горбунов В.</t>
  </si>
  <si>
    <t>Открытая</t>
  </si>
  <si>
    <t>Весовая категория</t>
  </si>
  <si>
    <t>Мастера 40-49 (27.08.1976)/44</t>
  </si>
  <si>
    <t>Дмитрий Б.</t>
  </si>
  <si>
    <t xml:space="preserve">Новофедоровка/Республика Крым </t>
  </si>
  <si>
    <t>№</t>
  </si>
  <si>
    <t xml:space="preserve">
Дата рождения/Возраст</t>
  </si>
  <si>
    <t>Возрастная группа</t>
  </si>
  <si>
    <t>O</t>
  </si>
  <si>
    <t>T2</t>
  </si>
  <si>
    <t>J</t>
  </si>
  <si>
    <t>T1</t>
  </si>
  <si>
    <t>M1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</si>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</sst>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44"/>
  <sheetViews>
    <sheetView tabSelected="1"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9.5" style="7" bestFit="1" customWidth="1"/>
    <col min="3" max="3" width="27.83203125" style="7" customWidth="1"/>
    <col min="4" max="4" width="21.5" style="7" bestFit="1" customWidth="1"/>
    <col min="5" max="5" width="10.5" style="7" bestFit="1" customWidth="1"/>
    <col min="6" max="6" width="32.33203125" style="7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8" bestFit="1" customWidth="1"/>
    <col min="20" max="20" width="8.5" style="8" bestFit="1" customWidth="1"/>
    <col min="21" max="21" width="26.6640625" style="7" bestFit="1" customWidth="1"/>
    <col min="22" max="16384" width="9.1640625" style="3"/>
  </cols>
  <sheetData>
    <row r="1" spans="1:21" s="2" customFormat="1" ht="29" customHeight="1">
      <c r="A1" s="43" t="s">
        <v>331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93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10" t="s">
        <v>39</v>
      </c>
      <c r="B6" s="9" t="s">
        <v>94</v>
      </c>
      <c r="C6" s="9" t="s">
        <v>95</v>
      </c>
      <c r="D6" s="9" t="s">
        <v>96</v>
      </c>
      <c r="E6" s="9" t="s">
        <v>367</v>
      </c>
      <c r="F6" s="9" t="s">
        <v>330</v>
      </c>
      <c r="G6" s="16" t="s">
        <v>97</v>
      </c>
      <c r="H6" s="16" t="s">
        <v>98</v>
      </c>
      <c r="I6" s="17" t="s">
        <v>99</v>
      </c>
      <c r="J6" s="10"/>
      <c r="K6" s="16" t="s">
        <v>100</v>
      </c>
      <c r="L6" s="16" t="s">
        <v>101</v>
      </c>
      <c r="M6" s="17" t="s">
        <v>102</v>
      </c>
      <c r="N6" s="10"/>
      <c r="O6" s="16" t="s">
        <v>103</v>
      </c>
      <c r="P6" s="16" t="s">
        <v>104</v>
      </c>
      <c r="Q6" s="16" t="s">
        <v>99</v>
      </c>
      <c r="R6" s="10"/>
      <c r="S6" s="10" t="str">
        <f>"170,0"</f>
        <v>170,0</v>
      </c>
      <c r="T6" s="10" t="str">
        <f>"233,5970"</f>
        <v>233,5970</v>
      </c>
      <c r="U6" s="9" t="s">
        <v>105</v>
      </c>
    </row>
    <row r="7" spans="1:21">
      <c r="B7" s="7" t="s">
        <v>40</v>
      </c>
    </row>
    <row r="8" spans="1:21" ht="16">
      <c r="A8" s="54" t="s">
        <v>106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1">
      <c r="A9" s="10" t="s">
        <v>39</v>
      </c>
      <c r="B9" s="9" t="s">
        <v>107</v>
      </c>
      <c r="C9" s="9" t="s">
        <v>108</v>
      </c>
      <c r="D9" s="9" t="s">
        <v>109</v>
      </c>
      <c r="E9" s="9" t="s">
        <v>368</v>
      </c>
      <c r="F9" s="9" t="s">
        <v>330</v>
      </c>
      <c r="G9" s="16" t="s">
        <v>58</v>
      </c>
      <c r="H9" s="16" t="s">
        <v>18</v>
      </c>
      <c r="I9" s="17" t="s">
        <v>110</v>
      </c>
      <c r="J9" s="10"/>
      <c r="K9" s="16" t="s">
        <v>111</v>
      </c>
      <c r="L9" s="17" t="s">
        <v>112</v>
      </c>
      <c r="M9" s="17" t="s">
        <v>112</v>
      </c>
      <c r="N9" s="10"/>
      <c r="O9" s="16" t="s">
        <v>57</v>
      </c>
      <c r="P9" s="16" t="s">
        <v>17</v>
      </c>
      <c r="Q9" s="16" t="s">
        <v>18</v>
      </c>
      <c r="R9" s="10"/>
      <c r="S9" s="10" t="str">
        <f>"235,0"</f>
        <v>235,0</v>
      </c>
      <c r="T9" s="10" t="str">
        <f>"292,9510"</f>
        <v>292,9510</v>
      </c>
      <c r="U9" s="9" t="s">
        <v>113</v>
      </c>
    </row>
    <row r="10" spans="1:21">
      <c r="B10" s="7" t="s">
        <v>40</v>
      </c>
    </row>
    <row r="11" spans="1:21" ht="16">
      <c r="A11" s="54" t="s">
        <v>114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1">
      <c r="A12" s="19" t="s">
        <v>39</v>
      </c>
      <c r="B12" s="18" t="s">
        <v>115</v>
      </c>
      <c r="C12" s="18" t="s">
        <v>116</v>
      </c>
      <c r="D12" s="18" t="s">
        <v>117</v>
      </c>
      <c r="E12" s="18" t="s">
        <v>369</v>
      </c>
      <c r="F12" s="18" t="s">
        <v>330</v>
      </c>
      <c r="G12" s="22" t="s">
        <v>57</v>
      </c>
      <c r="H12" s="22" t="s">
        <v>58</v>
      </c>
      <c r="I12" s="23" t="s">
        <v>17</v>
      </c>
      <c r="J12" s="19"/>
      <c r="K12" s="22" t="s">
        <v>111</v>
      </c>
      <c r="L12" s="22" t="s">
        <v>118</v>
      </c>
      <c r="M12" s="22" t="s">
        <v>112</v>
      </c>
      <c r="N12" s="19"/>
      <c r="O12" s="22" t="s">
        <v>57</v>
      </c>
      <c r="P12" s="22" t="s">
        <v>58</v>
      </c>
      <c r="Q12" s="22" t="s">
        <v>17</v>
      </c>
      <c r="R12" s="19"/>
      <c r="S12" s="19" t="str">
        <f>"225,0"</f>
        <v>225,0</v>
      </c>
      <c r="T12" s="19" t="str">
        <f>"265,8600"</f>
        <v>265,8600</v>
      </c>
      <c r="U12" s="18" t="s">
        <v>349</v>
      </c>
    </row>
    <row r="13" spans="1:21">
      <c r="A13" s="21" t="s">
        <v>39</v>
      </c>
      <c r="B13" s="20" t="s">
        <v>119</v>
      </c>
      <c r="C13" s="20" t="s">
        <v>120</v>
      </c>
      <c r="D13" s="20" t="s">
        <v>121</v>
      </c>
      <c r="E13" s="20" t="s">
        <v>367</v>
      </c>
      <c r="F13" s="20" t="s">
        <v>330</v>
      </c>
      <c r="G13" s="24" t="s">
        <v>19</v>
      </c>
      <c r="H13" s="24" t="s">
        <v>59</v>
      </c>
      <c r="I13" s="24" t="s">
        <v>60</v>
      </c>
      <c r="J13" s="21"/>
      <c r="K13" s="24" t="s">
        <v>103</v>
      </c>
      <c r="L13" s="25" t="s">
        <v>104</v>
      </c>
      <c r="M13" s="25" t="s">
        <v>104</v>
      </c>
      <c r="N13" s="21"/>
      <c r="O13" s="24" t="s">
        <v>59</v>
      </c>
      <c r="P13" s="24" t="s">
        <v>122</v>
      </c>
      <c r="Q13" s="24" t="s">
        <v>123</v>
      </c>
      <c r="R13" s="21"/>
      <c r="S13" s="21" t="str">
        <f>"307,5"</f>
        <v>307,5</v>
      </c>
      <c r="T13" s="21" t="str">
        <f>"368,5388"</f>
        <v>368,5388</v>
      </c>
      <c r="U13" s="20" t="s">
        <v>124</v>
      </c>
    </row>
    <row r="14" spans="1:21">
      <c r="B14" s="7" t="s">
        <v>40</v>
      </c>
    </row>
    <row r="15" spans="1:21" ht="16">
      <c r="A15" s="54" t="s">
        <v>41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1:21">
      <c r="A16" s="19" t="s">
        <v>39</v>
      </c>
      <c r="B16" s="18" t="s">
        <v>125</v>
      </c>
      <c r="C16" s="18" t="s">
        <v>126</v>
      </c>
      <c r="D16" s="18" t="s">
        <v>127</v>
      </c>
      <c r="E16" s="18" t="s">
        <v>367</v>
      </c>
      <c r="F16" s="18" t="s">
        <v>344</v>
      </c>
      <c r="G16" s="22" t="s">
        <v>57</v>
      </c>
      <c r="H16" s="23" t="s">
        <v>17</v>
      </c>
      <c r="I16" s="22" t="s">
        <v>17</v>
      </c>
      <c r="J16" s="19"/>
      <c r="K16" s="22" t="s">
        <v>112</v>
      </c>
      <c r="L16" s="22" t="s">
        <v>97</v>
      </c>
      <c r="M16" s="23" t="s">
        <v>103</v>
      </c>
      <c r="N16" s="19"/>
      <c r="O16" s="22" t="s">
        <v>17</v>
      </c>
      <c r="P16" s="22" t="s">
        <v>19</v>
      </c>
      <c r="Q16" s="22" t="s">
        <v>59</v>
      </c>
      <c r="R16" s="19"/>
      <c r="S16" s="19" t="str">
        <f>"255,0"</f>
        <v>255,0</v>
      </c>
      <c r="T16" s="19" t="str">
        <f>"263,3640"</f>
        <v>263,3640</v>
      </c>
      <c r="U16" s="18" t="s">
        <v>128</v>
      </c>
    </row>
    <row r="17" spans="1:21">
      <c r="A17" s="21" t="s">
        <v>172</v>
      </c>
      <c r="B17" s="20" t="s">
        <v>129</v>
      </c>
      <c r="C17" s="20" t="s">
        <v>130</v>
      </c>
      <c r="D17" s="20" t="s">
        <v>131</v>
      </c>
      <c r="E17" s="20" t="s">
        <v>367</v>
      </c>
      <c r="F17" s="20" t="s">
        <v>330</v>
      </c>
      <c r="G17" s="24" t="s">
        <v>57</v>
      </c>
      <c r="H17" s="24" t="s">
        <v>58</v>
      </c>
      <c r="I17" s="24" t="s">
        <v>17</v>
      </c>
      <c r="J17" s="21"/>
      <c r="K17" s="25" t="s">
        <v>132</v>
      </c>
      <c r="L17" s="24" t="s">
        <v>111</v>
      </c>
      <c r="M17" s="24" t="s">
        <v>118</v>
      </c>
      <c r="N17" s="21"/>
      <c r="O17" s="24" t="s">
        <v>57</v>
      </c>
      <c r="P17" s="24" t="s">
        <v>58</v>
      </c>
      <c r="Q17" s="24" t="s">
        <v>17</v>
      </c>
      <c r="R17" s="21"/>
      <c r="S17" s="21" t="str">
        <f>"227,5"</f>
        <v>227,5</v>
      </c>
      <c r="T17" s="21" t="str">
        <f>"235,7355"</f>
        <v>235,7355</v>
      </c>
      <c r="U17" s="20" t="s">
        <v>349</v>
      </c>
    </row>
    <row r="18" spans="1:21">
      <c r="B18" s="7" t="s">
        <v>40</v>
      </c>
    </row>
    <row r="19" spans="1:21" ht="16">
      <c r="A19" s="54" t="s">
        <v>133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0" spans="1:21">
      <c r="A20" s="10" t="s">
        <v>39</v>
      </c>
      <c r="B20" s="9" t="s">
        <v>134</v>
      </c>
      <c r="C20" s="9" t="s">
        <v>135</v>
      </c>
      <c r="D20" s="9" t="s">
        <v>136</v>
      </c>
      <c r="E20" s="9" t="s">
        <v>367</v>
      </c>
      <c r="F20" s="9" t="s">
        <v>330</v>
      </c>
      <c r="G20" s="16" t="s">
        <v>137</v>
      </c>
      <c r="H20" s="16" t="s">
        <v>61</v>
      </c>
      <c r="I20" s="16" t="s">
        <v>68</v>
      </c>
      <c r="J20" s="10"/>
      <c r="K20" s="16" t="s">
        <v>112</v>
      </c>
      <c r="L20" s="16" t="s">
        <v>138</v>
      </c>
      <c r="M20" s="17" t="s">
        <v>97</v>
      </c>
      <c r="N20" s="10"/>
      <c r="O20" s="16" t="s">
        <v>68</v>
      </c>
      <c r="P20" s="16" t="s">
        <v>139</v>
      </c>
      <c r="Q20" s="16" t="s">
        <v>45</v>
      </c>
      <c r="R20" s="10"/>
      <c r="S20" s="10" t="str">
        <f>"337,5"</f>
        <v>337,5</v>
      </c>
      <c r="T20" s="10" t="str">
        <f>"286,0987"</f>
        <v>286,0987</v>
      </c>
      <c r="U20" s="9" t="s">
        <v>140</v>
      </c>
    </row>
    <row r="21" spans="1:21">
      <c r="B21" s="7" t="s">
        <v>40</v>
      </c>
    </row>
    <row r="22" spans="1:21" ht="16">
      <c r="A22" s="54" t="s">
        <v>41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1:21">
      <c r="A23" s="10" t="s">
        <v>39</v>
      </c>
      <c r="B23" s="9" t="s">
        <v>141</v>
      </c>
      <c r="C23" s="9" t="s">
        <v>142</v>
      </c>
      <c r="D23" s="9" t="s">
        <v>143</v>
      </c>
      <c r="E23" s="9" t="s">
        <v>370</v>
      </c>
      <c r="F23" s="9" t="s">
        <v>330</v>
      </c>
      <c r="G23" s="16" t="s">
        <v>59</v>
      </c>
      <c r="H23" s="16" t="s">
        <v>60</v>
      </c>
      <c r="I23" s="16" t="s">
        <v>61</v>
      </c>
      <c r="J23" s="10"/>
      <c r="K23" s="16" t="s">
        <v>17</v>
      </c>
      <c r="L23" s="16" t="s">
        <v>18</v>
      </c>
      <c r="M23" s="16" t="s">
        <v>19</v>
      </c>
      <c r="N23" s="10"/>
      <c r="O23" s="16" t="s">
        <v>61</v>
      </c>
      <c r="P23" s="16" t="s">
        <v>144</v>
      </c>
      <c r="Q23" s="16" t="s">
        <v>45</v>
      </c>
      <c r="R23" s="10"/>
      <c r="S23" s="10" t="str">
        <f>"380,0"</f>
        <v>380,0</v>
      </c>
      <c r="T23" s="10" t="str">
        <f>"299,8580"</f>
        <v>299,8580</v>
      </c>
      <c r="U23" s="9" t="s">
        <v>349</v>
      </c>
    </row>
    <row r="24" spans="1:21">
      <c r="B24" s="7" t="s">
        <v>40</v>
      </c>
    </row>
    <row r="25" spans="1:21" ht="16">
      <c r="A25" s="54" t="s">
        <v>22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1:21">
      <c r="A26" s="19" t="s">
        <v>39</v>
      </c>
      <c r="B26" s="18" t="s">
        <v>145</v>
      </c>
      <c r="C26" s="18" t="s">
        <v>146</v>
      </c>
      <c r="D26" s="18" t="s">
        <v>147</v>
      </c>
      <c r="E26" s="18" t="s">
        <v>368</v>
      </c>
      <c r="F26" s="18" t="s">
        <v>330</v>
      </c>
      <c r="G26" s="22" t="s">
        <v>15</v>
      </c>
      <c r="H26" s="22" t="s">
        <v>16</v>
      </c>
      <c r="I26" s="23" t="s">
        <v>65</v>
      </c>
      <c r="J26" s="19"/>
      <c r="K26" s="22" t="s">
        <v>60</v>
      </c>
      <c r="L26" s="22" t="s">
        <v>61</v>
      </c>
      <c r="M26" s="23" t="s">
        <v>68</v>
      </c>
      <c r="N26" s="19"/>
      <c r="O26" s="22" t="s">
        <v>65</v>
      </c>
      <c r="P26" s="22" t="s">
        <v>148</v>
      </c>
      <c r="Q26" s="23" t="s">
        <v>67</v>
      </c>
      <c r="R26" s="19"/>
      <c r="S26" s="19" t="str">
        <f>"530,0"</f>
        <v>530,0</v>
      </c>
      <c r="T26" s="19" t="str">
        <f>"346,6200"</f>
        <v>346,6200</v>
      </c>
      <c r="U26" s="18"/>
    </row>
    <row r="27" spans="1:21">
      <c r="A27" s="21" t="s">
        <v>39</v>
      </c>
      <c r="B27" s="20" t="s">
        <v>149</v>
      </c>
      <c r="C27" s="20" t="s">
        <v>150</v>
      </c>
      <c r="D27" s="20" t="s">
        <v>151</v>
      </c>
      <c r="E27" s="20" t="s">
        <v>367</v>
      </c>
      <c r="F27" s="20" t="s">
        <v>344</v>
      </c>
      <c r="G27" s="24" t="s">
        <v>15</v>
      </c>
      <c r="H27" s="24" t="s">
        <v>16</v>
      </c>
      <c r="I27" s="24" t="s">
        <v>65</v>
      </c>
      <c r="J27" s="21"/>
      <c r="K27" s="24" t="s">
        <v>60</v>
      </c>
      <c r="L27" s="25" t="s">
        <v>61</v>
      </c>
      <c r="M27" s="24" t="s">
        <v>61</v>
      </c>
      <c r="N27" s="21"/>
      <c r="O27" s="24" t="s">
        <v>82</v>
      </c>
      <c r="P27" s="24" t="s">
        <v>30</v>
      </c>
      <c r="Q27" s="24" t="s">
        <v>31</v>
      </c>
      <c r="R27" s="21"/>
      <c r="S27" s="21" t="str">
        <f>"600,0"</f>
        <v>600,0</v>
      </c>
      <c r="T27" s="21" t="str">
        <f>"390,1800"</f>
        <v>390,1800</v>
      </c>
      <c r="U27" s="20"/>
    </row>
    <row r="28" spans="1:21">
      <c r="B28" s="7" t="s">
        <v>40</v>
      </c>
    </row>
    <row r="29" spans="1:21" ht="16">
      <c r="A29" s="54" t="s">
        <v>152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1:21">
      <c r="A30" s="19" t="s">
        <v>39</v>
      </c>
      <c r="B30" s="18" t="s">
        <v>153</v>
      </c>
      <c r="C30" s="18" t="s">
        <v>154</v>
      </c>
      <c r="D30" s="18" t="s">
        <v>155</v>
      </c>
      <c r="E30" s="18" t="s">
        <v>367</v>
      </c>
      <c r="F30" s="18" t="s">
        <v>330</v>
      </c>
      <c r="G30" s="22" t="s">
        <v>49</v>
      </c>
      <c r="H30" s="22" t="s">
        <v>50</v>
      </c>
      <c r="I30" s="22" t="s">
        <v>15</v>
      </c>
      <c r="J30" s="19"/>
      <c r="K30" s="22" t="s">
        <v>137</v>
      </c>
      <c r="L30" s="23" t="s">
        <v>61</v>
      </c>
      <c r="M30" s="22" t="s">
        <v>68</v>
      </c>
      <c r="N30" s="19"/>
      <c r="O30" s="22" t="s">
        <v>156</v>
      </c>
      <c r="P30" s="22" t="s">
        <v>82</v>
      </c>
      <c r="Q30" s="23" t="s">
        <v>157</v>
      </c>
      <c r="R30" s="19"/>
      <c r="S30" s="19" t="str">
        <f>"555,0"</f>
        <v>555,0</v>
      </c>
      <c r="T30" s="19" t="str">
        <f>"346,7085"</f>
        <v>346,7085</v>
      </c>
      <c r="U30" s="18" t="s">
        <v>140</v>
      </c>
    </row>
    <row r="31" spans="1:21">
      <c r="A31" s="21" t="s">
        <v>172</v>
      </c>
      <c r="B31" s="20" t="s">
        <v>158</v>
      </c>
      <c r="C31" s="20" t="s">
        <v>159</v>
      </c>
      <c r="D31" s="20" t="s">
        <v>160</v>
      </c>
      <c r="E31" s="20" t="s">
        <v>367</v>
      </c>
      <c r="F31" s="20" t="s">
        <v>330</v>
      </c>
      <c r="G31" s="25" t="s">
        <v>161</v>
      </c>
      <c r="H31" s="24" t="s">
        <v>16</v>
      </c>
      <c r="I31" s="21"/>
      <c r="J31" s="21"/>
      <c r="K31" s="24" t="s">
        <v>68</v>
      </c>
      <c r="L31" s="25" t="s">
        <v>144</v>
      </c>
      <c r="M31" s="25" t="s">
        <v>144</v>
      </c>
      <c r="N31" s="21"/>
      <c r="O31" s="24" t="s">
        <v>148</v>
      </c>
      <c r="P31" s="25" t="s">
        <v>67</v>
      </c>
      <c r="Q31" s="21"/>
      <c r="R31" s="21"/>
      <c r="S31" s="21" t="str">
        <f>"535,0"</f>
        <v>535,0</v>
      </c>
      <c r="T31" s="21" t="str">
        <f>"326,4035"</f>
        <v>326,4035</v>
      </c>
      <c r="U31" s="20" t="s">
        <v>350</v>
      </c>
    </row>
    <row r="32" spans="1:21">
      <c r="B32" s="7" t="s">
        <v>40</v>
      </c>
    </row>
    <row r="33" spans="1:21" ht="16">
      <c r="A33" s="54" t="s">
        <v>74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</row>
    <row r="34" spans="1:21">
      <c r="A34" s="10" t="s">
        <v>39</v>
      </c>
      <c r="B34" s="9" t="s">
        <v>162</v>
      </c>
      <c r="C34" s="9" t="s">
        <v>163</v>
      </c>
      <c r="D34" s="9" t="s">
        <v>164</v>
      </c>
      <c r="E34" s="9" t="s">
        <v>367</v>
      </c>
      <c r="F34" s="9" t="s">
        <v>330</v>
      </c>
      <c r="G34" s="16" t="s">
        <v>65</v>
      </c>
      <c r="H34" s="17" t="s">
        <v>67</v>
      </c>
      <c r="I34" s="16" t="s">
        <v>67</v>
      </c>
      <c r="J34" s="10"/>
      <c r="K34" s="16" t="s">
        <v>165</v>
      </c>
      <c r="L34" s="16" t="s">
        <v>144</v>
      </c>
      <c r="M34" s="17" t="s">
        <v>69</v>
      </c>
      <c r="N34" s="10"/>
      <c r="O34" s="16" t="s">
        <v>79</v>
      </c>
      <c r="P34" s="17" t="s">
        <v>26</v>
      </c>
      <c r="Q34" s="16" t="s">
        <v>26</v>
      </c>
      <c r="R34" s="10"/>
      <c r="S34" s="10" t="str">
        <f>"610,0"</f>
        <v>610,0</v>
      </c>
      <c r="T34" s="10" t="str">
        <f>"348,7980"</f>
        <v>348,7980</v>
      </c>
      <c r="U34" s="9" t="s">
        <v>166</v>
      </c>
    </row>
    <row r="35" spans="1:21">
      <c r="B35" s="7" t="s">
        <v>40</v>
      </c>
    </row>
    <row r="38" spans="1:21" ht="18">
      <c r="B38" s="11" t="s">
        <v>32</v>
      </c>
      <c r="C38" s="11"/>
      <c r="F38" s="3"/>
      <c r="K38" s="7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6">
      <c r="B39" s="12" t="s">
        <v>33</v>
      </c>
      <c r="C39" s="12"/>
      <c r="F39" s="3"/>
      <c r="K39" s="7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4">
      <c r="B40" s="14"/>
      <c r="C40" s="15" t="s">
        <v>359</v>
      </c>
      <c r="F40" s="3"/>
      <c r="K40" s="7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4">
      <c r="B41" s="6" t="s">
        <v>35</v>
      </c>
      <c r="C41" s="6" t="s">
        <v>36</v>
      </c>
      <c r="D41" s="6" t="s">
        <v>360</v>
      </c>
      <c r="E41" s="6" t="s">
        <v>1</v>
      </c>
      <c r="F41" s="3"/>
      <c r="K41" s="7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B42" s="13" t="s">
        <v>119</v>
      </c>
      <c r="C42" s="7" t="s">
        <v>359</v>
      </c>
      <c r="D42" s="8" t="s">
        <v>167</v>
      </c>
      <c r="E42" s="8" t="s">
        <v>168</v>
      </c>
      <c r="F42" s="3"/>
      <c r="K42" s="7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B43" s="7" t="s">
        <v>134</v>
      </c>
      <c r="C43" s="7" t="s">
        <v>359</v>
      </c>
      <c r="D43" s="8" t="s">
        <v>169</v>
      </c>
      <c r="E43" s="8" t="s">
        <v>170</v>
      </c>
      <c r="K43" s="7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B44" s="7" t="s">
        <v>115</v>
      </c>
      <c r="C44" s="7" t="s">
        <v>359</v>
      </c>
      <c r="D44" s="8" t="s">
        <v>167</v>
      </c>
      <c r="E44" s="8" t="s">
        <v>78</v>
      </c>
      <c r="K44" s="7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mergeCells count="22">
    <mergeCell ref="A29:R29"/>
    <mergeCell ref="A33:R33"/>
    <mergeCell ref="B3:B4"/>
    <mergeCell ref="A8:R8"/>
    <mergeCell ref="A11:R11"/>
    <mergeCell ref="A15:R15"/>
    <mergeCell ref="A19:R19"/>
    <mergeCell ref="A22:R22"/>
    <mergeCell ref="A25:R25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0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8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9.83203125" style="7" bestFit="1" customWidth="1"/>
    <col min="7" max="9" width="5.5" style="8" customWidth="1"/>
    <col min="10" max="10" width="4.83203125" style="8" customWidth="1"/>
    <col min="11" max="11" width="10.5" style="8" bestFit="1" customWidth="1"/>
    <col min="12" max="12" width="8.5" style="8" bestFit="1" customWidth="1"/>
    <col min="13" max="13" width="23.33203125" style="7" customWidth="1"/>
    <col min="14" max="16384" width="9.1640625" style="3"/>
  </cols>
  <sheetData>
    <row r="1" spans="1:13" s="2" customFormat="1" ht="29" customHeight="1">
      <c r="A1" s="43" t="s">
        <v>340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9</v>
      </c>
      <c r="H3" s="37"/>
      <c r="I3" s="37"/>
      <c r="J3" s="37"/>
      <c r="K3" s="3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41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39</v>
      </c>
      <c r="B6" s="9" t="s">
        <v>293</v>
      </c>
      <c r="C6" s="9" t="s">
        <v>294</v>
      </c>
      <c r="D6" s="9" t="s">
        <v>241</v>
      </c>
      <c r="E6" s="9" t="s">
        <v>367</v>
      </c>
      <c r="F6" s="9" t="s">
        <v>330</v>
      </c>
      <c r="G6" s="16" t="s">
        <v>67</v>
      </c>
      <c r="H6" s="16" t="s">
        <v>82</v>
      </c>
      <c r="I6" s="16" t="s">
        <v>26</v>
      </c>
      <c r="J6" s="10"/>
      <c r="K6" s="10" t="str">
        <f>"250,0"</f>
        <v>250,0</v>
      </c>
      <c r="L6" s="10" t="str">
        <f>"196,3000"</f>
        <v>196,3000</v>
      </c>
      <c r="M6" s="9" t="s">
        <v>295</v>
      </c>
    </row>
    <row r="7" spans="1:13">
      <c r="B7" s="7" t="s">
        <v>40</v>
      </c>
    </row>
    <row r="8" spans="1:13" ht="16">
      <c r="A8" s="54" t="s">
        <v>205</v>
      </c>
      <c r="B8" s="54"/>
      <c r="C8" s="54"/>
      <c r="D8" s="54"/>
      <c r="E8" s="54"/>
      <c r="F8" s="54"/>
      <c r="G8" s="54"/>
      <c r="H8" s="54"/>
      <c r="I8" s="54"/>
      <c r="J8" s="54"/>
    </row>
    <row r="9" spans="1:13">
      <c r="A9" s="19" t="s">
        <v>39</v>
      </c>
      <c r="B9" s="18" t="s">
        <v>296</v>
      </c>
      <c r="C9" s="18" t="s">
        <v>297</v>
      </c>
      <c r="D9" s="18" t="s">
        <v>298</v>
      </c>
      <c r="E9" s="18" t="s">
        <v>369</v>
      </c>
      <c r="F9" s="18" t="s">
        <v>330</v>
      </c>
      <c r="G9" s="22" t="s">
        <v>50</v>
      </c>
      <c r="H9" s="22" t="s">
        <v>20</v>
      </c>
      <c r="I9" s="22" t="s">
        <v>65</v>
      </c>
      <c r="J9" s="19"/>
      <c r="K9" s="19" t="str">
        <f>"200,0"</f>
        <v>200,0</v>
      </c>
      <c r="L9" s="19" t="str">
        <f>"138,1000"</f>
        <v>138,1000</v>
      </c>
      <c r="M9" s="18"/>
    </row>
    <row r="10" spans="1:13">
      <c r="A10" s="21" t="s">
        <v>39</v>
      </c>
      <c r="B10" s="20" t="s">
        <v>299</v>
      </c>
      <c r="C10" s="20" t="s">
        <v>300</v>
      </c>
      <c r="D10" s="20" t="s">
        <v>301</v>
      </c>
      <c r="E10" s="20" t="s">
        <v>367</v>
      </c>
      <c r="F10" s="20" t="s">
        <v>346</v>
      </c>
      <c r="G10" s="24" t="s">
        <v>15</v>
      </c>
      <c r="H10" s="25" t="s">
        <v>16</v>
      </c>
      <c r="I10" s="25" t="s">
        <v>16</v>
      </c>
      <c r="J10" s="21"/>
      <c r="K10" s="21" t="str">
        <f>"180,0"</f>
        <v>180,0</v>
      </c>
      <c r="L10" s="21" t="str">
        <f>"122,1300"</f>
        <v>122,1300</v>
      </c>
      <c r="M10" s="20" t="s">
        <v>362</v>
      </c>
    </row>
    <row r="11" spans="1:13">
      <c r="B11" s="7" t="s">
        <v>40</v>
      </c>
    </row>
    <row r="12" spans="1:13" ht="16">
      <c r="A12" s="54" t="s">
        <v>152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3">
      <c r="A13" s="19" t="s">
        <v>39</v>
      </c>
      <c r="B13" s="18" t="s">
        <v>253</v>
      </c>
      <c r="C13" s="18" t="s">
        <v>254</v>
      </c>
      <c r="D13" s="18" t="s">
        <v>255</v>
      </c>
      <c r="E13" s="18" t="s">
        <v>370</v>
      </c>
      <c r="F13" s="18" t="s">
        <v>330</v>
      </c>
      <c r="G13" s="22" t="s">
        <v>15</v>
      </c>
      <c r="H13" s="22" t="s">
        <v>65</v>
      </c>
      <c r="I13" s="23" t="s">
        <v>148</v>
      </c>
      <c r="J13" s="19"/>
      <c r="K13" s="19" t="str">
        <f>"200,0"</f>
        <v>200,0</v>
      </c>
      <c r="L13" s="19" t="str">
        <f>"123,8200"</f>
        <v>123,8200</v>
      </c>
      <c r="M13" s="18" t="s">
        <v>256</v>
      </c>
    </row>
    <row r="14" spans="1:13">
      <c r="A14" s="27" t="s">
        <v>39</v>
      </c>
      <c r="B14" s="26" t="s">
        <v>182</v>
      </c>
      <c r="C14" s="26" t="s">
        <v>302</v>
      </c>
      <c r="D14" s="26" t="s">
        <v>155</v>
      </c>
      <c r="E14" s="26" t="s">
        <v>367</v>
      </c>
      <c r="F14" s="26" t="s">
        <v>330</v>
      </c>
      <c r="G14" s="28" t="s">
        <v>156</v>
      </c>
      <c r="H14" s="28" t="s">
        <v>71</v>
      </c>
      <c r="I14" s="27"/>
      <c r="J14" s="27"/>
      <c r="K14" s="27" t="str">
        <f>"247,5"</f>
        <v>247,5</v>
      </c>
      <c r="L14" s="27" t="str">
        <f>"154,6133"</f>
        <v>154,6133</v>
      </c>
      <c r="M14" s="26" t="s">
        <v>184</v>
      </c>
    </row>
    <row r="15" spans="1:13">
      <c r="A15" s="27" t="s">
        <v>172</v>
      </c>
      <c r="B15" s="26" t="s">
        <v>153</v>
      </c>
      <c r="C15" s="26" t="s">
        <v>154</v>
      </c>
      <c r="D15" s="26" t="s">
        <v>155</v>
      </c>
      <c r="E15" s="26" t="s">
        <v>367</v>
      </c>
      <c r="F15" s="26" t="s">
        <v>330</v>
      </c>
      <c r="G15" s="28" t="s">
        <v>156</v>
      </c>
      <c r="H15" s="28" t="s">
        <v>82</v>
      </c>
      <c r="I15" s="29" t="s">
        <v>157</v>
      </c>
      <c r="J15" s="27"/>
      <c r="K15" s="27" t="str">
        <f>"240,0"</f>
        <v>240,0</v>
      </c>
      <c r="L15" s="27" t="str">
        <f>"149,9280"</f>
        <v>149,9280</v>
      </c>
      <c r="M15" s="26" t="s">
        <v>140</v>
      </c>
    </row>
    <row r="16" spans="1:13">
      <c r="A16" s="21" t="s">
        <v>39</v>
      </c>
      <c r="B16" s="20" t="s">
        <v>182</v>
      </c>
      <c r="C16" s="20" t="s">
        <v>183</v>
      </c>
      <c r="D16" s="20" t="s">
        <v>155</v>
      </c>
      <c r="E16" s="20" t="s">
        <v>372</v>
      </c>
      <c r="F16" s="20" t="s">
        <v>330</v>
      </c>
      <c r="G16" s="24" t="s">
        <v>156</v>
      </c>
      <c r="H16" s="24" t="s">
        <v>71</v>
      </c>
      <c r="I16" s="21"/>
      <c r="J16" s="21"/>
      <c r="K16" s="21" t="str">
        <f>"247,5"</f>
        <v>247,5</v>
      </c>
      <c r="L16" s="21" t="str">
        <f>"186,6182"</f>
        <v>186,6182</v>
      </c>
      <c r="M16" s="20" t="s">
        <v>184</v>
      </c>
    </row>
    <row r="17" spans="1:13">
      <c r="B17" s="7" t="s">
        <v>40</v>
      </c>
    </row>
    <row r="18" spans="1:13" ht="16">
      <c r="A18" s="54" t="s">
        <v>185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3">
      <c r="A19" s="10" t="s">
        <v>39</v>
      </c>
      <c r="B19" s="9" t="s">
        <v>303</v>
      </c>
      <c r="C19" s="9" t="s">
        <v>304</v>
      </c>
      <c r="D19" s="9" t="s">
        <v>305</v>
      </c>
      <c r="E19" s="9" t="s">
        <v>367</v>
      </c>
      <c r="F19" s="9" t="s">
        <v>330</v>
      </c>
      <c r="G19" s="16" t="s">
        <v>65</v>
      </c>
      <c r="H19" s="16" t="s">
        <v>66</v>
      </c>
      <c r="I19" s="17" t="s">
        <v>156</v>
      </c>
      <c r="J19" s="10"/>
      <c r="K19" s="10" t="str">
        <f>"215,0"</f>
        <v>215,0</v>
      </c>
      <c r="L19" s="10" t="str">
        <f>"130,7845"</f>
        <v>130,7845</v>
      </c>
      <c r="M19" s="9"/>
    </row>
    <row r="20" spans="1:13">
      <c r="B20" s="7" t="s">
        <v>40</v>
      </c>
    </row>
  </sheetData>
  <mergeCells count="15">
    <mergeCell ref="A8:J8"/>
    <mergeCell ref="A12:J12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5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20.1640625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7.5" style="7" bestFit="1" customWidth="1"/>
    <col min="7" max="9" width="5.5" style="8" customWidth="1"/>
    <col min="10" max="10" width="4.83203125" style="8" customWidth="1"/>
    <col min="11" max="11" width="10.5" style="8" bestFit="1" customWidth="1"/>
    <col min="12" max="12" width="8.5" style="8" bestFit="1" customWidth="1"/>
    <col min="13" max="13" width="15.5" style="7" bestFit="1" customWidth="1"/>
    <col min="14" max="16384" width="9.1640625" style="3"/>
  </cols>
  <sheetData>
    <row r="1" spans="1:13" s="2" customFormat="1" ht="29" customHeight="1">
      <c r="A1" s="43" t="s">
        <v>341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9</v>
      </c>
      <c r="H3" s="37"/>
      <c r="I3" s="37"/>
      <c r="J3" s="37"/>
      <c r="K3" s="3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114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39</v>
      </c>
      <c r="B6" s="9" t="s">
        <v>281</v>
      </c>
      <c r="C6" s="9" t="s">
        <v>282</v>
      </c>
      <c r="D6" s="9" t="s">
        <v>283</v>
      </c>
      <c r="E6" s="9" t="s">
        <v>367</v>
      </c>
      <c r="F6" s="9" t="s">
        <v>330</v>
      </c>
      <c r="G6" s="16" t="s">
        <v>61</v>
      </c>
      <c r="H6" s="16" t="s">
        <v>144</v>
      </c>
      <c r="I6" s="16" t="s">
        <v>45</v>
      </c>
      <c r="J6" s="10"/>
      <c r="K6" s="10" t="str">
        <f>"150,0"</f>
        <v>150,0</v>
      </c>
      <c r="L6" s="10" t="str">
        <f>"176,7450"</f>
        <v>176,7450</v>
      </c>
      <c r="M6" s="9" t="s">
        <v>284</v>
      </c>
    </row>
    <row r="7" spans="1:13">
      <c r="B7" s="7" t="s">
        <v>40</v>
      </c>
    </row>
    <row r="8" spans="1:13" ht="16">
      <c r="A8" s="54" t="s">
        <v>41</v>
      </c>
      <c r="B8" s="54"/>
      <c r="C8" s="54"/>
      <c r="D8" s="54"/>
      <c r="E8" s="54"/>
      <c r="F8" s="54"/>
      <c r="G8" s="54"/>
      <c r="H8" s="54"/>
      <c r="I8" s="54"/>
      <c r="J8" s="54"/>
    </row>
    <row r="9" spans="1:13">
      <c r="A9" s="10" t="s">
        <v>39</v>
      </c>
      <c r="B9" s="9" t="s">
        <v>196</v>
      </c>
      <c r="C9" s="9" t="s">
        <v>197</v>
      </c>
      <c r="D9" s="9" t="s">
        <v>198</v>
      </c>
      <c r="E9" s="9" t="s">
        <v>367</v>
      </c>
      <c r="F9" s="9" t="s">
        <v>330</v>
      </c>
      <c r="G9" s="17" t="s">
        <v>69</v>
      </c>
      <c r="H9" s="16" t="s">
        <v>48</v>
      </c>
      <c r="I9" s="16" t="s">
        <v>199</v>
      </c>
      <c r="J9" s="10"/>
      <c r="K9" s="10" t="str">
        <f>"162,5"</f>
        <v>162,5</v>
      </c>
      <c r="L9" s="10" t="str">
        <f>"165,8475"</f>
        <v>165,8475</v>
      </c>
      <c r="M9" s="9" t="s">
        <v>200</v>
      </c>
    </row>
    <row r="10" spans="1:13">
      <c r="B10" s="7" t="s">
        <v>40</v>
      </c>
    </row>
    <row r="11" spans="1:13" ht="16">
      <c r="A11" s="54" t="s">
        <v>10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3">
      <c r="A12" s="10" t="s">
        <v>39</v>
      </c>
      <c r="B12" s="9" t="s">
        <v>201</v>
      </c>
      <c r="C12" s="9" t="s">
        <v>202</v>
      </c>
      <c r="D12" s="9" t="s">
        <v>203</v>
      </c>
      <c r="E12" s="9" t="s">
        <v>367</v>
      </c>
      <c r="F12" s="9" t="s">
        <v>330</v>
      </c>
      <c r="G12" s="16" t="s">
        <v>58</v>
      </c>
      <c r="H12" s="16" t="s">
        <v>17</v>
      </c>
      <c r="I12" s="16" t="s">
        <v>18</v>
      </c>
      <c r="J12" s="10"/>
      <c r="K12" s="10" t="str">
        <f>"95,0"</f>
        <v>95,0</v>
      </c>
      <c r="L12" s="10" t="str">
        <f>"92,9860"</f>
        <v>92,9860</v>
      </c>
      <c r="M12" s="9" t="s">
        <v>204</v>
      </c>
    </row>
    <row r="13" spans="1:13">
      <c r="B13" s="7" t="s">
        <v>40</v>
      </c>
    </row>
    <row r="14" spans="1:13" ht="16">
      <c r="A14" s="54" t="s">
        <v>205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3">
      <c r="A15" s="10" t="s">
        <v>39</v>
      </c>
      <c r="B15" s="9" t="s">
        <v>206</v>
      </c>
      <c r="C15" s="9" t="s">
        <v>207</v>
      </c>
      <c r="D15" s="9" t="s">
        <v>285</v>
      </c>
      <c r="E15" s="9" t="s">
        <v>370</v>
      </c>
      <c r="F15" s="9" t="s">
        <v>330</v>
      </c>
      <c r="G15" s="16" t="s">
        <v>45</v>
      </c>
      <c r="H15" s="16" t="s">
        <v>199</v>
      </c>
      <c r="I15" s="16" t="s">
        <v>14</v>
      </c>
      <c r="J15" s="10"/>
      <c r="K15" s="10" t="str">
        <f>"170,0"</f>
        <v>170,0</v>
      </c>
      <c r="L15" s="10" t="str">
        <f>"113,8830"</f>
        <v>113,8830</v>
      </c>
      <c r="M15" s="9" t="s">
        <v>358</v>
      </c>
    </row>
    <row r="16" spans="1:13">
      <c r="B16" s="7" t="s">
        <v>40</v>
      </c>
    </row>
    <row r="17" spans="1:13" ht="16">
      <c r="A17" s="54" t="s">
        <v>22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3">
      <c r="A18" s="10" t="s">
        <v>39</v>
      </c>
      <c r="B18" s="9" t="s">
        <v>62</v>
      </c>
      <c r="C18" s="9" t="s">
        <v>73</v>
      </c>
      <c r="D18" s="9" t="s">
        <v>64</v>
      </c>
      <c r="E18" s="9" t="s">
        <v>367</v>
      </c>
      <c r="F18" s="9" t="s">
        <v>330</v>
      </c>
      <c r="G18" s="16" t="s">
        <v>67</v>
      </c>
      <c r="H18" s="16" t="s">
        <v>70</v>
      </c>
      <c r="I18" s="17" t="s">
        <v>71</v>
      </c>
      <c r="J18" s="10"/>
      <c r="K18" s="10" t="str">
        <f>"237,5"</f>
        <v>237,5</v>
      </c>
      <c r="L18" s="10" t="str">
        <f>"152,4987"</f>
        <v>152,4987</v>
      </c>
      <c r="M18" s="9" t="s">
        <v>72</v>
      </c>
    </row>
    <row r="19" spans="1:13">
      <c r="B19" s="7" t="s">
        <v>40</v>
      </c>
    </row>
    <row r="20" spans="1:13" ht="16">
      <c r="A20" s="54" t="s">
        <v>152</v>
      </c>
      <c r="B20" s="54"/>
      <c r="C20" s="54"/>
      <c r="D20" s="54"/>
      <c r="E20" s="54"/>
      <c r="F20" s="54"/>
      <c r="G20" s="54"/>
      <c r="H20" s="54"/>
      <c r="I20" s="54"/>
      <c r="J20" s="54"/>
    </row>
    <row r="21" spans="1:13">
      <c r="A21" s="10" t="s">
        <v>39</v>
      </c>
      <c r="B21" s="9" t="s">
        <v>286</v>
      </c>
      <c r="C21" s="9" t="s">
        <v>287</v>
      </c>
      <c r="D21" s="9" t="s">
        <v>288</v>
      </c>
      <c r="E21" s="9" t="s">
        <v>373</v>
      </c>
      <c r="F21" s="9" t="s">
        <v>330</v>
      </c>
      <c r="G21" s="16" t="s">
        <v>161</v>
      </c>
      <c r="H21" s="16" t="s">
        <v>65</v>
      </c>
      <c r="I21" s="17" t="s">
        <v>66</v>
      </c>
      <c r="J21" s="10"/>
      <c r="K21" s="10" t="str">
        <f>"200,0"</f>
        <v>200,0</v>
      </c>
      <c r="L21" s="10" t="str">
        <f>"175,2768"</f>
        <v>175,2768</v>
      </c>
      <c r="M21" s="9"/>
    </row>
    <row r="22" spans="1:13">
      <c r="B22" s="7" t="s">
        <v>40</v>
      </c>
    </row>
    <row r="23" spans="1:13" ht="16">
      <c r="A23" s="54" t="s">
        <v>185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3">
      <c r="A24" s="10" t="s">
        <v>39</v>
      </c>
      <c r="B24" s="9" t="s">
        <v>289</v>
      </c>
      <c r="C24" s="9" t="s">
        <v>290</v>
      </c>
      <c r="D24" s="9" t="s">
        <v>291</v>
      </c>
      <c r="E24" s="9" t="s">
        <v>367</v>
      </c>
      <c r="F24" s="9" t="s">
        <v>330</v>
      </c>
      <c r="G24" s="16" t="s">
        <v>83</v>
      </c>
      <c r="H24" s="16" t="s">
        <v>27</v>
      </c>
      <c r="I24" s="17" t="s">
        <v>292</v>
      </c>
      <c r="J24" s="10"/>
      <c r="K24" s="10" t="str">
        <f>"265,0"</f>
        <v>265,0</v>
      </c>
      <c r="L24" s="10" t="str">
        <f>"157,0920"</f>
        <v>157,0920</v>
      </c>
      <c r="M24" s="9" t="s">
        <v>140</v>
      </c>
    </row>
    <row r="25" spans="1:13">
      <c r="B25" s="7" t="s">
        <v>40</v>
      </c>
    </row>
  </sheetData>
  <mergeCells count="18">
    <mergeCell ref="A23:J23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0:J20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workbookViewId="0">
      <selection activeCell="O13" sqref="O13"/>
    </sheetView>
  </sheetViews>
  <sheetFormatPr baseColWidth="10" defaultColWidth="9.1640625" defaultRowHeight="13"/>
  <cols>
    <col min="1" max="1" width="7.5" style="7" bestFit="1" customWidth="1"/>
    <col min="2" max="2" width="19.1640625" style="7" bestFit="1" customWidth="1"/>
    <col min="3" max="3" width="28.5" style="7" bestFit="1" customWidth="1"/>
    <col min="4" max="4" width="21.5" style="7" bestFit="1" customWidth="1"/>
    <col min="5" max="5" width="10.5" style="7" bestFit="1" customWidth="1"/>
    <col min="6" max="6" width="29.83203125" style="7" bestFit="1" customWidth="1"/>
    <col min="7" max="9" width="4.5" style="8" customWidth="1"/>
    <col min="10" max="10" width="4.83203125" style="8" customWidth="1"/>
    <col min="11" max="11" width="10.5" style="8" bestFit="1" customWidth="1"/>
    <col min="12" max="12" width="7.5" style="8" bestFit="1" customWidth="1"/>
    <col min="13" max="13" width="15.6640625" style="7" bestFit="1" customWidth="1"/>
    <col min="14" max="16384" width="9.1640625" style="3"/>
  </cols>
  <sheetData>
    <row r="1" spans="1:13" s="2" customFormat="1" ht="29" customHeight="1">
      <c r="A1" s="43" t="s">
        <v>342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306</v>
      </c>
      <c r="H3" s="37"/>
      <c r="I3" s="37"/>
      <c r="J3" s="37"/>
      <c r="K3" s="3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114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39</v>
      </c>
      <c r="B6" s="9" t="s">
        <v>307</v>
      </c>
      <c r="C6" s="9" t="s">
        <v>308</v>
      </c>
      <c r="D6" s="9" t="s">
        <v>309</v>
      </c>
      <c r="E6" s="9" t="s">
        <v>367</v>
      </c>
      <c r="F6" s="9" t="s">
        <v>330</v>
      </c>
      <c r="G6" s="16" t="s">
        <v>310</v>
      </c>
      <c r="H6" s="17" t="s">
        <v>311</v>
      </c>
      <c r="I6" s="16" t="s">
        <v>311</v>
      </c>
      <c r="J6" s="10"/>
      <c r="K6" s="10" t="str">
        <f>"25,0"</f>
        <v>25,0</v>
      </c>
      <c r="L6" s="10" t="str">
        <f>"26,6725"</f>
        <v>26,6725</v>
      </c>
      <c r="M6" s="9" t="s">
        <v>312</v>
      </c>
    </row>
    <row r="7" spans="1:13">
      <c r="B7" s="7" t="s">
        <v>40</v>
      </c>
    </row>
    <row r="8" spans="1:13" ht="16">
      <c r="A8" s="54" t="s">
        <v>22</v>
      </c>
      <c r="B8" s="54"/>
      <c r="C8" s="54"/>
      <c r="D8" s="54"/>
      <c r="E8" s="54"/>
      <c r="F8" s="54"/>
      <c r="G8" s="54"/>
      <c r="H8" s="54"/>
      <c r="I8" s="54"/>
      <c r="J8" s="54"/>
    </row>
    <row r="9" spans="1:13">
      <c r="A9" s="19" t="s">
        <v>39</v>
      </c>
      <c r="B9" s="18" t="s">
        <v>210</v>
      </c>
      <c r="C9" s="18" t="s">
        <v>211</v>
      </c>
      <c r="D9" s="18" t="s">
        <v>212</v>
      </c>
      <c r="E9" s="18" t="s">
        <v>367</v>
      </c>
      <c r="F9" s="18" t="s">
        <v>330</v>
      </c>
      <c r="G9" s="23" t="s">
        <v>103</v>
      </c>
      <c r="H9" s="22" t="s">
        <v>103</v>
      </c>
      <c r="I9" s="23" t="s">
        <v>98</v>
      </c>
      <c r="J9" s="19"/>
      <c r="K9" s="19" t="str">
        <f>"60,0"</f>
        <v>60,0</v>
      </c>
      <c r="L9" s="19" t="str">
        <f>"37,3050"</f>
        <v>37,3050</v>
      </c>
      <c r="M9" s="18"/>
    </row>
    <row r="10" spans="1:13">
      <c r="A10" s="21" t="s">
        <v>39</v>
      </c>
      <c r="B10" s="20" t="s">
        <v>313</v>
      </c>
      <c r="C10" s="20" t="s">
        <v>361</v>
      </c>
      <c r="D10" s="20" t="s">
        <v>314</v>
      </c>
      <c r="E10" s="20" t="s">
        <v>371</v>
      </c>
      <c r="F10" s="20" t="s">
        <v>363</v>
      </c>
      <c r="G10" s="24" t="s">
        <v>112</v>
      </c>
      <c r="H10" s="24" t="s">
        <v>97</v>
      </c>
      <c r="I10" s="24" t="s">
        <v>315</v>
      </c>
      <c r="J10" s="21"/>
      <c r="K10" s="21" t="str">
        <f>"57,5"</f>
        <v>57,5</v>
      </c>
      <c r="L10" s="21" t="str">
        <f>"38,5683"</f>
        <v>38,5683</v>
      </c>
      <c r="M10" s="20"/>
    </row>
    <row r="11" spans="1:13">
      <c r="B11" s="7" t="s">
        <v>40</v>
      </c>
    </row>
    <row r="12" spans="1:13" ht="16">
      <c r="A12" s="54" t="s">
        <v>152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3">
      <c r="A13" s="19" t="s">
        <v>39</v>
      </c>
      <c r="B13" s="18" t="s">
        <v>316</v>
      </c>
      <c r="C13" s="18" t="s">
        <v>317</v>
      </c>
      <c r="D13" s="18" t="s">
        <v>318</v>
      </c>
      <c r="E13" s="18" t="s">
        <v>367</v>
      </c>
      <c r="F13" s="18" t="s">
        <v>330</v>
      </c>
      <c r="G13" s="22" t="s">
        <v>99</v>
      </c>
      <c r="H13" s="23" t="s">
        <v>237</v>
      </c>
      <c r="I13" s="22" t="s">
        <v>237</v>
      </c>
      <c r="J13" s="19"/>
      <c r="K13" s="19" t="str">
        <f>"72,5"</f>
        <v>72,5</v>
      </c>
      <c r="L13" s="19" t="str">
        <f>"42,4379"</f>
        <v>42,4379</v>
      </c>
      <c r="M13" s="18"/>
    </row>
    <row r="14" spans="1:13">
      <c r="A14" s="21" t="s">
        <v>172</v>
      </c>
      <c r="B14" s="20" t="s">
        <v>319</v>
      </c>
      <c r="C14" s="20" t="s">
        <v>320</v>
      </c>
      <c r="D14" s="20" t="s">
        <v>288</v>
      </c>
      <c r="E14" s="20" t="s">
        <v>367</v>
      </c>
      <c r="F14" s="20" t="s">
        <v>330</v>
      </c>
      <c r="G14" s="24" t="s">
        <v>237</v>
      </c>
      <c r="H14" s="25" t="s">
        <v>321</v>
      </c>
      <c r="I14" s="25" t="s">
        <v>321</v>
      </c>
      <c r="J14" s="21"/>
      <c r="K14" s="21" t="str">
        <f>"72,5"</f>
        <v>72,5</v>
      </c>
      <c r="L14" s="21" t="str">
        <f>"42,1443"</f>
        <v>42,1443</v>
      </c>
      <c r="M14" s="20"/>
    </row>
    <row r="15" spans="1:13">
      <c r="B15" s="7" t="s">
        <v>40</v>
      </c>
    </row>
    <row r="16" spans="1:13" ht="16">
      <c r="A16" s="54" t="s">
        <v>74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3">
      <c r="A17" s="10" t="s">
        <v>39</v>
      </c>
      <c r="B17" s="9" t="s">
        <v>322</v>
      </c>
      <c r="C17" s="9" t="s">
        <v>323</v>
      </c>
      <c r="D17" s="9" t="s">
        <v>324</v>
      </c>
      <c r="E17" s="9" t="s">
        <v>367</v>
      </c>
      <c r="F17" s="9" t="s">
        <v>348</v>
      </c>
      <c r="G17" s="16" t="s">
        <v>99</v>
      </c>
      <c r="H17" s="16" t="s">
        <v>321</v>
      </c>
      <c r="I17" s="16" t="s">
        <v>57</v>
      </c>
      <c r="J17" s="10"/>
      <c r="K17" s="10" t="str">
        <f>"80,0"</f>
        <v>80,0</v>
      </c>
      <c r="L17" s="10" t="str">
        <f>"43,8700"</f>
        <v>43,8700</v>
      </c>
      <c r="M17" s="9"/>
    </row>
    <row r="18" spans="1:13">
      <c r="B18" s="7" t="s">
        <v>40</v>
      </c>
    </row>
  </sheetData>
  <mergeCells count="15">
    <mergeCell ref="A8:J8"/>
    <mergeCell ref="A12:J12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20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7.5" style="7" bestFit="1" customWidth="1"/>
    <col min="3" max="3" width="26.5" style="7" bestFit="1" customWidth="1"/>
    <col min="4" max="4" width="21.5" style="7" bestFit="1" customWidth="1"/>
    <col min="5" max="5" width="10.5" style="7" bestFit="1" customWidth="1"/>
    <col min="6" max="6" width="27.5" style="7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8" bestFit="1" customWidth="1"/>
    <col min="20" max="20" width="8.5" style="8" bestFit="1" customWidth="1"/>
    <col min="21" max="21" width="17.5" style="7" bestFit="1" customWidth="1"/>
    <col min="22" max="16384" width="9.1640625" style="3"/>
  </cols>
  <sheetData>
    <row r="1" spans="1:21" s="2" customFormat="1" ht="29" customHeight="1">
      <c r="A1" s="43" t="s">
        <v>332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41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10" t="s">
        <v>39</v>
      </c>
      <c r="B6" s="9" t="s">
        <v>42</v>
      </c>
      <c r="C6" s="9" t="s">
        <v>43</v>
      </c>
      <c r="D6" s="9" t="s">
        <v>44</v>
      </c>
      <c r="E6" s="9" t="s">
        <v>367</v>
      </c>
      <c r="F6" s="9" t="s">
        <v>345</v>
      </c>
      <c r="G6" s="17" t="s">
        <v>45</v>
      </c>
      <c r="H6" s="16" t="s">
        <v>45</v>
      </c>
      <c r="I6" s="16" t="s">
        <v>46</v>
      </c>
      <c r="J6" s="10"/>
      <c r="K6" s="16" t="s">
        <v>17</v>
      </c>
      <c r="L6" s="16" t="s">
        <v>18</v>
      </c>
      <c r="M6" s="16" t="s">
        <v>47</v>
      </c>
      <c r="N6" s="10"/>
      <c r="O6" s="16" t="s">
        <v>48</v>
      </c>
      <c r="P6" s="16" t="s">
        <v>49</v>
      </c>
      <c r="Q6" s="16" t="s">
        <v>50</v>
      </c>
      <c r="R6" s="10"/>
      <c r="S6" s="10" t="str">
        <f>"430,0"</f>
        <v>430,0</v>
      </c>
      <c r="T6" s="10" t="str">
        <f>"456,3590"</f>
        <v>456,3590</v>
      </c>
      <c r="U6" s="9" t="s">
        <v>51</v>
      </c>
    </row>
    <row r="7" spans="1:21">
      <c r="B7" s="7" t="s">
        <v>40</v>
      </c>
    </row>
    <row r="8" spans="1:21" ht="16">
      <c r="A8" s="54" t="s">
        <v>10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1">
      <c r="A9" s="10" t="s">
        <v>39</v>
      </c>
      <c r="B9" s="9" t="s">
        <v>52</v>
      </c>
      <c r="C9" s="9" t="s">
        <v>53</v>
      </c>
      <c r="D9" s="9" t="s">
        <v>54</v>
      </c>
      <c r="E9" s="9" t="s">
        <v>370</v>
      </c>
      <c r="F9" s="9" t="s">
        <v>345</v>
      </c>
      <c r="G9" s="16" t="s">
        <v>19</v>
      </c>
      <c r="H9" s="16" t="s">
        <v>55</v>
      </c>
      <c r="I9" s="16" t="s">
        <v>56</v>
      </c>
      <c r="J9" s="10"/>
      <c r="K9" s="16" t="s">
        <v>57</v>
      </c>
      <c r="L9" s="16" t="s">
        <v>58</v>
      </c>
      <c r="M9" s="17" t="s">
        <v>17</v>
      </c>
      <c r="N9" s="10"/>
      <c r="O9" s="16" t="s">
        <v>59</v>
      </c>
      <c r="P9" s="16" t="s">
        <v>60</v>
      </c>
      <c r="Q9" s="16" t="s">
        <v>61</v>
      </c>
      <c r="R9" s="10"/>
      <c r="S9" s="10" t="str">
        <f>"330,0"</f>
        <v>330,0</v>
      </c>
      <c r="T9" s="10" t="str">
        <f>"249,2160"</f>
        <v>249,2160</v>
      </c>
      <c r="U9" s="9" t="s">
        <v>351</v>
      </c>
    </row>
    <row r="10" spans="1:21">
      <c r="B10" s="7" t="s">
        <v>40</v>
      </c>
    </row>
    <row r="11" spans="1:21" ht="16">
      <c r="A11" s="54" t="s">
        <v>22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1">
      <c r="A12" s="19" t="s">
        <v>39</v>
      </c>
      <c r="B12" s="18" t="s">
        <v>62</v>
      </c>
      <c r="C12" s="18" t="s">
        <v>63</v>
      </c>
      <c r="D12" s="18" t="s">
        <v>64</v>
      </c>
      <c r="E12" s="18" t="s">
        <v>369</v>
      </c>
      <c r="F12" s="18" t="s">
        <v>330</v>
      </c>
      <c r="G12" s="22" t="s">
        <v>65</v>
      </c>
      <c r="H12" s="22" t="s">
        <v>66</v>
      </c>
      <c r="I12" s="22" t="s">
        <v>67</v>
      </c>
      <c r="J12" s="19"/>
      <c r="K12" s="22" t="s">
        <v>68</v>
      </c>
      <c r="L12" s="22" t="s">
        <v>69</v>
      </c>
      <c r="M12" s="23" t="s">
        <v>45</v>
      </c>
      <c r="N12" s="19"/>
      <c r="O12" s="22" t="s">
        <v>67</v>
      </c>
      <c r="P12" s="22" t="s">
        <v>70</v>
      </c>
      <c r="Q12" s="23" t="s">
        <v>71</v>
      </c>
      <c r="R12" s="19"/>
      <c r="S12" s="19" t="str">
        <f>"602,5"</f>
        <v>602,5</v>
      </c>
      <c r="T12" s="19" t="str">
        <f>"386,8652"</f>
        <v>386,8652</v>
      </c>
      <c r="U12" s="18" t="s">
        <v>72</v>
      </c>
    </row>
    <row r="13" spans="1:21">
      <c r="A13" s="21" t="s">
        <v>39</v>
      </c>
      <c r="B13" s="20" t="s">
        <v>62</v>
      </c>
      <c r="C13" s="20" t="s">
        <v>73</v>
      </c>
      <c r="D13" s="20" t="s">
        <v>64</v>
      </c>
      <c r="E13" s="20" t="s">
        <v>367</v>
      </c>
      <c r="F13" s="20" t="s">
        <v>330</v>
      </c>
      <c r="G13" s="24" t="s">
        <v>65</v>
      </c>
      <c r="H13" s="24" t="s">
        <v>66</v>
      </c>
      <c r="I13" s="24" t="s">
        <v>67</v>
      </c>
      <c r="J13" s="21"/>
      <c r="K13" s="24" t="s">
        <v>68</v>
      </c>
      <c r="L13" s="24" t="s">
        <v>69</v>
      </c>
      <c r="M13" s="25" t="s">
        <v>45</v>
      </c>
      <c r="N13" s="21"/>
      <c r="O13" s="24" t="s">
        <v>67</v>
      </c>
      <c r="P13" s="24" t="s">
        <v>70</v>
      </c>
      <c r="Q13" s="25" t="s">
        <v>71</v>
      </c>
      <c r="R13" s="21"/>
      <c r="S13" s="21" t="str">
        <f>"602,5"</f>
        <v>602,5</v>
      </c>
      <c r="T13" s="21" t="str">
        <f>"386,8652"</f>
        <v>386,8652</v>
      </c>
      <c r="U13" s="20" t="s">
        <v>72</v>
      </c>
    </row>
    <row r="14" spans="1:21">
      <c r="B14" s="7" t="s">
        <v>40</v>
      </c>
    </row>
    <row r="15" spans="1:21" ht="16">
      <c r="A15" s="54" t="s">
        <v>74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1:21">
      <c r="A16" s="10" t="s">
        <v>39</v>
      </c>
      <c r="B16" s="9" t="s">
        <v>75</v>
      </c>
      <c r="C16" s="9" t="s">
        <v>76</v>
      </c>
      <c r="D16" s="9" t="s">
        <v>77</v>
      </c>
      <c r="E16" s="9" t="s">
        <v>367</v>
      </c>
      <c r="F16" s="9" t="s">
        <v>345</v>
      </c>
      <c r="G16" s="16" t="s">
        <v>78</v>
      </c>
      <c r="H16" s="16" t="s">
        <v>79</v>
      </c>
      <c r="I16" s="17" t="s">
        <v>80</v>
      </c>
      <c r="J16" s="10"/>
      <c r="K16" s="16" t="s">
        <v>16</v>
      </c>
      <c r="L16" s="16" t="s">
        <v>65</v>
      </c>
      <c r="M16" s="30" t="s">
        <v>81</v>
      </c>
      <c r="N16" s="10"/>
      <c r="O16" s="16" t="s">
        <v>82</v>
      </c>
      <c r="P16" s="16" t="s">
        <v>83</v>
      </c>
      <c r="Q16" s="16" t="s">
        <v>31</v>
      </c>
      <c r="R16" s="10"/>
      <c r="S16" s="31">
        <v>710</v>
      </c>
      <c r="T16" s="32" t="e">
        <f>S16*E16</f>
        <v>#VALUE!</v>
      </c>
      <c r="U16" s="9" t="s">
        <v>351</v>
      </c>
    </row>
    <row r="17" spans="1:21">
      <c r="B17" s="7" t="s">
        <v>40</v>
      </c>
    </row>
    <row r="18" spans="1:21" ht="16">
      <c r="A18" s="54" t="s">
        <v>84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21">
      <c r="A19" s="10" t="s">
        <v>39</v>
      </c>
      <c r="B19" s="9" t="s">
        <v>85</v>
      </c>
      <c r="C19" s="9" t="s">
        <v>86</v>
      </c>
      <c r="D19" s="9" t="s">
        <v>87</v>
      </c>
      <c r="E19" s="9" t="s">
        <v>367</v>
      </c>
      <c r="F19" s="9" t="s">
        <v>330</v>
      </c>
      <c r="G19" s="16" t="s">
        <v>88</v>
      </c>
      <c r="H19" s="16" t="s">
        <v>89</v>
      </c>
      <c r="I19" s="16" t="s">
        <v>90</v>
      </c>
      <c r="J19" s="10"/>
      <c r="K19" s="16" t="s">
        <v>14</v>
      </c>
      <c r="L19" s="17" t="s">
        <v>15</v>
      </c>
      <c r="M19" s="10"/>
      <c r="N19" s="10"/>
      <c r="O19" s="16" t="s">
        <v>91</v>
      </c>
      <c r="P19" s="16" t="s">
        <v>92</v>
      </c>
      <c r="Q19" s="16" t="s">
        <v>90</v>
      </c>
      <c r="R19" s="10"/>
      <c r="S19" s="10" t="str">
        <f>"870,0"</f>
        <v>870,0</v>
      </c>
      <c r="T19" s="10" t="str">
        <f>"478,2390"</f>
        <v>478,2390</v>
      </c>
      <c r="U19" s="9" t="s">
        <v>352</v>
      </c>
    </row>
    <row r="20" spans="1:21">
      <c r="B20" s="7" t="s">
        <v>40</v>
      </c>
    </row>
  </sheetData>
  <mergeCells count="18">
    <mergeCell ref="A8:R8"/>
    <mergeCell ref="A11:R11"/>
    <mergeCell ref="A15:R15"/>
    <mergeCell ref="A18:R1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5">
    <pageSetUpPr fitToPage="1"/>
  </sheetPr>
  <dimension ref="A1:U10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6.164062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27.5" style="7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8" bestFit="1" customWidth="1"/>
    <col min="20" max="20" width="8.5" style="8" bestFit="1" customWidth="1"/>
    <col min="21" max="21" width="15.5" style="7" bestFit="1" customWidth="1"/>
    <col min="22" max="16384" width="9.1640625" style="3"/>
  </cols>
  <sheetData>
    <row r="1" spans="1:21" s="2" customFormat="1" ht="29" customHeight="1">
      <c r="A1" s="43" t="s">
        <v>333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10" t="s">
        <v>39</v>
      </c>
      <c r="B6" s="9" t="s">
        <v>11</v>
      </c>
      <c r="C6" s="9" t="s">
        <v>12</v>
      </c>
      <c r="D6" s="9" t="s">
        <v>13</v>
      </c>
      <c r="E6" s="9" t="s">
        <v>367</v>
      </c>
      <c r="F6" s="9" t="s">
        <v>330</v>
      </c>
      <c r="G6" s="16" t="s">
        <v>14</v>
      </c>
      <c r="H6" s="16" t="s">
        <v>15</v>
      </c>
      <c r="I6" s="17" t="s">
        <v>16</v>
      </c>
      <c r="J6" s="10"/>
      <c r="K6" s="16" t="s">
        <v>17</v>
      </c>
      <c r="L6" s="16" t="s">
        <v>18</v>
      </c>
      <c r="M6" s="16" t="s">
        <v>19</v>
      </c>
      <c r="N6" s="10"/>
      <c r="O6" s="16" t="s">
        <v>14</v>
      </c>
      <c r="P6" s="16" t="s">
        <v>15</v>
      </c>
      <c r="Q6" s="17" t="s">
        <v>20</v>
      </c>
      <c r="R6" s="10"/>
      <c r="S6" s="10" t="str">
        <f>"460,0"</f>
        <v>460,0</v>
      </c>
      <c r="T6" s="10" t="str">
        <f>"437,2760"</f>
        <v>437,2760</v>
      </c>
      <c r="U6" s="9" t="s">
        <v>21</v>
      </c>
    </row>
    <row r="7" spans="1:21">
      <c r="B7" s="7" t="s">
        <v>40</v>
      </c>
    </row>
    <row r="8" spans="1:21" ht="16">
      <c r="A8" s="54" t="s">
        <v>22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21">
      <c r="A9" s="10" t="s">
        <v>39</v>
      </c>
      <c r="B9" s="9" t="s">
        <v>23</v>
      </c>
      <c r="C9" s="9" t="s">
        <v>24</v>
      </c>
      <c r="D9" s="9" t="s">
        <v>25</v>
      </c>
      <c r="E9" s="9" t="s">
        <v>367</v>
      </c>
      <c r="F9" s="9" t="s">
        <v>330</v>
      </c>
      <c r="G9" s="17" t="s">
        <v>26</v>
      </c>
      <c r="H9" s="16" t="s">
        <v>26</v>
      </c>
      <c r="I9" s="16" t="s">
        <v>27</v>
      </c>
      <c r="J9" s="10"/>
      <c r="K9" s="16" t="s">
        <v>28</v>
      </c>
      <c r="L9" s="17" t="s">
        <v>29</v>
      </c>
      <c r="M9" s="17" t="s">
        <v>29</v>
      </c>
      <c r="N9" s="10"/>
      <c r="O9" s="17" t="s">
        <v>30</v>
      </c>
      <c r="P9" s="16" t="s">
        <v>30</v>
      </c>
      <c r="Q9" s="16" t="s">
        <v>31</v>
      </c>
      <c r="R9" s="10"/>
      <c r="S9" s="10" t="str">
        <f>"727,5"</f>
        <v>727,5</v>
      </c>
      <c r="T9" s="10" t="str">
        <f>"464,4360"</f>
        <v>464,4360</v>
      </c>
      <c r="U9" s="9"/>
    </row>
    <row r="10" spans="1:21">
      <c r="B10" s="7" t="s">
        <v>40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40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7.5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31.5" style="7" bestFit="1" customWidth="1"/>
    <col min="7" max="9" width="5.5" style="8" customWidth="1"/>
    <col min="10" max="10" width="4.83203125" style="8" customWidth="1"/>
    <col min="11" max="11" width="10.5" style="33" bestFit="1" customWidth="1"/>
    <col min="12" max="12" width="8.5" style="8" bestFit="1" customWidth="1"/>
    <col min="13" max="13" width="24.1640625" style="7" bestFit="1" customWidth="1"/>
    <col min="14" max="16384" width="9.1640625" style="3"/>
  </cols>
  <sheetData>
    <row r="1" spans="1:13" s="2" customFormat="1" ht="29" customHeight="1">
      <c r="A1" s="43" t="s">
        <v>334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8</v>
      </c>
      <c r="H3" s="37"/>
      <c r="I3" s="37"/>
      <c r="J3" s="37"/>
      <c r="K3" s="5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58"/>
      <c r="L4" s="38"/>
      <c r="M4" s="40"/>
    </row>
    <row r="5" spans="1:13" ht="16">
      <c r="A5" s="41" t="s">
        <v>114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9" t="s">
        <v>39</v>
      </c>
      <c r="B6" s="18" t="s">
        <v>231</v>
      </c>
      <c r="C6" s="18" t="s">
        <v>232</v>
      </c>
      <c r="D6" s="18" t="s">
        <v>233</v>
      </c>
      <c r="E6" s="18" t="s">
        <v>367</v>
      </c>
      <c r="F6" s="18" t="s">
        <v>346</v>
      </c>
      <c r="G6" s="22" t="s">
        <v>97</v>
      </c>
      <c r="H6" s="22" t="s">
        <v>103</v>
      </c>
      <c r="I6" s="23" t="s">
        <v>98</v>
      </c>
      <c r="J6" s="19"/>
      <c r="K6" s="34" t="str">
        <f>"60,0"</f>
        <v>60,0</v>
      </c>
      <c r="L6" s="19" t="str">
        <f>"72,8460"</f>
        <v>72,8460</v>
      </c>
      <c r="M6" s="18" t="s">
        <v>353</v>
      </c>
    </row>
    <row r="7" spans="1:13">
      <c r="A7" s="27" t="s">
        <v>230</v>
      </c>
      <c r="B7" s="26" t="s">
        <v>234</v>
      </c>
      <c r="C7" s="26" t="s">
        <v>235</v>
      </c>
      <c r="D7" s="26" t="s">
        <v>236</v>
      </c>
      <c r="E7" s="26" t="s">
        <v>367</v>
      </c>
      <c r="F7" s="26" t="s">
        <v>330</v>
      </c>
      <c r="G7" s="29" t="s">
        <v>99</v>
      </c>
      <c r="H7" s="29" t="s">
        <v>237</v>
      </c>
      <c r="I7" s="29" t="s">
        <v>237</v>
      </c>
      <c r="J7" s="27"/>
      <c r="K7" s="35">
        <v>0</v>
      </c>
      <c r="L7" s="27" t="str">
        <f>"0,0000"</f>
        <v>0,0000</v>
      </c>
      <c r="M7" s="26" t="s">
        <v>354</v>
      </c>
    </row>
    <row r="8" spans="1:13">
      <c r="A8" s="21" t="s">
        <v>230</v>
      </c>
      <c r="B8" s="20" t="s">
        <v>234</v>
      </c>
      <c r="C8" s="20" t="s">
        <v>238</v>
      </c>
      <c r="D8" s="20" t="s">
        <v>236</v>
      </c>
      <c r="E8" s="20" t="s">
        <v>371</v>
      </c>
      <c r="F8" s="20" t="s">
        <v>330</v>
      </c>
      <c r="G8" s="25" t="s">
        <v>99</v>
      </c>
      <c r="H8" s="25" t="s">
        <v>237</v>
      </c>
      <c r="I8" s="25" t="s">
        <v>237</v>
      </c>
      <c r="J8" s="21"/>
      <c r="K8" s="36">
        <v>0</v>
      </c>
      <c r="L8" s="21" t="str">
        <f>"0,0000"</f>
        <v>0,0000</v>
      </c>
      <c r="M8" s="20" t="s">
        <v>354</v>
      </c>
    </row>
    <row r="9" spans="1:13">
      <c r="B9" s="7" t="s">
        <v>40</v>
      </c>
    </row>
    <row r="10" spans="1:13" ht="16">
      <c r="A10" s="54" t="s">
        <v>41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3">
      <c r="A11" s="10" t="s">
        <v>39</v>
      </c>
      <c r="B11" s="9" t="s">
        <v>239</v>
      </c>
      <c r="C11" s="9" t="s">
        <v>240</v>
      </c>
      <c r="D11" s="9" t="s">
        <v>241</v>
      </c>
      <c r="E11" s="9" t="s">
        <v>367</v>
      </c>
      <c r="F11" s="9" t="s">
        <v>330</v>
      </c>
      <c r="G11" s="16" t="s">
        <v>242</v>
      </c>
      <c r="H11" s="17" t="s">
        <v>57</v>
      </c>
      <c r="I11" s="17" t="s">
        <v>57</v>
      </c>
      <c r="J11" s="10"/>
      <c r="K11" s="31" t="str">
        <f>"75,0"</f>
        <v>75,0</v>
      </c>
      <c r="L11" s="10" t="str">
        <f>"77,8050"</f>
        <v>77,8050</v>
      </c>
      <c r="M11" s="9"/>
    </row>
    <row r="12" spans="1:13">
      <c r="B12" s="7" t="s">
        <v>40</v>
      </c>
    </row>
    <row r="13" spans="1:13" ht="16">
      <c r="A13" s="54" t="s">
        <v>205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3">
      <c r="A14" s="19" t="s">
        <v>39</v>
      </c>
      <c r="B14" s="18" t="s">
        <v>243</v>
      </c>
      <c r="C14" s="18" t="s">
        <v>357</v>
      </c>
      <c r="D14" s="18" t="s">
        <v>244</v>
      </c>
      <c r="E14" s="18" t="s">
        <v>368</v>
      </c>
      <c r="F14" s="18" t="s">
        <v>330</v>
      </c>
      <c r="G14" s="22" t="s">
        <v>61</v>
      </c>
      <c r="H14" s="23" t="s">
        <v>144</v>
      </c>
      <c r="I14" s="23" t="s">
        <v>144</v>
      </c>
      <c r="J14" s="19"/>
      <c r="K14" s="34" t="str">
        <f>"130,0"</f>
        <v>130,0</v>
      </c>
      <c r="L14" s="19" t="str">
        <f>"87,6720"</f>
        <v>87,6720</v>
      </c>
      <c r="M14" s="18" t="s">
        <v>354</v>
      </c>
    </row>
    <row r="15" spans="1:13">
      <c r="A15" s="21" t="s">
        <v>39</v>
      </c>
      <c r="B15" s="20" t="s">
        <v>243</v>
      </c>
      <c r="C15" s="20" t="s">
        <v>245</v>
      </c>
      <c r="D15" s="20" t="s">
        <v>244</v>
      </c>
      <c r="E15" s="20" t="s">
        <v>367</v>
      </c>
      <c r="F15" s="20" t="s">
        <v>330</v>
      </c>
      <c r="G15" s="24" t="s">
        <v>61</v>
      </c>
      <c r="H15" s="25" t="s">
        <v>144</v>
      </c>
      <c r="I15" s="25" t="s">
        <v>144</v>
      </c>
      <c r="J15" s="21"/>
      <c r="K15" s="36" t="str">
        <f>"130,0"</f>
        <v>130,0</v>
      </c>
      <c r="L15" s="21" t="str">
        <f>"87,6720"</f>
        <v>87,6720</v>
      </c>
      <c r="M15" s="20" t="s">
        <v>354</v>
      </c>
    </row>
    <row r="16" spans="1:13">
      <c r="B16" s="7" t="s">
        <v>40</v>
      </c>
    </row>
    <row r="17" spans="1:13" ht="16">
      <c r="A17" s="54" t="s">
        <v>22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3">
      <c r="A18" s="19" t="s">
        <v>39</v>
      </c>
      <c r="B18" s="18" t="s">
        <v>246</v>
      </c>
      <c r="C18" s="18" t="s">
        <v>247</v>
      </c>
      <c r="D18" s="18" t="s">
        <v>248</v>
      </c>
      <c r="E18" s="18" t="s">
        <v>367</v>
      </c>
      <c r="F18" s="18" t="s">
        <v>330</v>
      </c>
      <c r="G18" s="23" t="s">
        <v>69</v>
      </c>
      <c r="H18" s="22" t="s">
        <v>48</v>
      </c>
      <c r="I18" s="22" t="s">
        <v>249</v>
      </c>
      <c r="J18" s="19"/>
      <c r="K18" s="34" t="str">
        <f>"160,0"</f>
        <v>160,0</v>
      </c>
      <c r="L18" s="19" t="str">
        <f>"102,6720"</f>
        <v>102,6720</v>
      </c>
      <c r="M18" s="18"/>
    </row>
    <row r="19" spans="1:13">
      <c r="A19" s="21" t="s">
        <v>172</v>
      </c>
      <c r="B19" s="20" t="s">
        <v>250</v>
      </c>
      <c r="C19" s="20" t="s">
        <v>251</v>
      </c>
      <c r="D19" s="20" t="s">
        <v>252</v>
      </c>
      <c r="E19" s="20" t="s">
        <v>367</v>
      </c>
      <c r="F19" s="20" t="s">
        <v>330</v>
      </c>
      <c r="G19" s="24" t="s">
        <v>137</v>
      </c>
      <c r="H19" s="24" t="s">
        <v>165</v>
      </c>
      <c r="I19" s="24" t="s">
        <v>68</v>
      </c>
      <c r="J19" s="21"/>
      <c r="K19" s="36" t="str">
        <f>"135,0"</f>
        <v>135,0</v>
      </c>
      <c r="L19" s="21" t="str">
        <f>"87,8445"</f>
        <v>87,8445</v>
      </c>
      <c r="M19" s="20" t="s">
        <v>355</v>
      </c>
    </row>
    <row r="20" spans="1:13">
      <c r="B20" s="7" t="s">
        <v>40</v>
      </c>
    </row>
    <row r="21" spans="1:13" ht="16">
      <c r="A21" s="54" t="s">
        <v>152</v>
      </c>
      <c r="B21" s="54"/>
      <c r="C21" s="54"/>
      <c r="D21" s="54"/>
      <c r="E21" s="54"/>
      <c r="F21" s="54"/>
      <c r="G21" s="54"/>
      <c r="H21" s="54"/>
      <c r="I21" s="54"/>
      <c r="J21" s="54"/>
    </row>
    <row r="22" spans="1:13">
      <c r="A22" s="19" t="s">
        <v>39</v>
      </c>
      <c r="B22" s="18" t="s">
        <v>253</v>
      </c>
      <c r="C22" s="18" t="s">
        <v>254</v>
      </c>
      <c r="D22" s="18" t="s">
        <v>255</v>
      </c>
      <c r="E22" s="18" t="s">
        <v>370</v>
      </c>
      <c r="F22" s="18" t="s">
        <v>330</v>
      </c>
      <c r="G22" s="22" t="s">
        <v>18</v>
      </c>
      <c r="H22" s="22" t="s">
        <v>110</v>
      </c>
      <c r="I22" s="22" t="s">
        <v>59</v>
      </c>
      <c r="J22" s="19"/>
      <c r="K22" s="34" t="str">
        <f>"110,0"</f>
        <v>110,0</v>
      </c>
      <c r="L22" s="19" t="str">
        <f>"68,1010"</f>
        <v>68,1010</v>
      </c>
      <c r="M22" s="18" t="s">
        <v>256</v>
      </c>
    </row>
    <row r="23" spans="1:13">
      <c r="A23" s="27" t="s">
        <v>39</v>
      </c>
      <c r="B23" s="26" t="s">
        <v>257</v>
      </c>
      <c r="C23" s="26" t="s">
        <v>258</v>
      </c>
      <c r="D23" s="26" t="s">
        <v>259</v>
      </c>
      <c r="E23" s="26" t="s">
        <v>367</v>
      </c>
      <c r="F23" s="26" t="s">
        <v>330</v>
      </c>
      <c r="G23" s="28" t="s">
        <v>249</v>
      </c>
      <c r="H23" s="28" t="s">
        <v>49</v>
      </c>
      <c r="I23" s="29" t="s">
        <v>14</v>
      </c>
      <c r="J23" s="27"/>
      <c r="K23" s="35" t="str">
        <f>"165,0"</f>
        <v>165,0</v>
      </c>
      <c r="L23" s="27" t="str">
        <f>"101,2110"</f>
        <v>101,2110</v>
      </c>
      <c r="M23" s="26" t="s">
        <v>184</v>
      </c>
    </row>
    <row r="24" spans="1:13">
      <c r="A24" s="21" t="s">
        <v>39</v>
      </c>
      <c r="B24" s="20" t="s">
        <v>260</v>
      </c>
      <c r="C24" s="20" t="s">
        <v>261</v>
      </c>
      <c r="D24" s="20" t="s">
        <v>262</v>
      </c>
      <c r="E24" s="20" t="s">
        <v>372</v>
      </c>
      <c r="F24" s="20" t="s">
        <v>343</v>
      </c>
      <c r="G24" s="24" t="s">
        <v>68</v>
      </c>
      <c r="H24" s="25" t="s">
        <v>139</v>
      </c>
      <c r="I24" s="24" t="s">
        <v>139</v>
      </c>
      <c r="J24" s="21"/>
      <c r="K24" s="36" t="str">
        <f>"142,5"</f>
        <v>142,5</v>
      </c>
      <c r="L24" s="21" t="str">
        <f>"101,8280"</f>
        <v>101,8280</v>
      </c>
      <c r="M24" s="20" t="s">
        <v>356</v>
      </c>
    </row>
    <row r="25" spans="1:13">
      <c r="B25" s="7" t="s">
        <v>40</v>
      </c>
    </row>
    <row r="26" spans="1:13" ht="16">
      <c r="A26" s="54" t="s">
        <v>185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3">
      <c r="A27" s="10" t="s">
        <v>39</v>
      </c>
      <c r="B27" s="9" t="s">
        <v>263</v>
      </c>
      <c r="C27" s="9" t="s">
        <v>264</v>
      </c>
      <c r="D27" s="9" t="s">
        <v>265</v>
      </c>
      <c r="E27" s="9" t="s">
        <v>372</v>
      </c>
      <c r="F27" s="9" t="s">
        <v>343</v>
      </c>
      <c r="G27" s="16" t="s">
        <v>45</v>
      </c>
      <c r="H27" s="17" t="s">
        <v>249</v>
      </c>
      <c r="I27" s="17" t="s">
        <v>249</v>
      </c>
      <c r="J27" s="10"/>
      <c r="K27" s="31" t="str">
        <f>"150,0"</f>
        <v>150,0</v>
      </c>
      <c r="L27" s="10" t="str">
        <f>"103,4906"</f>
        <v>103,4906</v>
      </c>
      <c r="M27" s="9"/>
    </row>
    <row r="28" spans="1:13">
      <c r="B28" s="7" t="s">
        <v>40</v>
      </c>
    </row>
    <row r="29" spans="1:13" ht="16">
      <c r="A29" s="54" t="s">
        <v>266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3">
      <c r="A30" s="10" t="s">
        <v>39</v>
      </c>
      <c r="B30" s="9" t="s">
        <v>267</v>
      </c>
      <c r="C30" s="9" t="s">
        <v>268</v>
      </c>
      <c r="D30" s="9" t="s">
        <v>269</v>
      </c>
      <c r="E30" s="9" t="s">
        <v>367</v>
      </c>
      <c r="F30" s="9" t="s">
        <v>330</v>
      </c>
      <c r="G30" s="16" t="s">
        <v>14</v>
      </c>
      <c r="H30" s="16" t="s">
        <v>270</v>
      </c>
      <c r="I30" s="17" t="s">
        <v>271</v>
      </c>
      <c r="J30" s="10"/>
      <c r="K30" s="31" t="str">
        <f>"177,5"</f>
        <v>177,5</v>
      </c>
      <c r="L30" s="10" t="str">
        <f>"100,1810"</f>
        <v>100,1810</v>
      </c>
      <c r="M30" s="9"/>
    </row>
    <row r="31" spans="1:13">
      <c r="B31" s="7" t="s">
        <v>40</v>
      </c>
    </row>
    <row r="34" spans="2:5" ht="18">
      <c r="B34" s="11" t="s">
        <v>32</v>
      </c>
      <c r="C34" s="11"/>
    </row>
    <row r="35" spans="2:5" ht="16">
      <c r="B35" s="12" t="s">
        <v>37</v>
      </c>
      <c r="C35" s="12"/>
    </row>
    <row r="36" spans="2:5" ht="14">
      <c r="B36" s="14"/>
      <c r="C36" s="15" t="s">
        <v>34</v>
      </c>
    </row>
    <row r="37" spans="2:5" ht="14">
      <c r="B37" s="5" t="s">
        <v>35</v>
      </c>
      <c r="C37" s="5" t="s">
        <v>36</v>
      </c>
      <c r="D37" s="5" t="s">
        <v>360</v>
      </c>
      <c r="E37" s="5" t="s">
        <v>189</v>
      </c>
    </row>
    <row r="38" spans="2:5">
      <c r="B38" s="7" t="s">
        <v>246</v>
      </c>
      <c r="C38" s="7" t="s">
        <v>34</v>
      </c>
      <c r="D38" s="8" t="s">
        <v>38</v>
      </c>
      <c r="E38" s="8" t="s">
        <v>249</v>
      </c>
    </row>
    <row r="39" spans="2:5">
      <c r="B39" s="7" t="s">
        <v>257</v>
      </c>
      <c r="C39" s="7" t="s">
        <v>34</v>
      </c>
      <c r="D39" s="8" t="s">
        <v>171</v>
      </c>
      <c r="E39" s="8" t="s">
        <v>49</v>
      </c>
    </row>
    <row r="40" spans="2:5">
      <c r="B40" s="7" t="s">
        <v>267</v>
      </c>
      <c r="C40" s="7" t="s">
        <v>34</v>
      </c>
      <c r="D40" s="8" t="s">
        <v>272</v>
      </c>
      <c r="E40" s="8" t="s">
        <v>270</v>
      </c>
    </row>
  </sheetData>
  <mergeCells count="18">
    <mergeCell ref="A29:J29"/>
    <mergeCell ref="K3:K4"/>
    <mergeCell ref="L3:L4"/>
    <mergeCell ref="M3:M4"/>
    <mergeCell ref="A5:J5"/>
    <mergeCell ref="B3:B4"/>
    <mergeCell ref="A10:J10"/>
    <mergeCell ref="A13:J13"/>
    <mergeCell ref="A17:J17"/>
    <mergeCell ref="A21:J21"/>
    <mergeCell ref="A26:J26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31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9.1640625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7.5" style="7" bestFit="1" customWidth="1"/>
    <col min="7" max="9" width="5.5" style="8" customWidth="1"/>
    <col min="10" max="10" width="4.83203125" style="8" customWidth="1"/>
    <col min="11" max="11" width="10.5" style="33" bestFit="1" customWidth="1"/>
    <col min="12" max="12" width="8.5" style="8" bestFit="1" customWidth="1"/>
    <col min="13" max="13" width="15.5" style="7" bestFit="1" customWidth="1"/>
    <col min="14" max="16384" width="9.1640625" style="3"/>
  </cols>
  <sheetData>
    <row r="1" spans="1:13" s="2" customFormat="1" ht="29" customHeight="1">
      <c r="A1" s="43" t="s">
        <v>335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8</v>
      </c>
      <c r="H3" s="37"/>
      <c r="I3" s="37"/>
      <c r="J3" s="37"/>
      <c r="K3" s="5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58"/>
      <c r="L4" s="38"/>
      <c r="M4" s="40"/>
    </row>
    <row r="5" spans="1:13" ht="16">
      <c r="A5" s="41" t="s">
        <v>191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39</v>
      </c>
      <c r="B6" s="9" t="s">
        <v>192</v>
      </c>
      <c r="C6" s="9" t="s">
        <v>193</v>
      </c>
      <c r="D6" s="9" t="s">
        <v>194</v>
      </c>
      <c r="E6" s="9" t="s">
        <v>372</v>
      </c>
      <c r="F6" s="9" t="s">
        <v>345</v>
      </c>
      <c r="G6" s="16" t="s">
        <v>132</v>
      </c>
      <c r="H6" s="16" t="s">
        <v>111</v>
      </c>
      <c r="I6" s="16" t="s">
        <v>118</v>
      </c>
      <c r="J6" s="10"/>
      <c r="K6" s="31" t="str">
        <f>"47,5"</f>
        <v>47,5</v>
      </c>
      <c r="L6" s="10" t="str">
        <f>"74,1028"</f>
        <v>74,1028</v>
      </c>
      <c r="M6" s="9" t="s">
        <v>195</v>
      </c>
    </row>
    <row r="7" spans="1:13">
      <c r="B7" s="7" t="s">
        <v>40</v>
      </c>
    </row>
    <row r="8" spans="1:13" ht="16">
      <c r="A8" s="54" t="s">
        <v>41</v>
      </c>
      <c r="B8" s="54"/>
      <c r="C8" s="54"/>
      <c r="D8" s="54"/>
      <c r="E8" s="54"/>
      <c r="F8" s="54"/>
      <c r="G8" s="54"/>
      <c r="H8" s="54"/>
      <c r="I8" s="54"/>
      <c r="J8" s="54"/>
    </row>
    <row r="9" spans="1:13">
      <c r="A9" s="19" t="s">
        <v>39</v>
      </c>
      <c r="B9" s="18" t="s">
        <v>42</v>
      </c>
      <c r="C9" s="18" t="s">
        <v>43</v>
      </c>
      <c r="D9" s="18" t="s">
        <v>44</v>
      </c>
      <c r="E9" s="18" t="s">
        <v>367</v>
      </c>
      <c r="F9" s="18" t="s">
        <v>345</v>
      </c>
      <c r="G9" s="22" t="s">
        <v>17</v>
      </c>
      <c r="H9" s="22" t="s">
        <v>18</v>
      </c>
      <c r="I9" s="22" t="s">
        <v>47</v>
      </c>
      <c r="J9" s="19"/>
      <c r="K9" s="34" t="str">
        <f>"97,5"</f>
        <v>97,5</v>
      </c>
      <c r="L9" s="19" t="str">
        <f>"103,4768"</f>
        <v>103,4768</v>
      </c>
      <c r="M9" s="18" t="s">
        <v>51</v>
      </c>
    </row>
    <row r="10" spans="1:13">
      <c r="A10" s="21" t="s">
        <v>172</v>
      </c>
      <c r="B10" s="20" t="s">
        <v>196</v>
      </c>
      <c r="C10" s="20" t="s">
        <v>197</v>
      </c>
      <c r="D10" s="20" t="s">
        <v>198</v>
      </c>
      <c r="E10" s="20" t="s">
        <v>367</v>
      </c>
      <c r="F10" s="20" t="s">
        <v>330</v>
      </c>
      <c r="G10" s="25" t="s">
        <v>57</v>
      </c>
      <c r="H10" s="25" t="s">
        <v>57</v>
      </c>
      <c r="I10" s="24" t="s">
        <v>57</v>
      </c>
      <c r="J10" s="21"/>
      <c r="K10" s="36" t="str">
        <f>"80,0"</f>
        <v>80,0</v>
      </c>
      <c r="L10" s="21" t="str">
        <f>"81,6480"</f>
        <v>81,6480</v>
      </c>
      <c r="M10" s="20" t="s">
        <v>200</v>
      </c>
    </row>
    <row r="11" spans="1:13">
      <c r="B11" s="7" t="s">
        <v>40</v>
      </c>
    </row>
    <row r="12" spans="1:13" ht="16">
      <c r="A12" s="54" t="s">
        <v>10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3">
      <c r="A13" s="10" t="s">
        <v>39</v>
      </c>
      <c r="B13" s="9" t="s">
        <v>201</v>
      </c>
      <c r="C13" s="9" t="s">
        <v>202</v>
      </c>
      <c r="D13" s="9" t="s">
        <v>203</v>
      </c>
      <c r="E13" s="9" t="s">
        <v>367</v>
      </c>
      <c r="F13" s="9" t="s">
        <v>330</v>
      </c>
      <c r="G13" s="16" t="s">
        <v>111</v>
      </c>
      <c r="H13" s="16" t="s">
        <v>118</v>
      </c>
      <c r="I13" s="16" t="s">
        <v>112</v>
      </c>
      <c r="J13" s="10"/>
      <c r="K13" s="31" t="str">
        <f>"50,0"</f>
        <v>50,0</v>
      </c>
      <c r="L13" s="10" t="str">
        <f>"48,9400"</f>
        <v>48,9400</v>
      </c>
      <c r="M13" s="9" t="s">
        <v>204</v>
      </c>
    </row>
    <row r="14" spans="1:13">
      <c r="B14" s="7" t="s">
        <v>40</v>
      </c>
    </row>
    <row r="15" spans="1:13" ht="16">
      <c r="A15" s="54" t="s">
        <v>205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3">
      <c r="A16" s="10" t="s">
        <v>230</v>
      </c>
      <c r="B16" s="9" t="s">
        <v>206</v>
      </c>
      <c r="C16" s="9" t="s">
        <v>207</v>
      </c>
      <c r="D16" s="9" t="s">
        <v>208</v>
      </c>
      <c r="E16" s="9" t="s">
        <v>370</v>
      </c>
      <c r="F16" s="9" t="s">
        <v>330</v>
      </c>
      <c r="G16" s="17" t="s">
        <v>209</v>
      </c>
      <c r="H16" s="17" t="s">
        <v>209</v>
      </c>
      <c r="I16" s="17" t="s">
        <v>209</v>
      </c>
      <c r="J16" s="10"/>
      <c r="K16" s="31">
        <v>0</v>
      </c>
      <c r="L16" s="10" t="str">
        <f>"0,0000"</f>
        <v>0,0000</v>
      </c>
      <c r="M16" s="9" t="s">
        <v>358</v>
      </c>
    </row>
    <row r="17" spans="1:13">
      <c r="B17" s="7" t="s">
        <v>40</v>
      </c>
    </row>
    <row r="18" spans="1:13" ht="16">
      <c r="A18" s="54" t="s">
        <v>22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3">
      <c r="A19" s="10" t="s">
        <v>39</v>
      </c>
      <c r="B19" s="9" t="s">
        <v>210</v>
      </c>
      <c r="C19" s="9" t="s">
        <v>211</v>
      </c>
      <c r="D19" s="9" t="s">
        <v>212</v>
      </c>
      <c r="E19" s="9" t="s">
        <v>367</v>
      </c>
      <c r="F19" s="9" t="s">
        <v>330</v>
      </c>
      <c r="G19" s="16" t="s">
        <v>14</v>
      </c>
      <c r="H19" s="16" t="s">
        <v>50</v>
      </c>
      <c r="I19" s="17" t="s">
        <v>15</v>
      </c>
      <c r="J19" s="10"/>
      <c r="K19" s="31" t="str">
        <f>"175,0"</f>
        <v>175,0</v>
      </c>
      <c r="L19" s="10" t="str">
        <f>"113,3825"</f>
        <v>113,3825</v>
      </c>
      <c r="M19" s="9"/>
    </row>
    <row r="20" spans="1:13">
      <c r="B20" s="7" t="s">
        <v>40</v>
      </c>
    </row>
    <row r="21" spans="1:13" ht="16">
      <c r="A21" s="54" t="s">
        <v>152</v>
      </c>
      <c r="B21" s="54"/>
      <c r="C21" s="54"/>
      <c r="D21" s="54"/>
      <c r="E21" s="54"/>
      <c r="F21" s="54"/>
      <c r="G21" s="54"/>
      <c r="H21" s="54"/>
      <c r="I21" s="54"/>
      <c r="J21" s="54"/>
    </row>
    <row r="22" spans="1:13">
      <c r="A22" s="10" t="s">
        <v>39</v>
      </c>
      <c r="B22" s="9" t="s">
        <v>213</v>
      </c>
      <c r="C22" s="9" t="s">
        <v>214</v>
      </c>
      <c r="D22" s="9" t="s">
        <v>215</v>
      </c>
      <c r="E22" s="9" t="s">
        <v>367</v>
      </c>
      <c r="F22" s="9" t="s">
        <v>330</v>
      </c>
      <c r="G22" s="16" t="s">
        <v>15</v>
      </c>
      <c r="H22" s="16" t="s">
        <v>16</v>
      </c>
      <c r="I22" s="17" t="s">
        <v>216</v>
      </c>
      <c r="J22" s="10"/>
      <c r="K22" s="31" t="str">
        <f>"190,0"</f>
        <v>190,0</v>
      </c>
      <c r="L22" s="10" t="str">
        <f>"116,5840"</f>
        <v>116,5840</v>
      </c>
      <c r="M22" s="9" t="s">
        <v>140</v>
      </c>
    </row>
    <row r="23" spans="1:13">
      <c r="B23" s="7" t="s">
        <v>40</v>
      </c>
    </row>
    <row r="24" spans="1:13" ht="16">
      <c r="A24" s="54" t="s">
        <v>185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3">
      <c r="A25" s="19" t="s">
        <v>39</v>
      </c>
      <c r="B25" s="18" t="s">
        <v>217</v>
      </c>
      <c r="C25" s="18" t="s">
        <v>218</v>
      </c>
      <c r="D25" s="18" t="s">
        <v>219</v>
      </c>
      <c r="E25" s="18" t="s">
        <v>367</v>
      </c>
      <c r="F25" s="18" t="s">
        <v>330</v>
      </c>
      <c r="G25" s="22" t="s">
        <v>220</v>
      </c>
      <c r="H25" s="22" t="s">
        <v>221</v>
      </c>
      <c r="I25" s="22" t="s">
        <v>156</v>
      </c>
      <c r="J25" s="19"/>
      <c r="K25" s="34" t="str">
        <f>"230,0"</f>
        <v>230,0</v>
      </c>
      <c r="L25" s="19" t="str">
        <f>"137,6320"</f>
        <v>137,6320</v>
      </c>
      <c r="M25" s="18"/>
    </row>
    <row r="26" spans="1:13">
      <c r="A26" s="27" t="s">
        <v>172</v>
      </c>
      <c r="B26" s="26" t="s">
        <v>222</v>
      </c>
      <c r="C26" s="26" t="s">
        <v>223</v>
      </c>
      <c r="D26" s="26" t="s">
        <v>224</v>
      </c>
      <c r="E26" s="26" t="s">
        <v>367</v>
      </c>
      <c r="F26" s="26" t="s">
        <v>347</v>
      </c>
      <c r="G26" s="28" t="s">
        <v>15</v>
      </c>
      <c r="H26" s="29" t="s">
        <v>20</v>
      </c>
      <c r="I26" s="29" t="s">
        <v>20</v>
      </c>
      <c r="J26" s="27"/>
      <c r="K26" s="35" t="str">
        <f>"180,0"</f>
        <v>180,0</v>
      </c>
      <c r="L26" s="27" t="str">
        <f>"106,9020"</f>
        <v>106,9020</v>
      </c>
      <c r="M26" s="26"/>
    </row>
    <row r="27" spans="1:13">
      <c r="A27" s="21" t="s">
        <v>39</v>
      </c>
      <c r="B27" s="20" t="s">
        <v>222</v>
      </c>
      <c r="C27" s="20" t="s">
        <v>225</v>
      </c>
      <c r="D27" s="20" t="s">
        <v>224</v>
      </c>
      <c r="E27" s="20" t="s">
        <v>371</v>
      </c>
      <c r="F27" s="20" t="s">
        <v>347</v>
      </c>
      <c r="G27" s="24" t="s">
        <v>15</v>
      </c>
      <c r="H27" s="25" t="s">
        <v>20</v>
      </c>
      <c r="I27" s="25" t="s">
        <v>20</v>
      </c>
      <c r="J27" s="21"/>
      <c r="K27" s="36" t="str">
        <f>"180,0"</f>
        <v>180,0</v>
      </c>
      <c r="L27" s="21" t="str">
        <f>"106,9020"</f>
        <v>106,9020</v>
      </c>
      <c r="M27" s="20"/>
    </row>
    <row r="28" spans="1:13">
      <c r="B28" s="7" t="s">
        <v>40</v>
      </c>
    </row>
    <row r="29" spans="1:13" ht="16">
      <c r="A29" s="54" t="s">
        <v>74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3">
      <c r="A30" s="10" t="s">
        <v>39</v>
      </c>
      <c r="B30" s="9" t="s">
        <v>226</v>
      </c>
      <c r="C30" s="9" t="s">
        <v>227</v>
      </c>
      <c r="D30" s="9" t="s">
        <v>228</v>
      </c>
      <c r="E30" s="9" t="s">
        <v>372</v>
      </c>
      <c r="F30" s="9" t="s">
        <v>343</v>
      </c>
      <c r="G30" s="16" t="s">
        <v>137</v>
      </c>
      <c r="H30" s="16" t="s">
        <v>61</v>
      </c>
      <c r="I30" s="16" t="s">
        <v>165</v>
      </c>
      <c r="J30" s="10"/>
      <c r="K30" s="31" t="str">
        <f>"132,5"</f>
        <v>132,5</v>
      </c>
      <c r="L30" s="10" t="str">
        <f>"94,3230"</f>
        <v>94,3230</v>
      </c>
      <c r="M30" s="9" t="s">
        <v>229</v>
      </c>
    </row>
    <row r="31" spans="1:13">
      <c r="B31" s="7" t="s">
        <v>40</v>
      </c>
    </row>
  </sheetData>
  <mergeCells count="19">
    <mergeCell ref="A29:J29"/>
    <mergeCell ref="B3:B4"/>
    <mergeCell ref="A8:J8"/>
    <mergeCell ref="A12:J12"/>
    <mergeCell ref="A15:J15"/>
    <mergeCell ref="A18:J18"/>
    <mergeCell ref="A21:J21"/>
    <mergeCell ref="A24:J2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1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7.33203125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7.5" style="7" bestFit="1" customWidth="1"/>
    <col min="7" max="9" width="5.5" style="8" customWidth="1"/>
    <col min="10" max="10" width="4.83203125" style="8" customWidth="1"/>
    <col min="11" max="11" width="10.5" style="8" bestFit="1" customWidth="1"/>
    <col min="12" max="12" width="8.5" style="8" bestFit="1" customWidth="1"/>
    <col min="13" max="13" width="15.5" style="7" bestFit="1" customWidth="1"/>
    <col min="14" max="16384" width="9.1640625" style="3"/>
  </cols>
  <sheetData>
    <row r="1" spans="1:13" s="2" customFormat="1" ht="29" customHeight="1">
      <c r="A1" s="43" t="s">
        <v>336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8</v>
      </c>
      <c r="H3" s="37"/>
      <c r="I3" s="37"/>
      <c r="J3" s="37"/>
      <c r="K3" s="3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205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9" t="s">
        <v>39</v>
      </c>
      <c r="B6" s="18" t="s">
        <v>273</v>
      </c>
      <c r="C6" s="18" t="s">
        <v>274</v>
      </c>
      <c r="D6" s="18" t="s">
        <v>275</v>
      </c>
      <c r="E6" s="18" t="s">
        <v>367</v>
      </c>
      <c r="F6" s="18" t="s">
        <v>330</v>
      </c>
      <c r="G6" s="23" t="s">
        <v>67</v>
      </c>
      <c r="H6" s="22" t="s">
        <v>67</v>
      </c>
      <c r="I6" s="23" t="s">
        <v>79</v>
      </c>
      <c r="J6" s="19"/>
      <c r="K6" s="19" t="str">
        <f>"220,0"</f>
        <v>220,0</v>
      </c>
      <c r="L6" s="19" t="str">
        <f>"145,4640"</f>
        <v>145,4640</v>
      </c>
      <c r="M6" s="18"/>
    </row>
    <row r="7" spans="1:13">
      <c r="A7" s="21" t="s">
        <v>39</v>
      </c>
      <c r="B7" s="20" t="s">
        <v>273</v>
      </c>
      <c r="C7" s="20" t="s">
        <v>276</v>
      </c>
      <c r="D7" s="20" t="s">
        <v>275</v>
      </c>
      <c r="E7" s="20" t="s">
        <v>371</v>
      </c>
      <c r="F7" s="20" t="s">
        <v>330</v>
      </c>
      <c r="G7" s="25" t="s">
        <v>67</v>
      </c>
      <c r="H7" s="24" t="s">
        <v>67</v>
      </c>
      <c r="I7" s="25" t="s">
        <v>79</v>
      </c>
      <c r="J7" s="21"/>
      <c r="K7" s="21" t="str">
        <f>"220,0"</f>
        <v>220,0</v>
      </c>
      <c r="L7" s="21" t="str">
        <f>"149,9734"</f>
        <v>149,9734</v>
      </c>
      <c r="M7" s="20"/>
    </row>
    <row r="8" spans="1:13">
      <c r="B8" s="7" t="s">
        <v>40</v>
      </c>
    </row>
    <row r="9" spans="1:13" ht="16">
      <c r="A9" s="54" t="s">
        <v>152</v>
      </c>
      <c r="B9" s="54"/>
      <c r="C9" s="54"/>
      <c r="D9" s="54"/>
      <c r="E9" s="54"/>
      <c r="F9" s="54"/>
      <c r="G9" s="54"/>
      <c r="H9" s="54"/>
      <c r="I9" s="54"/>
      <c r="J9" s="54"/>
    </row>
    <row r="10" spans="1:13">
      <c r="A10" s="10" t="s">
        <v>39</v>
      </c>
      <c r="B10" s="9" t="s">
        <v>182</v>
      </c>
      <c r="C10" s="9" t="s">
        <v>183</v>
      </c>
      <c r="D10" s="9" t="s">
        <v>155</v>
      </c>
      <c r="E10" s="9" t="s">
        <v>372</v>
      </c>
      <c r="F10" s="9" t="s">
        <v>330</v>
      </c>
      <c r="G10" s="16" t="s">
        <v>65</v>
      </c>
      <c r="H10" s="16" t="s">
        <v>181</v>
      </c>
      <c r="I10" s="10"/>
      <c r="J10" s="10"/>
      <c r="K10" s="10" t="str">
        <f>"212,5"</f>
        <v>212,5</v>
      </c>
      <c r="L10" s="10" t="str">
        <f>"150,3813"</f>
        <v>150,3813</v>
      </c>
      <c r="M10" s="9" t="s">
        <v>184</v>
      </c>
    </row>
    <row r="11" spans="1:13">
      <c r="B11" s="7" t="s">
        <v>40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5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7.33203125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8.83203125" style="7" bestFit="1" customWidth="1"/>
    <col min="7" max="9" width="5.5" style="8" customWidth="1"/>
    <col min="10" max="10" width="4.83203125" style="8" customWidth="1"/>
    <col min="11" max="11" width="10.5" style="8" bestFit="1" customWidth="1"/>
    <col min="12" max="12" width="8.5" style="8" bestFit="1" customWidth="1"/>
    <col min="13" max="13" width="21.5" style="7" customWidth="1"/>
    <col min="14" max="16384" width="9.1640625" style="3"/>
  </cols>
  <sheetData>
    <row r="1" spans="1:13" s="2" customFormat="1" ht="29" customHeight="1">
      <c r="A1" s="43" t="s">
        <v>337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8</v>
      </c>
      <c r="H3" s="37"/>
      <c r="I3" s="37"/>
      <c r="J3" s="37"/>
      <c r="K3" s="3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22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39</v>
      </c>
      <c r="B6" s="9" t="s">
        <v>23</v>
      </c>
      <c r="C6" s="9" t="s">
        <v>24</v>
      </c>
      <c r="D6" s="9" t="s">
        <v>25</v>
      </c>
      <c r="E6" s="9" t="s">
        <v>367</v>
      </c>
      <c r="F6" s="9" t="s">
        <v>330</v>
      </c>
      <c r="G6" s="16" t="s">
        <v>30</v>
      </c>
      <c r="H6" s="17" t="s">
        <v>31</v>
      </c>
      <c r="I6" s="17" t="s">
        <v>31</v>
      </c>
      <c r="J6" s="10"/>
      <c r="K6" s="10" t="str">
        <f>"260,0"</f>
        <v>260,0</v>
      </c>
      <c r="L6" s="10" t="str">
        <f>"159,0810"</f>
        <v>159,0810</v>
      </c>
      <c r="M6" s="9"/>
    </row>
    <row r="7" spans="1:13">
      <c r="B7" s="7" t="s">
        <v>40</v>
      </c>
    </row>
    <row r="8" spans="1:13" ht="16">
      <c r="A8" s="54" t="s">
        <v>152</v>
      </c>
      <c r="B8" s="54"/>
      <c r="C8" s="54"/>
      <c r="D8" s="54"/>
      <c r="E8" s="54"/>
      <c r="F8" s="54"/>
      <c r="G8" s="54"/>
      <c r="H8" s="54"/>
      <c r="I8" s="54"/>
      <c r="J8" s="54"/>
    </row>
    <row r="9" spans="1:13">
      <c r="A9" s="19" t="s">
        <v>39</v>
      </c>
      <c r="B9" s="18" t="s">
        <v>173</v>
      </c>
      <c r="C9" s="18" t="s">
        <v>174</v>
      </c>
      <c r="D9" s="18" t="s">
        <v>175</v>
      </c>
      <c r="E9" s="18" t="s">
        <v>367</v>
      </c>
      <c r="F9" s="18" t="s">
        <v>329</v>
      </c>
      <c r="G9" s="22" t="s">
        <v>148</v>
      </c>
      <c r="H9" s="22" t="s">
        <v>78</v>
      </c>
      <c r="I9" s="22" t="s">
        <v>79</v>
      </c>
      <c r="J9" s="19"/>
      <c r="K9" s="19" t="str">
        <f>"235,0"</f>
        <v>235,0</v>
      </c>
      <c r="L9" s="19" t="str">
        <f>"143,0093"</f>
        <v>143,0093</v>
      </c>
      <c r="M9" s="18" t="s">
        <v>176</v>
      </c>
    </row>
    <row r="10" spans="1:13">
      <c r="A10" s="27" t="s">
        <v>39</v>
      </c>
      <c r="B10" s="26" t="s">
        <v>177</v>
      </c>
      <c r="C10" s="26" t="s">
        <v>178</v>
      </c>
      <c r="D10" s="26" t="s">
        <v>179</v>
      </c>
      <c r="E10" s="26" t="s">
        <v>371</v>
      </c>
      <c r="F10" s="26" t="s">
        <v>343</v>
      </c>
      <c r="G10" s="28" t="s">
        <v>180</v>
      </c>
      <c r="H10" s="29" t="s">
        <v>181</v>
      </c>
      <c r="I10" s="29" t="s">
        <v>66</v>
      </c>
      <c r="J10" s="27"/>
      <c r="K10" s="27" t="str">
        <f>"202,5"</f>
        <v>202,5</v>
      </c>
      <c r="L10" s="27" t="str">
        <f>"129,2610"</f>
        <v>129,2610</v>
      </c>
      <c r="M10" s="26"/>
    </row>
    <row r="11" spans="1:13">
      <c r="A11" s="21" t="s">
        <v>39</v>
      </c>
      <c r="B11" s="20" t="s">
        <v>182</v>
      </c>
      <c r="C11" s="20" t="s">
        <v>183</v>
      </c>
      <c r="D11" s="20" t="s">
        <v>155</v>
      </c>
      <c r="E11" s="20" t="s">
        <v>372</v>
      </c>
      <c r="F11" s="20" t="s">
        <v>330</v>
      </c>
      <c r="G11" s="24" t="s">
        <v>65</v>
      </c>
      <c r="H11" s="24" t="s">
        <v>181</v>
      </c>
      <c r="I11" s="21"/>
      <c r="J11" s="21"/>
      <c r="K11" s="21" t="str">
        <f>"212,5"</f>
        <v>212,5</v>
      </c>
      <c r="L11" s="21" t="str">
        <f>"150,3813"</f>
        <v>150,3813</v>
      </c>
      <c r="M11" s="20" t="s">
        <v>184</v>
      </c>
    </row>
    <row r="12" spans="1:13">
      <c r="B12" s="7" t="s">
        <v>40</v>
      </c>
    </row>
    <row r="13" spans="1:13" ht="16">
      <c r="A13" s="54" t="s">
        <v>185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3">
      <c r="A14" s="10" t="s">
        <v>39</v>
      </c>
      <c r="B14" s="9" t="s">
        <v>186</v>
      </c>
      <c r="C14" s="9" t="s">
        <v>174</v>
      </c>
      <c r="D14" s="9" t="s">
        <v>187</v>
      </c>
      <c r="E14" s="9" t="s">
        <v>367</v>
      </c>
      <c r="F14" s="9" t="s">
        <v>343</v>
      </c>
      <c r="G14" s="16" t="s">
        <v>188</v>
      </c>
      <c r="H14" s="16" t="s">
        <v>91</v>
      </c>
      <c r="I14" s="17" t="s">
        <v>88</v>
      </c>
      <c r="J14" s="10"/>
      <c r="K14" s="10" t="str">
        <f>"300,0"</f>
        <v>300,0</v>
      </c>
      <c r="L14" s="10" t="str">
        <f>"172,7850"</f>
        <v>172,7850</v>
      </c>
      <c r="M14" s="9"/>
    </row>
    <row r="15" spans="1:13">
      <c r="B15" s="7" t="s">
        <v>40</v>
      </c>
    </row>
  </sheetData>
  <mergeCells count="14">
    <mergeCell ref="A8:J8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7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7" bestFit="1" customWidth="1"/>
    <col min="2" max="2" width="18.83203125" style="7" customWidth="1"/>
    <col min="3" max="3" width="26.33203125" style="7" bestFit="1" customWidth="1"/>
    <col min="4" max="4" width="15.5" style="7" bestFit="1" customWidth="1"/>
    <col min="5" max="5" width="6.83203125" style="7" bestFit="1" customWidth="1"/>
    <col min="6" max="6" width="27.5" style="7" bestFit="1" customWidth="1"/>
    <col min="7" max="9" width="5.5" style="8" customWidth="1"/>
    <col min="10" max="10" width="4.83203125" style="8" customWidth="1"/>
    <col min="11" max="11" width="10.5" style="33" bestFit="1" customWidth="1"/>
    <col min="12" max="12" width="6.5" style="8" bestFit="1" customWidth="1"/>
    <col min="13" max="13" width="21.33203125" style="7" customWidth="1"/>
    <col min="14" max="16384" width="9.1640625" style="3"/>
  </cols>
  <sheetData>
    <row r="1" spans="1:13" s="2" customFormat="1" ht="29" customHeight="1">
      <c r="A1" s="43" t="s">
        <v>338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8</v>
      </c>
      <c r="H3" s="37"/>
      <c r="I3" s="37"/>
      <c r="J3" s="37"/>
      <c r="K3" s="5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58"/>
      <c r="L4" s="38"/>
      <c r="M4" s="40"/>
    </row>
    <row r="5" spans="1:13" ht="16">
      <c r="A5" s="41" t="s">
        <v>152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230</v>
      </c>
      <c r="B6" s="9" t="s">
        <v>277</v>
      </c>
      <c r="C6" s="9" t="s">
        <v>278</v>
      </c>
      <c r="D6" s="9" t="s">
        <v>279</v>
      </c>
      <c r="E6" s="9" t="s">
        <v>367</v>
      </c>
      <c r="F6" s="9" t="s">
        <v>330</v>
      </c>
      <c r="G6" s="17" t="s">
        <v>82</v>
      </c>
      <c r="H6" s="17" t="s">
        <v>82</v>
      </c>
      <c r="I6" s="17" t="s">
        <v>82</v>
      </c>
      <c r="J6" s="10"/>
      <c r="K6" s="31">
        <v>0</v>
      </c>
      <c r="L6" s="10" t="str">
        <f>"0,0000"</f>
        <v>0,0000</v>
      </c>
      <c r="M6" s="9" t="s">
        <v>280</v>
      </c>
    </row>
    <row r="7" spans="1:13">
      <c r="B7" s="7" t="s">
        <v>40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activeCell="F3" sqref="F1:G1048576"/>
    </sheetView>
  </sheetViews>
  <sheetFormatPr baseColWidth="10" defaultColWidth="9.1640625" defaultRowHeight="13"/>
  <cols>
    <col min="1" max="1" width="7.5" style="7" bestFit="1" customWidth="1"/>
    <col min="2" max="2" width="15.5" style="7" bestFit="1" customWidth="1"/>
    <col min="3" max="3" width="26.33203125" style="7" bestFit="1" customWidth="1"/>
    <col min="4" max="4" width="21.5" style="7" bestFit="1" customWidth="1"/>
    <col min="5" max="5" width="10.5" style="7" bestFit="1" customWidth="1"/>
    <col min="6" max="6" width="29.83203125" style="7" bestFit="1" customWidth="1"/>
    <col min="7" max="9" width="4.5" style="8" customWidth="1"/>
    <col min="10" max="10" width="4.83203125" style="8" customWidth="1"/>
    <col min="11" max="11" width="10.5" style="8" bestFit="1" customWidth="1"/>
    <col min="12" max="12" width="7.5" style="8" bestFit="1" customWidth="1"/>
    <col min="13" max="13" width="18.1640625" style="7" customWidth="1"/>
    <col min="14" max="16384" width="9.1640625" style="3"/>
  </cols>
  <sheetData>
    <row r="1" spans="1:13" s="2" customFormat="1" ht="29" customHeight="1">
      <c r="A1" s="43" t="s">
        <v>339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364</v>
      </c>
      <c r="B3" s="55" t="s">
        <v>0</v>
      </c>
      <c r="C3" s="53" t="s">
        <v>365</v>
      </c>
      <c r="D3" s="53" t="s">
        <v>6</v>
      </c>
      <c r="E3" s="37" t="s">
        <v>366</v>
      </c>
      <c r="F3" s="37" t="s">
        <v>5</v>
      </c>
      <c r="G3" s="37" t="s">
        <v>8</v>
      </c>
      <c r="H3" s="37"/>
      <c r="I3" s="37"/>
      <c r="J3" s="37"/>
      <c r="K3" s="37" t="s">
        <v>190</v>
      </c>
      <c r="L3" s="37" t="s">
        <v>3</v>
      </c>
      <c r="M3" s="39" t="s">
        <v>2</v>
      </c>
    </row>
    <row r="4" spans="1:13" s="1" customFormat="1" ht="21" customHeight="1" thickBot="1">
      <c r="A4" s="52"/>
      <c r="B4" s="56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205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0" t="s">
        <v>39</v>
      </c>
      <c r="B6" s="9" t="s">
        <v>325</v>
      </c>
      <c r="C6" s="9" t="s">
        <v>326</v>
      </c>
      <c r="D6" s="9" t="s">
        <v>327</v>
      </c>
      <c r="E6" s="9" t="s">
        <v>367</v>
      </c>
      <c r="F6" s="9" t="s">
        <v>330</v>
      </c>
      <c r="G6" s="16" t="s">
        <v>99</v>
      </c>
      <c r="H6" s="17" t="s">
        <v>237</v>
      </c>
      <c r="I6" s="16" t="s">
        <v>237</v>
      </c>
      <c r="J6" s="10"/>
      <c r="K6" s="10" t="str">
        <f>"72,5"</f>
        <v>72,5</v>
      </c>
      <c r="L6" s="10" t="str">
        <f>"46,9546"</f>
        <v>46,9546</v>
      </c>
      <c r="M6" s="9" t="s">
        <v>328</v>
      </c>
    </row>
    <row r="7" spans="1:13">
      <c r="B7" s="7" t="s">
        <v>40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WRPF ПЛ в бинтах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WRPF Жим СФО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2020-09-29T17:26:12Z</dcterms:modified>
</cp:coreProperties>
</file>