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E6E2B3A2-7280-0149-94B6-08B2FCE77B39}" xr6:coauthVersionLast="45" xr6:coauthVersionMax="45" xr10:uidLastSave="{00000000-0000-0000-0000-000000000000}"/>
  <bookViews>
    <workbookView xWindow="480" yWindow="460" windowWidth="28140" windowHeight="16100" firstSheet="20" activeTab="26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EPF ПЛ однослой" sheetId="7" r:id="rId4"/>
    <sheet name="WEPF ПЛ многослой" sheetId="11" r:id="rId5"/>
    <sheet name="WRPF Двоеборье без экип ДК" sheetId="28" r:id="rId6"/>
    <sheet name="WRPF Двоеборье без экип" sheetId="27" r:id="rId7"/>
    <sheet name="WRPF Жим лежа без экип ДК" sheetId="15" r:id="rId8"/>
    <sheet name="WRPF Жим лежа без экип" sheetId="14" r:id="rId9"/>
    <sheet name="WEPF Жим однослой ДК" sheetId="18" r:id="rId10"/>
    <sheet name="WEPF Жим однослой" sheetId="17" r:id="rId11"/>
    <sheet name="WEPF Жим многослой" sheetId="21" r:id="rId12"/>
    <sheet name="WEPF Жим софт однопетельная ДК" sheetId="16" r:id="rId13"/>
    <sheet name="WEPF Жим софт однопетельная" sheetId="13" r:id="rId14"/>
    <sheet name="WEPF Жим софт многопетельнаяДК" sheetId="20" r:id="rId15"/>
    <sheet name="WEPF Жим софт многопетельная" sheetId="19" r:id="rId16"/>
    <sheet name="WRPF Жим СФО" sheetId="51" r:id="rId17"/>
    <sheet name="WRPF Тяга без экипировки ДК" sheetId="24" r:id="rId18"/>
    <sheet name="WRPF Тяга без экипировки" sheetId="23" r:id="rId19"/>
    <sheet name="WRPF PRO Тяга без экипировки" sheetId="55" r:id="rId20"/>
    <sheet name="СПР Пауэрспорт ДК" sheetId="50" r:id="rId21"/>
    <sheet name="СПР Пауэрспорт" sheetId="49" r:id="rId22"/>
    <sheet name="СПР Жим стоя ДК" sheetId="46" r:id="rId23"/>
    <sheet name="СПР Жим стоя" sheetId="45" r:id="rId24"/>
    <sheet name="СПР Подъем на бицепс ДК" sheetId="48" r:id="rId25"/>
    <sheet name="СПР Подъем на бицепс" sheetId="47" r:id="rId26"/>
    <sheet name="WRPF Подъем на бицепс" sheetId="31" r:id="rId27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55" l="1"/>
  <c r="L18" i="55"/>
  <c r="M17" i="55"/>
  <c r="L17" i="55"/>
  <c r="M14" i="55"/>
  <c r="L14" i="55"/>
  <c r="M11" i="55"/>
  <c r="L11" i="55"/>
  <c r="M8" i="55"/>
  <c r="M7" i="55"/>
  <c r="L7" i="55"/>
  <c r="M6" i="55"/>
  <c r="L6" i="55"/>
  <c r="M9" i="51" l="1"/>
  <c r="L9" i="51"/>
  <c r="M6" i="51"/>
  <c r="L6" i="51"/>
  <c r="Q35" i="50"/>
  <c r="P35" i="50"/>
  <c r="Q34" i="50"/>
  <c r="P34" i="50"/>
  <c r="Q33" i="50"/>
  <c r="P33" i="50"/>
  <c r="Q30" i="50"/>
  <c r="P30" i="50"/>
  <c r="Q27" i="50"/>
  <c r="P27" i="50"/>
  <c r="Q26" i="50"/>
  <c r="P26" i="50"/>
  <c r="Q23" i="50"/>
  <c r="P23" i="50"/>
  <c r="Q22" i="50"/>
  <c r="P22" i="50"/>
  <c r="Q19" i="50"/>
  <c r="P19" i="50"/>
  <c r="Q18" i="50"/>
  <c r="P18" i="50"/>
  <c r="Q17" i="50"/>
  <c r="P17" i="50"/>
  <c r="Q16" i="50"/>
  <c r="P16" i="50"/>
  <c r="Q13" i="50"/>
  <c r="P13" i="50"/>
  <c r="Q10" i="50"/>
  <c r="P10" i="50"/>
  <c r="Q7" i="50"/>
  <c r="P7" i="50"/>
  <c r="Q6" i="50"/>
  <c r="P6" i="50"/>
  <c r="Q25" i="49"/>
  <c r="P25" i="49"/>
  <c r="Q22" i="49"/>
  <c r="P22" i="49"/>
  <c r="Q21" i="49"/>
  <c r="P21" i="49"/>
  <c r="Q20" i="49"/>
  <c r="P20" i="49"/>
  <c r="Q17" i="49"/>
  <c r="P17" i="49"/>
  <c r="Q16" i="49"/>
  <c r="P16" i="49"/>
  <c r="Q15" i="49"/>
  <c r="P15" i="49"/>
  <c r="Q14" i="49"/>
  <c r="P14" i="49"/>
  <c r="Q11" i="49"/>
  <c r="P11" i="49"/>
  <c r="Q10" i="49"/>
  <c r="P10" i="49"/>
  <c r="Q9" i="49"/>
  <c r="P9" i="49"/>
  <c r="Q6" i="49"/>
  <c r="P6" i="49"/>
  <c r="M22" i="48"/>
  <c r="L22" i="48"/>
  <c r="M21" i="48"/>
  <c r="L21" i="48"/>
  <c r="M18" i="48"/>
  <c r="L18" i="48"/>
  <c r="M15" i="48"/>
  <c r="L15" i="48"/>
  <c r="M12" i="48"/>
  <c r="L12" i="48"/>
  <c r="M9" i="48"/>
  <c r="L9" i="48"/>
  <c r="M6" i="48"/>
  <c r="L6" i="48"/>
  <c r="M11" i="47"/>
  <c r="L11" i="47"/>
  <c r="M8" i="47"/>
  <c r="L8" i="47"/>
  <c r="M7" i="47"/>
  <c r="L7" i="47"/>
  <c r="M6" i="47"/>
  <c r="L6" i="47"/>
  <c r="M15" i="46"/>
  <c r="L15" i="46"/>
  <c r="M12" i="46"/>
  <c r="L12" i="46"/>
  <c r="M9" i="46"/>
  <c r="L9" i="46"/>
  <c r="M6" i="46"/>
  <c r="L6" i="46"/>
  <c r="M6" i="45"/>
  <c r="L6" i="45"/>
  <c r="M27" i="31"/>
  <c r="L27" i="31"/>
  <c r="M24" i="31"/>
  <c r="L24" i="31"/>
  <c r="M23" i="31"/>
  <c r="L23" i="31"/>
  <c r="M22" i="31"/>
  <c r="L22" i="31"/>
  <c r="M19" i="31"/>
  <c r="L19" i="31"/>
  <c r="M18" i="31"/>
  <c r="L18" i="31"/>
  <c r="M17" i="31"/>
  <c r="L17" i="31"/>
  <c r="M16" i="31"/>
  <c r="L16" i="31"/>
  <c r="M15" i="31"/>
  <c r="L15" i="31"/>
  <c r="M12" i="31"/>
  <c r="L12" i="31"/>
  <c r="M11" i="31"/>
  <c r="L11" i="31"/>
  <c r="M10" i="31"/>
  <c r="L10" i="31"/>
  <c r="M7" i="31"/>
  <c r="L7" i="31"/>
  <c r="M6" i="31"/>
  <c r="L6" i="31"/>
  <c r="Q16" i="28"/>
  <c r="P16" i="28"/>
  <c r="Q13" i="28"/>
  <c r="P13" i="28"/>
  <c r="Q10" i="28"/>
  <c r="P10" i="28"/>
  <c r="Q9" i="28"/>
  <c r="P9" i="28"/>
  <c r="Q6" i="28"/>
  <c r="P6" i="28"/>
  <c r="Q19" i="27"/>
  <c r="P19" i="27"/>
  <c r="Q16" i="27"/>
  <c r="P16" i="27"/>
  <c r="Q13" i="27"/>
  <c r="P13" i="27"/>
  <c r="Q10" i="27"/>
  <c r="P10" i="27"/>
  <c r="Q9" i="27"/>
  <c r="P9" i="27"/>
  <c r="Q6" i="27"/>
  <c r="P6" i="27"/>
  <c r="M48" i="24"/>
  <c r="L48" i="24"/>
  <c r="M47" i="24"/>
  <c r="L47" i="24"/>
  <c r="M44" i="24"/>
  <c r="L44" i="24"/>
  <c r="M43" i="24"/>
  <c r="L43" i="24"/>
  <c r="M42" i="24"/>
  <c r="L42" i="24"/>
  <c r="M39" i="24"/>
  <c r="L39" i="24"/>
  <c r="M38" i="24"/>
  <c r="L38" i="24"/>
  <c r="M37" i="24"/>
  <c r="L37" i="24"/>
  <c r="M34" i="24"/>
  <c r="L34" i="24"/>
  <c r="M31" i="24"/>
  <c r="L31" i="24"/>
  <c r="M30" i="24"/>
  <c r="L30" i="24"/>
  <c r="M29" i="24"/>
  <c r="L29" i="24"/>
  <c r="M26" i="24"/>
  <c r="L26" i="24"/>
  <c r="M23" i="24"/>
  <c r="L23" i="24"/>
  <c r="M20" i="24"/>
  <c r="L20" i="24"/>
  <c r="M17" i="24"/>
  <c r="L17" i="24"/>
  <c r="M16" i="24"/>
  <c r="L16" i="24"/>
  <c r="M15" i="24"/>
  <c r="L15" i="24"/>
  <c r="M14" i="24"/>
  <c r="L14" i="24"/>
  <c r="M11" i="24"/>
  <c r="L11" i="24"/>
  <c r="M10" i="24"/>
  <c r="L10" i="24"/>
  <c r="M9" i="24"/>
  <c r="L9" i="24"/>
  <c r="M6" i="24"/>
  <c r="L6" i="24"/>
  <c r="M34" i="23"/>
  <c r="L34" i="23"/>
  <c r="M31" i="23"/>
  <c r="L31" i="23"/>
  <c r="M30" i="23"/>
  <c r="L30" i="23"/>
  <c r="M29" i="23"/>
  <c r="L29" i="23"/>
  <c r="M26" i="23"/>
  <c r="L26" i="23"/>
  <c r="M25" i="23"/>
  <c r="L25" i="23"/>
  <c r="M24" i="23"/>
  <c r="L24" i="23"/>
  <c r="M23" i="23"/>
  <c r="L23" i="23"/>
  <c r="M20" i="23"/>
  <c r="L20" i="23"/>
  <c r="M19" i="23"/>
  <c r="L19" i="23"/>
  <c r="M16" i="23"/>
  <c r="L16" i="23"/>
  <c r="M13" i="23"/>
  <c r="L13" i="23"/>
  <c r="M10" i="23"/>
  <c r="L10" i="23"/>
  <c r="M9" i="23"/>
  <c r="L9" i="23"/>
  <c r="M6" i="23"/>
  <c r="L6" i="23"/>
  <c r="M6" i="21"/>
  <c r="L6" i="21"/>
  <c r="M10" i="20"/>
  <c r="L10" i="20"/>
  <c r="M9" i="20"/>
  <c r="L9" i="20"/>
  <c r="M6" i="20"/>
  <c r="L6" i="20"/>
  <c r="M12" i="19"/>
  <c r="L12" i="19"/>
  <c r="M11" i="19"/>
  <c r="L11" i="19"/>
  <c r="M10" i="19"/>
  <c r="L10" i="19"/>
  <c r="M7" i="19"/>
  <c r="M6" i="19"/>
  <c r="L6" i="19"/>
  <c r="M6" i="18"/>
  <c r="L6" i="18"/>
  <c r="M6" i="17"/>
  <c r="L6" i="17"/>
  <c r="M28" i="16"/>
  <c r="L28" i="16"/>
  <c r="M25" i="16"/>
  <c r="L25" i="16"/>
  <c r="M24" i="16"/>
  <c r="L24" i="16"/>
  <c r="M21" i="16"/>
  <c r="L21" i="16"/>
  <c r="M18" i="16"/>
  <c r="L18" i="16"/>
  <c r="M17" i="16"/>
  <c r="L17" i="16"/>
  <c r="M14" i="16"/>
  <c r="L14" i="16"/>
  <c r="M11" i="16"/>
  <c r="L11" i="16"/>
  <c r="M8" i="16"/>
  <c r="L8" i="16"/>
  <c r="M7" i="16"/>
  <c r="L7" i="16"/>
  <c r="M6" i="16"/>
  <c r="L6" i="16"/>
  <c r="M112" i="15"/>
  <c r="L112" i="15"/>
  <c r="M111" i="15"/>
  <c r="L111" i="15"/>
  <c r="M110" i="15"/>
  <c r="L110" i="15"/>
  <c r="M107" i="15"/>
  <c r="L107" i="15"/>
  <c r="M106" i="15"/>
  <c r="L106" i="15"/>
  <c r="M105" i="15"/>
  <c r="L105" i="15"/>
  <c r="M104" i="15"/>
  <c r="L104" i="15"/>
  <c r="M103" i="15"/>
  <c r="L103" i="15"/>
  <c r="M102" i="15"/>
  <c r="L102" i="15"/>
  <c r="M101" i="15"/>
  <c r="L101" i="15"/>
  <c r="M98" i="15"/>
  <c r="L98" i="15"/>
  <c r="M97" i="15"/>
  <c r="L97" i="15"/>
  <c r="M96" i="15"/>
  <c r="L96" i="15"/>
  <c r="M95" i="15"/>
  <c r="L95" i="15"/>
  <c r="M94" i="15"/>
  <c r="L94" i="15"/>
  <c r="M91" i="15"/>
  <c r="L91" i="15"/>
  <c r="M90" i="15"/>
  <c r="L90" i="15"/>
  <c r="M89" i="15"/>
  <c r="L89" i="15"/>
  <c r="M88" i="15"/>
  <c r="L88" i="15"/>
  <c r="M87" i="15"/>
  <c r="L87" i="15"/>
  <c r="M86" i="15"/>
  <c r="L86" i="15"/>
  <c r="M85" i="15"/>
  <c r="L85" i="15"/>
  <c r="M84" i="15"/>
  <c r="L84" i="15"/>
  <c r="M83" i="15"/>
  <c r="L83" i="15"/>
  <c r="M82" i="15"/>
  <c r="L82" i="15"/>
  <c r="M81" i="15"/>
  <c r="L81" i="15"/>
  <c r="M80" i="15"/>
  <c r="L80" i="15"/>
  <c r="M79" i="15"/>
  <c r="L79" i="15"/>
  <c r="M78" i="15"/>
  <c r="L78" i="15"/>
  <c r="M77" i="15"/>
  <c r="L77" i="15"/>
  <c r="M74" i="15"/>
  <c r="M73" i="15"/>
  <c r="M72" i="15"/>
  <c r="M71" i="15"/>
  <c r="L71" i="15"/>
  <c r="M70" i="15"/>
  <c r="L70" i="15"/>
  <c r="M69" i="15"/>
  <c r="L69" i="15"/>
  <c r="M68" i="15"/>
  <c r="L68" i="15"/>
  <c r="M67" i="15"/>
  <c r="L67" i="15"/>
  <c r="M66" i="15"/>
  <c r="L66" i="15"/>
  <c r="M63" i="15"/>
  <c r="L63" i="15"/>
  <c r="M62" i="15"/>
  <c r="L62" i="15"/>
  <c r="M61" i="15"/>
  <c r="L61" i="15"/>
  <c r="M58" i="15"/>
  <c r="L58" i="15"/>
  <c r="M57" i="15"/>
  <c r="L57" i="15"/>
  <c r="M56" i="15"/>
  <c r="L56" i="15"/>
  <c r="M55" i="15"/>
  <c r="L55" i="15"/>
  <c r="M54" i="15"/>
  <c r="L54" i="15"/>
  <c r="M53" i="15"/>
  <c r="L53" i="15"/>
  <c r="M52" i="15"/>
  <c r="L52" i="15"/>
  <c r="M51" i="15"/>
  <c r="L51" i="15"/>
  <c r="M50" i="15"/>
  <c r="L50" i="15"/>
  <c r="M47" i="15"/>
  <c r="L47" i="15"/>
  <c r="M46" i="15"/>
  <c r="L46" i="15"/>
  <c r="M43" i="15"/>
  <c r="L43" i="15"/>
  <c r="M40" i="15"/>
  <c r="L40" i="15"/>
  <c r="M39" i="15"/>
  <c r="L39" i="15"/>
  <c r="M38" i="15"/>
  <c r="L38" i="15"/>
  <c r="M35" i="15"/>
  <c r="L35" i="15"/>
  <c r="M32" i="15"/>
  <c r="L32" i="15"/>
  <c r="M31" i="15"/>
  <c r="L31" i="15"/>
  <c r="M30" i="15"/>
  <c r="L30" i="15"/>
  <c r="M27" i="15"/>
  <c r="L27" i="15"/>
  <c r="M26" i="15"/>
  <c r="L26" i="15"/>
  <c r="M25" i="15"/>
  <c r="L25" i="15"/>
  <c r="M24" i="15"/>
  <c r="L24" i="15"/>
  <c r="M21" i="15"/>
  <c r="L21" i="15"/>
  <c r="M20" i="15"/>
  <c r="L20" i="15"/>
  <c r="M19" i="15"/>
  <c r="L19" i="15"/>
  <c r="M18" i="15"/>
  <c r="L18" i="15"/>
  <c r="M17" i="15"/>
  <c r="L17" i="15"/>
  <c r="M14" i="15"/>
  <c r="L14" i="15"/>
  <c r="M13" i="15"/>
  <c r="L13" i="15"/>
  <c r="M10" i="15"/>
  <c r="L10" i="15"/>
  <c r="M9" i="15"/>
  <c r="L9" i="15"/>
  <c r="M8" i="15"/>
  <c r="L8" i="15"/>
  <c r="M7" i="15"/>
  <c r="L7" i="15"/>
  <c r="M6" i="15"/>
  <c r="L6" i="15"/>
  <c r="M89" i="14"/>
  <c r="L89" i="14"/>
  <c r="M86" i="14"/>
  <c r="L86" i="14"/>
  <c r="M85" i="14"/>
  <c r="L85" i="14"/>
  <c r="M84" i="14"/>
  <c r="L84" i="14"/>
  <c r="M81" i="14"/>
  <c r="L81" i="14"/>
  <c r="M80" i="14"/>
  <c r="L80" i="14"/>
  <c r="M79" i="14"/>
  <c r="L79" i="14"/>
  <c r="M78" i="14"/>
  <c r="L78" i="14"/>
  <c r="M77" i="14"/>
  <c r="L77" i="14"/>
  <c r="M76" i="14"/>
  <c r="L76" i="14"/>
  <c r="M75" i="14"/>
  <c r="L75" i="14"/>
  <c r="M74" i="14"/>
  <c r="L74" i="14"/>
  <c r="M73" i="14"/>
  <c r="L73" i="14"/>
  <c r="M70" i="14"/>
  <c r="L70" i="14"/>
  <c r="M69" i="14"/>
  <c r="L69" i="14"/>
  <c r="M68" i="14"/>
  <c r="L68" i="14"/>
  <c r="M67" i="14"/>
  <c r="L67" i="14"/>
  <c r="M66" i="14"/>
  <c r="L66" i="14"/>
  <c r="M65" i="14"/>
  <c r="L65" i="14"/>
  <c r="M64" i="14"/>
  <c r="L64" i="14"/>
  <c r="M63" i="14"/>
  <c r="L63" i="14"/>
  <c r="M62" i="14"/>
  <c r="L62" i="14"/>
  <c r="M61" i="14"/>
  <c r="L61" i="14"/>
  <c r="M60" i="14"/>
  <c r="L60" i="14"/>
  <c r="M57" i="14"/>
  <c r="L57" i="14"/>
  <c r="M56" i="14"/>
  <c r="L56" i="14"/>
  <c r="M55" i="14"/>
  <c r="L55" i="14"/>
  <c r="M54" i="14"/>
  <c r="L54" i="14"/>
  <c r="M53" i="14"/>
  <c r="L53" i="14"/>
  <c r="M52" i="14"/>
  <c r="L52" i="14"/>
  <c r="M51" i="14"/>
  <c r="L51" i="14"/>
  <c r="M48" i="14"/>
  <c r="L48" i="14"/>
  <c r="M47" i="14"/>
  <c r="L47" i="14"/>
  <c r="M46" i="14"/>
  <c r="L46" i="14"/>
  <c r="M45" i="14"/>
  <c r="L45" i="14"/>
  <c r="M44" i="14"/>
  <c r="L44" i="14"/>
  <c r="M43" i="14"/>
  <c r="L43" i="14"/>
  <c r="M42" i="14"/>
  <c r="L42" i="14"/>
  <c r="M41" i="14"/>
  <c r="L41" i="14"/>
  <c r="M38" i="14"/>
  <c r="L38" i="14"/>
  <c r="M37" i="14"/>
  <c r="L37" i="14"/>
  <c r="M36" i="14"/>
  <c r="L36" i="14"/>
  <c r="M33" i="14"/>
  <c r="L33" i="14"/>
  <c r="M30" i="14"/>
  <c r="L30" i="14"/>
  <c r="M29" i="14"/>
  <c r="L29" i="14"/>
  <c r="M26" i="14"/>
  <c r="L26" i="14"/>
  <c r="M25" i="14"/>
  <c r="L25" i="14"/>
  <c r="M24" i="14"/>
  <c r="L24" i="14"/>
  <c r="M23" i="14"/>
  <c r="L23" i="14"/>
  <c r="M20" i="14"/>
  <c r="L20" i="14"/>
  <c r="M17" i="14"/>
  <c r="L17" i="14"/>
  <c r="M14" i="14"/>
  <c r="L14" i="14"/>
  <c r="M13" i="14"/>
  <c r="L13" i="14"/>
  <c r="M12" i="14"/>
  <c r="L12" i="14"/>
  <c r="M9" i="14"/>
  <c r="L9" i="14"/>
  <c r="M8" i="14"/>
  <c r="L8" i="14"/>
  <c r="M7" i="14"/>
  <c r="L7" i="14"/>
  <c r="M6" i="14"/>
  <c r="L6" i="14"/>
  <c r="M22" i="13"/>
  <c r="L22" i="13"/>
  <c r="M21" i="13"/>
  <c r="L21" i="13"/>
  <c r="M18" i="13"/>
  <c r="L18" i="13"/>
  <c r="M15" i="13"/>
  <c r="L15" i="13"/>
  <c r="M14" i="13"/>
  <c r="L14" i="13"/>
  <c r="M11" i="13"/>
  <c r="L11" i="13"/>
  <c r="M10" i="13"/>
  <c r="L10" i="13"/>
  <c r="M9" i="13"/>
  <c r="L9" i="13"/>
  <c r="M6" i="13"/>
  <c r="L6" i="13"/>
  <c r="U6" i="11"/>
  <c r="T6" i="11"/>
  <c r="U79" i="10"/>
  <c r="T79" i="10"/>
  <c r="U78" i="10"/>
  <c r="T78" i="10"/>
  <c r="U75" i="10"/>
  <c r="T75" i="10"/>
  <c r="U72" i="10"/>
  <c r="T72" i="10"/>
  <c r="U71" i="10"/>
  <c r="T71" i="10"/>
  <c r="U70" i="10"/>
  <c r="T70" i="10"/>
  <c r="U69" i="10"/>
  <c r="T69" i="10"/>
  <c r="U68" i="10"/>
  <c r="T68" i="10"/>
  <c r="U65" i="10"/>
  <c r="T65" i="10"/>
  <c r="U64" i="10"/>
  <c r="T64" i="10"/>
  <c r="U63" i="10"/>
  <c r="T63" i="10"/>
  <c r="U62" i="10"/>
  <c r="T62" i="10"/>
  <c r="U59" i="10"/>
  <c r="T59" i="10"/>
  <c r="U58" i="10"/>
  <c r="T58" i="10"/>
  <c r="U57" i="10"/>
  <c r="T57" i="10"/>
  <c r="U56" i="10"/>
  <c r="T56" i="10"/>
  <c r="U55" i="10"/>
  <c r="T55" i="10"/>
  <c r="U54" i="10"/>
  <c r="T54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2" i="10"/>
  <c r="T42" i="10"/>
  <c r="U39" i="10"/>
  <c r="T39" i="10"/>
  <c r="U36" i="10"/>
  <c r="T36" i="10"/>
  <c r="U33" i="10"/>
  <c r="T33" i="10"/>
  <c r="U32" i="10"/>
  <c r="T32" i="10"/>
  <c r="U31" i="10"/>
  <c r="T31" i="10"/>
  <c r="U30" i="10"/>
  <c r="T30" i="10"/>
  <c r="U29" i="10"/>
  <c r="T29" i="10"/>
  <c r="U26" i="10"/>
  <c r="T26" i="10"/>
  <c r="U25" i="10"/>
  <c r="U24" i="10"/>
  <c r="T24" i="10"/>
  <c r="U23" i="10"/>
  <c r="T23" i="10"/>
  <c r="U22" i="10"/>
  <c r="T22" i="10"/>
  <c r="U19" i="10"/>
  <c r="U18" i="10"/>
  <c r="T18" i="10"/>
  <c r="U17" i="10"/>
  <c r="T17" i="10"/>
  <c r="U16" i="10"/>
  <c r="T16" i="10"/>
  <c r="U13" i="10"/>
  <c r="T13" i="10"/>
  <c r="U10" i="10"/>
  <c r="T10" i="10"/>
  <c r="U7" i="10"/>
  <c r="T7" i="10"/>
  <c r="U6" i="10"/>
  <c r="T6" i="10"/>
  <c r="U77" i="9"/>
  <c r="T77" i="9"/>
  <c r="U76" i="9"/>
  <c r="T76" i="9"/>
  <c r="U73" i="9"/>
  <c r="T73" i="9"/>
  <c r="U72" i="9"/>
  <c r="T72" i="9"/>
  <c r="U69" i="9"/>
  <c r="T69" i="9"/>
  <c r="U68" i="9"/>
  <c r="T68" i="9"/>
  <c r="U65" i="9"/>
  <c r="T65" i="9"/>
  <c r="U64" i="9"/>
  <c r="T64" i="9"/>
  <c r="U63" i="9"/>
  <c r="T63" i="9"/>
  <c r="U62" i="9"/>
  <c r="T62" i="9"/>
  <c r="U61" i="9"/>
  <c r="T61" i="9"/>
  <c r="U60" i="9"/>
  <c r="T60" i="9"/>
  <c r="U57" i="9"/>
  <c r="T57" i="9"/>
  <c r="U56" i="9"/>
  <c r="T56" i="9"/>
  <c r="U55" i="9"/>
  <c r="T55" i="9"/>
  <c r="U54" i="9"/>
  <c r="T54" i="9"/>
  <c r="U53" i="9"/>
  <c r="T53" i="9"/>
  <c r="U52" i="9"/>
  <c r="T52" i="9"/>
  <c r="U51" i="9"/>
  <c r="T51" i="9"/>
  <c r="U50" i="9"/>
  <c r="T50" i="9"/>
  <c r="U49" i="9"/>
  <c r="T49" i="9"/>
  <c r="U46" i="9"/>
  <c r="T46" i="9"/>
  <c r="U45" i="9"/>
  <c r="T45" i="9"/>
  <c r="U44" i="9"/>
  <c r="U43" i="9"/>
  <c r="T43" i="9"/>
  <c r="U40" i="9"/>
  <c r="T40" i="9"/>
  <c r="U39" i="9"/>
  <c r="T39" i="9"/>
  <c r="U38" i="9"/>
  <c r="T38" i="9"/>
  <c r="U37" i="9"/>
  <c r="T37" i="9"/>
  <c r="U34" i="9"/>
  <c r="T34" i="9"/>
  <c r="U31" i="9"/>
  <c r="T31" i="9"/>
  <c r="U28" i="9"/>
  <c r="T28" i="9"/>
  <c r="U27" i="9"/>
  <c r="T27" i="9"/>
  <c r="U24" i="9"/>
  <c r="T24" i="9"/>
  <c r="U21" i="9"/>
  <c r="T21" i="9"/>
  <c r="U18" i="9"/>
  <c r="T18" i="9"/>
  <c r="U15" i="9"/>
  <c r="T15" i="9"/>
  <c r="U12" i="9"/>
  <c r="T12" i="9"/>
  <c r="U9" i="9"/>
  <c r="T9" i="9"/>
  <c r="U6" i="9"/>
  <c r="T6" i="9"/>
  <c r="U8" i="7"/>
  <c r="T8" i="7"/>
  <c r="U7" i="7"/>
  <c r="U6" i="7"/>
  <c r="T6" i="7"/>
  <c r="U15" i="6"/>
  <c r="U12" i="6"/>
  <c r="T12" i="6"/>
  <c r="U9" i="6"/>
  <c r="T9" i="6"/>
  <c r="U6" i="6"/>
  <c r="T6" i="6"/>
</calcChain>
</file>

<file path=xl/sharedStrings.xml><?xml version="1.0" encoding="utf-8"?>
<sst xmlns="http://schemas.openxmlformats.org/spreadsheetml/2006/main" count="6225" uniqueCount="1172">
  <si>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</si>
  <si>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</si>
  <si>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</si>
  <si>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</si>
  <si>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</si>
  <si>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</si>
  <si>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</si>
  <si>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</si>
  <si>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</si>
  <si>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</si>
  <si>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</si>
  <si>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</si>
  <si>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</si>
  <si>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56</t>
  </si>
  <si>
    <t>Вишняк Анна</t>
  </si>
  <si>
    <t>Открытая (12.12.1984)/36</t>
  </si>
  <si>
    <t>56,00</t>
  </si>
  <si>
    <t xml:space="preserve">Стальной медведь </t>
  </si>
  <si>
    <t xml:space="preserve">Новосибирск/Новосибирская область </t>
  </si>
  <si>
    <t>155,0</t>
  </si>
  <si>
    <t>166,0</t>
  </si>
  <si>
    <t>175,5</t>
  </si>
  <si>
    <t>95,0</t>
  </si>
  <si>
    <t>102,5</t>
  </si>
  <si>
    <t>107,5</t>
  </si>
  <si>
    <t>160,0</t>
  </si>
  <si>
    <t>182,5</t>
  </si>
  <si>
    <t xml:space="preserve">Быховец А. </t>
  </si>
  <si>
    <t>ВЕСОВАЯ КАТЕГОРИЯ   82.5</t>
  </si>
  <si>
    <t>Мусохранов Евгений</t>
  </si>
  <si>
    <t>Открытая (22.10.1995)/26</t>
  </si>
  <si>
    <t>79,70</t>
  </si>
  <si>
    <t>180,0</t>
  </si>
  <si>
    <t>187,5</t>
  </si>
  <si>
    <t>125,0</t>
  </si>
  <si>
    <t>132,5</t>
  </si>
  <si>
    <t>137,5</t>
  </si>
  <si>
    <t>200,0</t>
  </si>
  <si>
    <t>210,0</t>
  </si>
  <si>
    <t>220,0</t>
  </si>
  <si>
    <t>ВЕСОВАЯ КАТЕГОРИЯ   90</t>
  </si>
  <si>
    <t>Блудов Максим</t>
  </si>
  <si>
    <t>Открытая (15.04.1993)/28</t>
  </si>
  <si>
    <t>85,70</t>
  </si>
  <si>
    <t xml:space="preserve">Спортэкстрим </t>
  </si>
  <si>
    <t>240,0</t>
  </si>
  <si>
    <t>162,5</t>
  </si>
  <si>
    <t>170,0</t>
  </si>
  <si>
    <t>250,0</t>
  </si>
  <si>
    <t>ВЕСОВАЯ КАТЕГОРИЯ   100</t>
  </si>
  <si>
    <t>Овчаренко Олег</t>
  </si>
  <si>
    <t>Открытая (29.08.1991)/30</t>
  </si>
  <si>
    <t>98,00</t>
  </si>
  <si>
    <t>275,0</t>
  </si>
  <si>
    <t>140,0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</si>
  <si>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</si>
  <si>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</si>
  <si>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</si>
  <si>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</si>
  <si>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</si>
  <si>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</si>
  <si>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</si>
  <si>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56</t>
  </si>
  <si>
    <t xml:space="preserve">Мужчины </t>
  </si>
  <si>
    <t>90</t>
  </si>
  <si>
    <t>82.5</t>
  </si>
  <si>
    <t>1</t>
  </si>
  <si>
    <t>-</t>
  </si>
  <si>
    <t>Филипович Олег</t>
  </si>
  <si>
    <t>Открытая (02.06.1970)/51</t>
  </si>
  <si>
    <t>98,70</t>
  </si>
  <si>
    <t>300,0</t>
  </si>
  <si>
    <t>310,0</t>
  </si>
  <si>
    <t>320,0</t>
  </si>
  <si>
    <t>172,5</t>
  </si>
  <si>
    <t>Созинов Павел</t>
  </si>
  <si>
    <t>Открытая (04.04.1984)/37</t>
  </si>
  <si>
    <t>305,0</t>
  </si>
  <si>
    <t>Мастера 50-59 (02.06.1970)/51</t>
  </si>
  <si>
    <t>100</t>
  </si>
  <si>
    <t>732,5</t>
  </si>
  <si>
    <t>ВЕСОВАЯ КАТЕГОРИЯ   48</t>
  </si>
  <si>
    <t>Курзова Анастасия</t>
  </si>
  <si>
    <t>Девушки 14-16 (30.01.2009)/12</t>
  </si>
  <si>
    <t>44,55</t>
  </si>
  <si>
    <t xml:space="preserve">Сборная PSA </t>
  </si>
  <si>
    <t xml:space="preserve">Искитим/Новосибирская область </t>
  </si>
  <si>
    <t>55,0</t>
  </si>
  <si>
    <t>60,0</t>
  </si>
  <si>
    <t>30,0</t>
  </si>
  <si>
    <t>32,5</t>
  </si>
  <si>
    <t>70,0</t>
  </si>
  <si>
    <t>72,5</t>
  </si>
  <si>
    <t>75,0</t>
  </si>
  <si>
    <t>ВЕСОВАЯ КАТЕГОРИЯ   52</t>
  </si>
  <si>
    <t>Половникова Екатерина</t>
  </si>
  <si>
    <t>Девушки 14-16 (02.06.2007)/14</t>
  </si>
  <si>
    <t>51,80</t>
  </si>
  <si>
    <t xml:space="preserve">Команда PSA </t>
  </si>
  <si>
    <t xml:space="preserve">Колывань/Новосибирская область </t>
  </si>
  <si>
    <t>80,0</t>
  </si>
  <si>
    <t>90,0</t>
  </si>
  <si>
    <t>40,0</t>
  </si>
  <si>
    <t>42,5</t>
  </si>
  <si>
    <t>45,0</t>
  </si>
  <si>
    <t>100,0</t>
  </si>
  <si>
    <t>112,5</t>
  </si>
  <si>
    <t>Безбородова Анастасия</t>
  </si>
  <si>
    <t>Девушки 14-16 (26.02.2005)/16</t>
  </si>
  <si>
    <t>54,70</t>
  </si>
  <si>
    <t xml:space="preserve">Новоспорт </t>
  </si>
  <si>
    <t>65,0</t>
  </si>
  <si>
    <t>35,0</t>
  </si>
  <si>
    <t>ВЕСОВАЯ КАТЕГОРИЯ   60</t>
  </si>
  <si>
    <t>Яковлева Ангелина</t>
  </si>
  <si>
    <t>Девушки 17-19 (13.09.2004)/17</t>
  </si>
  <si>
    <t>59,10</t>
  </si>
  <si>
    <t>52,5</t>
  </si>
  <si>
    <t>62,5</t>
  </si>
  <si>
    <t>67,5</t>
  </si>
  <si>
    <t>37,5</t>
  </si>
  <si>
    <t>ВЕСОВАЯ КАТЕГОРИЯ   67.5</t>
  </si>
  <si>
    <t>Волобуева Вера</t>
  </si>
  <si>
    <t>Открытая (23.05.1957)/64</t>
  </si>
  <si>
    <t>66,50</t>
  </si>
  <si>
    <t xml:space="preserve">Power gym </t>
  </si>
  <si>
    <t xml:space="preserve">Новоалтайск/Алтайский край </t>
  </si>
  <si>
    <t>117,5</t>
  </si>
  <si>
    <t>122,5</t>
  </si>
  <si>
    <t>130,0</t>
  </si>
  <si>
    <t>135,0</t>
  </si>
  <si>
    <t>Зотова Ирина</t>
  </si>
  <si>
    <t>Открытая (29.11.1973)/47</t>
  </si>
  <si>
    <t>78,90</t>
  </si>
  <si>
    <t>150,0</t>
  </si>
  <si>
    <t>167,5</t>
  </si>
  <si>
    <t>92,5</t>
  </si>
  <si>
    <t>97,5</t>
  </si>
  <si>
    <t>185,0</t>
  </si>
  <si>
    <t>Водяникова Оксана</t>
  </si>
  <si>
    <t>Открытая (28.02.1972)/49</t>
  </si>
  <si>
    <t>89,80</t>
  </si>
  <si>
    <t>142,5</t>
  </si>
  <si>
    <t>Кондрашёв Григорий</t>
  </si>
  <si>
    <t>Юноши 14-16 (27.03.2008)/13</t>
  </si>
  <si>
    <t>43,90</t>
  </si>
  <si>
    <t>Головин Вадим</t>
  </si>
  <si>
    <t>Юноши 14-16 (17.06.2008)/13</t>
  </si>
  <si>
    <t>46,20</t>
  </si>
  <si>
    <t>50,0</t>
  </si>
  <si>
    <t>Дедигуров Данил</t>
  </si>
  <si>
    <t>Юноши 14-16 (25.08.2007)/14</t>
  </si>
  <si>
    <t>55,70</t>
  </si>
  <si>
    <t>105,0</t>
  </si>
  <si>
    <t>Кавун Денис</t>
  </si>
  <si>
    <t>Юноши 14-16 (15.08.2007)/14</t>
  </si>
  <si>
    <t>57,80</t>
  </si>
  <si>
    <t xml:space="preserve">Легион </t>
  </si>
  <si>
    <t>85,0</t>
  </si>
  <si>
    <t>Штайн Глеб</t>
  </si>
  <si>
    <t>Юноши 14-16 (14.10.2005)/16</t>
  </si>
  <si>
    <t>66,80</t>
  </si>
  <si>
    <t>115,0</t>
  </si>
  <si>
    <t>77,5</t>
  </si>
  <si>
    <t>82,5</t>
  </si>
  <si>
    <t>110,0</t>
  </si>
  <si>
    <t>120,0</t>
  </si>
  <si>
    <t>Парфенюк Алексей</t>
  </si>
  <si>
    <t>Юноши 14-16 (10.12.2004)/16</t>
  </si>
  <si>
    <t>65,50</t>
  </si>
  <si>
    <t>Безбородов Глеб</t>
  </si>
  <si>
    <t>Юноши 14-16 (08.10.2007)/14</t>
  </si>
  <si>
    <t>67,50</t>
  </si>
  <si>
    <t>Буренок Игорь</t>
  </si>
  <si>
    <t>Юноши 17-19 (13.10.2004)/17</t>
  </si>
  <si>
    <t>66,60</t>
  </si>
  <si>
    <t>ВЕСОВАЯ КАТЕГОРИЯ   75</t>
  </si>
  <si>
    <t>Романов Матвей</t>
  </si>
  <si>
    <t>Юноши 14-16 (20.04.2006)/15</t>
  </si>
  <si>
    <t>69,80</t>
  </si>
  <si>
    <t>87,5</t>
  </si>
  <si>
    <t>Свиридонов Кирилл</t>
  </si>
  <si>
    <t>Юноши 14-16 (24.08.2006)/15</t>
  </si>
  <si>
    <t>68,90</t>
  </si>
  <si>
    <t>Киселёв Николай</t>
  </si>
  <si>
    <t>Юноши 17-19 (05.05.2004)/17</t>
  </si>
  <si>
    <t>72,20</t>
  </si>
  <si>
    <t>147,5</t>
  </si>
  <si>
    <t>Рубцов Вячеслав</t>
  </si>
  <si>
    <t>Открытая (26.05.1986)/35</t>
  </si>
  <si>
    <t>73,20</t>
  </si>
  <si>
    <t>Ерохин Александр</t>
  </si>
  <si>
    <t>Юноши 14-16 (21.07.2005)/16</t>
  </si>
  <si>
    <t>81,80</t>
  </si>
  <si>
    <t>Лисин Дмитрий</t>
  </si>
  <si>
    <t>Юноши 14-16 (28.01.2006)/15</t>
  </si>
  <si>
    <t>79,60</t>
  </si>
  <si>
    <t>Матыцин Станислав</t>
  </si>
  <si>
    <t>Юноши 17-19 (10.12.2003)/17</t>
  </si>
  <si>
    <t>81,90</t>
  </si>
  <si>
    <t>127,5</t>
  </si>
  <si>
    <t>157,5</t>
  </si>
  <si>
    <t>Морозов Ярослав</t>
  </si>
  <si>
    <t>Юниоры (26.03.1999)/22</t>
  </si>
  <si>
    <t xml:space="preserve">Hammer </t>
  </si>
  <si>
    <t>192,5</t>
  </si>
  <si>
    <t>205,0</t>
  </si>
  <si>
    <t>215,0</t>
  </si>
  <si>
    <t>232,5</t>
  </si>
  <si>
    <t>Кузьмин Артём</t>
  </si>
  <si>
    <t>Открытая (31.01.1994)/27</t>
  </si>
  <si>
    <t>82,00</t>
  </si>
  <si>
    <t>245,0</t>
  </si>
  <si>
    <t>260,0</t>
  </si>
  <si>
    <t>267,5</t>
  </si>
  <si>
    <t>175,0</t>
  </si>
  <si>
    <t>255,0</t>
  </si>
  <si>
    <t>272,5</t>
  </si>
  <si>
    <t>Открытая (26.03.1999)/22</t>
  </si>
  <si>
    <t>Кузьминых Евгений</t>
  </si>
  <si>
    <t>Открытая (15.11.1983)/37</t>
  </si>
  <si>
    <t>81,50</t>
  </si>
  <si>
    <t xml:space="preserve">Искитим- gym </t>
  </si>
  <si>
    <t>190,0</t>
  </si>
  <si>
    <t>195,0</t>
  </si>
  <si>
    <t>230,0</t>
  </si>
  <si>
    <t>Холопов Денис</t>
  </si>
  <si>
    <t>Открытая (03.03.1983)/38</t>
  </si>
  <si>
    <t>82,40</t>
  </si>
  <si>
    <t xml:space="preserve">Strong-bears </t>
  </si>
  <si>
    <t xml:space="preserve">Томск/Томская область </t>
  </si>
  <si>
    <t>165,0</t>
  </si>
  <si>
    <t>212,5</t>
  </si>
  <si>
    <t>Екимов Дмитрий</t>
  </si>
  <si>
    <t>Мастера 50-59 (30.12.1969)/51</t>
  </si>
  <si>
    <t xml:space="preserve">Podchacov Team </t>
  </si>
  <si>
    <t>Пушкин Иван</t>
  </si>
  <si>
    <t>Юниоры (16.08.2001)/20</t>
  </si>
  <si>
    <t>89,30</t>
  </si>
  <si>
    <t>235,0</t>
  </si>
  <si>
    <t>270,0</t>
  </si>
  <si>
    <t>Торгашов Павел</t>
  </si>
  <si>
    <t>Юниоры (01.02.2001)/20</t>
  </si>
  <si>
    <t>88,30</t>
  </si>
  <si>
    <t>145,0</t>
  </si>
  <si>
    <t>Алексеев Вячеслав</t>
  </si>
  <si>
    <t>Открытая (07.03.1990)/31</t>
  </si>
  <si>
    <t>90,00</t>
  </si>
  <si>
    <t>332,5</t>
  </si>
  <si>
    <t>330,0</t>
  </si>
  <si>
    <t>362,5</t>
  </si>
  <si>
    <t>Вакунов Михаил</t>
  </si>
  <si>
    <t>Открытая (24.06.1998)/23</t>
  </si>
  <si>
    <t>86,10</t>
  </si>
  <si>
    <t>265,0</t>
  </si>
  <si>
    <t>152,5</t>
  </si>
  <si>
    <t>Долгополов Владислав</t>
  </si>
  <si>
    <t>Открытая (04.07.1995)/26</t>
  </si>
  <si>
    <t>83,80</t>
  </si>
  <si>
    <t>237,5</t>
  </si>
  <si>
    <t>Мастера 40-49 (21.11.1980)/40</t>
  </si>
  <si>
    <t>88,20</t>
  </si>
  <si>
    <t>Коваленко Алексей</t>
  </si>
  <si>
    <t>Открытая (27.02.1996)/25</t>
  </si>
  <si>
    <t>100,00</t>
  </si>
  <si>
    <t>262,5</t>
  </si>
  <si>
    <t>Волгин Сергей</t>
  </si>
  <si>
    <t>Открытая (10.10.1986)/35</t>
  </si>
  <si>
    <t>94,60</t>
  </si>
  <si>
    <t>217,5</t>
  </si>
  <si>
    <t>ВЕСОВАЯ КАТЕГОРИЯ   110</t>
  </si>
  <si>
    <t>Скаба Александр</t>
  </si>
  <si>
    <t>Юноши 14-16 (04.12.2006)/14</t>
  </si>
  <si>
    <t>104,90</t>
  </si>
  <si>
    <t>Попов Александр</t>
  </si>
  <si>
    <t>Открытая (27.08.1993)/28</t>
  </si>
  <si>
    <t>103,20</t>
  </si>
  <si>
    <t>280,0</t>
  </si>
  <si>
    <t>ВЕСОВАЯ КАТЕГОРИЯ   125</t>
  </si>
  <si>
    <t>Северин Денис</t>
  </si>
  <si>
    <t>Юноши 14-16 (19.11.2006)/14</t>
  </si>
  <si>
    <t>116,90</t>
  </si>
  <si>
    <t>Китаев Александр</t>
  </si>
  <si>
    <t>Юниоры (02.03.1998)/23</t>
  </si>
  <si>
    <t>123,00</t>
  </si>
  <si>
    <t>290,0</t>
  </si>
  <si>
    <t xml:space="preserve">Юноши 14-16 </t>
  </si>
  <si>
    <t>52</t>
  </si>
  <si>
    <t>48</t>
  </si>
  <si>
    <t>440,0</t>
  </si>
  <si>
    <t>405,7680</t>
  </si>
  <si>
    <t>67.5</t>
  </si>
  <si>
    <t>340,0</t>
  </si>
  <si>
    <t>350,7780</t>
  </si>
  <si>
    <t>312,5</t>
  </si>
  <si>
    <t>270,2812</t>
  </si>
  <si>
    <t xml:space="preserve">Юноши </t>
  </si>
  <si>
    <t xml:space="preserve">Юноши 17-19 </t>
  </si>
  <si>
    <t>370,0</t>
  </si>
  <si>
    <t>288,3780</t>
  </si>
  <si>
    <t>400,0</t>
  </si>
  <si>
    <t>269,1600</t>
  </si>
  <si>
    <t>75</t>
  </si>
  <si>
    <t>355,0</t>
  </si>
  <si>
    <t>266,6050</t>
  </si>
  <si>
    <t xml:space="preserve">Юниоры </t>
  </si>
  <si>
    <t>125</t>
  </si>
  <si>
    <t>820,0</t>
  </si>
  <si>
    <t>523,4880</t>
  </si>
  <si>
    <t>492,5330</t>
  </si>
  <si>
    <t>737,5</t>
  </si>
  <si>
    <t>482,0300</t>
  </si>
  <si>
    <t>2</t>
  </si>
  <si>
    <t>3</t>
  </si>
  <si>
    <t>4</t>
  </si>
  <si>
    <t>ВЕСОВАЯ КАТЕГОРИЯ   44</t>
  </si>
  <si>
    <t>Чучмар Ульяна</t>
  </si>
  <si>
    <t>Девушки 17-19 (09.10.2002)/19</t>
  </si>
  <si>
    <t>42,95</t>
  </si>
  <si>
    <t>Котенева Виктория</t>
  </si>
  <si>
    <t>Юниорки (15.01.2001)/20</t>
  </si>
  <si>
    <t>42,50</t>
  </si>
  <si>
    <t>Кудряшова Дарья</t>
  </si>
  <si>
    <t>Девушки 14-16 (28.07.2008)/13</t>
  </si>
  <si>
    <t>46,40</t>
  </si>
  <si>
    <t>Сорокопуд Виктория</t>
  </si>
  <si>
    <t>Открытая (01.03.1996)/25</t>
  </si>
  <si>
    <t>52,00</t>
  </si>
  <si>
    <t xml:space="preserve">Романов Д. </t>
  </si>
  <si>
    <t>Денежкина Ирина</t>
  </si>
  <si>
    <t>Открытая (04.07.1994)/27</t>
  </si>
  <si>
    <t>57,5</t>
  </si>
  <si>
    <t>Кочергина Анастасия</t>
  </si>
  <si>
    <t>Открытая (29.10.1988)/33</t>
  </si>
  <si>
    <t>Кудрявцева Екатерина</t>
  </si>
  <si>
    <t>Открытая (08.03.1988)/33</t>
  </si>
  <si>
    <t>55,20</t>
  </si>
  <si>
    <t>Савина Мария</t>
  </si>
  <si>
    <t>Открытая (01.09.1988)/33</t>
  </si>
  <si>
    <t>54,90</t>
  </si>
  <si>
    <t>Изюрова Дарья</t>
  </si>
  <si>
    <t>Девушки 14-16 (25.12.2006)/14</t>
  </si>
  <si>
    <t>58,30</t>
  </si>
  <si>
    <t>Плетнева Евгения</t>
  </si>
  <si>
    <t>Открытая (29.10.1986)/35</t>
  </si>
  <si>
    <t>59,80</t>
  </si>
  <si>
    <t>Рябова Ирина</t>
  </si>
  <si>
    <t>Открытая (08.01.1980)/41</t>
  </si>
  <si>
    <t>47,5</t>
  </si>
  <si>
    <t>Хмаренко Наталья</t>
  </si>
  <si>
    <t>Открытая (13.03.1989)/32</t>
  </si>
  <si>
    <t>60,00</t>
  </si>
  <si>
    <t>Мастера 40-49 (08.01.1980)/41</t>
  </si>
  <si>
    <t>Гришнина Маргарита</t>
  </si>
  <si>
    <t>Девушки 14-16 (17.07.2007)/14</t>
  </si>
  <si>
    <t>64,80</t>
  </si>
  <si>
    <t xml:space="preserve">Sport x-treme </t>
  </si>
  <si>
    <t xml:space="preserve">Рыжков.Е </t>
  </si>
  <si>
    <t>Леоненко Лилия</t>
  </si>
  <si>
    <t>Открытая (06.03.1986)/35</t>
  </si>
  <si>
    <t>64,40</t>
  </si>
  <si>
    <t>Чудная Оксана</t>
  </si>
  <si>
    <t>Открытая (30.05.1977)/44</t>
  </si>
  <si>
    <t>Титова Ольга</t>
  </si>
  <si>
    <t>Открытая (27.07.1994)/27</t>
  </si>
  <si>
    <t>62,60</t>
  </si>
  <si>
    <t>Мастера 40-49 (30.05.1977)/44</t>
  </si>
  <si>
    <t>Миронова Анастасия</t>
  </si>
  <si>
    <t>Открытая (13.11.1987)/33</t>
  </si>
  <si>
    <t>73,90</t>
  </si>
  <si>
    <t>Буйнов Фёдор</t>
  </si>
  <si>
    <t>Юноши 14-16 (12.02.2007)/14</t>
  </si>
  <si>
    <t>48,15</t>
  </si>
  <si>
    <t>Веселков Константин</t>
  </si>
  <si>
    <t>Открытая (03.08.1990)/31</t>
  </si>
  <si>
    <t>180,5</t>
  </si>
  <si>
    <t>Санаров Дмитрий</t>
  </si>
  <si>
    <t>Юноши 17-19 (07.06.2003)/18</t>
  </si>
  <si>
    <t>66,90</t>
  </si>
  <si>
    <t>202,5</t>
  </si>
  <si>
    <t>Белов Николай</t>
  </si>
  <si>
    <t>Юноши 17-19 (25.08.2003)/18</t>
  </si>
  <si>
    <t>61,30</t>
  </si>
  <si>
    <t>Гаранин Данил</t>
  </si>
  <si>
    <t>Юниоры (20.09.2001)/20</t>
  </si>
  <si>
    <t>66,20</t>
  </si>
  <si>
    <t>Новиков Иван</t>
  </si>
  <si>
    <t>Юниоры (29.06.1999)/22</t>
  </si>
  <si>
    <t>63,00</t>
  </si>
  <si>
    <t>Витхин Александр</t>
  </si>
  <si>
    <t>Открытая (06.06.1992)/29</t>
  </si>
  <si>
    <t>Аршинов Руслан</t>
  </si>
  <si>
    <t>Открытая (09.11.1991)/29</t>
  </si>
  <si>
    <t>Коробко Денис</t>
  </si>
  <si>
    <t>Открытая (16.12.1989)/31</t>
  </si>
  <si>
    <t>65,10</t>
  </si>
  <si>
    <t>Каштанов Илья</t>
  </si>
  <si>
    <t>Юноши 17-19 (04.03.2003)/18</t>
  </si>
  <si>
    <t>73,70</t>
  </si>
  <si>
    <t>Пауль Сергей</t>
  </si>
  <si>
    <t>Юниоры (01.04.1999)/22</t>
  </si>
  <si>
    <t>72,60</t>
  </si>
  <si>
    <t>Копыток Даниил</t>
  </si>
  <si>
    <t>Юниоры (11.05.1999)/22</t>
  </si>
  <si>
    <t>74,00</t>
  </si>
  <si>
    <t>Открытая (01.04.1999)/22</t>
  </si>
  <si>
    <t>Побойкин Сергей</t>
  </si>
  <si>
    <t>Открытая (10.03.1989)/32</t>
  </si>
  <si>
    <t>71,60</t>
  </si>
  <si>
    <t>Аралов Евгений</t>
  </si>
  <si>
    <t>Открытая (04.03.1982)/39</t>
  </si>
  <si>
    <t>73,60</t>
  </si>
  <si>
    <t xml:space="preserve">Подчасов Д. </t>
  </si>
  <si>
    <t>Усок Максим</t>
  </si>
  <si>
    <t>Юноши 14-16 (07.01.2005)/16</t>
  </si>
  <si>
    <t>75,10</t>
  </si>
  <si>
    <t>Князев Павел</t>
  </si>
  <si>
    <t>Юноши 17-19 (14.01.2004)/17</t>
  </si>
  <si>
    <t>80,00</t>
  </si>
  <si>
    <t>225,0</t>
  </si>
  <si>
    <t>Коровин Георгий</t>
  </si>
  <si>
    <t>Юноши 17-19 (27.08.2003)/18</t>
  </si>
  <si>
    <t>75,40</t>
  </si>
  <si>
    <t>Муравьёв Иван</t>
  </si>
  <si>
    <t>Юниоры (21.04.1999)/22</t>
  </si>
  <si>
    <t>79,90</t>
  </si>
  <si>
    <t xml:space="preserve">Sport Extrim </t>
  </si>
  <si>
    <t>Калашников Макар</t>
  </si>
  <si>
    <t>Юноши 14-16 (12.07.2005)/16</t>
  </si>
  <si>
    <t>85,00</t>
  </si>
  <si>
    <t>Калашников Егор</t>
  </si>
  <si>
    <t>Юниоры (12.07.2000)/21</t>
  </si>
  <si>
    <t>88,90</t>
  </si>
  <si>
    <t>207,5</t>
  </si>
  <si>
    <t>Соколов Данил</t>
  </si>
  <si>
    <t>Юниоры (04.11.2000)/21</t>
  </si>
  <si>
    <t>86,90</t>
  </si>
  <si>
    <t>Полосин Сергей</t>
  </si>
  <si>
    <t>Открытая (27.09.1983)/38</t>
  </si>
  <si>
    <t>Томиленко Роман</t>
  </si>
  <si>
    <t>Открытая (23.07.1981)/40</t>
  </si>
  <si>
    <t>86,80</t>
  </si>
  <si>
    <t>Алексеев Александр</t>
  </si>
  <si>
    <t>Открытая (01.09.1985)/36</t>
  </si>
  <si>
    <t>93,40</t>
  </si>
  <si>
    <t>197,5</t>
  </si>
  <si>
    <t>227,5</t>
  </si>
  <si>
    <t>Рыль Анатолий</t>
  </si>
  <si>
    <t>Открытая (25.11.1989)/31</t>
  </si>
  <si>
    <t>107,70</t>
  </si>
  <si>
    <t>Щербаков Денис</t>
  </si>
  <si>
    <t>Открытая (26.11.1985)/35</t>
  </si>
  <si>
    <t>109,50</t>
  </si>
  <si>
    <t>60</t>
  </si>
  <si>
    <t>222,5</t>
  </si>
  <si>
    <t>302,5</t>
  </si>
  <si>
    <t>357,4340</t>
  </si>
  <si>
    <t>357,0000</t>
  </si>
  <si>
    <t>355,9215</t>
  </si>
  <si>
    <t>545,0</t>
  </si>
  <si>
    <t>397,4685</t>
  </si>
  <si>
    <t>560,0</t>
  </si>
  <si>
    <t>382,5920</t>
  </si>
  <si>
    <t>460,0</t>
  </si>
  <si>
    <t>360,2720</t>
  </si>
  <si>
    <t>535,0</t>
  </si>
  <si>
    <t>394,1345</t>
  </si>
  <si>
    <t>605,0</t>
  </si>
  <si>
    <t>387,8050</t>
  </si>
  <si>
    <t>Логинова Анастасия</t>
  </si>
  <si>
    <t>Юниорки (26.02.1998)/23</t>
  </si>
  <si>
    <t>Открытая (21.07.1992)/29</t>
  </si>
  <si>
    <t>59,90</t>
  </si>
  <si>
    <t>Хованский Дмитрий</t>
  </si>
  <si>
    <t>80,40</t>
  </si>
  <si>
    <t>Королев Алексей</t>
  </si>
  <si>
    <t>Открытая (20.01.1985)/36</t>
  </si>
  <si>
    <t>Быховец Артем</t>
  </si>
  <si>
    <t>Открытая (19.07.1983)/38</t>
  </si>
  <si>
    <t>89,90</t>
  </si>
  <si>
    <t>Дьяков Артём</t>
  </si>
  <si>
    <t>Открытая (04.04.1992)/29</t>
  </si>
  <si>
    <t>86,05</t>
  </si>
  <si>
    <t>Сергиенко Алексей</t>
  </si>
  <si>
    <t>Открытая (25.05.1993)/28</t>
  </si>
  <si>
    <t>99,50</t>
  </si>
  <si>
    <t>Москвин Александр</t>
  </si>
  <si>
    <t>Открытая (16.03.1980)/41</t>
  </si>
  <si>
    <t>110,80</t>
  </si>
  <si>
    <t>Мастера 40-49 (16.03.1980)/41</t>
  </si>
  <si>
    <t xml:space="preserve">Результат </t>
  </si>
  <si>
    <t xml:space="preserve">Gloss </t>
  </si>
  <si>
    <t>183,5820</t>
  </si>
  <si>
    <t>156,1237</t>
  </si>
  <si>
    <t>141,9220</t>
  </si>
  <si>
    <t>Результат</t>
  </si>
  <si>
    <t>Анищенко Катерина</t>
  </si>
  <si>
    <t>Юниорки (11.10.2000)/21</t>
  </si>
  <si>
    <t>55,00</t>
  </si>
  <si>
    <t>Высоцкая Ксения</t>
  </si>
  <si>
    <t>Открытая (16.10.1992)/29</t>
  </si>
  <si>
    <t>Воловик Алина</t>
  </si>
  <si>
    <t>Девушки 14-16 (15.10.2007)/14</t>
  </si>
  <si>
    <t>58,50</t>
  </si>
  <si>
    <t>20,0</t>
  </si>
  <si>
    <t>25,0</t>
  </si>
  <si>
    <t>Степаненко Татьяна</t>
  </si>
  <si>
    <t>Открытая (02.01.1984)/37</t>
  </si>
  <si>
    <t>58,90</t>
  </si>
  <si>
    <t xml:space="preserve">Кольцово/Новосибирская область </t>
  </si>
  <si>
    <t>Мурачёва Елена</t>
  </si>
  <si>
    <t>Открытая (15.03.1993)/28</t>
  </si>
  <si>
    <t>ВЕСОВАЯ КАТЕГОРИЯ   90+</t>
  </si>
  <si>
    <t>Волошина Василина</t>
  </si>
  <si>
    <t>Девушки 17-19 (15.10.2004)/17</t>
  </si>
  <si>
    <t>110,40</t>
  </si>
  <si>
    <t>Дальнов Алексей</t>
  </si>
  <si>
    <t>Юноши 14-16 (22.02.2005)/16</t>
  </si>
  <si>
    <t>46,95</t>
  </si>
  <si>
    <t>Мезенцев Валерий</t>
  </si>
  <si>
    <t>Юноши 14-16 (25.08.2005)/16</t>
  </si>
  <si>
    <t>51,40</t>
  </si>
  <si>
    <t>Осипов Альберт</t>
  </si>
  <si>
    <t>Юноши 14-16 (21.06.2007)/14</t>
  </si>
  <si>
    <t>53,50</t>
  </si>
  <si>
    <t>Дударев Александр</t>
  </si>
  <si>
    <t>Юноши 14-16 (18.09.2007)/14</t>
  </si>
  <si>
    <t>Соломко Никита</t>
  </si>
  <si>
    <t>Юноши 14-16 (04.06.2005)/16</t>
  </si>
  <si>
    <t>56,70</t>
  </si>
  <si>
    <t>Следенко Егор</t>
  </si>
  <si>
    <t>Юноши 14-16 (17.06.2006)/15</t>
  </si>
  <si>
    <t>73,30</t>
  </si>
  <si>
    <t>Гаврилов Роман</t>
  </si>
  <si>
    <t>Юноши 14-16 (27.10.2006)/15</t>
  </si>
  <si>
    <t>74,60</t>
  </si>
  <si>
    <t>Абилдаев Тимур</t>
  </si>
  <si>
    <t>Юноши 14-16 (11.04.2006)/15</t>
  </si>
  <si>
    <t>69,70</t>
  </si>
  <si>
    <t>Василевич Андрей</t>
  </si>
  <si>
    <t>Юноши 14-16 (03.06.2007)/14</t>
  </si>
  <si>
    <t>Петров Владимир</t>
  </si>
  <si>
    <t>Юноши 17-19 (14.05.2004)/17</t>
  </si>
  <si>
    <t>70,30</t>
  </si>
  <si>
    <t>Лазарев Матвей</t>
  </si>
  <si>
    <t>Юноши 17-19 (28.06.2004)/17</t>
  </si>
  <si>
    <t>70,70</t>
  </si>
  <si>
    <t>Стариков Егор</t>
  </si>
  <si>
    <t>Юниоры (09.03.2000)/21</t>
  </si>
  <si>
    <t>72,80</t>
  </si>
  <si>
    <t xml:space="preserve">Адреналин </t>
  </si>
  <si>
    <t>Редькин Дмитрий</t>
  </si>
  <si>
    <t>Мастера 40-49 (08.12.1975)/45</t>
  </si>
  <si>
    <t>75,00</t>
  </si>
  <si>
    <t>Денисов Матвей</t>
  </si>
  <si>
    <t>Юноши 14-16 (04.01.2007)/14</t>
  </si>
  <si>
    <t>Колосов Иван</t>
  </si>
  <si>
    <t>Юноши 14-16 (23.01.2006)/15</t>
  </si>
  <si>
    <t>82,10</t>
  </si>
  <si>
    <t>Высоцкий Алексей</t>
  </si>
  <si>
    <t>Юноши 14-16 (05.12.2005)/15</t>
  </si>
  <si>
    <t>77,90</t>
  </si>
  <si>
    <t>Семенов Иван</t>
  </si>
  <si>
    <t>Открытая (21.06.1992)/29</t>
  </si>
  <si>
    <t>80,30</t>
  </si>
  <si>
    <t>Куклин Денис</t>
  </si>
  <si>
    <t>Открытая (06.09.1989)/32</t>
  </si>
  <si>
    <t>79,30</t>
  </si>
  <si>
    <t>Горр Виталий</t>
  </si>
  <si>
    <t>Мастера 40-49 (26.01.1973)/48</t>
  </si>
  <si>
    <t>78,80</t>
  </si>
  <si>
    <t>Жигачев Михаил</t>
  </si>
  <si>
    <t>Юноши 14-16 (30.01.2007)/14</t>
  </si>
  <si>
    <t>83,30</t>
  </si>
  <si>
    <t>Макеев Андрей</t>
  </si>
  <si>
    <t>Юноши 17-19 (09.06.2004)/17</t>
  </si>
  <si>
    <t>87,20</t>
  </si>
  <si>
    <t>Андрюхов Илья</t>
  </si>
  <si>
    <t>Юниоры (04.08.1999)/22</t>
  </si>
  <si>
    <t>89,60</t>
  </si>
  <si>
    <t>Силкин Артем</t>
  </si>
  <si>
    <t>Юниоры (12.06.2000)/21</t>
  </si>
  <si>
    <t>85,30</t>
  </si>
  <si>
    <t xml:space="preserve">Новоспорт нск </t>
  </si>
  <si>
    <t>Касьяненко Григорий</t>
  </si>
  <si>
    <t>Открытая (28.03.1990)/31</t>
  </si>
  <si>
    <t xml:space="preserve">Sportxtreme </t>
  </si>
  <si>
    <t xml:space="preserve">Гантимуров.А </t>
  </si>
  <si>
    <t>Заворин Алексей</t>
  </si>
  <si>
    <t>Открытая (30.04.1975)/46</t>
  </si>
  <si>
    <t>88,70</t>
  </si>
  <si>
    <t>Слюсарев Иван</t>
  </si>
  <si>
    <t>Открытая (22.05.1995)/26</t>
  </si>
  <si>
    <t>Гилев Дмитрий</t>
  </si>
  <si>
    <t>Мастера 40-49 (29.08.1976)/45</t>
  </si>
  <si>
    <t>Мастера 40-49 (30.04.1975)/46</t>
  </si>
  <si>
    <t>Леонгардт Денис</t>
  </si>
  <si>
    <t>Мастера 40-49 (24.02.1977)/44</t>
  </si>
  <si>
    <t>88,80</t>
  </si>
  <si>
    <t>Романов Денис</t>
  </si>
  <si>
    <t>Открытая (24.04.1994)/27</t>
  </si>
  <si>
    <t>98,60</t>
  </si>
  <si>
    <t xml:space="preserve">Strong bears </t>
  </si>
  <si>
    <t>Волончук Максим</t>
  </si>
  <si>
    <t>Открытая (08.02.1992)/29</t>
  </si>
  <si>
    <t>97,20</t>
  </si>
  <si>
    <t xml:space="preserve">Alex fitness </t>
  </si>
  <si>
    <t>Якимов Александр</t>
  </si>
  <si>
    <t>Открытая (16.10.1987)/34</t>
  </si>
  <si>
    <t>99,90</t>
  </si>
  <si>
    <t>Бояркин Владимир</t>
  </si>
  <si>
    <t>Открытая (19.09.1984)/37</t>
  </si>
  <si>
    <t>Старцев Владимир</t>
  </si>
  <si>
    <t>Открытая (30.11.1995)/25</t>
  </si>
  <si>
    <t>99,60</t>
  </si>
  <si>
    <t xml:space="preserve">Бердск/Новосибирская область </t>
  </si>
  <si>
    <t>177,5</t>
  </si>
  <si>
    <t>Карманов Кирилл</t>
  </si>
  <si>
    <t>Открытая (06.10.1994)/27</t>
  </si>
  <si>
    <t>99,40</t>
  </si>
  <si>
    <t>Вдовин Евгений</t>
  </si>
  <si>
    <t>Открытая (26.03.1992)/29</t>
  </si>
  <si>
    <t>Иванов Алексей</t>
  </si>
  <si>
    <t>Открытая (24.08.1985)/36</t>
  </si>
  <si>
    <t>96,30</t>
  </si>
  <si>
    <t>Базылевский Сергей</t>
  </si>
  <si>
    <t>Открытая (07.09.1988)/33</t>
  </si>
  <si>
    <t>Курьянов Роман</t>
  </si>
  <si>
    <t>Открытая (20.07.1993)/28</t>
  </si>
  <si>
    <t>109,30</t>
  </si>
  <si>
    <t>Миркин Юрий</t>
  </si>
  <si>
    <t>Открытая (14.09.1971)/50</t>
  </si>
  <si>
    <t>Савельев Александр</t>
  </si>
  <si>
    <t>Открытая (01.04.1983)/38</t>
  </si>
  <si>
    <t>104,00</t>
  </si>
  <si>
    <t>ВЕСОВАЯ КАТЕГОРИЯ   140+</t>
  </si>
  <si>
    <t>Свиридов Владимир</t>
  </si>
  <si>
    <t>Мастера 40-49 (09.08.1979)/42</t>
  </si>
  <si>
    <t>148,50</t>
  </si>
  <si>
    <t>69,0883</t>
  </si>
  <si>
    <t>68,7923</t>
  </si>
  <si>
    <t>67,4550</t>
  </si>
  <si>
    <t>139,2528</t>
  </si>
  <si>
    <t>129,4370</t>
  </si>
  <si>
    <t>122,5690</t>
  </si>
  <si>
    <t>5</t>
  </si>
  <si>
    <t>6</t>
  </si>
  <si>
    <t>7</t>
  </si>
  <si>
    <t>8</t>
  </si>
  <si>
    <t>9</t>
  </si>
  <si>
    <t>Суховская Марина</t>
  </si>
  <si>
    <t>Юниорки (20.08.2000)/21</t>
  </si>
  <si>
    <t>47,25</t>
  </si>
  <si>
    <t>Мирошниченко Ольга</t>
  </si>
  <si>
    <t>Открытая (08.08.1986)/35</t>
  </si>
  <si>
    <t>47,30</t>
  </si>
  <si>
    <t xml:space="preserve">Вернов Е. </t>
  </si>
  <si>
    <t>Капустина Ульяна</t>
  </si>
  <si>
    <t>Открытая (14.04.1987)/34</t>
  </si>
  <si>
    <t>Боровских Елена</t>
  </si>
  <si>
    <t>Открытая (11.04.1982)/39</t>
  </si>
  <si>
    <t>48,00</t>
  </si>
  <si>
    <t>Мухомедзянова Айгуль</t>
  </si>
  <si>
    <t>Открытая (11.12.1994)/26</t>
  </si>
  <si>
    <t>Лычко Варвара</t>
  </si>
  <si>
    <t>Открытая (03.11.2000)/21</t>
  </si>
  <si>
    <t>Киселева Яна</t>
  </si>
  <si>
    <t>Открытая (03.08.1991)/30</t>
  </si>
  <si>
    <t>Иргашева Дарья</t>
  </si>
  <si>
    <t>Юниорки (26.11.1997)/23</t>
  </si>
  <si>
    <t>54,20</t>
  </si>
  <si>
    <t>27,5</t>
  </si>
  <si>
    <t>Быданова Ксения</t>
  </si>
  <si>
    <t>Открытая (17.10.1987)/34</t>
  </si>
  <si>
    <t>Солонуха Елена</t>
  </si>
  <si>
    <t>Открытая (24.01.1983)/38</t>
  </si>
  <si>
    <t>Дубкова Элина</t>
  </si>
  <si>
    <t>Открытая (06.10.1992)/29</t>
  </si>
  <si>
    <t>54,10</t>
  </si>
  <si>
    <t>Крашенинникова Оксана</t>
  </si>
  <si>
    <t>Мастера 40-49 (23.05.1981)/40</t>
  </si>
  <si>
    <t>Шамарова Анастасия</t>
  </si>
  <si>
    <t>Рыбкина Олеся</t>
  </si>
  <si>
    <t>Открытая (16.06.1989)/32</t>
  </si>
  <si>
    <t>58,80</t>
  </si>
  <si>
    <t>Пахорукова Анна</t>
  </si>
  <si>
    <t>Мастера 40-49 (26.06.1979)/42</t>
  </si>
  <si>
    <t>59,00</t>
  </si>
  <si>
    <t xml:space="preserve">Аст Фитнес </t>
  </si>
  <si>
    <t xml:space="preserve">Икрянников Е. </t>
  </si>
  <si>
    <t>Манолидис Майя</t>
  </si>
  <si>
    <t>Юниорки (06.04.2001)/20</t>
  </si>
  <si>
    <t>60,50</t>
  </si>
  <si>
    <t xml:space="preserve">Магадан/Магаданская область </t>
  </si>
  <si>
    <t>Москвин Богдан</t>
  </si>
  <si>
    <t>Юноши 14-16 (13.08.2005)/16</t>
  </si>
  <si>
    <t>51,10</t>
  </si>
  <si>
    <t>Фомичев Дмитрий</t>
  </si>
  <si>
    <t>Юноши 14-16 (12.02.2008)/13</t>
  </si>
  <si>
    <t>50,30</t>
  </si>
  <si>
    <t>Алексеев Иван</t>
  </si>
  <si>
    <t>Юноши 14-16 (28.08.2013)/8</t>
  </si>
  <si>
    <t>23,40</t>
  </si>
  <si>
    <t>12,5</t>
  </si>
  <si>
    <t>17,5</t>
  </si>
  <si>
    <t>22,5</t>
  </si>
  <si>
    <t>Мишин Яков</t>
  </si>
  <si>
    <t>Юноши 17-19 (11.12.2001)/19</t>
  </si>
  <si>
    <t>54,50</t>
  </si>
  <si>
    <t>Твердохлебов Андрей</t>
  </si>
  <si>
    <t>Юноши 14-16 (19.10.2006)/15</t>
  </si>
  <si>
    <t>57,20</t>
  </si>
  <si>
    <t>Новиков Илья</t>
  </si>
  <si>
    <t>Юноши 17-19 (01.06.2004)/17</t>
  </si>
  <si>
    <t>58,00</t>
  </si>
  <si>
    <t>Жарков Данила</t>
  </si>
  <si>
    <t>Юноши 14-16 (20.06.2006)/15</t>
  </si>
  <si>
    <t>62,10</t>
  </si>
  <si>
    <t xml:space="preserve">Кемерово/Кемеровская область </t>
  </si>
  <si>
    <t>Кузьмин Леонид</t>
  </si>
  <si>
    <t>Юноши 14-16 (04.02.2006)/15</t>
  </si>
  <si>
    <t>64,60</t>
  </si>
  <si>
    <t>Дерин Кирилл</t>
  </si>
  <si>
    <t>Юноши 14-16 (14.07.2006)/15</t>
  </si>
  <si>
    <t>64,00</t>
  </si>
  <si>
    <t>Тарасов Матвей</t>
  </si>
  <si>
    <t>Юноши 14-16 (21.07.2006)/15</t>
  </si>
  <si>
    <t>Бройт Антон</t>
  </si>
  <si>
    <t>Юноши 17-19 (26.02.2003)/18</t>
  </si>
  <si>
    <t>Мурзин Никита</t>
  </si>
  <si>
    <t>Открытая (09.02.1997)/24</t>
  </si>
  <si>
    <t>Селиванов Александр</t>
  </si>
  <si>
    <t>Открытая (27.04.1985)/36</t>
  </si>
  <si>
    <t>67,00</t>
  </si>
  <si>
    <t>Немков Артем</t>
  </si>
  <si>
    <t>Открытая (29.09.1995)/26</t>
  </si>
  <si>
    <t>66,10</t>
  </si>
  <si>
    <t>Мальнов Дмитрий</t>
  </si>
  <si>
    <t>Юноши 14-16 (25.04.2006)/15</t>
  </si>
  <si>
    <t>69,90</t>
  </si>
  <si>
    <t>Куклин Евгений</t>
  </si>
  <si>
    <t>Открытая (16.12.1981)/39</t>
  </si>
  <si>
    <t>Смородинов Виктор</t>
  </si>
  <si>
    <t>Мастера 40-49 (07.03.1973)/48</t>
  </si>
  <si>
    <t>74,80</t>
  </si>
  <si>
    <t>Тузов Глеб</t>
  </si>
  <si>
    <t>Юноши 14-16 (10.01.2006)/15</t>
  </si>
  <si>
    <t>81,00</t>
  </si>
  <si>
    <t>Тюрин Вадим</t>
  </si>
  <si>
    <t>Юноши 17-19 (21.07.2004)/17</t>
  </si>
  <si>
    <t>Микушов Никита</t>
  </si>
  <si>
    <t>Юноши 17-19 (19.12.2003)/17</t>
  </si>
  <si>
    <t>Некрасов Артем</t>
  </si>
  <si>
    <t>Открытая (09.08.1982)/39</t>
  </si>
  <si>
    <t>Отмашкин Евгений</t>
  </si>
  <si>
    <t>Открытая (04.02.1993)/28</t>
  </si>
  <si>
    <t>81,40</t>
  </si>
  <si>
    <t xml:space="preserve">Барнаул/Алтайский край </t>
  </si>
  <si>
    <t>Аксенов Владислав</t>
  </si>
  <si>
    <t>Открытая (25.01.1985)/36</t>
  </si>
  <si>
    <t>76,30</t>
  </si>
  <si>
    <t>Александров Леонид</t>
  </si>
  <si>
    <t>Открытая (15.07.1971)/50</t>
  </si>
  <si>
    <t>Лобачев Иван</t>
  </si>
  <si>
    <t>Открытая (16.07.1994)/27</t>
  </si>
  <si>
    <t xml:space="preserve">Чулым/Новосибирская область </t>
  </si>
  <si>
    <t>Мастера 50-59 (15.07.1971)/50</t>
  </si>
  <si>
    <t>Никитин Александр</t>
  </si>
  <si>
    <t>Юноши 17-19 (13.10.2002)/19</t>
  </si>
  <si>
    <t>Ляшенко Александр</t>
  </si>
  <si>
    <t>Открытая (06.07.1991)/30</t>
  </si>
  <si>
    <t>89,00</t>
  </si>
  <si>
    <t>Шашенко Константин</t>
  </si>
  <si>
    <t>Открытая (17.02.1983)/38</t>
  </si>
  <si>
    <t>Шпагин Михаил</t>
  </si>
  <si>
    <t>Открытая (25.10.1988)/33</t>
  </si>
  <si>
    <t>89,40</t>
  </si>
  <si>
    <t>Рец Михаил</t>
  </si>
  <si>
    <t>Открытая (13.06.1981)/40</t>
  </si>
  <si>
    <t>Мурадян Роман</t>
  </si>
  <si>
    <t>Открытая (06.01.1985)/36</t>
  </si>
  <si>
    <t>Чеканов Евгений</t>
  </si>
  <si>
    <t>Открытая (02.01.1991)/30</t>
  </si>
  <si>
    <t>Скотников Глеб</t>
  </si>
  <si>
    <t>Открытая (28.01.1990)/31</t>
  </si>
  <si>
    <t>Цой Сергей</t>
  </si>
  <si>
    <t>Меньшиков Александр</t>
  </si>
  <si>
    <t>Открытая (02.09.1991)/30</t>
  </si>
  <si>
    <t>Осипов Станислав</t>
  </si>
  <si>
    <t>Открытая (12.07.1989)/32</t>
  </si>
  <si>
    <t>Коваленко Станислав</t>
  </si>
  <si>
    <t>Открытая (24.09.1990)/31</t>
  </si>
  <si>
    <t xml:space="preserve">Спорт- экстрим </t>
  </si>
  <si>
    <t>Мастера 40-49 (13.06.1981)/40</t>
  </si>
  <si>
    <t>Бурцев Александр</t>
  </si>
  <si>
    <t>Мастера 50-59 (07.08.1971)/50</t>
  </si>
  <si>
    <t>89,10</t>
  </si>
  <si>
    <t xml:space="preserve">Спортмотив </t>
  </si>
  <si>
    <t>Размахнин Александр</t>
  </si>
  <si>
    <t>Мастера 60-69 (08.08.1959)/62</t>
  </si>
  <si>
    <t>Бухнер Александр</t>
  </si>
  <si>
    <t>Открытая (16.07.1993)/28</t>
  </si>
  <si>
    <t>Сахно Никита</t>
  </si>
  <si>
    <t>Открытая (24.04.1989)/32</t>
  </si>
  <si>
    <t>94,10</t>
  </si>
  <si>
    <t>Нестеренко Михаил</t>
  </si>
  <si>
    <t>Открытая (29.04.1990)/31</t>
  </si>
  <si>
    <t>96,50</t>
  </si>
  <si>
    <t xml:space="preserve">Ast-fitness </t>
  </si>
  <si>
    <t xml:space="preserve">Краснообск/Новосибирская облас </t>
  </si>
  <si>
    <t>Бабаев Руслан</t>
  </si>
  <si>
    <t>Открытая (25.06.1998)/23</t>
  </si>
  <si>
    <t>93,30</t>
  </si>
  <si>
    <t>Стрыгун Андрей</t>
  </si>
  <si>
    <t>Мастера 40-49 (02.09.1978)/43</t>
  </si>
  <si>
    <t>98,10</t>
  </si>
  <si>
    <t>Лебедев Сергей</t>
  </si>
  <si>
    <t>Юноши 14-16 (30.09.2006)/15</t>
  </si>
  <si>
    <t>105,70</t>
  </si>
  <si>
    <t>Микушов Ярослав</t>
  </si>
  <si>
    <t>Юноши 14-16 (31.05.2007)/14</t>
  </si>
  <si>
    <t>109,00</t>
  </si>
  <si>
    <t>Жевтнев Алексей</t>
  </si>
  <si>
    <t>Открытая (28.08.1987)/34</t>
  </si>
  <si>
    <t>105,20</t>
  </si>
  <si>
    <t>Борец Алексей</t>
  </si>
  <si>
    <t>Открытая (14.08.1984)/37</t>
  </si>
  <si>
    <t>106,60</t>
  </si>
  <si>
    <t>Овсянников Михаил</t>
  </si>
  <si>
    <t>Открытая (23.02.1985)/36</t>
  </si>
  <si>
    <t>108,30</t>
  </si>
  <si>
    <t>Открытая (31.05.2007)/14</t>
  </si>
  <si>
    <t>Гудков Алексей</t>
  </si>
  <si>
    <t>Мастера 40-49 (17.07.1979)/42</t>
  </si>
  <si>
    <t>108,20</t>
  </si>
  <si>
    <t>Гребенкин Сергей</t>
  </si>
  <si>
    <t>Открытая (04.12.1973)/47</t>
  </si>
  <si>
    <t>121,50</t>
  </si>
  <si>
    <t>Кремнев Михаил</t>
  </si>
  <si>
    <t>Открытая (13.07.1995)/26</t>
  </si>
  <si>
    <t>118,80</t>
  </si>
  <si>
    <t>Мастера 40-49 (04.12.1973)/47</t>
  </si>
  <si>
    <t>89,4240</t>
  </si>
  <si>
    <t>80,3220</t>
  </si>
  <si>
    <t>77,9125</t>
  </si>
  <si>
    <t>116,0933</t>
  </si>
  <si>
    <t>113,9727</t>
  </si>
  <si>
    <t>112,7945</t>
  </si>
  <si>
    <t>10</t>
  </si>
  <si>
    <t>11</t>
  </si>
  <si>
    <t>Абоимова Виктория</t>
  </si>
  <si>
    <t>Девушки 17-19 (02.10.2004)/17</t>
  </si>
  <si>
    <t>49,30</t>
  </si>
  <si>
    <t>Юниорки (03.11.2000)/21</t>
  </si>
  <si>
    <t>Кижайкина Марина</t>
  </si>
  <si>
    <t>Мастера 40-49 (19.04.1977)/44</t>
  </si>
  <si>
    <t>51,00</t>
  </si>
  <si>
    <t>58,25</t>
  </si>
  <si>
    <t>Протопопов Глеб</t>
  </si>
  <si>
    <t>Юноши 17-19 (06.08.2004)/17</t>
  </si>
  <si>
    <t>73,55</t>
  </si>
  <si>
    <t>Фокин Матвей</t>
  </si>
  <si>
    <t>Открытая (15.06.1988)/33</t>
  </si>
  <si>
    <t>74,70</t>
  </si>
  <si>
    <t>Шелпаков Кирилл</t>
  </si>
  <si>
    <t>Открытая (05.11.1992)/29</t>
  </si>
  <si>
    <t>80,65</t>
  </si>
  <si>
    <t>Пугачев Алексей</t>
  </si>
  <si>
    <t>Открытая (23.05.1979)/42</t>
  </si>
  <si>
    <t>97,55</t>
  </si>
  <si>
    <t>Мастера 40-49 (23.05.1979)/42</t>
  </si>
  <si>
    <t>Шевелев Григорий</t>
  </si>
  <si>
    <t>Открытая (02.08.1982)/39</t>
  </si>
  <si>
    <t>118,00</t>
  </si>
  <si>
    <t>Падерин Роман</t>
  </si>
  <si>
    <t>Открытая (16.02.1988)/33</t>
  </si>
  <si>
    <t>73,40</t>
  </si>
  <si>
    <t>79,25</t>
  </si>
  <si>
    <t>Федосеев Сергей</t>
  </si>
  <si>
    <t>Открытая (18.01.1982)/39</t>
  </si>
  <si>
    <t>Савченко Дмитрий</t>
  </si>
  <si>
    <t>Открытая (03.08.1981)/40</t>
  </si>
  <si>
    <t>Мастера 40-49 (03.08.1981)/40</t>
  </si>
  <si>
    <t>Чуркин Алексей</t>
  </si>
  <si>
    <t>Открытая (06.07.1987)/34</t>
  </si>
  <si>
    <t>99,70</t>
  </si>
  <si>
    <t>Болдин Сергей</t>
  </si>
  <si>
    <t>Мастера 50-59 (31.05.1971)/50</t>
  </si>
  <si>
    <t>92,70</t>
  </si>
  <si>
    <t xml:space="preserve">Барабинск </t>
  </si>
  <si>
    <t>Грушковский Александр</t>
  </si>
  <si>
    <t>Открытая (20.10.1987)/34</t>
  </si>
  <si>
    <t>81,20</t>
  </si>
  <si>
    <t>Михалева Марина</t>
  </si>
  <si>
    <t>Девушки 14-16 (16.11.2004)/16</t>
  </si>
  <si>
    <t>52,80</t>
  </si>
  <si>
    <t>Гижа Яна</t>
  </si>
  <si>
    <t>Мастера 50-59 (26.10.1971)/50</t>
  </si>
  <si>
    <t>64,30</t>
  </si>
  <si>
    <t>Мауэр Георгий</t>
  </si>
  <si>
    <t>Юноши 14-16 (01.06.2010)/11</t>
  </si>
  <si>
    <t>45,70</t>
  </si>
  <si>
    <t>Усманов Алексей</t>
  </si>
  <si>
    <t>Открытая (27.02.1973)/48</t>
  </si>
  <si>
    <t>86,40</t>
  </si>
  <si>
    <t>Мастера 40-49 (27.02.1973)/48</t>
  </si>
  <si>
    <t>Май Евгений</t>
  </si>
  <si>
    <t>Открытая (12.12.1992)/28</t>
  </si>
  <si>
    <t>96,70</t>
  </si>
  <si>
    <t xml:space="preserve">Novosport </t>
  </si>
  <si>
    <t>Качесова Татьяна</t>
  </si>
  <si>
    <t>Открытая (10.02.1983)/38</t>
  </si>
  <si>
    <t>51,70</t>
  </si>
  <si>
    <t>Клейн Екатерина</t>
  </si>
  <si>
    <t>Девушки 14-16 (15.12.2004)/16</t>
  </si>
  <si>
    <t>67,10</t>
  </si>
  <si>
    <t>Козлов Никита</t>
  </si>
  <si>
    <t>Юноши 17-19 (15.07.2004)/17</t>
  </si>
  <si>
    <t>66,30</t>
  </si>
  <si>
    <t>Можаев Илья</t>
  </si>
  <si>
    <t>Юниоры (12.10.2001)/20</t>
  </si>
  <si>
    <t>73,10</t>
  </si>
  <si>
    <t xml:space="preserve">Sport x- treme </t>
  </si>
  <si>
    <t>Розбах Дмитрий</t>
  </si>
  <si>
    <t>Открытая (15.02.2000)/21</t>
  </si>
  <si>
    <t>82,50</t>
  </si>
  <si>
    <t>242,5</t>
  </si>
  <si>
    <t>Открытая (21.04.1999)/22</t>
  </si>
  <si>
    <t>Щербачев Артем</t>
  </si>
  <si>
    <t>Юноши 14-16 (07.06.2007)/14</t>
  </si>
  <si>
    <t>83,90</t>
  </si>
  <si>
    <t>Николаев Вячеслав</t>
  </si>
  <si>
    <t>Мастера 60-69 (10.07.1956)/65</t>
  </si>
  <si>
    <t>153,1780</t>
  </si>
  <si>
    <t>139,7250</t>
  </si>
  <si>
    <t>137,7810</t>
  </si>
  <si>
    <t>169,8650</t>
  </si>
  <si>
    <t>163,9680</t>
  </si>
  <si>
    <t>162,4508</t>
  </si>
  <si>
    <t>Гундарев Сергей</t>
  </si>
  <si>
    <t>Открытая (06.05.1994)/27</t>
  </si>
  <si>
    <t>122,40</t>
  </si>
  <si>
    <t>257,5</t>
  </si>
  <si>
    <t>Иванов Александр</t>
  </si>
  <si>
    <t>Открытая (18.01.1987)/34</t>
  </si>
  <si>
    <t>82,35</t>
  </si>
  <si>
    <t>Севостьянов Виктор</t>
  </si>
  <si>
    <t>Открытая (06.11.1983)/38</t>
  </si>
  <si>
    <t>80,20</t>
  </si>
  <si>
    <t>83,25</t>
  </si>
  <si>
    <t>89,75</t>
  </si>
  <si>
    <t>Вальтер Алексей</t>
  </si>
  <si>
    <t>78,5</t>
  </si>
  <si>
    <t>37,2399</t>
  </si>
  <si>
    <t>36,1850</t>
  </si>
  <si>
    <t>29,8801</t>
  </si>
  <si>
    <t xml:space="preserve">Astenik </t>
  </si>
  <si>
    <t>Сенчилина Ирина</t>
  </si>
  <si>
    <t>Открытая (01.08.1991)/30</t>
  </si>
  <si>
    <t>53,65</t>
  </si>
  <si>
    <t>Титков Роман</t>
  </si>
  <si>
    <t>Открытая (25.01.1993)/28</t>
  </si>
  <si>
    <t>73,85</t>
  </si>
  <si>
    <t>Гребенщиков Денис</t>
  </si>
  <si>
    <t>Открытая (17.02.1992)/29</t>
  </si>
  <si>
    <t>94,05</t>
  </si>
  <si>
    <t>55,95</t>
  </si>
  <si>
    <t>55,15</t>
  </si>
  <si>
    <t>48,0</t>
  </si>
  <si>
    <t>Одинцов Евгений</t>
  </si>
  <si>
    <t>Открытая (08.03.1994)/27</t>
  </si>
  <si>
    <t>67,15</t>
  </si>
  <si>
    <t>Качесов Иван</t>
  </si>
  <si>
    <t>Открытая (19.12.1985)/35</t>
  </si>
  <si>
    <t>Уродов Артём</t>
  </si>
  <si>
    <t>Открытая (29.09.1991)/30</t>
  </si>
  <si>
    <t>82,15</t>
  </si>
  <si>
    <t>Хорев Иван</t>
  </si>
  <si>
    <t>Открытая (13.01.1997)/24</t>
  </si>
  <si>
    <t>85,90</t>
  </si>
  <si>
    <t>Нефедов Никита</t>
  </si>
  <si>
    <t>57,75</t>
  </si>
  <si>
    <t>81,15</t>
  </si>
  <si>
    <t>Каргин Андрей</t>
  </si>
  <si>
    <t>Открытая (17.11.1995)/25</t>
  </si>
  <si>
    <t>89,25</t>
  </si>
  <si>
    <t>Крашенинников Александр</t>
  </si>
  <si>
    <t>Открытая (19.02.1984)/37</t>
  </si>
  <si>
    <t>88,60</t>
  </si>
  <si>
    <t>Романович Сергей</t>
  </si>
  <si>
    <t>Открытая (26.09.1994)/27</t>
  </si>
  <si>
    <t>97,90</t>
  </si>
  <si>
    <t>137,4280</t>
  </si>
  <si>
    <t>127,4566</t>
  </si>
  <si>
    <t>123,7700</t>
  </si>
  <si>
    <t>51,65</t>
  </si>
  <si>
    <t>Балтин Кирилл</t>
  </si>
  <si>
    <t>65,80</t>
  </si>
  <si>
    <t>Ливерко Владимир</t>
  </si>
  <si>
    <t>Открытая (15.04.1991)/30</t>
  </si>
  <si>
    <t>65,65</t>
  </si>
  <si>
    <t>66,95</t>
  </si>
  <si>
    <t>Шмаков Сергей</t>
  </si>
  <si>
    <t>Открытая (01.06.1995)/26</t>
  </si>
  <si>
    <t>72,35</t>
  </si>
  <si>
    <t>Амиров Владислав</t>
  </si>
  <si>
    <t>Открытая (27.04.1993)/28</t>
  </si>
  <si>
    <t>80,45</t>
  </si>
  <si>
    <t>Лебедев Виталий</t>
  </si>
  <si>
    <t>Открытая (12.08.1986)/35</t>
  </si>
  <si>
    <t>94,70</t>
  </si>
  <si>
    <t>Андреев Артём</t>
  </si>
  <si>
    <t>Открытая (10.01.1990)/31</t>
  </si>
  <si>
    <t>99,35</t>
  </si>
  <si>
    <t>Кацюк Антон</t>
  </si>
  <si>
    <t>Открытая (20.04.1989)/32</t>
  </si>
  <si>
    <t>98,20</t>
  </si>
  <si>
    <t>101,2945</t>
  </si>
  <si>
    <t>99,6029</t>
  </si>
  <si>
    <t>96,9600</t>
  </si>
  <si>
    <t>Чагин Александр</t>
  </si>
  <si>
    <t>Открытая (05.09.1984)/37</t>
  </si>
  <si>
    <t>80,55</t>
  </si>
  <si>
    <t>103,15</t>
  </si>
  <si>
    <t>Соловьев Михаил</t>
  </si>
  <si>
    <t>Юноши 13-19 (16.11.2006)/14</t>
  </si>
  <si>
    <t>Юниоры 20-23 (04.08.2000)/21</t>
  </si>
  <si>
    <t>Мастера 40-49 (29.01.1976)/45</t>
  </si>
  <si>
    <t>Юноши 13-19 (19.11.2006)/14</t>
  </si>
  <si>
    <t>Юноши 13-19 (25.08.2005)/16</t>
  </si>
  <si>
    <t>Юноши 13-19 (22.02.2005)/16</t>
  </si>
  <si>
    <t>Юноши 13-19 (14.05.2004)/17</t>
  </si>
  <si>
    <t>Юноши 13-19 (27.10.2006)/15</t>
  </si>
  <si>
    <t>Юноши 13-19 (03.06.2007)/14</t>
  </si>
  <si>
    <t>Юноши 13-19 (10.12.2003)/17</t>
  </si>
  <si>
    <t>Юноши 13-19 (23.01.2006)/15</t>
  </si>
  <si>
    <t>Юноши 13-19 (04.01.2007)/14</t>
  </si>
  <si>
    <t>Юноши 13-19 (30.01.2007)/14</t>
  </si>
  <si>
    <t xml:space="preserve">Юноши 13-19 </t>
  </si>
  <si>
    <t>Новосибирск/Новосибирская область</t>
  </si>
  <si>
    <t>Весовая категеория</t>
  </si>
  <si>
    <t>Весовая категория</t>
  </si>
  <si>
    <t>Полосин С.</t>
  </si>
  <si>
    <t>Иванов А.</t>
  </si>
  <si>
    <t>Савин А.</t>
  </si>
  <si>
    <t>Дьяков А.</t>
  </si>
  <si>
    <t>Овчаров Д.</t>
  </si>
  <si>
    <t>Тюленев А.</t>
  </si>
  <si>
    <t>Макаров А.</t>
  </si>
  <si>
    <t>Ефремова-Отченаш М.</t>
  </si>
  <si>
    <t>Рыжков Е.</t>
  </si>
  <si>
    <t>Гребёнкин С.</t>
  </si>
  <si>
    <t>Денисевич С.</t>
  </si>
  <si>
    <t xml:space="preserve">Прокопьевск/Кемеровская область </t>
  </si>
  <si>
    <t xml:space="preserve">Лично </t>
  </si>
  <si>
    <t xml:space="preserve">Иванов А. </t>
  </si>
  <si>
    <t xml:space="preserve">Рогожкин Р. </t>
  </si>
  <si>
    <t xml:space="preserve">Нечаев М. </t>
  </si>
  <si>
    <t>Степанов И.</t>
  </si>
  <si>
    <t>Подчасов Д.</t>
  </si>
  <si>
    <t>Суслов Н.</t>
  </si>
  <si>
    <t>Коваленко А.</t>
  </si>
  <si>
    <t>Зоворин А.</t>
  </si>
  <si>
    <t>Зайцев Е.</t>
  </si>
  <si>
    <t>Филипович В.</t>
  </si>
  <si>
    <t xml:space="preserve">Новокузнецк/Кемеровская область </t>
  </si>
  <si>
    <t>Морозов Я.</t>
  </si>
  <si>
    <t xml:space="preserve">Тюленев А. </t>
  </si>
  <si>
    <t xml:space="preserve">Боровский С. </t>
  </si>
  <si>
    <t xml:space="preserve">Синько Е. </t>
  </si>
  <si>
    <t xml:space="preserve">Алексеев В. </t>
  </si>
  <si>
    <t xml:space="preserve">Морозов Я. </t>
  </si>
  <si>
    <t xml:space="preserve">Овчаров Д. </t>
  </si>
  <si>
    <t xml:space="preserve">Гантимуров А. </t>
  </si>
  <si>
    <t xml:space="preserve">Москвин А. </t>
  </si>
  <si>
    <t xml:space="preserve">Сенько Е. </t>
  </si>
  <si>
    <t xml:space="preserve">Гребёнкин С. </t>
  </si>
  <si>
    <t xml:space="preserve">Анненков С. </t>
  </si>
  <si>
    <t xml:space="preserve">Заворин А. </t>
  </si>
  <si>
    <t xml:space="preserve">Августинович А. </t>
  </si>
  <si>
    <t xml:space="preserve">Савченко Д. </t>
  </si>
  <si>
    <t xml:space="preserve">Тарасова В. </t>
  </si>
  <si>
    <t xml:space="preserve">Левченко Ю. </t>
  </si>
  <si>
    <t xml:space="preserve">Семенов И. </t>
  </si>
  <si>
    <t xml:space="preserve">Бровский С. </t>
  </si>
  <si>
    <t xml:space="preserve">Рыжков Е. </t>
  </si>
  <si>
    <t xml:space="preserve">Суслов Н. </t>
  </si>
  <si>
    <t>Шишков Г.</t>
  </si>
  <si>
    <t>Рогожкин Р.</t>
  </si>
  <si>
    <t>342,5</t>
  </si>
  <si>
    <t>360,0</t>
  </si>
  <si>
    <t>325,0</t>
  </si>
  <si>
    <t>347,5</t>
  </si>
  <si>
    <t>Зеленин Никита</t>
  </si>
  <si>
    <t>375,5</t>
  </si>
  <si>
    <t>392,5</t>
  </si>
  <si>
    <t>Черепанов Николай</t>
  </si>
  <si>
    <t>116,00</t>
  </si>
  <si>
    <t>375,0</t>
  </si>
  <si>
    <t>385,0</t>
  </si>
  <si>
    <t>Степанов Игорь</t>
  </si>
  <si>
    <t>124,80</t>
  </si>
  <si>
    <t>307,5</t>
  </si>
  <si>
    <t>317,5</t>
  </si>
  <si>
    <t>327,5</t>
  </si>
  <si>
    <t>335,0</t>
  </si>
  <si>
    <t>110</t>
  </si>
  <si>
    <t>231,3002</t>
  </si>
  <si>
    <t>229,8240</t>
  </si>
  <si>
    <t>227,5322</t>
  </si>
  <si>
    <t>Открытая (26.06.1996)/25</t>
  </si>
  <si>
    <t>Открытая (18.09.1997)/24</t>
  </si>
  <si>
    <t>Открытая (09.04.1989)/32</t>
  </si>
  <si>
    <t xml:space="preserve">Михайлов П. </t>
  </si>
  <si>
    <t xml:space="preserve">Копылов П. </t>
  </si>
  <si>
    <t>Быховец А.</t>
  </si>
  <si>
    <t xml:space="preserve">Кошуков А. </t>
  </si>
  <si>
    <t xml:space="preserve">Воланчук М. </t>
  </si>
  <si>
    <t xml:space="preserve">Цветков Р. </t>
  </si>
  <si>
    <t xml:space="preserve">Дьяков А. </t>
  </si>
  <si>
    <t xml:space="preserve">Сокушев В. </t>
  </si>
  <si>
    <t>Хованская Ольга</t>
  </si>
  <si>
    <t xml:space="preserve">Хованский Д. </t>
  </si>
  <si>
    <t>Барабинск/Новосибирская область</t>
  </si>
  <si>
    <t xml:space="preserve">Макаров А. </t>
  </si>
  <si>
    <t xml:space="preserve">Полосин С. </t>
  </si>
  <si>
    <t xml:space="preserve">Карпов Ю., Панкратов В. </t>
  </si>
  <si>
    <t>Самостотятельно</t>
  </si>
  <si>
    <t xml:space="preserve">Свиридов В. </t>
  </si>
  <si>
    <t xml:space="preserve">Коваленко А. </t>
  </si>
  <si>
    <t>Мужчины</t>
  </si>
  <si>
    <t xml:space="preserve">Черников А. </t>
  </si>
  <si>
    <t>Всероссийский мастерский турнир "Стальной медведь - время сильных"
WRPF любители Пауэрлифтинг без экипировки ДК
Новосибирск/Новосибирская область, 6-7 ноября 2021 года</t>
  </si>
  <si>
    <t>Всероссийский мастерский турнир "Стальной медведь - время сильных"
WRPF любители Пауэрлифтинг без экипировки
Новосибирск/Новосибирская область, 6-7 ноября 2021 года</t>
  </si>
  <si>
    <t>Всероссийский мастерский турнир "Стальной медведь - время сильных"
WRPF любители Пауэрлифтинг классический в бинтах ДК
Новосибирск/Новосибирская область, 6-7 ноября 2021 года</t>
  </si>
  <si>
    <t>Всероссийский мастерский турнир "Стальной медведь - время сильных"
WEPF любители Пауэрлифтинг в однослойной экипировке
Новосибирск/Новосибирская область, 6-7 ноября 2021 года</t>
  </si>
  <si>
    <t>Всероссийский мастерский турнир "Стальной медведь - время сильных"
WEPF любители Пауэрлифтинг в многослойной экипировке
Новосибирск/Новосибирская область, 6-7 ноября 2021 года</t>
  </si>
  <si>
    <t>Всероссийский мастерский турнир "Стальной медведь - время сильных"
WRPF любители Силовое двоеборье без экипировки ДК
Новосибирск/Новосибирская область, 6-7 ноября 2021 года</t>
  </si>
  <si>
    <t>Всероссийский мастерский турнир "Стальной медведь - время сильных"
WRPF любители Силовое двоеборье без экипировки
Новосибирск/Новосибирская область, 6-7 ноября 2021 года</t>
  </si>
  <si>
    <t>Всероссийский мастерский турнир "Стальной медведь - время сильных"
WRPF любители Жим лежа без экипировки ДК
Новосибирск/Новосибирская область, 6-7 ноября 2021 года</t>
  </si>
  <si>
    <t>Всероссийский мастерский турнир "Стальной медведь - время сильных"
WRPF любители Жим лежа без экипировки
Новосибирск/Новосибирская область, 6-7 ноября 2021 года</t>
  </si>
  <si>
    <t>Всероссийский мастерский турнир "Стальной медведь - время сильных"
WEPF любители Жим лежа в однослойной экипировке ДК
Новосибирск/Новосибирская область, 6-7 ноября 2021 года</t>
  </si>
  <si>
    <t>Всероссийский мастерский турнир "Стальной медведь - время сильных"
WEPF любители Жим лежа в однослойной экипировке
Новосибирск/Новосибирская область, 6-7 ноября 2021 года</t>
  </si>
  <si>
    <t>Всероссийский мастерский турнир "Стальной медведь - время сильных"
WEPF любители Жим лежа в многослойной экипировке
Новосибирск/Новосибирская область, 6-7 ноября 2021 года</t>
  </si>
  <si>
    <t>Всероссийский мастерский турнир "Стальной медведь - время сильных"
WEPF Жим лежа в однопетельной софт экипировке ДК
Новосибирск/Новосибирская область, 6-7 ноября 2021 года</t>
  </si>
  <si>
    <t>Всероссийский мастерский турнир "Стальной медведь - время сильных"
WEPF Жим лежа в однопетельной софт экипировке
Новосибирск/Новосибирская область, 6-7 ноября 2021 года</t>
  </si>
  <si>
    <t>Всероссийский мастерский турнир "Стальной медведь - время сильных"
WEPF Жим лежа в многопетельной софт экипировке ДК
Новосибирск/Новосибирская область, 6-7 ноября 2021 года</t>
  </si>
  <si>
    <t>Всероссийский мастерский турнир "Стальной медведь - время сильных"
WEPF Жим лежа в многопетельной софт экипировке
Новосибирск/Новосибирская область, 6-7 ноября 2021 года</t>
  </si>
  <si>
    <t>Всероссийский мастерский турнир "Стальной медведь - время сильных"
WRPF Жим лежа СФО
Новосибирск/Новосибирская область, 6-7 ноября 2021 года</t>
  </si>
  <si>
    <t>Всероссийский мастерский турнир "Стальной медведь - время сильных"
WRPF любители Становая тяга без экипировки ДК
Новосибирск/Новосибирская область, 6-7 ноября 2021 года</t>
  </si>
  <si>
    <t>Всероссийский мастерский турнир "Стальной медведь - время сильных"
WRPF любители Становая тяга без экипировки
Новосибирск/Новосибирская область, 6-7 ноября 2021 года</t>
  </si>
  <si>
    <t>Всероссийский мастерский турнир "Стальной медведь - время сильных"
WRPF Становая тяга без экипировки в лямках
Новосибирск/Новосибирская область, 6-7 ноября 2021 года</t>
  </si>
  <si>
    <t>Всероссийский мастерский турнир "Стальной медведь - время сильных"
СПР Пауэрспорт ДК
Новосибирск/Новосибирская область, 6-7 ноября 2021 года</t>
  </si>
  <si>
    <t>Всероссийский мастерский турнир "Стальной медведь - время сильных"
СПР Пауэрспорт
Новосибирск/Новосибирская область, 6-7 ноября 2021 года</t>
  </si>
  <si>
    <t>Всероссийский мастерский турнир "Стальной медведь - время сильных"
СПР Жим штанги стоя ДК
Новосибирск/Новосибирская область, 6-7 ноября 2021 года</t>
  </si>
  <si>
    <t>Всероссийский мастерский турнир "Стальной медведь - время сильных"
СПР Жим штанги стоя
Новосибирск/Новосибирская область, 6-7 ноября 2021 года</t>
  </si>
  <si>
    <t>Всероссийский мастерский турнир "Стальной медведь - время сильных"
СПР Строгий подъем штанги на бицепс ДК
Новосибирск/Новосибирская область, 6-7 ноября 2021 года</t>
  </si>
  <si>
    <t>Всероссийский мастерский турнир "Стальной медведь - время сильных"
СПР Строгий подъем штанги на бицепс
Новосибирск/Новосибирская область, 6-7 ноября 2021 года</t>
  </si>
  <si>
    <t>Всероссийский мастерский турнир "Стальной медведь - время сильных"
WRPF Строгий подъем штанги на бицепс
Новосибирск/Новосибирская область, 6-7 ноября 2021 года</t>
  </si>
  <si>
    <t>Жим</t>
  </si>
  <si>
    <t>Тяга</t>
  </si>
  <si>
    <t>№</t>
  </si>
  <si>
    <t xml:space="preserve">
Дата рождения/Возраст</t>
  </si>
  <si>
    <t>Возрастная группа</t>
  </si>
  <si>
    <t>T2</t>
  </si>
  <si>
    <t>J</t>
  </si>
  <si>
    <t>T1</t>
  </si>
  <si>
    <t>O</t>
  </si>
  <si>
    <t>M1</t>
  </si>
  <si>
    <t>M2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</si>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</sst>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16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129"/>
  <sheetViews>
    <sheetView workbookViewId="0">
      <selection activeCell="E80" sqref="E80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0" bestFit="1" customWidth="1"/>
    <col min="21" max="21" width="8.5" style="6" bestFit="1" customWidth="1"/>
    <col min="22" max="22" width="32.33203125" style="5" bestFit="1" customWidth="1"/>
    <col min="23" max="16384" width="9.1640625" style="3"/>
  </cols>
  <sheetData>
    <row r="1" spans="1:22" s="2" customFormat="1" ht="29" customHeight="1">
      <c r="A1" s="80" t="s">
        <v>1132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</row>
    <row r="2" spans="1:22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</row>
    <row r="3" spans="1:22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10</v>
      </c>
      <c r="I3" s="74"/>
      <c r="J3" s="74"/>
      <c r="K3" s="74"/>
      <c r="L3" s="74" t="s">
        <v>11</v>
      </c>
      <c r="M3" s="74"/>
      <c r="N3" s="74"/>
      <c r="O3" s="74"/>
      <c r="P3" s="74" t="s">
        <v>12</v>
      </c>
      <c r="Q3" s="74"/>
      <c r="R3" s="74"/>
      <c r="S3" s="74"/>
      <c r="T3" s="72" t="s">
        <v>1</v>
      </c>
      <c r="U3" s="74" t="s">
        <v>3</v>
      </c>
      <c r="V3" s="76" t="s">
        <v>2</v>
      </c>
    </row>
    <row r="4" spans="1:22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73"/>
      <c r="U4" s="75"/>
      <c r="V4" s="77"/>
    </row>
    <row r="5" spans="1:22" ht="16">
      <c r="A5" s="78" t="s">
        <v>315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2">
      <c r="A6" s="18" t="s">
        <v>66</v>
      </c>
      <c r="B6" s="17" t="s">
        <v>316</v>
      </c>
      <c r="C6" s="17" t="s">
        <v>317</v>
      </c>
      <c r="D6" s="17" t="s">
        <v>318</v>
      </c>
      <c r="E6" s="17" t="s">
        <v>1164</v>
      </c>
      <c r="F6" s="17" t="s">
        <v>235</v>
      </c>
      <c r="G6" s="17" t="s">
        <v>1039</v>
      </c>
      <c r="H6" s="23" t="s">
        <v>87</v>
      </c>
      <c r="I6" s="23" t="s">
        <v>88</v>
      </c>
      <c r="J6" s="23" t="s">
        <v>119</v>
      </c>
      <c r="K6" s="18"/>
      <c r="L6" s="23" t="s">
        <v>90</v>
      </c>
      <c r="M6" s="23" t="s">
        <v>120</v>
      </c>
      <c r="N6" s="24" t="s">
        <v>102</v>
      </c>
      <c r="O6" s="18"/>
      <c r="P6" s="23" t="s">
        <v>88</v>
      </c>
      <c r="Q6" s="24" t="s">
        <v>119</v>
      </c>
      <c r="R6" s="23" t="s">
        <v>93</v>
      </c>
      <c r="S6" s="18"/>
      <c r="T6" s="31" t="str">
        <f>"180,0"</f>
        <v>180,0</v>
      </c>
      <c r="U6" s="18" t="str">
        <f>"268,8480"</f>
        <v>268,8480</v>
      </c>
      <c r="V6" s="17" t="s">
        <v>412</v>
      </c>
    </row>
    <row r="7" spans="1:22">
      <c r="A7" s="22" t="s">
        <v>66</v>
      </c>
      <c r="B7" s="21" t="s">
        <v>319</v>
      </c>
      <c r="C7" s="21" t="s">
        <v>320</v>
      </c>
      <c r="D7" s="21" t="s">
        <v>321</v>
      </c>
      <c r="E7" s="21" t="s">
        <v>1165</v>
      </c>
      <c r="F7" s="21" t="s">
        <v>125</v>
      </c>
      <c r="G7" s="21" t="s">
        <v>126</v>
      </c>
      <c r="H7" s="26" t="s">
        <v>92</v>
      </c>
      <c r="I7" s="26" t="s">
        <v>163</v>
      </c>
      <c r="J7" s="26" t="s">
        <v>100</v>
      </c>
      <c r="K7" s="22"/>
      <c r="L7" s="26" t="s">
        <v>104</v>
      </c>
      <c r="M7" s="26" t="s">
        <v>149</v>
      </c>
      <c r="N7" s="27" t="s">
        <v>117</v>
      </c>
      <c r="O7" s="22"/>
      <c r="P7" s="26" t="s">
        <v>23</v>
      </c>
      <c r="Q7" s="26" t="s">
        <v>24</v>
      </c>
      <c r="R7" s="27" t="s">
        <v>106</v>
      </c>
      <c r="S7" s="22"/>
      <c r="T7" s="32" t="str">
        <f>"237,5"</f>
        <v>237,5</v>
      </c>
      <c r="U7" s="22" t="str">
        <f>"342,0475"</f>
        <v>342,0475</v>
      </c>
      <c r="V7" s="21" t="s">
        <v>1042</v>
      </c>
    </row>
    <row r="8" spans="1:22">
      <c r="B8" s="5" t="s">
        <v>9</v>
      </c>
    </row>
    <row r="9" spans="1:22" ht="16">
      <c r="A9" s="91" t="s">
        <v>81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pans="1:22">
      <c r="A10" s="10" t="s">
        <v>66</v>
      </c>
      <c r="B10" s="9" t="s">
        <v>322</v>
      </c>
      <c r="C10" s="9" t="s">
        <v>323</v>
      </c>
      <c r="D10" s="9" t="s">
        <v>324</v>
      </c>
      <c r="E10" s="9" t="s">
        <v>1166</v>
      </c>
      <c r="F10" s="9" t="s">
        <v>110</v>
      </c>
      <c r="G10" s="9" t="s">
        <v>1039</v>
      </c>
      <c r="H10" s="15" t="s">
        <v>149</v>
      </c>
      <c r="I10" s="16" t="s">
        <v>117</v>
      </c>
      <c r="J10" s="15" t="s">
        <v>117</v>
      </c>
      <c r="K10" s="10"/>
      <c r="L10" s="15" t="s">
        <v>90</v>
      </c>
      <c r="M10" s="15" t="s">
        <v>112</v>
      </c>
      <c r="N10" s="15" t="s">
        <v>120</v>
      </c>
      <c r="O10" s="10"/>
      <c r="P10" s="15" t="s">
        <v>89</v>
      </c>
      <c r="Q10" s="10"/>
      <c r="R10" s="10"/>
      <c r="S10" s="10"/>
      <c r="T10" s="33" t="str">
        <f>"120,0"</f>
        <v>120,0</v>
      </c>
      <c r="U10" s="10" t="str">
        <f>"162,8760"</f>
        <v>162,8760</v>
      </c>
      <c r="V10" s="9" t="s">
        <v>1043</v>
      </c>
    </row>
    <row r="11" spans="1:22">
      <c r="B11" s="5" t="s">
        <v>9</v>
      </c>
    </row>
    <row r="12" spans="1:22" ht="16">
      <c r="A12" s="91" t="s">
        <v>94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spans="1:22">
      <c r="A13" s="10" t="s">
        <v>66</v>
      </c>
      <c r="B13" s="9" t="s">
        <v>325</v>
      </c>
      <c r="C13" s="9" t="s">
        <v>326</v>
      </c>
      <c r="D13" s="9" t="s">
        <v>327</v>
      </c>
      <c r="E13" s="9" t="s">
        <v>1167</v>
      </c>
      <c r="F13" s="9" t="s">
        <v>17</v>
      </c>
      <c r="G13" s="9" t="s">
        <v>1039</v>
      </c>
      <c r="H13" s="15" t="s">
        <v>93</v>
      </c>
      <c r="I13" s="16" t="s">
        <v>164</v>
      </c>
      <c r="J13" s="16" t="s">
        <v>164</v>
      </c>
      <c r="K13" s="10"/>
      <c r="L13" s="15" t="s">
        <v>104</v>
      </c>
      <c r="M13" s="16" t="s">
        <v>149</v>
      </c>
      <c r="N13" s="16" t="s">
        <v>149</v>
      </c>
      <c r="O13" s="10"/>
      <c r="P13" s="15" t="s">
        <v>100</v>
      </c>
      <c r="Q13" s="16" t="s">
        <v>164</v>
      </c>
      <c r="R13" s="16" t="s">
        <v>164</v>
      </c>
      <c r="S13" s="10"/>
      <c r="T13" s="33" t="str">
        <f>"200,0"</f>
        <v>200,0</v>
      </c>
      <c r="U13" s="10" t="str">
        <f>"249,3200"</f>
        <v>249,3200</v>
      </c>
      <c r="V13" s="9" t="s">
        <v>328</v>
      </c>
    </row>
    <row r="14" spans="1:22">
      <c r="B14" s="5" t="s">
        <v>9</v>
      </c>
    </row>
    <row r="15" spans="1:22" ht="16">
      <c r="A15" s="91" t="s">
        <v>13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spans="1:22">
      <c r="A16" s="18" t="s">
        <v>66</v>
      </c>
      <c r="B16" s="17" t="s">
        <v>329</v>
      </c>
      <c r="C16" s="17" t="s">
        <v>330</v>
      </c>
      <c r="D16" s="17" t="s">
        <v>152</v>
      </c>
      <c r="E16" s="17" t="s">
        <v>1167</v>
      </c>
      <c r="F16" s="17" t="s">
        <v>110</v>
      </c>
      <c r="G16" s="17" t="s">
        <v>1039</v>
      </c>
      <c r="H16" s="23" t="s">
        <v>105</v>
      </c>
      <c r="I16" s="23" t="s">
        <v>153</v>
      </c>
      <c r="J16" s="23" t="s">
        <v>165</v>
      </c>
      <c r="K16" s="18"/>
      <c r="L16" s="23" t="s">
        <v>117</v>
      </c>
      <c r="M16" s="23" t="s">
        <v>87</v>
      </c>
      <c r="N16" s="23" t="s">
        <v>331</v>
      </c>
      <c r="O16" s="18"/>
      <c r="P16" s="24" t="s">
        <v>34</v>
      </c>
      <c r="Q16" s="23" t="s">
        <v>34</v>
      </c>
      <c r="R16" s="23" t="s">
        <v>130</v>
      </c>
      <c r="S16" s="18"/>
      <c r="T16" s="31" t="str">
        <f>"302,5"</f>
        <v>302,5</v>
      </c>
      <c r="U16" s="18" t="str">
        <f>"357,4340"</f>
        <v>357,4340</v>
      </c>
      <c r="V16" s="17" t="s">
        <v>1043</v>
      </c>
    </row>
    <row r="17" spans="1:22">
      <c r="A17" s="20" t="s">
        <v>312</v>
      </c>
      <c r="B17" s="19" t="s">
        <v>332</v>
      </c>
      <c r="C17" s="19" t="s">
        <v>333</v>
      </c>
      <c r="D17" s="19" t="s">
        <v>16</v>
      </c>
      <c r="E17" s="19" t="s">
        <v>1167</v>
      </c>
      <c r="F17" s="19" t="s">
        <v>235</v>
      </c>
      <c r="G17" s="19" t="s">
        <v>1039</v>
      </c>
      <c r="H17" s="28" t="s">
        <v>100</v>
      </c>
      <c r="I17" s="28" t="s">
        <v>136</v>
      </c>
      <c r="J17" s="28" t="s">
        <v>105</v>
      </c>
      <c r="K17" s="20"/>
      <c r="L17" s="28" t="s">
        <v>117</v>
      </c>
      <c r="M17" s="28" t="s">
        <v>331</v>
      </c>
      <c r="N17" s="28" t="s">
        <v>118</v>
      </c>
      <c r="O17" s="20"/>
      <c r="P17" s="28" t="s">
        <v>166</v>
      </c>
      <c r="Q17" s="28" t="s">
        <v>35</v>
      </c>
      <c r="R17" s="28" t="s">
        <v>54</v>
      </c>
      <c r="S17" s="20"/>
      <c r="T17" s="34" t="str">
        <f>"302,5"</f>
        <v>302,5</v>
      </c>
      <c r="U17" s="20" t="str">
        <f>"355,9215"</f>
        <v>355,9215</v>
      </c>
      <c r="V17" s="19" t="s">
        <v>412</v>
      </c>
    </row>
    <row r="18" spans="1:22">
      <c r="A18" s="20" t="s">
        <v>313</v>
      </c>
      <c r="B18" s="19" t="s">
        <v>334</v>
      </c>
      <c r="C18" s="19" t="s">
        <v>335</v>
      </c>
      <c r="D18" s="19" t="s">
        <v>336</v>
      </c>
      <c r="E18" s="19" t="s">
        <v>1167</v>
      </c>
      <c r="F18" s="19" t="s">
        <v>17</v>
      </c>
      <c r="G18" s="19" t="s">
        <v>1039</v>
      </c>
      <c r="H18" s="28" t="s">
        <v>165</v>
      </c>
      <c r="I18" s="28" t="s">
        <v>166</v>
      </c>
      <c r="J18" s="25" t="s">
        <v>34</v>
      </c>
      <c r="K18" s="20"/>
      <c r="L18" s="28" t="s">
        <v>87</v>
      </c>
      <c r="M18" s="28" t="s">
        <v>88</v>
      </c>
      <c r="N18" s="25" t="s">
        <v>111</v>
      </c>
      <c r="O18" s="20"/>
      <c r="P18" s="25" t="s">
        <v>166</v>
      </c>
      <c r="Q18" s="28" t="s">
        <v>166</v>
      </c>
      <c r="R18" s="25" t="s">
        <v>34</v>
      </c>
      <c r="S18" s="20"/>
      <c r="T18" s="34" t="str">
        <f>"300,0"</f>
        <v>300,0</v>
      </c>
      <c r="U18" s="20" t="str">
        <f>"357,0000"</f>
        <v>357,0000</v>
      </c>
      <c r="V18" s="19" t="s">
        <v>27</v>
      </c>
    </row>
    <row r="19" spans="1:22">
      <c r="A19" s="22" t="s">
        <v>67</v>
      </c>
      <c r="B19" s="21" t="s">
        <v>337</v>
      </c>
      <c r="C19" s="21" t="s">
        <v>338</v>
      </c>
      <c r="D19" s="21" t="s">
        <v>339</v>
      </c>
      <c r="E19" s="21" t="s">
        <v>1167</v>
      </c>
      <c r="F19" s="21" t="s">
        <v>1054</v>
      </c>
      <c r="G19" s="21" t="s">
        <v>18</v>
      </c>
      <c r="H19" s="27" t="s">
        <v>100</v>
      </c>
      <c r="I19" s="27" t="s">
        <v>100</v>
      </c>
      <c r="J19" s="27" t="s">
        <v>100</v>
      </c>
      <c r="K19" s="22"/>
      <c r="L19" s="22"/>
      <c r="M19" s="22"/>
      <c r="N19" s="22"/>
      <c r="O19" s="22"/>
      <c r="P19" s="22"/>
      <c r="Q19" s="22"/>
      <c r="R19" s="27"/>
      <c r="S19" s="22"/>
      <c r="T19" s="32">
        <v>0</v>
      </c>
      <c r="U19" s="22" t="str">
        <f>"0,0000"</f>
        <v>0,0000</v>
      </c>
      <c r="V19" s="21" t="s">
        <v>1044</v>
      </c>
    </row>
    <row r="20" spans="1:22">
      <c r="B20" s="5" t="s">
        <v>9</v>
      </c>
    </row>
    <row r="21" spans="1:22" ht="16">
      <c r="A21" s="91" t="s">
        <v>113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</row>
    <row r="22" spans="1:22">
      <c r="A22" s="18" t="s">
        <v>66</v>
      </c>
      <c r="B22" s="17" t="s">
        <v>340</v>
      </c>
      <c r="C22" s="17" t="s">
        <v>341</v>
      </c>
      <c r="D22" s="17" t="s">
        <v>342</v>
      </c>
      <c r="E22" s="17" t="s">
        <v>1166</v>
      </c>
      <c r="F22" s="17" t="s">
        <v>110</v>
      </c>
      <c r="G22" s="17" t="s">
        <v>1039</v>
      </c>
      <c r="H22" s="23" t="s">
        <v>111</v>
      </c>
      <c r="I22" s="23" t="s">
        <v>119</v>
      </c>
      <c r="J22" s="23" t="s">
        <v>91</v>
      </c>
      <c r="K22" s="18"/>
      <c r="L22" s="23" t="s">
        <v>103</v>
      </c>
      <c r="M22" s="24" t="s">
        <v>104</v>
      </c>
      <c r="N22" s="24" t="s">
        <v>104</v>
      </c>
      <c r="O22" s="18"/>
      <c r="P22" s="24" t="s">
        <v>22</v>
      </c>
      <c r="Q22" s="23" t="s">
        <v>22</v>
      </c>
      <c r="R22" s="23" t="s">
        <v>165</v>
      </c>
      <c r="S22" s="18"/>
      <c r="T22" s="31" t="str">
        <f>"222,5"</f>
        <v>222,5</v>
      </c>
      <c r="U22" s="18" t="str">
        <f>"253,6723"</f>
        <v>253,6723</v>
      </c>
      <c r="V22" s="17" t="s">
        <v>1045</v>
      </c>
    </row>
    <row r="23" spans="1:22">
      <c r="A23" s="20" t="s">
        <v>66</v>
      </c>
      <c r="B23" s="19" t="s">
        <v>343</v>
      </c>
      <c r="C23" s="19" t="s">
        <v>344</v>
      </c>
      <c r="D23" s="19" t="s">
        <v>345</v>
      </c>
      <c r="E23" s="19" t="s">
        <v>1167</v>
      </c>
      <c r="F23" s="19" t="s">
        <v>17</v>
      </c>
      <c r="G23" s="19" t="s">
        <v>1039</v>
      </c>
      <c r="H23" s="28" t="s">
        <v>165</v>
      </c>
      <c r="I23" s="28" t="s">
        <v>106</v>
      </c>
      <c r="J23" s="25" t="s">
        <v>162</v>
      </c>
      <c r="K23" s="20"/>
      <c r="L23" s="28" t="s">
        <v>93</v>
      </c>
      <c r="M23" s="25" t="s">
        <v>100</v>
      </c>
      <c r="N23" s="28" t="s">
        <v>100</v>
      </c>
      <c r="O23" s="20"/>
      <c r="P23" s="28" t="s">
        <v>162</v>
      </c>
      <c r="Q23" s="28" t="s">
        <v>34</v>
      </c>
      <c r="R23" s="25" t="s">
        <v>129</v>
      </c>
      <c r="S23" s="20"/>
      <c r="T23" s="34" t="str">
        <f>"317,5"</f>
        <v>317,5</v>
      </c>
      <c r="U23" s="20" t="str">
        <f>"354,9015"</f>
        <v>354,9015</v>
      </c>
      <c r="V23" s="19" t="s">
        <v>1046</v>
      </c>
    </row>
    <row r="24" spans="1:22">
      <c r="A24" s="20" t="s">
        <v>312</v>
      </c>
      <c r="B24" s="19" t="s">
        <v>346</v>
      </c>
      <c r="C24" s="19" t="s">
        <v>347</v>
      </c>
      <c r="D24" s="19" t="s">
        <v>345</v>
      </c>
      <c r="E24" s="19" t="s">
        <v>1167</v>
      </c>
      <c r="F24" s="19" t="s">
        <v>125</v>
      </c>
      <c r="G24" s="19" t="s">
        <v>1053</v>
      </c>
      <c r="H24" s="28" t="s">
        <v>165</v>
      </c>
      <c r="I24" s="28" t="s">
        <v>166</v>
      </c>
      <c r="J24" s="28" t="s">
        <v>34</v>
      </c>
      <c r="K24" s="20"/>
      <c r="L24" s="28" t="s">
        <v>348</v>
      </c>
      <c r="M24" s="28" t="s">
        <v>117</v>
      </c>
      <c r="N24" s="28" t="s">
        <v>87</v>
      </c>
      <c r="O24" s="20"/>
      <c r="P24" s="28" t="s">
        <v>165</v>
      </c>
      <c r="Q24" s="28" t="s">
        <v>128</v>
      </c>
      <c r="R24" s="28" t="s">
        <v>129</v>
      </c>
      <c r="S24" s="20"/>
      <c r="T24" s="34" t="str">
        <f>"310,0"</f>
        <v>310,0</v>
      </c>
      <c r="U24" s="20" t="str">
        <f>"346,5180"</f>
        <v>346,5180</v>
      </c>
      <c r="V24" s="19" t="s">
        <v>1047</v>
      </c>
    </row>
    <row r="25" spans="1:22">
      <c r="A25" s="20" t="s">
        <v>67</v>
      </c>
      <c r="B25" s="19" t="s">
        <v>349</v>
      </c>
      <c r="C25" s="19" t="s">
        <v>350</v>
      </c>
      <c r="D25" s="19" t="s">
        <v>351</v>
      </c>
      <c r="E25" s="19" t="s">
        <v>1167</v>
      </c>
      <c r="F25" s="19" t="s">
        <v>110</v>
      </c>
      <c r="G25" s="19" t="s">
        <v>1039</v>
      </c>
      <c r="H25" s="28" t="s">
        <v>91</v>
      </c>
      <c r="I25" s="25" t="s">
        <v>93</v>
      </c>
      <c r="J25" s="28" t="s">
        <v>93</v>
      </c>
      <c r="K25" s="20"/>
      <c r="L25" s="25" t="s">
        <v>348</v>
      </c>
      <c r="M25" s="25" t="s">
        <v>348</v>
      </c>
      <c r="N25" s="25" t="s">
        <v>348</v>
      </c>
      <c r="O25" s="20"/>
      <c r="P25" s="25"/>
      <c r="Q25" s="20"/>
      <c r="R25" s="25"/>
      <c r="S25" s="20"/>
      <c r="T25" s="34">
        <v>0</v>
      </c>
      <c r="U25" s="20" t="str">
        <f>"0,0000"</f>
        <v>0,0000</v>
      </c>
      <c r="V25" s="19" t="s">
        <v>1043</v>
      </c>
    </row>
    <row r="26" spans="1:22">
      <c r="A26" s="22" t="s">
        <v>66</v>
      </c>
      <c r="B26" s="21" t="s">
        <v>346</v>
      </c>
      <c r="C26" s="21" t="s">
        <v>352</v>
      </c>
      <c r="D26" s="21" t="s">
        <v>345</v>
      </c>
      <c r="E26" s="21" t="s">
        <v>1168</v>
      </c>
      <c r="F26" s="21" t="s">
        <v>125</v>
      </c>
      <c r="G26" s="21" t="s">
        <v>1053</v>
      </c>
      <c r="H26" s="26" t="s">
        <v>165</v>
      </c>
      <c r="I26" s="26" t="s">
        <v>166</v>
      </c>
      <c r="J26" s="26" t="s">
        <v>34</v>
      </c>
      <c r="K26" s="22"/>
      <c r="L26" s="26" t="s">
        <v>348</v>
      </c>
      <c r="M26" s="26" t="s">
        <v>117</v>
      </c>
      <c r="N26" s="26" t="s">
        <v>87</v>
      </c>
      <c r="O26" s="22"/>
      <c r="P26" s="26" t="s">
        <v>165</v>
      </c>
      <c r="Q26" s="26" t="s">
        <v>128</v>
      </c>
      <c r="R26" s="26" t="s">
        <v>129</v>
      </c>
      <c r="S26" s="22"/>
      <c r="T26" s="32" t="str">
        <f>"310,0"</f>
        <v>310,0</v>
      </c>
      <c r="U26" s="22" t="str">
        <f>"348,2506"</f>
        <v>348,2506</v>
      </c>
      <c r="V26" s="21" t="s">
        <v>1047</v>
      </c>
    </row>
    <row r="27" spans="1:22">
      <c r="B27" s="5" t="s">
        <v>9</v>
      </c>
    </row>
    <row r="28" spans="1:22" ht="16">
      <c r="A28" s="91" t="s">
        <v>121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</row>
    <row r="29" spans="1:22">
      <c r="A29" s="18" t="s">
        <v>66</v>
      </c>
      <c r="B29" s="17" t="s">
        <v>353</v>
      </c>
      <c r="C29" s="17" t="s">
        <v>354</v>
      </c>
      <c r="D29" s="17" t="s">
        <v>355</v>
      </c>
      <c r="E29" s="17" t="s">
        <v>1166</v>
      </c>
      <c r="F29" s="17" t="s">
        <v>356</v>
      </c>
      <c r="G29" s="17" t="s">
        <v>18</v>
      </c>
      <c r="H29" s="23" t="s">
        <v>111</v>
      </c>
      <c r="I29" s="23" t="s">
        <v>92</v>
      </c>
      <c r="J29" s="24" t="s">
        <v>100</v>
      </c>
      <c r="K29" s="18"/>
      <c r="L29" s="23" t="s">
        <v>112</v>
      </c>
      <c r="M29" s="23" t="s">
        <v>102</v>
      </c>
      <c r="N29" s="24" t="s">
        <v>104</v>
      </c>
      <c r="O29" s="18"/>
      <c r="P29" s="23" t="s">
        <v>91</v>
      </c>
      <c r="Q29" s="23" t="s">
        <v>100</v>
      </c>
      <c r="R29" s="18"/>
      <c r="S29" s="18"/>
      <c r="T29" s="31" t="str">
        <f>"192,5"</f>
        <v>192,5</v>
      </c>
      <c r="U29" s="18" t="str">
        <f>"202,4137"</f>
        <v>202,4137</v>
      </c>
      <c r="V29" s="17" t="s">
        <v>357</v>
      </c>
    </row>
    <row r="30" spans="1:22">
      <c r="A30" s="20" t="s">
        <v>66</v>
      </c>
      <c r="B30" s="19" t="s">
        <v>358</v>
      </c>
      <c r="C30" s="19" t="s">
        <v>359</v>
      </c>
      <c r="D30" s="19" t="s">
        <v>360</v>
      </c>
      <c r="E30" s="19" t="s">
        <v>1167</v>
      </c>
      <c r="F30" s="19" t="s">
        <v>110</v>
      </c>
      <c r="G30" s="19" t="s">
        <v>1039</v>
      </c>
      <c r="H30" s="28" t="s">
        <v>153</v>
      </c>
      <c r="I30" s="28" t="s">
        <v>162</v>
      </c>
      <c r="J30" s="25" t="s">
        <v>127</v>
      </c>
      <c r="K30" s="20"/>
      <c r="L30" s="28" t="s">
        <v>118</v>
      </c>
      <c r="M30" s="25" t="s">
        <v>119</v>
      </c>
      <c r="N30" s="28" t="s">
        <v>119</v>
      </c>
      <c r="O30" s="20"/>
      <c r="P30" s="28" t="s">
        <v>129</v>
      </c>
      <c r="Q30" s="28" t="s">
        <v>244</v>
      </c>
      <c r="R30" s="25" t="s">
        <v>255</v>
      </c>
      <c r="S30" s="20"/>
      <c r="T30" s="34" t="str">
        <f>"327,5"</f>
        <v>327,5</v>
      </c>
      <c r="U30" s="20" t="str">
        <f>"345,9710"</f>
        <v>345,9710</v>
      </c>
      <c r="V30" s="19" t="s">
        <v>1048</v>
      </c>
    </row>
    <row r="31" spans="1:22">
      <c r="A31" s="20" t="s">
        <v>312</v>
      </c>
      <c r="B31" s="19" t="s">
        <v>361</v>
      </c>
      <c r="C31" s="19" t="s">
        <v>362</v>
      </c>
      <c r="D31" s="19" t="s">
        <v>172</v>
      </c>
      <c r="E31" s="19" t="s">
        <v>1167</v>
      </c>
      <c r="F31" s="19" t="s">
        <v>17</v>
      </c>
      <c r="G31" s="19" t="s">
        <v>18</v>
      </c>
      <c r="H31" s="28" t="s">
        <v>24</v>
      </c>
      <c r="I31" s="28" t="s">
        <v>106</v>
      </c>
      <c r="J31" s="25" t="s">
        <v>127</v>
      </c>
      <c r="K31" s="20"/>
      <c r="L31" s="28" t="s">
        <v>149</v>
      </c>
      <c r="M31" s="28" t="s">
        <v>87</v>
      </c>
      <c r="N31" s="25" t="s">
        <v>88</v>
      </c>
      <c r="O31" s="20"/>
      <c r="P31" s="28" t="s">
        <v>34</v>
      </c>
      <c r="Q31" s="28" t="s">
        <v>130</v>
      </c>
      <c r="R31" s="25" t="s">
        <v>244</v>
      </c>
      <c r="S31" s="20"/>
      <c r="T31" s="34" t="str">
        <f>"302,5"</f>
        <v>302,5</v>
      </c>
      <c r="U31" s="20" t="str">
        <f>"308,7315"</f>
        <v>308,7315</v>
      </c>
      <c r="V31" s="19" t="s">
        <v>27</v>
      </c>
    </row>
    <row r="32" spans="1:22">
      <c r="A32" s="20" t="s">
        <v>313</v>
      </c>
      <c r="B32" s="19" t="s">
        <v>363</v>
      </c>
      <c r="C32" s="19" t="s">
        <v>364</v>
      </c>
      <c r="D32" s="19" t="s">
        <v>365</v>
      </c>
      <c r="E32" s="19" t="s">
        <v>1167</v>
      </c>
      <c r="F32" s="19" t="s">
        <v>1054</v>
      </c>
      <c r="G32" s="19" t="s">
        <v>1039</v>
      </c>
      <c r="H32" s="28" t="s">
        <v>111</v>
      </c>
      <c r="I32" s="28" t="s">
        <v>92</v>
      </c>
      <c r="J32" s="28" t="s">
        <v>163</v>
      </c>
      <c r="K32" s="20"/>
      <c r="L32" s="28" t="s">
        <v>104</v>
      </c>
      <c r="M32" s="28" t="s">
        <v>348</v>
      </c>
      <c r="N32" s="28" t="s">
        <v>149</v>
      </c>
      <c r="O32" s="20"/>
      <c r="P32" s="28" t="s">
        <v>101</v>
      </c>
      <c r="Q32" s="28" t="s">
        <v>105</v>
      </c>
      <c r="R32" s="28" t="s">
        <v>165</v>
      </c>
      <c r="S32" s="20"/>
      <c r="T32" s="34" t="str">
        <f>"237,5"</f>
        <v>237,5</v>
      </c>
      <c r="U32" s="20" t="str">
        <f>"256,3100"</f>
        <v>256,3100</v>
      </c>
      <c r="V32" s="19" t="s">
        <v>1049</v>
      </c>
    </row>
    <row r="33" spans="1:22">
      <c r="A33" s="22" t="s">
        <v>66</v>
      </c>
      <c r="B33" s="21" t="s">
        <v>361</v>
      </c>
      <c r="C33" s="21" t="s">
        <v>366</v>
      </c>
      <c r="D33" s="21" t="s">
        <v>172</v>
      </c>
      <c r="E33" s="21" t="s">
        <v>1168</v>
      </c>
      <c r="F33" s="21" t="s">
        <v>17</v>
      </c>
      <c r="G33" s="21" t="s">
        <v>18</v>
      </c>
      <c r="H33" s="26" t="s">
        <v>24</v>
      </c>
      <c r="I33" s="26" t="s">
        <v>106</v>
      </c>
      <c r="J33" s="27" t="s">
        <v>127</v>
      </c>
      <c r="K33" s="22"/>
      <c r="L33" s="26" t="s">
        <v>149</v>
      </c>
      <c r="M33" s="26" t="s">
        <v>87</v>
      </c>
      <c r="N33" s="27" t="s">
        <v>88</v>
      </c>
      <c r="O33" s="22"/>
      <c r="P33" s="26" t="s">
        <v>34</v>
      </c>
      <c r="Q33" s="26" t="s">
        <v>130</v>
      </c>
      <c r="R33" s="27" t="s">
        <v>244</v>
      </c>
      <c r="S33" s="22"/>
      <c r="T33" s="32" t="str">
        <f>"302,5"</f>
        <v>302,5</v>
      </c>
      <c r="U33" s="22" t="str">
        <f>"322,3157"</f>
        <v>322,3157</v>
      </c>
      <c r="V33" s="21" t="s">
        <v>27</v>
      </c>
    </row>
    <row r="34" spans="1:22">
      <c r="B34" s="5" t="s">
        <v>9</v>
      </c>
    </row>
    <row r="35" spans="1:22" ht="16">
      <c r="A35" s="91" t="s">
        <v>176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spans="1:22">
      <c r="A36" s="10" t="s">
        <v>66</v>
      </c>
      <c r="B36" s="9" t="s">
        <v>367</v>
      </c>
      <c r="C36" s="9" t="s">
        <v>368</v>
      </c>
      <c r="D36" s="9" t="s">
        <v>369</v>
      </c>
      <c r="E36" s="9" t="s">
        <v>1167</v>
      </c>
      <c r="F36" s="9" t="s">
        <v>17</v>
      </c>
      <c r="G36" s="9" t="s">
        <v>1039</v>
      </c>
      <c r="H36" s="15" t="s">
        <v>91</v>
      </c>
      <c r="I36" s="15" t="s">
        <v>93</v>
      </c>
      <c r="J36" s="15" t="s">
        <v>100</v>
      </c>
      <c r="K36" s="10"/>
      <c r="L36" s="15" t="s">
        <v>102</v>
      </c>
      <c r="M36" s="15" t="s">
        <v>104</v>
      </c>
      <c r="N36" s="15" t="s">
        <v>348</v>
      </c>
      <c r="O36" s="10"/>
      <c r="P36" s="16" t="s">
        <v>22</v>
      </c>
      <c r="Q36" s="16" t="s">
        <v>22</v>
      </c>
      <c r="R36" s="15" t="s">
        <v>22</v>
      </c>
      <c r="S36" s="10"/>
      <c r="T36" s="33" t="str">
        <f>"222,5"</f>
        <v>222,5</v>
      </c>
      <c r="U36" s="10" t="str">
        <f>"213,5110"</f>
        <v>213,5110</v>
      </c>
      <c r="V36" s="9" t="s">
        <v>27</v>
      </c>
    </row>
    <row r="37" spans="1:22">
      <c r="B37" s="5" t="s">
        <v>9</v>
      </c>
    </row>
    <row r="38" spans="1:22" ht="16">
      <c r="A38" s="91" t="s">
        <v>94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</row>
    <row r="39" spans="1:22">
      <c r="A39" s="10" t="s">
        <v>66</v>
      </c>
      <c r="B39" s="9" t="s">
        <v>370</v>
      </c>
      <c r="C39" s="9" t="s">
        <v>371</v>
      </c>
      <c r="D39" s="9" t="s">
        <v>372</v>
      </c>
      <c r="E39" s="9" t="s">
        <v>1166</v>
      </c>
      <c r="F39" s="9" t="s">
        <v>235</v>
      </c>
      <c r="G39" s="9" t="s">
        <v>1039</v>
      </c>
      <c r="H39" s="15" t="s">
        <v>101</v>
      </c>
      <c r="I39" s="15" t="s">
        <v>153</v>
      </c>
      <c r="J39" s="15" t="s">
        <v>106</v>
      </c>
      <c r="K39" s="10"/>
      <c r="L39" s="15" t="s">
        <v>348</v>
      </c>
      <c r="M39" s="15" t="s">
        <v>87</v>
      </c>
      <c r="N39" s="15" t="s">
        <v>331</v>
      </c>
      <c r="O39" s="10"/>
      <c r="P39" s="15" t="s">
        <v>105</v>
      </c>
      <c r="Q39" s="15" t="s">
        <v>166</v>
      </c>
      <c r="R39" s="16" t="s">
        <v>129</v>
      </c>
      <c r="S39" s="10"/>
      <c r="T39" s="33" t="str">
        <f>"290,0"</f>
        <v>290,0</v>
      </c>
      <c r="U39" s="10" t="str">
        <f>"387,2660"</f>
        <v>387,2660</v>
      </c>
      <c r="V39" s="9" t="s">
        <v>412</v>
      </c>
    </row>
    <row r="40" spans="1:22">
      <c r="B40" s="5" t="s">
        <v>9</v>
      </c>
    </row>
    <row r="41" spans="1:22" ht="16">
      <c r="A41" s="91" t="s">
        <v>13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</row>
    <row r="42" spans="1:22">
      <c r="A42" s="10" t="s">
        <v>66</v>
      </c>
      <c r="B42" s="9" t="s">
        <v>373</v>
      </c>
      <c r="C42" s="9" t="s">
        <v>374</v>
      </c>
      <c r="D42" s="9" t="s">
        <v>336</v>
      </c>
      <c r="E42" s="9" t="s">
        <v>1167</v>
      </c>
      <c r="F42" s="9" t="s">
        <v>110</v>
      </c>
      <c r="G42" s="9" t="s">
        <v>1039</v>
      </c>
      <c r="H42" s="15" t="s">
        <v>165</v>
      </c>
      <c r="I42" s="15" t="s">
        <v>166</v>
      </c>
      <c r="J42" s="16" t="s">
        <v>129</v>
      </c>
      <c r="K42" s="10"/>
      <c r="L42" s="15" t="s">
        <v>93</v>
      </c>
      <c r="M42" s="15" t="s">
        <v>100</v>
      </c>
      <c r="N42" s="15" t="s">
        <v>164</v>
      </c>
      <c r="O42" s="10"/>
      <c r="P42" s="15" t="s">
        <v>47</v>
      </c>
      <c r="Q42" s="16" t="s">
        <v>74</v>
      </c>
      <c r="R42" s="16" t="s">
        <v>375</v>
      </c>
      <c r="S42" s="10"/>
      <c r="T42" s="33" t="str">
        <f>"372,5"</f>
        <v>372,5</v>
      </c>
      <c r="U42" s="10" t="str">
        <f>"343,9293"</f>
        <v>343,9293</v>
      </c>
      <c r="V42" s="9" t="s">
        <v>1043</v>
      </c>
    </row>
    <row r="43" spans="1:22">
      <c r="B43" s="5" t="s">
        <v>9</v>
      </c>
    </row>
    <row r="44" spans="1:22" ht="16">
      <c r="A44" s="91" t="s">
        <v>121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</row>
    <row r="45" spans="1:22">
      <c r="A45" s="18" t="s">
        <v>66</v>
      </c>
      <c r="B45" s="17" t="s">
        <v>376</v>
      </c>
      <c r="C45" s="17" t="s">
        <v>377</v>
      </c>
      <c r="D45" s="17" t="s">
        <v>378</v>
      </c>
      <c r="E45" s="17" t="s">
        <v>1164</v>
      </c>
      <c r="F45" s="17" t="s">
        <v>125</v>
      </c>
      <c r="G45" s="17" t="s">
        <v>126</v>
      </c>
      <c r="H45" s="23" t="s">
        <v>215</v>
      </c>
      <c r="I45" s="23" t="s">
        <v>32</v>
      </c>
      <c r="J45" s="23" t="s">
        <v>138</v>
      </c>
      <c r="K45" s="18"/>
      <c r="L45" s="23" t="s">
        <v>23</v>
      </c>
      <c r="M45" s="23" t="s">
        <v>24</v>
      </c>
      <c r="N45" s="24" t="s">
        <v>165</v>
      </c>
      <c r="O45" s="18"/>
      <c r="P45" s="23" t="s">
        <v>32</v>
      </c>
      <c r="Q45" s="23" t="s">
        <v>223</v>
      </c>
      <c r="R45" s="24" t="s">
        <v>379</v>
      </c>
      <c r="S45" s="18"/>
      <c r="T45" s="31" t="str">
        <f>"482,5"</f>
        <v>482,5</v>
      </c>
      <c r="U45" s="18" t="str">
        <f>"374,7095"</f>
        <v>374,7095</v>
      </c>
      <c r="V45" s="17" t="s">
        <v>1042</v>
      </c>
    </row>
    <row r="46" spans="1:22">
      <c r="A46" s="20" t="s">
        <v>312</v>
      </c>
      <c r="B46" s="19" t="s">
        <v>380</v>
      </c>
      <c r="C46" s="19" t="s">
        <v>381</v>
      </c>
      <c r="D46" s="19" t="s">
        <v>382</v>
      </c>
      <c r="E46" s="19" t="s">
        <v>1164</v>
      </c>
      <c r="F46" s="19" t="s">
        <v>110</v>
      </c>
      <c r="G46" s="19" t="s">
        <v>1039</v>
      </c>
      <c r="H46" s="28" t="s">
        <v>105</v>
      </c>
      <c r="I46" s="28" t="s">
        <v>165</v>
      </c>
      <c r="J46" s="28" t="s">
        <v>34</v>
      </c>
      <c r="K46" s="20"/>
      <c r="L46" s="28" t="s">
        <v>92</v>
      </c>
      <c r="M46" s="28" t="s">
        <v>163</v>
      </c>
      <c r="N46" s="25" t="s">
        <v>164</v>
      </c>
      <c r="O46" s="20"/>
      <c r="P46" s="28" t="s">
        <v>130</v>
      </c>
      <c r="Q46" s="25" t="s">
        <v>54</v>
      </c>
      <c r="R46" s="28" t="s">
        <v>54</v>
      </c>
      <c r="S46" s="20"/>
      <c r="T46" s="34" t="str">
        <f>"342,5"</f>
        <v>342,5</v>
      </c>
      <c r="U46" s="20" t="str">
        <f>"286,5012"</f>
        <v>286,5012</v>
      </c>
      <c r="V46" s="19" t="s">
        <v>1045</v>
      </c>
    </row>
    <row r="47" spans="1:22">
      <c r="A47" s="20" t="s">
        <v>66</v>
      </c>
      <c r="B47" s="19" t="s">
        <v>383</v>
      </c>
      <c r="C47" s="19" t="s">
        <v>384</v>
      </c>
      <c r="D47" s="19" t="s">
        <v>385</v>
      </c>
      <c r="E47" s="19" t="s">
        <v>1165</v>
      </c>
      <c r="F47" s="19" t="s">
        <v>110</v>
      </c>
      <c r="G47" s="19" t="s">
        <v>1039</v>
      </c>
      <c r="H47" s="28" t="s">
        <v>54</v>
      </c>
      <c r="I47" s="28" t="s">
        <v>134</v>
      </c>
      <c r="J47" s="28" t="s">
        <v>19</v>
      </c>
      <c r="K47" s="20"/>
      <c r="L47" s="25" t="s">
        <v>153</v>
      </c>
      <c r="M47" s="28" t="s">
        <v>153</v>
      </c>
      <c r="N47" s="28" t="s">
        <v>165</v>
      </c>
      <c r="O47" s="20"/>
      <c r="P47" s="28" t="s">
        <v>32</v>
      </c>
      <c r="Q47" s="28" t="s">
        <v>223</v>
      </c>
      <c r="R47" s="28" t="s">
        <v>224</v>
      </c>
      <c r="S47" s="20"/>
      <c r="T47" s="34" t="str">
        <f>"460,0"</f>
        <v>460,0</v>
      </c>
      <c r="U47" s="20" t="str">
        <f>"360,2720"</f>
        <v>360,2720</v>
      </c>
      <c r="V47" s="19" t="s">
        <v>1043</v>
      </c>
    </row>
    <row r="48" spans="1:22">
      <c r="A48" s="20" t="s">
        <v>312</v>
      </c>
      <c r="B48" s="19" t="s">
        <v>386</v>
      </c>
      <c r="C48" s="19" t="s">
        <v>387</v>
      </c>
      <c r="D48" s="19" t="s">
        <v>388</v>
      </c>
      <c r="E48" s="19" t="s">
        <v>1165</v>
      </c>
      <c r="F48" s="19" t="s">
        <v>110</v>
      </c>
      <c r="G48" s="19" t="s">
        <v>1039</v>
      </c>
      <c r="H48" s="28" t="s">
        <v>162</v>
      </c>
      <c r="I48" s="28" t="s">
        <v>34</v>
      </c>
      <c r="J48" s="25" t="s">
        <v>130</v>
      </c>
      <c r="K48" s="20"/>
      <c r="L48" s="28" t="s">
        <v>100</v>
      </c>
      <c r="M48" s="28" t="s">
        <v>158</v>
      </c>
      <c r="N48" s="28" t="s">
        <v>101</v>
      </c>
      <c r="O48" s="20"/>
      <c r="P48" s="28" t="s">
        <v>54</v>
      </c>
      <c r="Q48" s="25" t="s">
        <v>134</v>
      </c>
      <c r="R48" s="25" t="s">
        <v>134</v>
      </c>
      <c r="S48" s="20"/>
      <c r="T48" s="34" t="str">
        <f>"355,0"</f>
        <v>355,0</v>
      </c>
      <c r="U48" s="20" t="str">
        <f>"289,8930"</f>
        <v>289,8930</v>
      </c>
      <c r="V48" s="19" t="s">
        <v>1043</v>
      </c>
    </row>
    <row r="49" spans="1:22">
      <c r="A49" s="20" t="s">
        <v>66</v>
      </c>
      <c r="B49" s="19" t="s">
        <v>389</v>
      </c>
      <c r="C49" s="19" t="s">
        <v>390</v>
      </c>
      <c r="D49" s="19" t="s">
        <v>161</v>
      </c>
      <c r="E49" s="19" t="s">
        <v>1167</v>
      </c>
      <c r="F49" s="19" t="s">
        <v>17</v>
      </c>
      <c r="G49" s="19" t="s">
        <v>1039</v>
      </c>
      <c r="H49" s="28" t="s">
        <v>34</v>
      </c>
      <c r="I49" s="28" t="s">
        <v>130</v>
      </c>
      <c r="J49" s="28" t="s">
        <v>244</v>
      </c>
      <c r="K49" s="20"/>
      <c r="L49" s="28" t="s">
        <v>105</v>
      </c>
      <c r="M49" s="28" t="s">
        <v>153</v>
      </c>
      <c r="N49" s="25" t="s">
        <v>165</v>
      </c>
      <c r="O49" s="20"/>
      <c r="P49" s="28" t="s">
        <v>47</v>
      </c>
      <c r="Q49" s="28" t="s">
        <v>32</v>
      </c>
      <c r="R49" s="20" t="s">
        <v>26</v>
      </c>
      <c r="S49" s="20"/>
      <c r="T49" s="34" t="str">
        <f>"430,0"</f>
        <v>430,0</v>
      </c>
      <c r="U49" s="20" t="str">
        <f>"334,3250"</f>
        <v>334,3250</v>
      </c>
      <c r="V49" s="19" t="s">
        <v>27</v>
      </c>
    </row>
    <row r="50" spans="1:22">
      <c r="A50" s="20" t="s">
        <v>312</v>
      </c>
      <c r="B50" s="19" t="s">
        <v>391</v>
      </c>
      <c r="C50" s="19" t="s">
        <v>392</v>
      </c>
      <c r="D50" s="19" t="s">
        <v>161</v>
      </c>
      <c r="E50" s="19" t="s">
        <v>1167</v>
      </c>
      <c r="F50" s="19" t="s">
        <v>356</v>
      </c>
      <c r="G50" s="19" t="s">
        <v>1039</v>
      </c>
      <c r="H50" s="28" t="s">
        <v>35</v>
      </c>
      <c r="I50" s="25" t="s">
        <v>54</v>
      </c>
      <c r="J50" s="28" t="s">
        <v>54</v>
      </c>
      <c r="K50" s="20"/>
      <c r="L50" s="28" t="s">
        <v>100</v>
      </c>
      <c r="M50" s="28" t="s">
        <v>158</v>
      </c>
      <c r="N50" s="28" t="s">
        <v>180</v>
      </c>
      <c r="O50" s="20"/>
      <c r="P50" s="28" t="s">
        <v>25</v>
      </c>
      <c r="Q50" s="28" t="s">
        <v>47</v>
      </c>
      <c r="R50" s="20"/>
      <c r="S50" s="20"/>
      <c r="T50" s="34" t="str">
        <f>"397,5"</f>
        <v>397,5</v>
      </c>
      <c r="U50" s="20" t="str">
        <f>"309,0562"</f>
        <v>309,0562</v>
      </c>
      <c r="V50" s="19" t="s">
        <v>1050</v>
      </c>
    </row>
    <row r="51" spans="1:22">
      <c r="A51" s="22" t="s">
        <v>313</v>
      </c>
      <c r="B51" s="21" t="s">
        <v>393</v>
      </c>
      <c r="C51" s="21" t="s">
        <v>394</v>
      </c>
      <c r="D51" s="21" t="s">
        <v>395</v>
      </c>
      <c r="E51" s="21" t="s">
        <v>1167</v>
      </c>
      <c r="F51" s="21" t="s">
        <v>110</v>
      </c>
      <c r="G51" s="21" t="s">
        <v>1039</v>
      </c>
      <c r="H51" s="27" t="s">
        <v>54</v>
      </c>
      <c r="I51" s="26" t="s">
        <v>54</v>
      </c>
      <c r="J51" s="26" t="s">
        <v>187</v>
      </c>
      <c r="K51" s="22"/>
      <c r="L51" s="27" t="s">
        <v>93</v>
      </c>
      <c r="M51" s="26" t="s">
        <v>164</v>
      </c>
      <c r="N51" s="26" t="s">
        <v>180</v>
      </c>
      <c r="O51" s="22"/>
      <c r="P51" s="26" t="s">
        <v>130</v>
      </c>
      <c r="Q51" s="26" t="s">
        <v>244</v>
      </c>
      <c r="R51" s="27" t="s">
        <v>255</v>
      </c>
      <c r="S51" s="22"/>
      <c r="T51" s="32" t="str">
        <f>"380,0"</f>
        <v>380,0</v>
      </c>
      <c r="U51" s="22" t="str">
        <f>"301,7960"</f>
        <v>301,7960</v>
      </c>
      <c r="V51" s="21" t="s">
        <v>1051</v>
      </c>
    </row>
    <row r="52" spans="1:22">
      <c r="B52" s="5" t="s">
        <v>9</v>
      </c>
    </row>
    <row r="53" spans="1:22" ht="16">
      <c r="A53" s="91" t="s">
        <v>176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spans="1:22">
      <c r="A54" s="18" t="s">
        <v>66</v>
      </c>
      <c r="B54" s="17" t="s">
        <v>396</v>
      </c>
      <c r="C54" s="17" t="s">
        <v>397</v>
      </c>
      <c r="D54" s="17" t="s">
        <v>398</v>
      </c>
      <c r="E54" s="17" t="s">
        <v>1164</v>
      </c>
      <c r="F54" s="17" t="s">
        <v>110</v>
      </c>
      <c r="G54" s="17" t="s">
        <v>1039</v>
      </c>
      <c r="H54" s="24" t="s">
        <v>244</v>
      </c>
      <c r="I54" s="23" t="s">
        <v>19</v>
      </c>
      <c r="J54" s="24" t="s">
        <v>25</v>
      </c>
      <c r="K54" s="18"/>
      <c r="L54" s="23" t="s">
        <v>166</v>
      </c>
      <c r="M54" s="24" t="s">
        <v>34</v>
      </c>
      <c r="N54" s="24" t="s">
        <v>34</v>
      </c>
      <c r="O54" s="18"/>
      <c r="P54" s="23" t="s">
        <v>37</v>
      </c>
      <c r="Q54" s="23" t="s">
        <v>38</v>
      </c>
      <c r="R54" s="24" t="s">
        <v>207</v>
      </c>
      <c r="S54" s="18"/>
      <c r="T54" s="31" t="str">
        <f>"485,0"</f>
        <v>485,0</v>
      </c>
      <c r="U54" s="18" t="str">
        <f>"349,8790"</f>
        <v>349,8790</v>
      </c>
      <c r="V54" s="17" t="s">
        <v>1043</v>
      </c>
    </row>
    <row r="55" spans="1:22">
      <c r="A55" s="20" t="s">
        <v>66</v>
      </c>
      <c r="B55" s="19" t="s">
        <v>399</v>
      </c>
      <c r="C55" s="19" t="s">
        <v>400</v>
      </c>
      <c r="D55" s="19" t="s">
        <v>401</v>
      </c>
      <c r="E55" s="19" t="s">
        <v>1165</v>
      </c>
      <c r="F55" s="19" t="s">
        <v>110</v>
      </c>
      <c r="G55" s="19" t="s">
        <v>1039</v>
      </c>
      <c r="H55" s="25" t="s">
        <v>32</v>
      </c>
      <c r="I55" s="28" t="s">
        <v>223</v>
      </c>
      <c r="J55" s="25" t="s">
        <v>37</v>
      </c>
      <c r="K55" s="20"/>
      <c r="L55" s="28" t="s">
        <v>130</v>
      </c>
      <c r="M55" s="25" t="s">
        <v>142</v>
      </c>
      <c r="N55" s="20"/>
      <c r="O55" s="20"/>
      <c r="P55" s="28" t="s">
        <v>39</v>
      </c>
      <c r="Q55" s="25" t="s">
        <v>225</v>
      </c>
      <c r="R55" s="20"/>
      <c r="S55" s="20"/>
      <c r="T55" s="34" t="str">
        <f>"545,0"</f>
        <v>545,0</v>
      </c>
      <c r="U55" s="20" t="str">
        <f>"397,4685"</f>
        <v>397,4685</v>
      </c>
      <c r="V55" s="19" t="s">
        <v>1043</v>
      </c>
    </row>
    <row r="56" spans="1:22">
      <c r="A56" s="20" t="s">
        <v>312</v>
      </c>
      <c r="B56" s="19" t="s">
        <v>402</v>
      </c>
      <c r="C56" s="19" t="s">
        <v>403</v>
      </c>
      <c r="D56" s="19" t="s">
        <v>404</v>
      </c>
      <c r="E56" s="19" t="s">
        <v>1165</v>
      </c>
      <c r="F56" s="19" t="s">
        <v>110</v>
      </c>
      <c r="G56" s="19" t="s">
        <v>1039</v>
      </c>
      <c r="H56" s="28" t="s">
        <v>129</v>
      </c>
      <c r="I56" s="28" t="s">
        <v>54</v>
      </c>
      <c r="J56" s="28" t="s">
        <v>244</v>
      </c>
      <c r="K56" s="20"/>
      <c r="L56" s="28" t="s">
        <v>100</v>
      </c>
      <c r="M56" s="28" t="s">
        <v>158</v>
      </c>
      <c r="N56" s="28" t="s">
        <v>180</v>
      </c>
      <c r="O56" s="20"/>
      <c r="P56" s="28" t="s">
        <v>134</v>
      </c>
      <c r="Q56" s="28" t="s">
        <v>25</v>
      </c>
      <c r="R56" s="28" t="s">
        <v>231</v>
      </c>
      <c r="S56" s="20"/>
      <c r="T56" s="34" t="str">
        <f>"397,5"</f>
        <v>397,5</v>
      </c>
      <c r="U56" s="20" t="str">
        <f>"285,9217"</f>
        <v>285,9217</v>
      </c>
      <c r="V56" s="19" t="s">
        <v>1043</v>
      </c>
    </row>
    <row r="57" spans="1:22">
      <c r="A57" s="20" t="s">
        <v>66</v>
      </c>
      <c r="B57" s="19" t="s">
        <v>399</v>
      </c>
      <c r="C57" s="19" t="s">
        <v>405</v>
      </c>
      <c r="D57" s="19" t="s">
        <v>401</v>
      </c>
      <c r="E57" s="19" t="s">
        <v>1167</v>
      </c>
      <c r="F57" s="19" t="s">
        <v>110</v>
      </c>
      <c r="G57" s="19" t="s">
        <v>1039</v>
      </c>
      <c r="H57" s="25" t="s">
        <v>32</v>
      </c>
      <c r="I57" s="28" t="s">
        <v>223</v>
      </c>
      <c r="J57" s="25" t="s">
        <v>37</v>
      </c>
      <c r="K57" s="20"/>
      <c r="L57" s="28" t="s">
        <v>130</v>
      </c>
      <c r="M57" s="25" t="s">
        <v>142</v>
      </c>
      <c r="N57" s="20"/>
      <c r="O57" s="20"/>
      <c r="P57" s="28" t="s">
        <v>39</v>
      </c>
      <c r="Q57" s="25" t="s">
        <v>225</v>
      </c>
      <c r="R57" s="20"/>
      <c r="S57" s="20"/>
      <c r="T57" s="34" t="str">
        <f>"545,0"</f>
        <v>545,0</v>
      </c>
      <c r="U57" s="20" t="str">
        <f>"397,4685"</f>
        <v>397,4685</v>
      </c>
      <c r="V57" s="19" t="s">
        <v>1043</v>
      </c>
    </row>
    <row r="58" spans="1:22">
      <c r="A58" s="20" t="s">
        <v>312</v>
      </c>
      <c r="B58" s="19" t="s">
        <v>406</v>
      </c>
      <c r="C58" s="19" t="s">
        <v>407</v>
      </c>
      <c r="D58" s="19" t="s">
        <v>408</v>
      </c>
      <c r="E58" s="19" t="s">
        <v>1167</v>
      </c>
      <c r="F58" s="19" t="s">
        <v>17</v>
      </c>
      <c r="G58" s="19" t="s">
        <v>18</v>
      </c>
      <c r="H58" s="28" t="s">
        <v>47</v>
      </c>
      <c r="I58" s="28" t="s">
        <v>32</v>
      </c>
      <c r="J58" s="25" t="s">
        <v>138</v>
      </c>
      <c r="K58" s="20"/>
      <c r="L58" s="28" t="s">
        <v>54</v>
      </c>
      <c r="M58" s="28" t="s">
        <v>244</v>
      </c>
      <c r="N58" s="20"/>
      <c r="O58" s="20"/>
      <c r="P58" s="28" t="s">
        <v>38</v>
      </c>
      <c r="Q58" s="20"/>
      <c r="R58" s="20"/>
      <c r="S58" s="20"/>
      <c r="T58" s="34" t="str">
        <f>"535,0"</f>
        <v>535,0</v>
      </c>
      <c r="U58" s="20" t="str">
        <f>"394,1345"</f>
        <v>394,1345</v>
      </c>
      <c r="V58" s="19"/>
    </row>
    <row r="59" spans="1:22">
      <c r="A59" s="22" t="s">
        <v>313</v>
      </c>
      <c r="B59" s="21" t="s">
        <v>409</v>
      </c>
      <c r="C59" s="21" t="s">
        <v>410</v>
      </c>
      <c r="D59" s="21" t="s">
        <v>411</v>
      </c>
      <c r="E59" s="21" t="s">
        <v>1167</v>
      </c>
      <c r="F59" s="21" t="s">
        <v>235</v>
      </c>
      <c r="G59" s="21" t="s">
        <v>1039</v>
      </c>
      <c r="H59" s="26" t="s">
        <v>19</v>
      </c>
      <c r="I59" s="26" t="s">
        <v>231</v>
      </c>
      <c r="J59" s="26" t="s">
        <v>74</v>
      </c>
      <c r="K59" s="22"/>
      <c r="L59" s="26" t="s">
        <v>129</v>
      </c>
      <c r="M59" s="26" t="s">
        <v>36</v>
      </c>
      <c r="N59" s="27" t="s">
        <v>142</v>
      </c>
      <c r="O59" s="22"/>
      <c r="P59" s="26" t="s">
        <v>138</v>
      </c>
      <c r="Q59" s="26" t="s">
        <v>37</v>
      </c>
      <c r="R59" s="27" t="s">
        <v>38</v>
      </c>
      <c r="S59" s="22"/>
      <c r="T59" s="32" t="str">
        <f>"510,0"</f>
        <v>510,0</v>
      </c>
      <c r="U59" s="22" t="str">
        <f>"368,2710"</f>
        <v>368,2710</v>
      </c>
      <c r="V59" s="21" t="s">
        <v>412</v>
      </c>
    </row>
    <row r="60" spans="1:22">
      <c r="B60" s="5" t="s">
        <v>9</v>
      </c>
    </row>
    <row r="61" spans="1:22" ht="16">
      <c r="A61" s="91" t="s">
        <v>28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2">
      <c r="A62" s="18" t="s">
        <v>66</v>
      </c>
      <c r="B62" s="17" t="s">
        <v>413</v>
      </c>
      <c r="C62" s="17" t="s">
        <v>414</v>
      </c>
      <c r="D62" s="17" t="s">
        <v>415</v>
      </c>
      <c r="E62" s="17" t="s">
        <v>1166</v>
      </c>
      <c r="F62" s="17" t="s">
        <v>110</v>
      </c>
      <c r="G62" s="17" t="s">
        <v>1039</v>
      </c>
      <c r="H62" s="23" t="s">
        <v>105</v>
      </c>
      <c r="I62" s="23" t="s">
        <v>165</v>
      </c>
      <c r="J62" s="24" t="s">
        <v>166</v>
      </c>
      <c r="K62" s="18"/>
      <c r="L62" s="23" t="s">
        <v>92</v>
      </c>
      <c r="M62" s="23" t="s">
        <v>164</v>
      </c>
      <c r="N62" s="24" t="s">
        <v>180</v>
      </c>
      <c r="O62" s="18"/>
      <c r="P62" s="23" t="s">
        <v>105</v>
      </c>
      <c r="Q62" s="18"/>
      <c r="R62" s="18"/>
      <c r="S62" s="18"/>
      <c r="T62" s="31" t="str">
        <f>"292,5"</f>
        <v>292,5</v>
      </c>
      <c r="U62" s="18" t="str">
        <f>"208,2307"</f>
        <v>208,2307</v>
      </c>
      <c r="V62" s="17" t="s">
        <v>1043</v>
      </c>
    </row>
    <row r="63" spans="1:22">
      <c r="A63" s="20" t="s">
        <v>66</v>
      </c>
      <c r="B63" s="19" t="s">
        <v>416</v>
      </c>
      <c r="C63" s="19" t="s">
        <v>417</v>
      </c>
      <c r="D63" s="19" t="s">
        <v>418</v>
      </c>
      <c r="E63" s="19" t="s">
        <v>1164</v>
      </c>
      <c r="F63" s="19" t="s">
        <v>17</v>
      </c>
      <c r="G63" s="19" t="s">
        <v>18</v>
      </c>
      <c r="H63" s="28" t="s">
        <v>32</v>
      </c>
      <c r="I63" s="25" t="s">
        <v>205</v>
      </c>
      <c r="J63" s="25" t="s">
        <v>205</v>
      </c>
      <c r="K63" s="20"/>
      <c r="L63" s="28" t="s">
        <v>165</v>
      </c>
      <c r="M63" s="28" t="s">
        <v>162</v>
      </c>
      <c r="N63" s="25" t="s">
        <v>166</v>
      </c>
      <c r="O63" s="20"/>
      <c r="P63" s="28" t="s">
        <v>419</v>
      </c>
      <c r="Q63" s="25" t="s">
        <v>48</v>
      </c>
      <c r="R63" s="25" t="s">
        <v>48</v>
      </c>
      <c r="S63" s="20"/>
      <c r="T63" s="34" t="str">
        <f>"520,0"</f>
        <v>520,0</v>
      </c>
      <c r="U63" s="20" t="str">
        <f>"355,0040"</f>
        <v>355,0040</v>
      </c>
      <c r="V63" s="19" t="s">
        <v>27</v>
      </c>
    </row>
    <row r="64" spans="1:22">
      <c r="A64" s="20" t="s">
        <v>312</v>
      </c>
      <c r="B64" s="19" t="s">
        <v>420</v>
      </c>
      <c r="C64" s="19" t="s">
        <v>421</v>
      </c>
      <c r="D64" s="19" t="s">
        <v>422</v>
      </c>
      <c r="E64" s="19" t="s">
        <v>1164</v>
      </c>
      <c r="F64" s="19" t="s">
        <v>110</v>
      </c>
      <c r="G64" s="19" t="s">
        <v>18</v>
      </c>
      <c r="H64" s="25" t="s">
        <v>162</v>
      </c>
      <c r="I64" s="28" t="s">
        <v>162</v>
      </c>
      <c r="J64" s="25" t="s">
        <v>129</v>
      </c>
      <c r="K64" s="20"/>
      <c r="L64" s="28" t="s">
        <v>100</v>
      </c>
      <c r="M64" s="28" t="s">
        <v>158</v>
      </c>
      <c r="N64" s="25" t="s">
        <v>136</v>
      </c>
      <c r="O64" s="20"/>
      <c r="P64" s="28" t="s">
        <v>166</v>
      </c>
      <c r="Q64" s="28" t="s">
        <v>129</v>
      </c>
      <c r="R64" s="28" t="s">
        <v>130</v>
      </c>
      <c r="S64" s="20"/>
      <c r="T64" s="34" t="str">
        <f>"335,0"</f>
        <v>335,0</v>
      </c>
      <c r="U64" s="20" t="str">
        <f>"237,8165"</f>
        <v>237,8165</v>
      </c>
      <c r="V64" s="19" t="s">
        <v>1043</v>
      </c>
    </row>
    <row r="65" spans="1:22">
      <c r="A65" s="22" t="s">
        <v>66</v>
      </c>
      <c r="B65" s="21" t="s">
        <v>423</v>
      </c>
      <c r="C65" s="21" t="s">
        <v>424</v>
      </c>
      <c r="D65" s="21" t="s">
        <v>425</v>
      </c>
      <c r="E65" s="21" t="s">
        <v>1165</v>
      </c>
      <c r="F65" s="21" t="s">
        <v>426</v>
      </c>
      <c r="G65" s="21" t="s">
        <v>1039</v>
      </c>
      <c r="H65" s="27" t="s">
        <v>231</v>
      </c>
      <c r="I65" s="26" t="s">
        <v>47</v>
      </c>
      <c r="J65" s="26" t="s">
        <v>223</v>
      </c>
      <c r="K65" s="22"/>
      <c r="L65" s="26" t="s">
        <v>166</v>
      </c>
      <c r="M65" s="26" t="s">
        <v>129</v>
      </c>
      <c r="N65" s="22"/>
      <c r="O65" s="22"/>
      <c r="P65" s="26" t="s">
        <v>39</v>
      </c>
      <c r="Q65" s="26" t="s">
        <v>45</v>
      </c>
      <c r="R65" s="27" t="s">
        <v>216</v>
      </c>
      <c r="S65" s="22"/>
      <c r="T65" s="32" t="str">
        <f>"560,0"</f>
        <v>560,0</v>
      </c>
      <c r="U65" s="22" t="str">
        <f>"382,5920"</f>
        <v>382,5920</v>
      </c>
      <c r="V65" s="21" t="s">
        <v>1050</v>
      </c>
    </row>
    <row r="66" spans="1:22">
      <c r="B66" s="5" t="s">
        <v>9</v>
      </c>
    </row>
    <row r="67" spans="1:22" ht="16">
      <c r="A67" s="91" t="s">
        <v>40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</row>
    <row r="68" spans="1:22">
      <c r="A68" s="18" t="s">
        <v>66</v>
      </c>
      <c r="B68" s="17" t="s">
        <v>427</v>
      </c>
      <c r="C68" s="17" t="s">
        <v>428</v>
      </c>
      <c r="D68" s="17" t="s">
        <v>429</v>
      </c>
      <c r="E68" s="17" t="s">
        <v>1166</v>
      </c>
      <c r="F68" s="17" t="s">
        <v>110</v>
      </c>
      <c r="G68" s="17" t="s">
        <v>1039</v>
      </c>
      <c r="H68" s="23" t="s">
        <v>129</v>
      </c>
      <c r="I68" s="23" t="s">
        <v>54</v>
      </c>
      <c r="J68" s="23" t="s">
        <v>134</v>
      </c>
      <c r="K68" s="18"/>
      <c r="L68" s="23" t="s">
        <v>180</v>
      </c>
      <c r="M68" s="24" t="s">
        <v>22</v>
      </c>
      <c r="N68" s="24" t="s">
        <v>22</v>
      </c>
      <c r="O68" s="18"/>
      <c r="P68" s="23" t="s">
        <v>47</v>
      </c>
      <c r="Q68" s="23" t="s">
        <v>32</v>
      </c>
      <c r="R68" s="24" t="s">
        <v>138</v>
      </c>
      <c r="S68" s="18"/>
      <c r="T68" s="31" t="str">
        <f>"417,5"</f>
        <v>417,5</v>
      </c>
      <c r="U68" s="18" t="str">
        <f>"274,8402"</f>
        <v>274,8402</v>
      </c>
      <c r="V68" s="17" t="s">
        <v>1043</v>
      </c>
    </row>
    <row r="69" spans="1:22">
      <c r="A69" s="20" t="s">
        <v>66</v>
      </c>
      <c r="B69" s="19" t="s">
        <v>430</v>
      </c>
      <c r="C69" s="19" t="s">
        <v>431</v>
      </c>
      <c r="D69" s="19" t="s">
        <v>432</v>
      </c>
      <c r="E69" s="19" t="s">
        <v>1165</v>
      </c>
      <c r="F69" s="19" t="s">
        <v>110</v>
      </c>
      <c r="G69" s="19" t="s">
        <v>18</v>
      </c>
      <c r="H69" s="28" t="s">
        <v>244</v>
      </c>
      <c r="I69" s="28" t="s">
        <v>19</v>
      </c>
      <c r="J69" s="28" t="s">
        <v>231</v>
      </c>
      <c r="K69" s="20"/>
      <c r="L69" s="28" t="s">
        <v>22</v>
      </c>
      <c r="M69" s="25" t="s">
        <v>105</v>
      </c>
      <c r="N69" s="25" t="s">
        <v>105</v>
      </c>
      <c r="O69" s="20"/>
      <c r="P69" s="28" t="s">
        <v>223</v>
      </c>
      <c r="Q69" s="28" t="s">
        <v>37</v>
      </c>
      <c r="R69" s="25" t="s">
        <v>433</v>
      </c>
      <c r="S69" s="20"/>
      <c r="T69" s="34" t="str">
        <f>"460,0"</f>
        <v>460,0</v>
      </c>
      <c r="U69" s="20" t="str">
        <f>"295,5040"</f>
        <v>295,5040</v>
      </c>
      <c r="V69" s="19" t="s">
        <v>1045</v>
      </c>
    </row>
    <row r="70" spans="1:22">
      <c r="A70" s="20" t="s">
        <v>312</v>
      </c>
      <c r="B70" s="19" t="s">
        <v>434</v>
      </c>
      <c r="C70" s="19" t="s">
        <v>435</v>
      </c>
      <c r="D70" s="19" t="s">
        <v>436</v>
      </c>
      <c r="E70" s="19" t="s">
        <v>1165</v>
      </c>
      <c r="F70" s="19" t="s">
        <v>110</v>
      </c>
      <c r="G70" s="19" t="s">
        <v>1039</v>
      </c>
      <c r="H70" s="28" t="s">
        <v>129</v>
      </c>
      <c r="I70" s="28" t="s">
        <v>54</v>
      </c>
      <c r="J70" s="25" t="s">
        <v>187</v>
      </c>
      <c r="K70" s="20"/>
      <c r="L70" s="28" t="s">
        <v>101</v>
      </c>
      <c r="M70" s="28" t="s">
        <v>22</v>
      </c>
      <c r="N70" s="25" t="s">
        <v>105</v>
      </c>
      <c r="O70" s="20"/>
      <c r="P70" s="28" t="s">
        <v>32</v>
      </c>
      <c r="Q70" s="25" t="s">
        <v>223</v>
      </c>
      <c r="R70" s="25" t="s">
        <v>223</v>
      </c>
      <c r="S70" s="20"/>
      <c r="T70" s="34" t="str">
        <f>"415,0"</f>
        <v>415,0</v>
      </c>
      <c r="U70" s="20" t="str">
        <f>"269,8745"</f>
        <v>269,8745</v>
      </c>
      <c r="V70" s="19" t="s">
        <v>1043</v>
      </c>
    </row>
    <row r="71" spans="1:22">
      <c r="A71" s="20" t="s">
        <v>66</v>
      </c>
      <c r="B71" s="19" t="s">
        <v>437</v>
      </c>
      <c r="C71" s="19" t="s">
        <v>438</v>
      </c>
      <c r="D71" s="19" t="s">
        <v>238</v>
      </c>
      <c r="E71" s="19" t="s">
        <v>1167</v>
      </c>
      <c r="F71" s="19" t="s">
        <v>125</v>
      </c>
      <c r="G71" s="19" t="s">
        <v>126</v>
      </c>
      <c r="H71" s="28" t="s">
        <v>37</v>
      </c>
      <c r="I71" s="28" t="s">
        <v>207</v>
      </c>
      <c r="J71" s="28" t="s">
        <v>419</v>
      </c>
      <c r="K71" s="20"/>
      <c r="L71" s="28" t="s">
        <v>162</v>
      </c>
      <c r="M71" s="25" t="s">
        <v>127</v>
      </c>
      <c r="N71" s="20"/>
      <c r="O71" s="20"/>
      <c r="P71" s="28" t="s">
        <v>48</v>
      </c>
      <c r="Q71" s="28" t="s">
        <v>213</v>
      </c>
      <c r="R71" s="28" t="s">
        <v>254</v>
      </c>
      <c r="S71" s="20"/>
      <c r="T71" s="34" t="str">
        <f>"605,0"</f>
        <v>605,0</v>
      </c>
      <c r="U71" s="20" t="str">
        <f>"387,8050"</f>
        <v>387,8050</v>
      </c>
      <c r="V71" s="19"/>
    </row>
    <row r="72" spans="1:22">
      <c r="A72" s="22" t="s">
        <v>312</v>
      </c>
      <c r="B72" s="21" t="s">
        <v>439</v>
      </c>
      <c r="C72" s="21" t="s">
        <v>440</v>
      </c>
      <c r="D72" s="21" t="s">
        <v>441</v>
      </c>
      <c r="E72" s="21" t="s">
        <v>1167</v>
      </c>
      <c r="F72" s="21" t="s">
        <v>110</v>
      </c>
      <c r="G72" s="21" t="s">
        <v>1039</v>
      </c>
      <c r="H72" s="27" t="s">
        <v>165</v>
      </c>
      <c r="I72" s="26" t="s">
        <v>165</v>
      </c>
      <c r="J72" s="26" t="s">
        <v>128</v>
      </c>
      <c r="K72" s="22"/>
      <c r="L72" s="26" t="s">
        <v>180</v>
      </c>
      <c r="M72" s="27" t="s">
        <v>22</v>
      </c>
      <c r="N72" s="27" t="s">
        <v>22</v>
      </c>
      <c r="O72" s="22"/>
      <c r="P72" s="26" t="s">
        <v>106</v>
      </c>
      <c r="Q72" s="26" t="s">
        <v>34</v>
      </c>
      <c r="R72" s="27" t="s">
        <v>35</v>
      </c>
      <c r="S72" s="22"/>
      <c r="T72" s="32" t="str">
        <f>"335,0"</f>
        <v>335,0</v>
      </c>
      <c r="U72" s="22" t="str">
        <f>"217,9845"</f>
        <v>217,9845</v>
      </c>
      <c r="V72" s="21" t="s">
        <v>1043</v>
      </c>
    </row>
    <row r="73" spans="1:22">
      <c r="B73" s="5" t="s">
        <v>9</v>
      </c>
    </row>
    <row r="74" spans="1:22" ht="16">
      <c r="A74" s="91" t="s">
        <v>49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</row>
    <row r="75" spans="1:22">
      <c r="A75" s="10" t="s">
        <v>66</v>
      </c>
      <c r="B75" s="9" t="s">
        <v>442</v>
      </c>
      <c r="C75" s="9" t="s">
        <v>443</v>
      </c>
      <c r="D75" s="9" t="s">
        <v>444</v>
      </c>
      <c r="E75" s="9" t="s">
        <v>1167</v>
      </c>
      <c r="F75" s="9" t="s">
        <v>235</v>
      </c>
      <c r="G75" s="9" t="s">
        <v>1039</v>
      </c>
      <c r="H75" s="15" t="s">
        <v>138</v>
      </c>
      <c r="I75" s="15" t="s">
        <v>445</v>
      </c>
      <c r="J75" s="15" t="s">
        <v>206</v>
      </c>
      <c r="K75" s="10"/>
      <c r="L75" s="15" t="s">
        <v>165</v>
      </c>
      <c r="M75" s="15" t="s">
        <v>127</v>
      </c>
      <c r="N75" s="15" t="s">
        <v>128</v>
      </c>
      <c r="O75" s="10"/>
      <c r="P75" s="15" t="s">
        <v>38</v>
      </c>
      <c r="Q75" s="15" t="s">
        <v>446</v>
      </c>
      <c r="R75" s="15" t="s">
        <v>45</v>
      </c>
      <c r="S75" s="10"/>
      <c r="T75" s="33" t="str">
        <f>"567,5"</f>
        <v>567,5</v>
      </c>
      <c r="U75" s="10" t="str">
        <f>"355,7658"</f>
        <v>355,7658</v>
      </c>
      <c r="V75" s="9" t="s">
        <v>412</v>
      </c>
    </row>
    <row r="76" spans="1:22">
      <c r="B76" s="5" t="s">
        <v>9</v>
      </c>
    </row>
    <row r="77" spans="1:22" ht="16">
      <c r="A77" s="91" t="s">
        <v>270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</row>
    <row r="78" spans="1:22">
      <c r="A78" s="18" t="s">
        <v>66</v>
      </c>
      <c r="B78" s="17" t="s">
        <v>447</v>
      </c>
      <c r="C78" s="17" t="s">
        <v>448</v>
      </c>
      <c r="D78" s="17" t="s">
        <v>449</v>
      </c>
      <c r="E78" s="17" t="s">
        <v>1167</v>
      </c>
      <c r="F78" s="17" t="s">
        <v>1054</v>
      </c>
      <c r="G78" s="17" t="s">
        <v>1039</v>
      </c>
      <c r="H78" s="23" t="s">
        <v>138</v>
      </c>
      <c r="I78" s="23" t="s">
        <v>37</v>
      </c>
      <c r="J78" s="23" t="s">
        <v>206</v>
      </c>
      <c r="K78" s="18"/>
      <c r="L78" s="23" t="s">
        <v>134</v>
      </c>
      <c r="M78" s="24" t="s">
        <v>25</v>
      </c>
      <c r="N78" s="24" t="s">
        <v>25</v>
      </c>
      <c r="O78" s="18"/>
      <c r="P78" s="23" t="s">
        <v>39</v>
      </c>
      <c r="Q78" s="23" t="s">
        <v>45</v>
      </c>
      <c r="R78" s="23" t="s">
        <v>48</v>
      </c>
      <c r="S78" s="18"/>
      <c r="T78" s="31" t="str">
        <f>"605,0"</f>
        <v>605,0</v>
      </c>
      <c r="U78" s="18" t="str">
        <f>"358,4020"</f>
        <v>358,4020</v>
      </c>
      <c r="V78" s="17" t="s">
        <v>1052</v>
      </c>
    </row>
    <row r="79" spans="1:22">
      <c r="A79" s="22" t="s">
        <v>312</v>
      </c>
      <c r="B79" s="21" t="s">
        <v>450</v>
      </c>
      <c r="C79" s="21" t="s">
        <v>451</v>
      </c>
      <c r="D79" s="21" t="s">
        <v>452</v>
      </c>
      <c r="E79" s="21" t="s">
        <v>1167</v>
      </c>
      <c r="F79" s="21" t="s">
        <v>110</v>
      </c>
      <c r="G79" s="21" t="s">
        <v>1039</v>
      </c>
      <c r="H79" s="27" t="s">
        <v>224</v>
      </c>
      <c r="I79" s="26" t="s">
        <v>37</v>
      </c>
      <c r="J79" s="26" t="s">
        <v>232</v>
      </c>
      <c r="K79" s="22"/>
      <c r="L79" s="26" t="s">
        <v>129</v>
      </c>
      <c r="M79" s="26" t="s">
        <v>54</v>
      </c>
      <c r="N79" s="26" t="s">
        <v>244</v>
      </c>
      <c r="O79" s="22"/>
      <c r="P79" s="26" t="s">
        <v>38</v>
      </c>
      <c r="Q79" s="27" t="s">
        <v>39</v>
      </c>
      <c r="R79" s="26" t="s">
        <v>39</v>
      </c>
      <c r="S79" s="22"/>
      <c r="T79" s="32" t="str">
        <f>"577,5"</f>
        <v>577,5</v>
      </c>
      <c r="U79" s="22" t="str">
        <f>"340,3207"</f>
        <v>340,3207</v>
      </c>
      <c r="V79" s="21" t="s">
        <v>1043</v>
      </c>
    </row>
    <row r="80" spans="1:22">
      <c r="B80" s="5" t="s">
        <v>9</v>
      </c>
    </row>
    <row r="81" spans="2:6" ht="16">
      <c r="B81" s="5" t="s">
        <v>9</v>
      </c>
      <c r="F81" s="7"/>
    </row>
    <row r="82" spans="2:6" ht="16">
      <c r="B82" s="5" t="s">
        <v>9</v>
      </c>
      <c r="F82" s="7"/>
    </row>
    <row r="83" spans="2:6" ht="18">
      <c r="B83" s="8" t="s">
        <v>8</v>
      </c>
      <c r="C83" s="8"/>
    </row>
    <row r="84" spans="2:6" ht="16">
      <c r="B84" s="11" t="s">
        <v>55</v>
      </c>
      <c r="C84" s="11"/>
    </row>
    <row r="85" spans="2:6" ht="14">
      <c r="B85" s="12"/>
      <c r="C85" s="13" t="s">
        <v>56</v>
      </c>
    </row>
    <row r="86" spans="2:6" ht="14">
      <c r="B86" s="14" t="s">
        <v>57</v>
      </c>
      <c r="C86" s="14" t="s">
        <v>58</v>
      </c>
      <c r="D86" s="14" t="s">
        <v>1040</v>
      </c>
      <c r="E86" s="14" t="s">
        <v>60</v>
      </c>
      <c r="F86" s="14" t="s">
        <v>61</v>
      </c>
    </row>
    <row r="87" spans="2:6">
      <c r="B87" s="5" t="s">
        <v>329</v>
      </c>
      <c r="C87" s="5" t="s">
        <v>56</v>
      </c>
      <c r="D87" s="6" t="s">
        <v>62</v>
      </c>
      <c r="E87" s="6" t="s">
        <v>455</v>
      </c>
      <c r="F87" s="6" t="s">
        <v>456</v>
      </c>
    </row>
    <row r="88" spans="2:6">
      <c r="B88" s="5" t="s">
        <v>334</v>
      </c>
      <c r="C88" s="5" t="s">
        <v>56</v>
      </c>
      <c r="D88" s="6" t="s">
        <v>62</v>
      </c>
      <c r="E88" s="6" t="s">
        <v>71</v>
      </c>
      <c r="F88" s="6" t="s">
        <v>457</v>
      </c>
    </row>
    <row r="89" spans="2:6">
      <c r="B89" s="5" t="s">
        <v>332</v>
      </c>
      <c r="C89" s="5" t="s">
        <v>56</v>
      </c>
      <c r="D89" s="6" t="s">
        <v>62</v>
      </c>
      <c r="E89" s="6" t="s">
        <v>455</v>
      </c>
      <c r="F89" s="6" t="s">
        <v>458</v>
      </c>
    </row>
    <row r="91" spans="2:6" ht="16">
      <c r="B91" s="11" t="s">
        <v>63</v>
      </c>
      <c r="C91" s="11"/>
    </row>
    <row r="92" spans="2:6" ht="14">
      <c r="B92" s="12"/>
      <c r="C92" s="13" t="s">
        <v>305</v>
      </c>
    </row>
    <row r="93" spans="2:6" ht="14">
      <c r="B93" s="14" t="s">
        <v>57</v>
      </c>
      <c r="C93" s="14" t="s">
        <v>58</v>
      </c>
      <c r="D93" s="14" t="s">
        <v>1041</v>
      </c>
      <c r="E93" s="14" t="s">
        <v>60</v>
      </c>
      <c r="F93" s="14" t="s">
        <v>61</v>
      </c>
    </row>
    <row r="94" spans="2:6">
      <c r="B94" s="5" t="s">
        <v>399</v>
      </c>
      <c r="C94" s="5" t="s">
        <v>305</v>
      </c>
      <c r="D94" s="6" t="s">
        <v>302</v>
      </c>
      <c r="E94" s="6" t="s">
        <v>459</v>
      </c>
      <c r="F94" s="6" t="s">
        <v>460</v>
      </c>
    </row>
    <row r="95" spans="2:6">
      <c r="B95" s="5" t="s">
        <v>423</v>
      </c>
      <c r="C95" s="5" t="s">
        <v>305</v>
      </c>
      <c r="D95" s="6" t="s">
        <v>65</v>
      </c>
      <c r="E95" s="6" t="s">
        <v>461</v>
      </c>
      <c r="F95" s="6" t="s">
        <v>462</v>
      </c>
    </row>
    <row r="96" spans="2:6">
      <c r="B96" s="5" t="s">
        <v>383</v>
      </c>
      <c r="C96" s="5" t="s">
        <v>305</v>
      </c>
      <c r="D96" s="6" t="s">
        <v>291</v>
      </c>
      <c r="E96" s="6" t="s">
        <v>463</v>
      </c>
      <c r="F96" s="6" t="s">
        <v>464</v>
      </c>
    </row>
    <row r="98" spans="2:6" ht="14">
      <c r="B98" s="12"/>
      <c r="C98" s="13" t="s">
        <v>56</v>
      </c>
    </row>
    <row r="99" spans="2:6" ht="14">
      <c r="B99" s="14" t="s">
        <v>57</v>
      </c>
      <c r="C99" s="14" t="s">
        <v>58</v>
      </c>
      <c r="D99" s="14" t="s">
        <v>1041</v>
      </c>
      <c r="E99" s="14" t="s">
        <v>60</v>
      </c>
      <c r="F99" s="14" t="s">
        <v>61</v>
      </c>
    </row>
    <row r="100" spans="2:6">
      <c r="B100" s="5" t="s">
        <v>399</v>
      </c>
      <c r="C100" s="5" t="s">
        <v>56</v>
      </c>
      <c r="D100" s="6" t="s">
        <v>302</v>
      </c>
      <c r="E100" s="6" t="s">
        <v>459</v>
      </c>
      <c r="F100" s="6" t="s">
        <v>460</v>
      </c>
    </row>
    <row r="101" spans="2:6">
      <c r="B101" s="5" t="s">
        <v>406</v>
      </c>
      <c r="C101" s="5" t="s">
        <v>56</v>
      </c>
      <c r="D101" s="6" t="s">
        <v>302</v>
      </c>
      <c r="E101" s="6" t="s">
        <v>465</v>
      </c>
      <c r="F101" s="6" t="s">
        <v>466</v>
      </c>
    </row>
    <row r="102" spans="2:6">
      <c r="B102" s="5" t="s">
        <v>437</v>
      </c>
      <c r="C102" s="5" t="s">
        <v>56</v>
      </c>
      <c r="D102" s="6" t="s">
        <v>64</v>
      </c>
      <c r="E102" s="6" t="s">
        <v>467</v>
      </c>
      <c r="F102" s="6" t="s">
        <v>468</v>
      </c>
    </row>
    <row r="103" spans="2:6">
      <c r="B103" s="5" t="s">
        <v>9</v>
      </c>
    </row>
    <row r="104" spans="2:6">
      <c r="B104" s="5" t="s">
        <v>9</v>
      </c>
    </row>
    <row r="105" spans="2:6">
      <c r="B105" s="5" t="s">
        <v>9</v>
      </c>
    </row>
    <row r="106" spans="2:6">
      <c r="B106" s="5" t="s">
        <v>9</v>
      </c>
    </row>
    <row r="107" spans="2:6">
      <c r="B107" s="5" t="s">
        <v>9</v>
      </c>
    </row>
    <row r="108" spans="2:6">
      <c r="B108" s="5" t="s">
        <v>9</v>
      </c>
    </row>
    <row r="109" spans="2:6">
      <c r="B109" s="5" t="s">
        <v>9</v>
      </c>
    </row>
    <row r="110" spans="2:6">
      <c r="B110" s="5" t="s">
        <v>9</v>
      </c>
    </row>
    <row r="111" spans="2:6">
      <c r="B111" s="5" t="s">
        <v>9</v>
      </c>
    </row>
    <row r="112" spans="2:6">
      <c r="B112" s="5" t="s">
        <v>9</v>
      </c>
    </row>
    <row r="113" spans="2:2">
      <c r="B113" s="5" t="s">
        <v>9</v>
      </c>
    </row>
    <row r="114" spans="2:2">
      <c r="B114" s="5" t="s">
        <v>9</v>
      </c>
    </row>
    <row r="115" spans="2:2">
      <c r="B115" s="5" t="s">
        <v>9</v>
      </c>
    </row>
    <row r="116" spans="2:2">
      <c r="B116" s="5" t="s">
        <v>9</v>
      </c>
    </row>
    <row r="117" spans="2:2">
      <c r="B117" s="5" t="s">
        <v>9</v>
      </c>
    </row>
    <row r="118" spans="2:2">
      <c r="B118" s="5" t="s">
        <v>9</v>
      </c>
    </row>
    <row r="119" spans="2:2">
      <c r="B119" s="5" t="s">
        <v>9</v>
      </c>
    </row>
    <row r="120" spans="2:2">
      <c r="B120" s="5" t="s">
        <v>9</v>
      </c>
    </row>
    <row r="121" spans="2:2">
      <c r="B121" s="5" t="s">
        <v>9</v>
      </c>
    </row>
    <row r="122" spans="2:2">
      <c r="B122" s="5" t="s">
        <v>9</v>
      </c>
    </row>
    <row r="123" spans="2:2">
      <c r="B123" s="5" t="s">
        <v>9</v>
      </c>
    </row>
    <row r="124" spans="2:2">
      <c r="B124" s="5" t="s">
        <v>9</v>
      </c>
    </row>
    <row r="125" spans="2:2">
      <c r="B125" s="5" t="s">
        <v>9</v>
      </c>
    </row>
    <row r="126" spans="2:2">
      <c r="B126" s="5" t="s">
        <v>9</v>
      </c>
    </row>
    <row r="127" spans="2:2">
      <c r="B127" s="5" t="s">
        <v>9</v>
      </c>
    </row>
    <row r="128" spans="2:2">
      <c r="B128" s="5" t="s">
        <v>9</v>
      </c>
    </row>
    <row r="129" spans="2:2">
      <c r="B129" s="5" t="s">
        <v>9</v>
      </c>
    </row>
  </sheetData>
  <mergeCells count="29">
    <mergeCell ref="A74:S74"/>
    <mergeCell ref="A77:S77"/>
    <mergeCell ref="B3:B4"/>
    <mergeCell ref="A38:S38"/>
    <mergeCell ref="A41:S41"/>
    <mergeCell ref="A44:S44"/>
    <mergeCell ref="A53:S53"/>
    <mergeCell ref="A61:S61"/>
    <mergeCell ref="A67:S67"/>
    <mergeCell ref="A9:S9"/>
    <mergeCell ref="A12:S12"/>
    <mergeCell ref="A15:S15"/>
    <mergeCell ref="A21:S21"/>
    <mergeCell ref="A28:S28"/>
    <mergeCell ref="A35:S35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7.5" style="6" bestFit="1" customWidth="1"/>
    <col min="14" max="14" width="20.6640625" style="5" customWidth="1"/>
    <col min="15" max="16384" width="9.1640625" style="3"/>
  </cols>
  <sheetData>
    <row r="1" spans="1:14" s="2" customFormat="1" ht="29" customHeight="1">
      <c r="A1" s="80" t="s">
        <v>1141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176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740</v>
      </c>
      <c r="C6" s="9" t="s">
        <v>741</v>
      </c>
      <c r="D6" s="9" t="s">
        <v>553</v>
      </c>
      <c r="E6" s="9" t="s">
        <v>1167</v>
      </c>
      <c r="F6" s="9" t="s">
        <v>550</v>
      </c>
      <c r="G6" s="9" t="s">
        <v>1039</v>
      </c>
      <c r="H6" s="16" t="s">
        <v>54</v>
      </c>
      <c r="I6" s="15" t="s">
        <v>54</v>
      </c>
      <c r="J6" s="16" t="s">
        <v>19</v>
      </c>
      <c r="K6" s="10"/>
      <c r="L6" s="10" t="str">
        <f>"140,0"</f>
        <v>140,0</v>
      </c>
      <c r="M6" s="10" t="str">
        <f>"99,7640"</f>
        <v>99,7640</v>
      </c>
      <c r="N6" s="9"/>
    </row>
    <row r="7" spans="1:14">
      <c r="B7" s="5" t="s">
        <v>9</v>
      </c>
    </row>
    <row r="8" spans="1:14" ht="16">
      <c r="B8" s="5" t="s">
        <v>9</v>
      </c>
      <c r="F8" s="7"/>
    </row>
    <row r="9" spans="1:14" ht="16">
      <c r="B9" s="5" t="s">
        <v>9</v>
      </c>
      <c r="F9" s="7"/>
    </row>
    <row r="10" spans="1:14" ht="16">
      <c r="B10" s="5" t="s">
        <v>9</v>
      </c>
      <c r="F10" s="7"/>
    </row>
    <row r="11" spans="1:14" ht="16">
      <c r="B11" s="5" t="s">
        <v>9</v>
      </c>
      <c r="F11" s="7"/>
    </row>
    <row r="12" spans="1:14" ht="16">
      <c r="B12" s="5" t="s">
        <v>9</v>
      </c>
      <c r="F12" s="7"/>
    </row>
    <row r="13" spans="1:14">
      <c r="B13" s="6"/>
      <c r="C13" s="6"/>
      <c r="D13" s="6"/>
      <c r="E13" s="6"/>
      <c r="G13" s="3"/>
      <c r="H13" s="3"/>
      <c r="I13" s="3"/>
      <c r="J13" s="3"/>
      <c r="K13" s="3"/>
      <c r="L13" s="3"/>
      <c r="M13" s="3"/>
      <c r="N13" s="3"/>
    </row>
    <row r="14" spans="1:14">
      <c r="B14" s="6"/>
      <c r="C14" s="6"/>
      <c r="D14" s="6"/>
      <c r="E14" s="6"/>
      <c r="G14" s="3"/>
      <c r="H14" s="3"/>
      <c r="I14" s="3"/>
      <c r="J14" s="3"/>
      <c r="K14" s="3"/>
      <c r="L14" s="3"/>
      <c r="M14" s="3"/>
      <c r="N14" s="3"/>
    </row>
    <row r="15" spans="1:14">
      <c r="B15" s="6"/>
      <c r="C15" s="6"/>
      <c r="D15" s="6"/>
      <c r="E15" s="6"/>
      <c r="G15" s="3"/>
      <c r="H15" s="3"/>
      <c r="I15" s="3"/>
      <c r="J15" s="3"/>
      <c r="K15" s="3"/>
      <c r="L15" s="3"/>
      <c r="M15" s="3"/>
      <c r="N15" s="3"/>
    </row>
    <row r="16" spans="1:14">
      <c r="B16" s="6"/>
      <c r="C16" s="6"/>
      <c r="D16" s="6"/>
      <c r="E16" s="6"/>
      <c r="G16" s="3"/>
      <c r="H16" s="3"/>
      <c r="I16" s="3"/>
      <c r="J16" s="3"/>
      <c r="K16" s="3"/>
      <c r="L16" s="3"/>
      <c r="M16" s="3"/>
      <c r="N16" s="3"/>
    </row>
    <row r="17" spans="2:14">
      <c r="B17" s="6"/>
      <c r="C17" s="6"/>
      <c r="D17" s="6"/>
      <c r="E17" s="6"/>
      <c r="G17" s="3"/>
      <c r="H17" s="3"/>
      <c r="I17" s="3"/>
      <c r="J17" s="3"/>
      <c r="K17" s="3"/>
      <c r="L17" s="3"/>
      <c r="M17" s="3"/>
      <c r="N17" s="3"/>
    </row>
    <row r="18" spans="2:14">
      <c r="B18" s="6"/>
      <c r="C18" s="6"/>
      <c r="D18" s="6"/>
      <c r="E18" s="6"/>
      <c r="G18" s="3"/>
      <c r="H18" s="3"/>
      <c r="I18" s="3"/>
      <c r="J18" s="3"/>
      <c r="K18" s="3"/>
      <c r="L18" s="3"/>
      <c r="M18" s="3"/>
      <c r="N18" s="3"/>
    </row>
    <row r="19" spans="2:14">
      <c r="B19" s="6"/>
      <c r="C19" s="6"/>
      <c r="D19" s="6"/>
      <c r="E19" s="6"/>
      <c r="G19" s="3"/>
      <c r="H19" s="3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G20" s="3"/>
      <c r="H20" s="3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G21" s="3"/>
      <c r="H21" s="3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G22" s="3"/>
      <c r="H22" s="3"/>
      <c r="I22" s="3"/>
      <c r="J22" s="3"/>
      <c r="K22" s="3"/>
      <c r="L22" s="3"/>
      <c r="M22" s="3"/>
      <c r="N22" s="3"/>
    </row>
    <row r="23" spans="2:14">
      <c r="B23" s="6"/>
      <c r="C23" s="6"/>
      <c r="D23" s="6"/>
      <c r="E23" s="6"/>
      <c r="G23" s="3"/>
      <c r="H23" s="3"/>
      <c r="I23" s="3"/>
      <c r="J23" s="3"/>
      <c r="K23" s="3"/>
      <c r="L23" s="3"/>
      <c r="M23" s="3"/>
      <c r="N23" s="3"/>
    </row>
    <row r="24" spans="2:14">
      <c r="B24" s="6"/>
      <c r="C24" s="6"/>
      <c r="D24" s="6"/>
      <c r="E24" s="6"/>
      <c r="G24" s="3"/>
      <c r="H24" s="3"/>
      <c r="I24" s="3"/>
      <c r="J24" s="3"/>
      <c r="K24" s="3"/>
      <c r="L24" s="3"/>
      <c r="M24" s="3"/>
      <c r="N24" s="3"/>
    </row>
    <row r="25" spans="2:14">
      <c r="B25" s="6"/>
      <c r="C25" s="6"/>
      <c r="D25" s="6"/>
      <c r="E25" s="6"/>
      <c r="G25" s="3"/>
      <c r="H25" s="3"/>
      <c r="I25" s="3"/>
      <c r="J25" s="3"/>
      <c r="K25" s="3"/>
      <c r="L25" s="3"/>
      <c r="M25" s="3"/>
      <c r="N25" s="3"/>
    </row>
    <row r="26" spans="2:14">
      <c r="B26" s="6"/>
      <c r="C26" s="6"/>
      <c r="D26" s="6"/>
      <c r="E26" s="6"/>
      <c r="G26" s="3"/>
      <c r="H26" s="3"/>
      <c r="I26" s="3"/>
      <c r="J26" s="3"/>
      <c r="K26" s="3"/>
      <c r="L26" s="3"/>
      <c r="M26" s="3"/>
      <c r="N26" s="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8.1640625" style="5" bestFit="1" customWidth="1"/>
    <col min="15" max="16384" width="9.1640625" style="3"/>
  </cols>
  <sheetData>
    <row r="1" spans="1:14" s="2" customFormat="1" ht="29" customHeight="1">
      <c r="A1" s="80" t="s">
        <v>1142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176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874</v>
      </c>
      <c r="C6" s="9" t="s">
        <v>875</v>
      </c>
      <c r="D6" s="9" t="s">
        <v>876</v>
      </c>
      <c r="E6" s="9" t="s">
        <v>1167</v>
      </c>
      <c r="F6" s="9" t="s">
        <v>235</v>
      </c>
      <c r="G6" s="9" t="s">
        <v>1039</v>
      </c>
      <c r="H6" s="15" t="s">
        <v>166</v>
      </c>
      <c r="I6" s="15" t="s">
        <v>35</v>
      </c>
      <c r="J6" s="15" t="s">
        <v>244</v>
      </c>
      <c r="K6" s="10"/>
      <c r="L6" s="10" t="str">
        <f>"145,0"</f>
        <v>145,0</v>
      </c>
      <c r="M6" s="10" t="str">
        <f>"104,9075"</f>
        <v>104,9075</v>
      </c>
      <c r="N6" s="9" t="s">
        <v>412</v>
      </c>
    </row>
    <row r="7" spans="1:14">
      <c r="B7" s="5" t="s">
        <v>9</v>
      </c>
    </row>
    <row r="8" spans="1:14" ht="16">
      <c r="B8" s="5" t="s">
        <v>9</v>
      </c>
      <c r="F8" s="7"/>
    </row>
    <row r="9" spans="1:14" ht="16">
      <c r="B9" s="5" t="s">
        <v>9</v>
      </c>
      <c r="F9" s="7"/>
    </row>
    <row r="10" spans="1:14" ht="16">
      <c r="B10" s="5" t="s">
        <v>9</v>
      </c>
      <c r="F10" s="7"/>
    </row>
    <row r="11" spans="1:14" ht="16">
      <c r="B11" s="5" t="s">
        <v>9</v>
      </c>
      <c r="F11" s="7"/>
    </row>
    <row r="12" spans="1:14" ht="16">
      <c r="B12" s="5" t="s">
        <v>9</v>
      </c>
      <c r="F12" s="7"/>
    </row>
    <row r="13" spans="1:14" ht="16">
      <c r="B13" s="5" t="s">
        <v>9</v>
      </c>
      <c r="F13" s="7"/>
    </row>
    <row r="14" spans="1:14">
      <c r="B14" s="6"/>
      <c r="C14" s="6"/>
      <c r="D14" s="6"/>
      <c r="E14" s="6"/>
      <c r="G14" s="3"/>
      <c r="H14" s="3"/>
      <c r="I14" s="3"/>
      <c r="J14" s="3"/>
      <c r="K14" s="3"/>
      <c r="L14" s="3"/>
      <c r="M14" s="3"/>
      <c r="N14" s="3"/>
    </row>
    <row r="15" spans="1:14">
      <c r="B15" s="6"/>
      <c r="C15" s="6"/>
      <c r="D15" s="6"/>
      <c r="E15" s="6"/>
      <c r="G15" s="3"/>
      <c r="H15" s="3"/>
      <c r="I15" s="3"/>
      <c r="J15" s="3"/>
      <c r="K15" s="3"/>
      <c r="L15" s="3"/>
      <c r="M15" s="3"/>
      <c r="N15" s="3"/>
    </row>
    <row r="16" spans="1:14">
      <c r="B16" s="6"/>
      <c r="C16" s="6"/>
      <c r="D16" s="6"/>
      <c r="E16" s="6"/>
      <c r="G16" s="3"/>
      <c r="H16" s="3"/>
      <c r="I16" s="3"/>
      <c r="J16" s="3"/>
      <c r="K16" s="3"/>
      <c r="L16" s="3"/>
      <c r="M16" s="3"/>
      <c r="N16" s="3"/>
    </row>
    <row r="17" spans="2:14">
      <c r="B17" s="6"/>
      <c r="C17" s="6"/>
      <c r="D17" s="6"/>
      <c r="E17" s="6"/>
      <c r="G17" s="3"/>
      <c r="H17" s="3"/>
      <c r="I17" s="3"/>
      <c r="J17" s="3"/>
      <c r="K17" s="3"/>
      <c r="L17" s="3"/>
      <c r="M17" s="3"/>
      <c r="N17" s="3"/>
    </row>
    <row r="18" spans="2:14">
      <c r="B18" s="6"/>
      <c r="C18" s="6"/>
      <c r="D18" s="6"/>
      <c r="E18" s="6"/>
      <c r="G18" s="3"/>
      <c r="H18" s="3"/>
      <c r="I18" s="3"/>
      <c r="J18" s="3"/>
      <c r="K18" s="3"/>
      <c r="L18" s="3"/>
      <c r="M18" s="3"/>
      <c r="N18" s="3"/>
    </row>
    <row r="19" spans="2:14">
      <c r="B19" s="6"/>
      <c r="C19" s="6"/>
      <c r="D19" s="6"/>
      <c r="E19" s="6"/>
      <c r="G19" s="3"/>
      <c r="H19" s="3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G20" s="3"/>
      <c r="H20" s="3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G21" s="3"/>
      <c r="H21" s="3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G22" s="3"/>
      <c r="H22" s="3"/>
      <c r="I22" s="3"/>
      <c r="J22" s="3"/>
      <c r="K22" s="3"/>
      <c r="L22" s="3"/>
      <c r="M22" s="3"/>
      <c r="N22" s="3"/>
    </row>
    <row r="23" spans="2:14">
      <c r="B23" s="6"/>
      <c r="C23" s="6"/>
      <c r="D23" s="6"/>
      <c r="E23" s="6"/>
      <c r="G23" s="3"/>
      <c r="H23" s="3"/>
      <c r="I23" s="3"/>
      <c r="J23" s="3"/>
      <c r="K23" s="3"/>
      <c r="L23" s="3"/>
      <c r="M23" s="3"/>
      <c r="N23" s="3"/>
    </row>
    <row r="24" spans="2:14">
      <c r="B24" s="6"/>
      <c r="C24" s="6"/>
      <c r="D24" s="6"/>
      <c r="E24" s="6"/>
      <c r="G24" s="3"/>
      <c r="H24" s="3"/>
      <c r="I24" s="3"/>
      <c r="J24" s="3"/>
      <c r="K24" s="3"/>
      <c r="L24" s="3"/>
      <c r="M24" s="3"/>
      <c r="N24" s="3"/>
    </row>
    <row r="25" spans="2:14">
      <c r="B25" s="6"/>
      <c r="C25" s="6"/>
      <c r="D25" s="6"/>
      <c r="E25" s="6"/>
      <c r="G25" s="3"/>
      <c r="H25" s="3"/>
      <c r="I25" s="3"/>
      <c r="J25" s="3"/>
      <c r="K25" s="3"/>
      <c r="L25" s="3"/>
      <c r="M25" s="3"/>
      <c r="N25" s="3"/>
    </row>
    <row r="26" spans="2:14">
      <c r="B26" s="6"/>
      <c r="C26" s="6"/>
      <c r="D26" s="6"/>
      <c r="E26" s="6"/>
      <c r="G26" s="3"/>
      <c r="H26" s="3"/>
      <c r="I26" s="3"/>
      <c r="J26" s="3"/>
      <c r="K26" s="3"/>
      <c r="L26" s="3"/>
      <c r="M26" s="3"/>
      <c r="N26" s="3"/>
    </row>
    <row r="27" spans="2:14">
      <c r="B27" s="6"/>
      <c r="C27" s="6"/>
      <c r="D27" s="6"/>
      <c r="E27" s="6"/>
      <c r="G27" s="3"/>
      <c r="H27" s="3"/>
      <c r="I27" s="3"/>
      <c r="J27" s="3"/>
      <c r="K27" s="3"/>
      <c r="L27" s="3"/>
      <c r="M27" s="3"/>
      <c r="N27" s="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"/>
  <sheetViews>
    <sheetView workbookViewId="0">
      <selection sqref="A1:N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8.33203125" style="5" customWidth="1"/>
    <col min="15" max="16384" width="9.1640625" style="3"/>
  </cols>
  <sheetData>
    <row r="1" spans="1:14" s="2" customFormat="1" ht="29" customHeight="1">
      <c r="A1" s="80" t="s">
        <v>1143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28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890</v>
      </c>
      <c r="C6" s="9" t="s">
        <v>891</v>
      </c>
      <c r="D6" s="9" t="s">
        <v>892</v>
      </c>
      <c r="E6" s="9" t="s">
        <v>1167</v>
      </c>
      <c r="F6" s="9" t="s">
        <v>110</v>
      </c>
      <c r="G6" s="9" t="s">
        <v>1039</v>
      </c>
      <c r="H6" s="15" t="s">
        <v>32</v>
      </c>
      <c r="I6" s="16" t="s">
        <v>206</v>
      </c>
      <c r="J6" s="10" t="s">
        <v>206</v>
      </c>
      <c r="K6" s="10"/>
      <c r="L6" s="10" t="str">
        <f>"180,0"</f>
        <v>180,0</v>
      </c>
      <c r="M6" s="10" t="str">
        <f>"121,7520"</f>
        <v>121,7520</v>
      </c>
      <c r="N6" s="9" t="s">
        <v>1055</v>
      </c>
    </row>
    <row r="7" spans="1:14">
      <c r="B7" s="5" t="s">
        <v>9</v>
      </c>
    </row>
    <row r="8" spans="1:14" ht="16">
      <c r="B8" s="5" t="s">
        <v>9</v>
      </c>
      <c r="F8" s="7"/>
    </row>
    <row r="9" spans="1:14" ht="16">
      <c r="B9" s="5" t="s">
        <v>9</v>
      </c>
      <c r="F9" s="7"/>
    </row>
    <row r="10" spans="1:14" ht="16">
      <c r="B10" s="5" t="s">
        <v>9</v>
      </c>
      <c r="F10" s="7"/>
    </row>
    <row r="11" spans="1:14" ht="16">
      <c r="B11" s="5" t="s">
        <v>9</v>
      </c>
      <c r="F11" s="7"/>
    </row>
    <row r="12" spans="1:14" ht="16">
      <c r="B12" s="5" t="s">
        <v>9</v>
      </c>
      <c r="F12" s="7"/>
    </row>
    <row r="13" spans="1:14" ht="16">
      <c r="B13" s="5" t="s">
        <v>9</v>
      </c>
      <c r="F13" s="7"/>
    </row>
    <row r="14" spans="1:14">
      <c r="B14" s="6"/>
      <c r="C14" s="6"/>
      <c r="D14" s="6"/>
      <c r="E14" s="6"/>
      <c r="F14" s="6"/>
      <c r="G14" s="6"/>
      <c r="H14" s="5"/>
      <c r="I14" s="3"/>
      <c r="J14" s="3"/>
      <c r="K14" s="3"/>
      <c r="L14" s="3"/>
      <c r="M14" s="3"/>
      <c r="N14" s="3"/>
    </row>
    <row r="15" spans="1:14">
      <c r="B15" s="6"/>
      <c r="C15" s="6"/>
      <c r="D15" s="6"/>
      <c r="E15" s="6"/>
      <c r="F15" s="6"/>
      <c r="G15" s="6"/>
      <c r="H15" s="5"/>
      <c r="I15" s="3"/>
      <c r="J15" s="3"/>
      <c r="K15" s="3"/>
      <c r="L15" s="3"/>
      <c r="M15" s="3"/>
      <c r="N15" s="3"/>
    </row>
    <row r="16" spans="1:14">
      <c r="B16" s="6"/>
      <c r="C16" s="6"/>
      <c r="D16" s="6"/>
      <c r="E16" s="6"/>
      <c r="F16" s="6"/>
      <c r="G16" s="6"/>
      <c r="H16" s="5"/>
      <c r="I16" s="3"/>
      <c r="J16" s="3"/>
      <c r="K16" s="3"/>
      <c r="L16" s="3"/>
      <c r="M16" s="3"/>
      <c r="N16" s="3"/>
    </row>
    <row r="17" spans="2:14">
      <c r="B17" s="6"/>
      <c r="C17" s="6"/>
      <c r="D17" s="6"/>
      <c r="E17" s="6"/>
      <c r="F17" s="6"/>
      <c r="G17" s="6"/>
      <c r="H17" s="5"/>
      <c r="I17" s="3"/>
      <c r="J17" s="3"/>
      <c r="K17" s="3"/>
      <c r="L17" s="3"/>
      <c r="M17" s="3"/>
      <c r="N17" s="3"/>
    </row>
    <row r="18" spans="2:14">
      <c r="B18" s="6"/>
      <c r="C18" s="6"/>
      <c r="D18" s="6"/>
      <c r="E18" s="6"/>
      <c r="F18" s="6"/>
      <c r="G18" s="6"/>
      <c r="H18" s="5"/>
      <c r="I18" s="3"/>
      <c r="J18" s="3"/>
      <c r="K18" s="3"/>
      <c r="L18" s="3"/>
      <c r="M18" s="3"/>
      <c r="N18" s="3"/>
    </row>
    <row r="19" spans="2:14">
      <c r="B19" s="6"/>
      <c r="C19" s="6"/>
      <c r="D19" s="6"/>
      <c r="E19" s="6"/>
      <c r="F19" s="6"/>
      <c r="G19" s="6"/>
      <c r="H19" s="5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0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3.83203125" style="5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7" style="5" bestFit="1" customWidth="1"/>
    <col min="15" max="16384" width="9.1640625" style="3"/>
  </cols>
  <sheetData>
    <row r="1" spans="1:14" s="2" customFormat="1" ht="29" customHeight="1">
      <c r="A1" s="80" t="s">
        <v>1144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94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8" t="s">
        <v>66</v>
      </c>
      <c r="B6" s="17" t="s">
        <v>850</v>
      </c>
      <c r="C6" s="17" t="s">
        <v>851</v>
      </c>
      <c r="D6" s="17" t="s">
        <v>852</v>
      </c>
      <c r="E6" s="17" t="s">
        <v>1164</v>
      </c>
      <c r="F6" s="17" t="s">
        <v>110</v>
      </c>
      <c r="G6" s="17" t="s">
        <v>1039</v>
      </c>
      <c r="H6" s="23" t="s">
        <v>331</v>
      </c>
      <c r="I6" s="23" t="s">
        <v>88</v>
      </c>
      <c r="J6" s="23" t="s">
        <v>111</v>
      </c>
      <c r="K6" s="18"/>
      <c r="L6" s="18" t="str">
        <f>"65,0"</f>
        <v>65,0</v>
      </c>
      <c r="M6" s="18" t="str">
        <f>"75,0685"</f>
        <v>75,0685</v>
      </c>
      <c r="N6" s="17" t="s">
        <v>1055</v>
      </c>
    </row>
    <row r="7" spans="1:14">
      <c r="A7" s="20" t="s">
        <v>66</v>
      </c>
      <c r="B7" s="19" t="s">
        <v>664</v>
      </c>
      <c r="C7" s="19" t="s">
        <v>853</v>
      </c>
      <c r="D7" s="19" t="s">
        <v>327</v>
      </c>
      <c r="E7" s="19" t="s">
        <v>1165</v>
      </c>
      <c r="F7" s="19" t="s">
        <v>110</v>
      </c>
      <c r="G7" s="19" t="s">
        <v>1039</v>
      </c>
      <c r="H7" s="28" t="s">
        <v>100</v>
      </c>
      <c r="I7" s="20"/>
      <c r="J7" s="20"/>
      <c r="K7" s="20"/>
      <c r="L7" s="20" t="str">
        <f>"80,0"</f>
        <v>80,0</v>
      </c>
      <c r="M7" s="20" t="str">
        <f>"88,6080"</f>
        <v>88,6080</v>
      </c>
      <c r="N7" s="19" t="s">
        <v>1055</v>
      </c>
    </row>
    <row r="8" spans="1:14">
      <c r="A8" s="22" t="s">
        <v>66</v>
      </c>
      <c r="B8" s="21" t="s">
        <v>854</v>
      </c>
      <c r="C8" s="21" t="s">
        <v>855</v>
      </c>
      <c r="D8" s="21" t="s">
        <v>856</v>
      </c>
      <c r="E8" s="21" t="s">
        <v>1168</v>
      </c>
      <c r="F8" s="21" t="s">
        <v>235</v>
      </c>
      <c r="G8" s="21" t="s">
        <v>1039</v>
      </c>
      <c r="H8" s="26" t="s">
        <v>158</v>
      </c>
      <c r="I8" s="26" t="s">
        <v>22</v>
      </c>
      <c r="J8" s="27" t="s">
        <v>23</v>
      </c>
      <c r="K8" s="22"/>
      <c r="L8" s="22" t="str">
        <f>"95,0"</f>
        <v>95,0</v>
      </c>
      <c r="M8" s="22" t="str">
        <f>"111,4409"</f>
        <v>111,4409</v>
      </c>
      <c r="N8" s="21" t="s">
        <v>412</v>
      </c>
    </row>
    <row r="9" spans="1:14">
      <c r="B9" s="5" t="s">
        <v>9</v>
      </c>
    </row>
    <row r="10" spans="1:14" ht="16">
      <c r="A10" s="91" t="s">
        <v>113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4">
      <c r="A11" s="10" t="s">
        <v>66</v>
      </c>
      <c r="B11" s="9" t="s">
        <v>340</v>
      </c>
      <c r="C11" s="9" t="s">
        <v>341</v>
      </c>
      <c r="D11" s="9" t="s">
        <v>857</v>
      </c>
      <c r="E11" s="9" t="s">
        <v>1166</v>
      </c>
      <c r="F11" s="9" t="s">
        <v>110</v>
      </c>
      <c r="G11" s="9" t="s">
        <v>1039</v>
      </c>
      <c r="H11" s="15" t="s">
        <v>111</v>
      </c>
      <c r="I11" s="16" t="s">
        <v>93</v>
      </c>
      <c r="J11" s="16" t="s">
        <v>164</v>
      </c>
      <c r="K11" s="10"/>
      <c r="L11" s="10" t="str">
        <f>"65,0"</f>
        <v>65,0</v>
      </c>
      <c r="M11" s="10" t="str">
        <f>"65,7345"</f>
        <v>65,7345</v>
      </c>
      <c r="N11" s="9" t="s">
        <v>1119</v>
      </c>
    </row>
    <row r="12" spans="1:14">
      <c r="B12" s="5" t="s">
        <v>9</v>
      </c>
    </row>
    <row r="13" spans="1:14" ht="16">
      <c r="A13" s="91" t="s">
        <v>113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4">
      <c r="A14" s="10" t="s">
        <v>66</v>
      </c>
      <c r="B14" s="9" t="s">
        <v>858</v>
      </c>
      <c r="C14" s="9" t="s">
        <v>859</v>
      </c>
      <c r="D14" s="9" t="s">
        <v>687</v>
      </c>
      <c r="E14" s="9" t="s">
        <v>1164</v>
      </c>
      <c r="F14" s="9" t="s">
        <v>157</v>
      </c>
      <c r="G14" s="9" t="s">
        <v>1039</v>
      </c>
      <c r="H14" s="16" t="s">
        <v>105</v>
      </c>
      <c r="I14" s="16" t="s">
        <v>105</v>
      </c>
      <c r="J14" s="15" t="s">
        <v>105</v>
      </c>
      <c r="K14" s="10"/>
      <c r="L14" s="10" t="str">
        <f>"100,0"</f>
        <v>100,0</v>
      </c>
      <c r="M14" s="10" t="str">
        <f>"84,6650"</f>
        <v>84,6650</v>
      </c>
      <c r="N14" s="9" t="s">
        <v>1120</v>
      </c>
    </row>
    <row r="15" spans="1:14">
      <c r="B15" s="5" t="s">
        <v>9</v>
      </c>
    </row>
    <row r="16" spans="1:14" ht="16">
      <c r="A16" s="91" t="s">
        <v>176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4">
      <c r="A17" s="18" t="s">
        <v>66</v>
      </c>
      <c r="B17" s="17" t="s">
        <v>409</v>
      </c>
      <c r="C17" s="17" t="s">
        <v>410</v>
      </c>
      <c r="D17" s="17" t="s">
        <v>860</v>
      </c>
      <c r="E17" s="17" t="s">
        <v>1167</v>
      </c>
      <c r="F17" s="17" t="s">
        <v>235</v>
      </c>
      <c r="G17" s="17" t="s">
        <v>1039</v>
      </c>
      <c r="H17" s="23" t="s">
        <v>223</v>
      </c>
      <c r="I17" s="23" t="s">
        <v>37</v>
      </c>
      <c r="J17" s="24" t="s">
        <v>206</v>
      </c>
      <c r="K17" s="18"/>
      <c r="L17" s="18" t="str">
        <f>"200,0"</f>
        <v>200,0</v>
      </c>
      <c r="M17" s="18" t="str">
        <f>"139,7300"</f>
        <v>139,7300</v>
      </c>
      <c r="N17" s="17" t="s">
        <v>412</v>
      </c>
    </row>
    <row r="18" spans="1:14">
      <c r="A18" s="22" t="s">
        <v>312</v>
      </c>
      <c r="B18" s="21" t="s">
        <v>861</v>
      </c>
      <c r="C18" s="21" t="s">
        <v>862</v>
      </c>
      <c r="D18" s="21" t="s">
        <v>863</v>
      </c>
      <c r="E18" s="21" t="s">
        <v>1167</v>
      </c>
      <c r="F18" s="21" t="s">
        <v>17</v>
      </c>
      <c r="G18" s="21" t="s">
        <v>1039</v>
      </c>
      <c r="H18" s="26" t="s">
        <v>54</v>
      </c>
      <c r="I18" s="27" t="s">
        <v>19</v>
      </c>
      <c r="J18" s="26" t="s">
        <v>19</v>
      </c>
      <c r="K18" s="22"/>
      <c r="L18" s="22" t="str">
        <f>"155,0"</f>
        <v>155,0</v>
      </c>
      <c r="M18" s="22" t="str">
        <f>"107,0430"</f>
        <v>107,0430</v>
      </c>
      <c r="N18" s="21"/>
    </row>
    <row r="19" spans="1:14">
      <c r="B19" s="5" t="s">
        <v>9</v>
      </c>
    </row>
    <row r="20" spans="1:14" ht="16">
      <c r="A20" s="91" t="s">
        <v>28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4">
      <c r="A21" s="10" t="s">
        <v>66</v>
      </c>
      <c r="B21" s="9" t="s">
        <v>864</v>
      </c>
      <c r="C21" s="9" t="s">
        <v>865</v>
      </c>
      <c r="D21" s="9" t="s">
        <v>866</v>
      </c>
      <c r="E21" s="9" t="s">
        <v>1167</v>
      </c>
      <c r="F21" s="9" t="s">
        <v>17</v>
      </c>
      <c r="G21" s="9" t="s">
        <v>18</v>
      </c>
      <c r="H21" s="15" t="s">
        <v>206</v>
      </c>
      <c r="I21" s="15" t="s">
        <v>454</v>
      </c>
      <c r="J21" s="16" t="s">
        <v>259</v>
      </c>
      <c r="K21" s="10"/>
      <c r="L21" s="10" t="str">
        <f>"222,5"</f>
        <v>222,5</v>
      </c>
      <c r="M21" s="10" t="str">
        <f>"145,5706"</f>
        <v>145,5706</v>
      </c>
      <c r="N21" s="9" t="s">
        <v>27</v>
      </c>
    </row>
    <row r="22" spans="1:14">
      <c r="B22" s="5" t="s">
        <v>9</v>
      </c>
    </row>
    <row r="23" spans="1:14" ht="16">
      <c r="A23" s="91" t="s">
        <v>49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1:14">
      <c r="A24" s="18" t="s">
        <v>66</v>
      </c>
      <c r="B24" s="17" t="s">
        <v>867</v>
      </c>
      <c r="C24" s="17" t="s">
        <v>868</v>
      </c>
      <c r="D24" s="17" t="s">
        <v>869</v>
      </c>
      <c r="E24" s="17" t="s">
        <v>1167</v>
      </c>
      <c r="F24" s="17" t="s">
        <v>17</v>
      </c>
      <c r="G24" s="17" t="s">
        <v>1039</v>
      </c>
      <c r="H24" s="23" t="s">
        <v>32</v>
      </c>
      <c r="I24" s="23" t="s">
        <v>223</v>
      </c>
      <c r="J24" s="23" t="s">
        <v>379</v>
      </c>
      <c r="K24" s="18"/>
      <c r="L24" s="18" t="str">
        <f>"202,5"</f>
        <v>202,5</v>
      </c>
      <c r="M24" s="18" t="str">
        <f>"118,9890"</f>
        <v>118,9890</v>
      </c>
      <c r="N24" s="17" t="s">
        <v>1069</v>
      </c>
    </row>
    <row r="25" spans="1:14">
      <c r="A25" s="22" t="s">
        <v>66</v>
      </c>
      <c r="B25" s="21" t="s">
        <v>867</v>
      </c>
      <c r="C25" s="21" t="s">
        <v>870</v>
      </c>
      <c r="D25" s="21" t="s">
        <v>869</v>
      </c>
      <c r="E25" s="21" t="s">
        <v>1168</v>
      </c>
      <c r="F25" s="21" t="s">
        <v>17</v>
      </c>
      <c r="G25" s="21" t="s">
        <v>1039</v>
      </c>
      <c r="H25" s="26" t="s">
        <v>32</v>
      </c>
      <c r="I25" s="26" t="s">
        <v>223</v>
      </c>
      <c r="J25" s="26" t="s">
        <v>379</v>
      </c>
      <c r="K25" s="22"/>
      <c r="L25" s="22" t="str">
        <f>"202,5"</f>
        <v>202,5</v>
      </c>
      <c r="M25" s="22" t="str">
        <f>"121,3688"</f>
        <v>121,3688</v>
      </c>
      <c r="N25" s="21" t="s">
        <v>1069</v>
      </c>
    </row>
    <row r="26" spans="1:14">
      <c r="B26" s="5" t="s">
        <v>9</v>
      </c>
    </row>
    <row r="27" spans="1:14" ht="16">
      <c r="A27" s="91" t="s">
        <v>278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4">
      <c r="A28" s="10" t="s">
        <v>66</v>
      </c>
      <c r="B28" s="9" t="s">
        <v>871</v>
      </c>
      <c r="C28" s="9" t="s">
        <v>872</v>
      </c>
      <c r="D28" s="9" t="s">
        <v>873</v>
      </c>
      <c r="E28" s="9" t="s">
        <v>1167</v>
      </c>
      <c r="F28" s="9" t="s">
        <v>17</v>
      </c>
      <c r="G28" s="9" t="s">
        <v>18</v>
      </c>
      <c r="H28" s="15" t="s">
        <v>48</v>
      </c>
      <c r="I28" s="15" t="s">
        <v>265</v>
      </c>
      <c r="J28" s="15" t="s">
        <v>240</v>
      </c>
      <c r="K28" s="10"/>
      <c r="L28" s="10" t="str">
        <f>"270,0"</f>
        <v>270,0</v>
      </c>
      <c r="M28" s="10" t="str">
        <f>"149,3100"</f>
        <v>149,3100</v>
      </c>
      <c r="N28" s="9"/>
    </row>
    <row r="29" spans="1:14">
      <c r="B29" s="5" t="s">
        <v>9</v>
      </c>
    </row>
    <row r="30" spans="1:14" ht="16">
      <c r="B30" s="5" t="s">
        <v>9</v>
      </c>
      <c r="F30" s="7"/>
    </row>
    <row r="31" spans="1:14" ht="16">
      <c r="B31" s="5" t="s">
        <v>9</v>
      </c>
      <c r="F31" s="7"/>
    </row>
    <row r="32" spans="1:14" ht="16">
      <c r="B32" s="5" t="s">
        <v>9</v>
      </c>
      <c r="F32" s="7"/>
    </row>
    <row r="33" spans="2:14" ht="16">
      <c r="B33" s="5" t="s">
        <v>9</v>
      </c>
      <c r="F33" s="7"/>
    </row>
    <row r="34" spans="2:14" ht="16">
      <c r="B34" s="5" t="s">
        <v>9</v>
      </c>
      <c r="F34" s="7"/>
    </row>
    <row r="35" spans="2:14" ht="16">
      <c r="B35" s="5" t="s">
        <v>9</v>
      </c>
      <c r="F35" s="7"/>
    </row>
    <row r="36" spans="2:14" ht="16">
      <c r="B36" s="5" t="s">
        <v>9</v>
      </c>
      <c r="F36" s="7"/>
    </row>
    <row r="37" spans="2:14">
      <c r="B37" s="6"/>
      <c r="C37" s="6"/>
      <c r="D37" s="6"/>
      <c r="E37" s="6"/>
      <c r="F37" s="6"/>
      <c r="G37" s="6"/>
      <c r="H37" s="5"/>
      <c r="I37" s="3"/>
      <c r="J37" s="3"/>
      <c r="K37" s="3"/>
      <c r="L37" s="3"/>
      <c r="M37" s="3"/>
      <c r="N37" s="3"/>
    </row>
    <row r="38" spans="2:14">
      <c r="B38" s="6"/>
      <c r="C38" s="6"/>
      <c r="D38" s="6"/>
      <c r="E38" s="6"/>
      <c r="F38" s="6"/>
      <c r="G38" s="6"/>
      <c r="H38" s="5"/>
      <c r="I38" s="3"/>
      <c r="J38" s="3"/>
      <c r="K38" s="3"/>
      <c r="L38" s="3"/>
      <c r="M38" s="3"/>
      <c r="N38" s="3"/>
    </row>
    <row r="39" spans="2:14">
      <c r="B39" s="6"/>
      <c r="C39" s="6"/>
      <c r="D39" s="6"/>
      <c r="E39" s="6"/>
      <c r="F39" s="6"/>
      <c r="G39" s="6"/>
      <c r="H39" s="5"/>
      <c r="I39" s="3"/>
      <c r="J39" s="3"/>
      <c r="K39" s="3"/>
      <c r="L39" s="3"/>
      <c r="M39" s="3"/>
      <c r="N39" s="3"/>
    </row>
    <row r="40" spans="2:14">
      <c r="B40" s="6"/>
      <c r="C40" s="6"/>
      <c r="D40" s="6"/>
      <c r="E40" s="6"/>
      <c r="F40" s="6"/>
      <c r="G40" s="6"/>
      <c r="H40" s="5"/>
      <c r="I40" s="3"/>
      <c r="J40" s="3"/>
      <c r="K40" s="3"/>
      <c r="L40" s="3"/>
      <c r="M40" s="3"/>
      <c r="N40" s="3"/>
    </row>
    <row r="41" spans="2:14">
      <c r="B41" s="6"/>
      <c r="C41" s="6"/>
      <c r="D41" s="6"/>
      <c r="E41" s="6"/>
      <c r="F41" s="6"/>
      <c r="G41" s="6"/>
      <c r="H41" s="5"/>
      <c r="I41" s="3"/>
      <c r="J41" s="3"/>
      <c r="K41" s="3"/>
      <c r="L41" s="3"/>
      <c r="M41" s="3"/>
      <c r="N41" s="3"/>
    </row>
    <row r="42" spans="2:14">
      <c r="B42" s="6"/>
      <c r="C42" s="6"/>
      <c r="D42" s="6"/>
      <c r="E42" s="6"/>
      <c r="F42" s="6"/>
      <c r="G42" s="6"/>
      <c r="H42" s="5"/>
      <c r="I42" s="3"/>
      <c r="J42" s="3"/>
      <c r="K42" s="3"/>
      <c r="L42" s="3"/>
      <c r="M42" s="3"/>
      <c r="N42" s="3"/>
    </row>
    <row r="43" spans="2:14">
      <c r="B43" s="6"/>
      <c r="C43" s="6"/>
      <c r="D43" s="6"/>
      <c r="E43" s="6"/>
      <c r="F43" s="6"/>
      <c r="G43" s="6"/>
      <c r="H43" s="5"/>
      <c r="I43" s="3"/>
      <c r="J43" s="3"/>
      <c r="K43" s="3"/>
      <c r="L43" s="3"/>
      <c r="M43" s="3"/>
      <c r="N43" s="3"/>
    </row>
    <row r="44" spans="2:14">
      <c r="B44" s="6"/>
      <c r="C44" s="6"/>
      <c r="D44" s="6"/>
      <c r="E44" s="6"/>
      <c r="F44" s="6"/>
      <c r="G44" s="6"/>
      <c r="H44" s="5"/>
      <c r="I44" s="3"/>
      <c r="J44" s="3"/>
      <c r="K44" s="3"/>
      <c r="L44" s="3"/>
      <c r="M44" s="3"/>
      <c r="N44" s="3"/>
    </row>
    <row r="45" spans="2:14">
      <c r="B45" s="6"/>
      <c r="C45" s="6"/>
      <c r="D45" s="6"/>
      <c r="E45" s="6"/>
      <c r="F45" s="6"/>
      <c r="G45" s="6"/>
      <c r="H45" s="5"/>
      <c r="I45" s="3"/>
      <c r="J45" s="3"/>
      <c r="K45" s="3"/>
      <c r="L45" s="3"/>
      <c r="M45" s="3"/>
      <c r="N45" s="3"/>
    </row>
    <row r="46" spans="2:14">
      <c r="B46" s="6"/>
      <c r="C46" s="6"/>
      <c r="D46" s="6"/>
      <c r="E46" s="6"/>
      <c r="F46" s="6"/>
      <c r="G46" s="6"/>
      <c r="H46" s="5"/>
      <c r="I46" s="3"/>
      <c r="J46" s="3"/>
      <c r="K46" s="3"/>
      <c r="L46" s="3"/>
      <c r="M46" s="3"/>
      <c r="N46" s="3"/>
    </row>
    <row r="47" spans="2:14">
      <c r="B47" s="6"/>
      <c r="C47" s="6"/>
      <c r="D47" s="6"/>
      <c r="E47" s="6"/>
      <c r="F47" s="6"/>
      <c r="G47" s="6"/>
      <c r="H47" s="5"/>
      <c r="I47" s="3"/>
      <c r="J47" s="3"/>
      <c r="K47" s="3"/>
      <c r="L47" s="3"/>
      <c r="M47" s="3"/>
      <c r="N47" s="3"/>
    </row>
    <row r="48" spans="2:14">
      <c r="B48" s="6"/>
      <c r="C48" s="6"/>
      <c r="D48" s="6"/>
      <c r="E48" s="6"/>
      <c r="F48" s="6"/>
      <c r="G48" s="6"/>
      <c r="H48" s="5"/>
      <c r="I48" s="3"/>
      <c r="J48" s="3"/>
      <c r="K48" s="3"/>
      <c r="L48" s="3"/>
      <c r="M48" s="3"/>
      <c r="N48" s="3"/>
    </row>
    <row r="49" spans="2:14">
      <c r="B49" s="6"/>
      <c r="C49" s="6"/>
      <c r="D49" s="6"/>
      <c r="E49" s="6"/>
      <c r="F49" s="6"/>
      <c r="G49" s="6"/>
      <c r="H49" s="5"/>
      <c r="I49" s="3"/>
      <c r="J49" s="3"/>
      <c r="K49" s="3"/>
      <c r="L49" s="3"/>
      <c r="M49" s="3"/>
      <c r="N49" s="3"/>
    </row>
    <row r="50" spans="2:14">
      <c r="B50" s="6"/>
      <c r="C50" s="6"/>
      <c r="D50" s="6"/>
      <c r="E50" s="6"/>
      <c r="F50" s="6"/>
      <c r="G50" s="6"/>
      <c r="H50" s="5"/>
      <c r="I50" s="3"/>
      <c r="J50" s="3"/>
      <c r="K50" s="3"/>
      <c r="L50" s="3"/>
      <c r="M50" s="3"/>
      <c r="N50" s="3"/>
    </row>
    <row r="51" spans="2:14">
      <c r="B51" s="6"/>
      <c r="C51" s="6"/>
      <c r="D51" s="6"/>
      <c r="E51" s="6"/>
      <c r="F51" s="6"/>
      <c r="G51" s="6"/>
      <c r="H51" s="5"/>
      <c r="I51" s="3"/>
      <c r="J51" s="3"/>
      <c r="K51" s="3"/>
      <c r="L51" s="3"/>
      <c r="M51" s="3"/>
      <c r="N51" s="3"/>
    </row>
    <row r="52" spans="2:14">
      <c r="B52" s="6"/>
      <c r="C52" s="6"/>
      <c r="D52" s="6"/>
      <c r="E52" s="6"/>
      <c r="F52" s="6"/>
      <c r="G52" s="6"/>
      <c r="H52" s="5"/>
      <c r="I52" s="3"/>
      <c r="J52" s="3"/>
      <c r="K52" s="3"/>
      <c r="L52" s="3"/>
      <c r="M52" s="3"/>
      <c r="N52" s="3"/>
    </row>
    <row r="53" spans="2:14">
      <c r="B53" s="6"/>
      <c r="C53" s="6"/>
      <c r="D53" s="6"/>
      <c r="E53" s="6"/>
      <c r="F53" s="6"/>
      <c r="G53" s="6"/>
      <c r="H53" s="5"/>
      <c r="I53" s="3"/>
      <c r="J53" s="3"/>
      <c r="K53" s="3"/>
      <c r="L53" s="3"/>
      <c r="M53" s="3"/>
      <c r="N53" s="3"/>
    </row>
    <row r="54" spans="2:14">
      <c r="B54" s="6"/>
      <c r="C54" s="6"/>
      <c r="D54" s="6"/>
      <c r="E54" s="6"/>
      <c r="F54" s="6"/>
      <c r="G54" s="6"/>
      <c r="H54" s="5"/>
      <c r="I54" s="3"/>
      <c r="J54" s="3"/>
      <c r="K54" s="3"/>
      <c r="L54" s="3"/>
      <c r="M54" s="3"/>
      <c r="N54" s="3"/>
    </row>
    <row r="55" spans="2:14">
      <c r="B55" s="6"/>
      <c r="C55" s="6"/>
      <c r="D55" s="6"/>
      <c r="E55" s="6"/>
      <c r="F55" s="6"/>
      <c r="G55" s="6"/>
      <c r="H55" s="5"/>
      <c r="I55" s="3"/>
      <c r="J55" s="3"/>
      <c r="K55" s="3"/>
      <c r="L55" s="3"/>
      <c r="M55" s="3"/>
      <c r="N55" s="3"/>
    </row>
    <row r="56" spans="2:14">
      <c r="B56" s="6"/>
      <c r="C56" s="6"/>
      <c r="D56" s="6"/>
      <c r="E56" s="6"/>
      <c r="F56" s="6"/>
      <c r="G56" s="6"/>
      <c r="H56" s="5"/>
      <c r="I56" s="3"/>
      <c r="J56" s="3"/>
      <c r="K56" s="3"/>
      <c r="L56" s="3"/>
      <c r="M56" s="3"/>
      <c r="N56" s="3"/>
    </row>
    <row r="57" spans="2:14">
      <c r="B57" s="6"/>
      <c r="C57" s="6"/>
      <c r="D57" s="6"/>
      <c r="E57" s="6"/>
      <c r="F57" s="6"/>
      <c r="G57" s="6"/>
      <c r="H57" s="5"/>
      <c r="I57" s="3"/>
      <c r="J57" s="3"/>
      <c r="K57" s="3"/>
      <c r="L57" s="3"/>
      <c r="M57" s="3"/>
      <c r="N57" s="3"/>
    </row>
    <row r="58" spans="2:14">
      <c r="B58" s="6"/>
      <c r="C58" s="6"/>
      <c r="D58" s="6"/>
      <c r="E58" s="6"/>
      <c r="F58" s="6"/>
      <c r="G58" s="6"/>
      <c r="H58" s="5"/>
      <c r="I58" s="3"/>
      <c r="J58" s="3"/>
      <c r="K58" s="3"/>
      <c r="L58" s="3"/>
      <c r="M58" s="3"/>
      <c r="N58" s="3"/>
    </row>
    <row r="59" spans="2:14">
      <c r="B59" s="6"/>
      <c r="C59" s="6"/>
      <c r="D59" s="6"/>
      <c r="E59" s="6"/>
      <c r="F59" s="6"/>
      <c r="G59" s="6"/>
      <c r="H59" s="5"/>
      <c r="I59" s="3"/>
      <c r="J59" s="3"/>
      <c r="K59" s="3"/>
      <c r="L59" s="3"/>
      <c r="M59" s="3"/>
      <c r="N59" s="3"/>
    </row>
    <row r="60" spans="2:14">
      <c r="B60" s="6"/>
      <c r="C60" s="6"/>
      <c r="D60" s="6"/>
      <c r="E60" s="6"/>
      <c r="F60" s="6"/>
      <c r="G60" s="6"/>
      <c r="H60" s="5"/>
      <c r="I60" s="3"/>
      <c r="J60" s="3"/>
      <c r="K60" s="3"/>
      <c r="L60" s="3"/>
      <c r="M60" s="3"/>
      <c r="N60" s="3"/>
    </row>
    <row r="61" spans="2:14">
      <c r="B61" s="6"/>
      <c r="C61" s="6"/>
      <c r="D61" s="6"/>
      <c r="E61" s="6"/>
      <c r="F61" s="6"/>
      <c r="G61" s="6"/>
      <c r="H61" s="5"/>
      <c r="I61" s="3"/>
      <c r="J61" s="3"/>
      <c r="K61" s="3"/>
      <c r="L61" s="3"/>
      <c r="M61" s="3"/>
      <c r="N61" s="3"/>
    </row>
    <row r="62" spans="2:14">
      <c r="B62" s="6"/>
      <c r="C62" s="6"/>
      <c r="D62" s="6"/>
      <c r="E62" s="6"/>
      <c r="F62" s="6"/>
      <c r="G62" s="6"/>
      <c r="H62" s="5"/>
      <c r="I62" s="3"/>
      <c r="J62" s="3"/>
      <c r="K62" s="3"/>
      <c r="L62" s="3"/>
      <c r="M62" s="3"/>
      <c r="N62" s="3"/>
    </row>
    <row r="63" spans="2:14">
      <c r="B63" s="6"/>
      <c r="C63" s="6"/>
      <c r="D63" s="6"/>
      <c r="E63" s="6"/>
      <c r="F63" s="6"/>
      <c r="G63" s="6"/>
      <c r="H63" s="5"/>
      <c r="I63" s="3"/>
      <c r="J63" s="3"/>
      <c r="K63" s="3"/>
      <c r="L63" s="3"/>
      <c r="M63" s="3"/>
      <c r="N63" s="3"/>
    </row>
    <row r="64" spans="2:14">
      <c r="B64" s="6"/>
      <c r="C64" s="6"/>
      <c r="D64" s="6"/>
      <c r="E64" s="6"/>
      <c r="F64" s="6"/>
      <c r="G64" s="6"/>
      <c r="H64" s="5"/>
      <c r="I64" s="3"/>
      <c r="J64" s="3"/>
      <c r="K64" s="3"/>
      <c r="L64" s="3"/>
      <c r="M64" s="3"/>
      <c r="N64" s="3"/>
    </row>
    <row r="65" spans="2:14">
      <c r="B65" s="6"/>
      <c r="C65" s="6"/>
      <c r="D65" s="6"/>
      <c r="E65" s="6"/>
      <c r="F65" s="6"/>
      <c r="G65" s="6"/>
      <c r="H65" s="5"/>
      <c r="I65" s="3"/>
      <c r="J65" s="3"/>
      <c r="K65" s="3"/>
      <c r="L65" s="3"/>
      <c r="M65" s="3"/>
      <c r="N65" s="3"/>
    </row>
    <row r="66" spans="2:14">
      <c r="B66" s="6"/>
      <c r="C66" s="6"/>
      <c r="D66" s="6"/>
      <c r="E66" s="6"/>
      <c r="F66" s="6"/>
      <c r="G66" s="6"/>
      <c r="H66" s="5"/>
      <c r="I66" s="3"/>
      <c r="J66" s="3"/>
      <c r="K66" s="3"/>
      <c r="L66" s="3"/>
      <c r="M66" s="3"/>
      <c r="N66" s="3"/>
    </row>
    <row r="67" spans="2:14">
      <c r="B67" s="6"/>
      <c r="C67" s="6"/>
      <c r="D67" s="6"/>
      <c r="E67" s="6"/>
      <c r="F67" s="6"/>
      <c r="G67" s="6"/>
      <c r="H67" s="5"/>
      <c r="I67" s="3"/>
      <c r="J67" s="3"/>
      <c r="K67" s="3"/>
      <c r="L67" s="3"/>
      <c r="M67" s="3"/>
      <c r="N67" s="3"/>
    </row>
    <row r="68" spans="2:14">
      <c r="B68" s="6"/>
      <c r="C68" s="6"/>
      <c r="D68" s="6"/>
      <c r="E68" s="6"/>
      <c r="F68" s="6"/>
      <c r="G68" s="6"/>
      <c r="H68" s="5"/>
      <c r="I68" s="3"/>
      <c r="J68" s="3"/>
      <c r="K68" s="3"/>
      <c r="L68" s="3"/>
      <c r="M68" s="3"/>
      <c r="N68" s="3"/>
    </row>
    <row r="69" spans="2:14">
      <c r="B69" s="6"/>
      <c r="C69" s="6"/>
      <c r="D69" s="6"/>
      <c r="E69" s="6"/>
      <c r="F69" s="6"/>
      <c r="G69" s="6"/>
      <c r="H69" s="5"/>
      <c r="I69" s="3"/>
      <c r="J69" s="3"/>
      <c r="K69" s="3"/>
      <c r="L69" s="3"/>
      <c r="M69" s="3"/>
      <c r="N69" s="3"/>
    </row>
    <row r="70" spans="2:14">
      <c r="B70" s="6"/>
      <c r="C70" s="6"/>
      <c r="D70" s="6"/>
      <c r="E70" s="6"/>
      <c r="F70" s="6"/>
      <c r="G70" s="6"/>
      <c r="H70" s="5"/>
      <c r="I70" s="3"/>
      <c r="J70" s="3"/>
      <c r="K70" s="3"/>
      <c r="L70" s="3"/>
      <c r="M70" s="3"/>
      <c r="N70" s="3"/>
    </row>
  </sheetData>
  <mergeCells count="19">
    <mergeCell ref="A27:K27"/>
    <mergeCell ref="L3:L4"/>
    <mergeCell ref="M3:M4"/>
    <mergeCell ref="N3:N4"/>
    <mergeCell ref="A5:K5"/>
    <mergeCell ref="B3:B4"/>
    <mergeCell ref="A10:K10"/>
    <mergeCell ref="A13:K13"/>
    <mergeCell ref="A16:K16"/>
    <mergeCell ref="A20:K20"/>
    <mergeCell ref="A23:K23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2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8.5" style="5" bestFit="1" customWidth="1"/>
    <col min="15" max="16384" width="9.1640625" style="3"/>
  </cols>
  <sheetData>
    <row r="1" spans="1:14" s="2" customFormat="1" ht="29" customHeight="1">
      <c r="A1" s="80" t="s">
        <v>1145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113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1121</v>
      </c>
      <c r="C6" s="9" t="s">
        <v>471</v>
      </c>
      <c r="D6" s="9" t="s">
        <v>472</v>
      </c>
      <c r="E6" s="9" t="s">
        <v>1167</v>
      </c>
      <c r="F6" s="9" t="s">
        <v>17</v>
      </c>
      <c r="G6" s="9" t="s">
        <v>18</v>
      </c>
      <c r="H6" s="15" t="s">
        <v>137</v>
      </c>
      <c r="I6" s="16" t="s">
        <v>106</v>
      </c>
      <c r="J6" s="15" t="s">
        <v>106</v>
      </c>
      <c r="K6" s="10"/>
      <c r="L6" s="10" t="str">
        <f>"112,5"</f>
        <v>112,5</v>
      </c>
      <c r="M6" s="10" t="str">
        <f>"111,2513"</f>
        <v>111,2513</v>
      </c>
      <c r="N6" s="9" t="s">
        <v>1122</v>
      </c>
    </row>
    <row r="7" spans="1:14">
      <c r="B7" s="5" t="s">
        <v>9</v>
      </c>
    </row>
    <row r="8" spans="1:14" ht="16">
      <c r="A8" s="91" t="s">
        <v>28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8" t="s">
        <v>66</v>
      </c>
      <c r="B9" s="17" t="s">
        <v>473</v>
      </c>
      <c r="C9" s="17" t="s">
        <v>189</v>
      </c>
      <c r="D9" s="17" t="s">
        <v>474</v>
      </c>
      <c r="E9" s="17" t="s">
        <v>1167</v>
      </c>
      <c r="F9" s="17" t="s">
        <v>17</v>
      </c>
      <c r="G9" s="17" t="s">
        <v>18</v>
      </c>
      <c r="H9" s="23" t="s">
        <v>214</v>
      </c>
      <c r="I9" s="23" t="s">
        <v>277</v>
      </c>
      <c r="J9" s="24" t="s">
        <v>285</v>
      </c>
      <c r="K9" s="18"/>
      <c r="L9" s="18" t="str">
        <f>"280,0"</f>
        <v>280,0</v>
      </c>
      <c r="M9" s="18" t="str">
        <f>"183,5820"</f>
        <v>183,5820</v>
      </c>
      <c r="N9" s="17" t="s">
        <v>27</v>
      </c>
    </row>
    <row r="10" spans="1:14">
      <c r="A10" s="20" t="s">
        <v>312</v>
      </c>
      <c r="B10" s="19" t="s">
        <v>475</v>
      </c>
      <c r="C10" s="19" t="s">
        <v>476</v>
      </c>
      <c r="D10" s="19" t="s">
        <v>228</v>
      </c>
      <c r="E10" s="19" t="s">
        <v>1167</v>
      </c>
      <c r="F10" s="19" t="s">
        <v>17</v>
      </c>
      <c r="G10" s="19" t="s">
        <v>18</v>
      </c>
      <c r="H10" s="28" t="s">
        <v>38</v>
      </c>
      <c r="I10" s="28" t="s">
        <v>39</v>
      </c>
      <c r="J10" s="25" t="s">
        <v>259</v>
      </c>
      <c r="K10" s="20"/>
      <c r="L10" s="20" t="str">
        <f>"220,0"</f>
        <v>220,0</v>
      </c>
      <c r="M10" s="20" t="str">
        <f>"141,9220"</f>
        <v>141,9220</v>
      </c>
      <c r="N10" s="19" t="s">
        <v>27</v>
      </c>
    </row>
    <row r="11" spans="1:14">
      <c r="A11" s="22" t="s">
        <v>313</v>
      </c>
      <c r="B11" s="21" t="s">
        <v>219</v>
      </c>
      <c r="C11" s="21" t="s">
        <v>220</v>
      </c>
      <c r="D11" s="21" t="s">
        <v>221</v>
      </c>
      <c r="E11" s="21" t="s">
        <v>1167</v>
      </c>
      <c r="F11" s="21" t="s">
        <v>222</v>
      </c>
      <c r="G11" s="21" t="s">
        <v>86</v>
      </c>
      <c r="H11" s="26" t="s">
        <v>37</v>
      </c>
      <c r="I11" s="26" t="s">
        <v>433</v>
      </c>
      <c r="J11" s="22"/>
      <c r="K11" s="22"/>
      <c r="L11" s="22" t="str">
        <f>"207,5"</f>
        <v>207,5</v>
      </c>
      <c r="M11" s="22" t="str">
        <f>"134,8231"</f>
        <v>134,8231</v>
      </c>
      <c r="N11" s="21"/>
    </row>
    <row r="12" spans="1:14">
      <c r="B12" s="5" t="s">
        <v>9</v>
      </c>
    </row>
    <row r="13" spans="1:14" ht="16">
      <c r="A13" s="91" t="s">
        <v>40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4">
      <c r="A14" s="18" t="s">
        <v>66</v>
      </c>
      <c r="B14" s="17" t="s">
        <v>477</v>
      </c>
      <c r="C14" s="17" t="s">
        <v>478</v>
      </c>
      <c r="D14" s="17" t="s">
        <v>479</v>
      </c>
      <c r="E14" s="17" t="s">
        <v>1167</v>
      </c>
      <c r="F14" s="17" t="s">
        <v>17</v>
      </c>
      <c r="G14" s="17" t="s">
        <v>18</v>
      </c>
      <c r="H14" s="23" t="s">
        <v>207</v>
      </c>
      <c r="I14" s="23" t="s">
        <v>239</v>
      </c>
      <c r="J14" s="23" t="s">
        <v>216</v>
      </c>
      <c r="K14" s="18"/>
      <c r="L14" s="18" t="str">
        <f>"255,0"</f>
        <v>255,0</v>
      </c>
      <c r="M14" s="18" t="str">
        <f>"156,1237"</f>
        <v>156,1237</v>
      </c>
      <c r="N14" s="17"/>
    </row>
    <row r="15" spans="1:14">
      <c r="A15" s="22" t="s">
        <v>312</v>
      </c>
      <c r="B15" s="21" t="s">
        <v>480</v>
      </c>
      <c r="C15" s="21" t="s">
        <v>481</v>
      </c>
      <c r="D15" s="21" t="s">
        <v>482</v>
      </c>
      <c r="E15" s="21" t="s">
        <v>1167</v>
      </c>
      <c r="F15" s="21" t="s">
        <v>110</v>
      </c>
      <c r="G15" s="21" t="s">
        <v>1039</v>
      </c>
      <c r="H15" s="26" t="s">
        <v>454</v>
      </c>
      <c r="I15" s="27" t="s">
        <v>239</v>
      </c>
      <c r="J15" s="22" t="s">
        <v>239</v>
      </c>
      <c r="K15" s="22"/>
      <c r="L15" s="22" t="str">
        <f>"222,5"</f>
        <v>222,5</v>
      </c>
      <c r="M15" s="22" t="str">
        <f>"139,7078"</f>
        <v>139,7078</v>
      </c>
      <c r="N15" s="21" t="s">
        <v>1055</v>
      </c>
    </row>
    <row r="16" spans="1:14">
      <c r="B16" s="5" t="s">
        <v>9</v>
      </c>
    </row>
    <row r="17" spans="1:14" ht="16">
      <c r="A17" s="91" t="s">
        <v>49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4">
      <c r="A18" s="10" t="s">
        <v>66</v>
      </c>
      <c r="B18" s="9" t="s">
        <v>483</v>
      </c>
      <c r="C18" s="9" t="s">
        <v>484</v>
      </c>
      <c r="D18" s="9" t="s">
        <v>485</v>
      </c>
      <c r="E18" s="9" t="s">
        <v>1167</v>
      </c>
      <c r="F18" s="9" t="s">
        <v>110</v>
      </c>
      <c r="G18" s="9" t="s">
        <v>1039</v>
      </c>
      <c r="H18" s="15" t="s">
        <v>419</v>
      </c>
      <c r="I18" s="15" t="s">
        <v>259</v>
      </c>
      <c r="J18" s="16" t="s">
        <v>45</v>
      </c>
      <c r="K18" s="10"/>
      <c r="L18" s="10" t="str">
        <f>"237,5"</f>
        <v>237,5</v>
      </c>
      <c r="M18" s="10" t="str">
        <f>"138,3556"</f>
        <v>138,3556</v>
      </c>
      <c r="N18" s="9" t="s">
        <v>1055</v>
      </c>
    </row>
    <row r="19" spans="1:14">
      <c r="B19" s="5" t="s">
        <v>9</v>
      </c>
    </row>
    <row r="20" spans="1:14" ht="16">
      <c r="A20" s="91" t="s">
        <v>278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4">
      <c r="A21" s="18" t="s">
        <v>66</v>
      </c>
      <c r="B21" s="17" t="s">
        <v>486</v>
      </c>
      <c r="C21" s="17" t="s">
        <v>487</v>
      </c>
      <c r="D21" s="17" t="s">
        <v>488</v>
      </c>
      <c r="E21" s="17" t="s">
        <v>1167</v>
      </c>
      <c r="F21" s="17" t="s">
        <v>157</v>
      </c>
      <c r="G21" s="17" t="s">
        <v>18</v>
      </c>
      <c r="H21" s="23" t="s">
        <v>32</v>
      </c>
      <c r="I21" s="23" t="s">
        <v>37</v>
      </c>
      <c r="J21" s="23" t="s">
        <v>39</v>
      </c>
      <c r="K21" s="18"/>
      <c r="L21" s="18" t="str">
        <f>"220,0"</f>
        <v>220,0</v>
      </c>
      <c r="M21" s="18" t="str">
        <f>"123,4970"</f>
        <v>123,4970</v>
      </c>
      <c r="N21" s="17" t="s">
        <v>1082</v>
      </c>
    </row>
    <row r="22" spans="1:14">
      <c r="A22" s="22" t="s">
        <v>66</v>
      </c>
      <c r="B22" s="21" t="s">
        <v>486</v>
      </c>
      <c r="C22" s="21" t="s">
        <v>489</v>
      </c>
      <c r="D22" s="21" t="s">
        <v>488</v>
      </c>
      <c r="E22" s="21" t="s">
        <v>1168</v>
      </c>
      <c r="F22" s="21" t="s">
        <v>157</v>
      </c>
      <c r="G22" s="21" t="s">
        <v>18</v>
      </c>
      <c r="H22" s="26" t="s">
        <v>32</v>
      </c>
      <c r="I22" s="26" t="s">
        <v>37</v>
      </c>
      <c r="J22" s="26" t="s">
        <v>39</v>
      </c>
      <c r="K22" s="22"/>
      <c r="L22" s="22" t="str">
        <f>"220,0"</f>
        <v>220,0</v>
      </c>
      <c r="M22" s="22" t="str">
        <f>"124,7320"</f>
        <v>124,7320</v>
      </c>
      <c r="N22" s="21" t="s">
        <v>1082</v>
      </c>
    </row>
    <row r="23" spans="1:14">
      <c r="B23" s="5" t="s">
        <v>9</v>
      </c>
    </row>
    <row r="24" spans="1:14" ht="16">
      <c r="B24" s="5" t="s">
        <v>9</v>
      </c>
      <c r="F24" s="7"/>
    </row>
    <row r="25" spans="1:14">
      <c r="B25" s="5" t="s">
        <v>9</v>
      </c>
    </row>
    <row r="26" spans="1:14" ht="18">
      <c r="B26" s="8" t="s">
        <v>8</v>
      </c>
      <c r="C26" s="8"/>
      <c r="G26" s="3"/>
    </row>
    <row r="27" spans="1:14" ht="16">
      <c r="B27" s="11" t="s">
        <v>63</v>
      </c>
      <c r="C27" s="11"/>
      <c r="G27" s="3"/>
    </row>
    <row r="28" spans="1:14" ht="14">
      <c r="B28" s="12"/>
      <c r="C28" s="13" t="s">
        <v>56</v>
      </c>
      <c r="G28" s="3"/>
    </row>
    <row r="29" spans="1:14" ht="14">
      <c r="B29" s="14" t="s">
        <v>57</v>
      </c>
      <c r="C29" s="14" t="s">
        <v>58</v>
      </c>
      <c r="D29" s="14" t="s">
        <v>1041</v>
      </c>
      <c r="E29" s="14" t="s">
        <v>490</v>
      </c>
      <c r="F29" s="14" t="s">
        <v>491</v>
      </c>
      <c r="G29" s="3"/>
    </row>
    <row r="30" spans="1:14">
      <c r="B30" s="5" t="s">
        <v>473</v>
      </c>
      <c r="C30" s="5" t="s">
        <v>56</v>
      </c>
      <c r="D30" s="6" t="s">
        <v>65</v>
      </c>
      <c r="E30" s="6" t="s">
        <v>277</v>
      </c>
      <c r="F30" s="6" t="s">
        <v>492</v>
      </c>
      <c r="G30" s="3"/>
    </row>
    <row r="31" spans="1:14">
      <c r="B31" s="5" t="s">
        <v>477</v>
      </c>
      <c r="C31" s="5" t="s">
        <v>56</v>
      </c>
      <c r="D31" s="6" t="s">
        <v>64</v>
      </c>
      <c r="E31" s="6" t="s">
        <v>216</v>
      </c>
      <c r="F31" s="6" t="s">
        <v>493</v>
      </c>
      <c r="G31" s="3"/>
    </row>
    <row r="32" spans="1:14">
      <c r="B32" s="5" t="s">
        <v>475</v>
      </c>
      <c r="C32" s="5" t="s">
        <v>56</v>
      </c>
      <c r="D32" s="6" t="s">
        <v>65</v>
      </c>
      <c r="E32" s="6" t="s">
        <v>39</v>
      </c>
      <c r="F32" s="6" t="s">
        <v>494</v>
      </c>
      <c r="G32" s="3"/>
    </row>
    <row r="33" spans="2:14">
      <c r="B33" s="5" t="s">
        <v>9</v>
      </c>
    </row>
    <row r="34" spans="2:14">
      <c r="B34" s="5" t="s">
        <v>9</v>
      </c>
      <c r="C34" s="6"/>
      <c r="D34" s="6"/>
      <c r="E34" s="6"/>
      <c r="F34" s="6"/>
      <c r="G34" s="6"/>
      <c r="I34" s="5"/>
      <c r="J34" s="3"/>
      <c r="K34" s="3"/>
      <c r="L34" s="3"/>
      <c r="M34" s="3"/>
      <c r="N34" s="3"/>
    </row>
    <row r="35" spans="2:14">
      <c r="B35" s="5" t="s">
        <v>9</v>
      </c>
      <c r="C35" s="6"/>
      <c r="D35" s="6"/>
      <c r="E35" s="6"/>
      <c r="F35" s="6"/>
      <c r="G35" s="6"/>
      <c r="I35" s="5"/>
      <c r="J35" s="3"/>
      <c r="K35" s="3"/>
      <c r="L35" s="3"/>
      <c r="M35" s="3"/>
      <c r="N35" s="3"/>
    </row>
    <row r="36" spans="2:14">
      <c r="B36" s="5" t="s">
        <v>9</v>
      </c>
      <c r="C36" s="6"/>
      <c r="D36" s="6"/>
      <c r="E36" s="6"/>
      <c r="F36" s="6"/>
      <c r="G36" s="6"/>
      <c r="I36" s="5"/>
      <c r="J36" s="3"/>
      <c r="K36" s="3"/>
      <c r="L36" s="3"/>
      <c r="M36" s="3"/>
      <c r="N36" s="3"/>
    </row>
    <row r="37" spans="2:14">
      <c r="B37" s="5" t="s">
        <v>9</v>
      </c>
      <c r="C37" s="6"/>
      <c r="D37" s="6"/>
      <c r="E37" s="6"/>
      <c r="F37" s="6"/>
      <c r="G37" s="6"/>
      <c r="I37" s="5"/>
      <c r="J37" s="3"/>
      <c r="K37" s="3"/>
      <c r="L37" s="3"/>
      <c r="M37" s="3"/>
      <c r="N37" s="3"/>
    </row>
    <row r="38" spans="2:14">
      <c r="B38" s="5" t="s">
        <v>9</v>
      </c>
    </row>
    <row r="39" spans="2:14">
      <c r="B39" s="5" t="s">
        <v>9</v>
      </c>
    </row>
    <row r="40" spans="2:14">
      <c r="B40" s="5" t="s">
        <v>9</v>
      </c>
    </row>
    <row r="41" spans="2:14">
      <c r="B41" s="5" t="s">
        <v>9</v>
      </c>
    </row>
    <row r="42" spans="2:14">
      <c r="B42" s="5" t="s">
        <v>9</v>
      </c>
    </row>
  </sheetData>
  <mergeCells count="17">
    <mergeCell ref="A8:K8"/>
    <mergeCell ref="A13:K13"/>
    <mergeCell ref="A17:K17"/>
    <mergeCell ref="A20:K20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6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0.6640625" style="5" customWidth="1"/>
    <col min="15" max="16384" width="9.1640625" style="3"/>
  </cols>
  <sheetData>
    <row r="1" spans="1:14" s="2" customFormat="1" ht="29" customHeight="1">
      <c r="A1" s="80" t="s">
        <v>1146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94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664</v>
      </c>
      <c r="C6" s="9" t="s">
        <v>853</v>
      </c>
      <c r="D6" s="9" t="s">
        <v>327</v>
      </c>
      <c r="E6" s="9" t="s">
        <v>1165</v>
      </c>
      <c r="F6" s="9" t="s">
        <v>110</v>
      </c>
      <c r="G6" s="9" t="s">
        <v>1039</v>
      </c>
      <c r="H6" s="15" t="s">
        <v>158</v>
      </c>
      <c r="I6" s="16" t="s">
        <v>22</v>
      </c>
      <c r="J6" s="16" t="s">
        <v>22</v>
      </c>
      <c r="K6" s="10"/>
      <c r="L6" s="10" t="str">
        <f>"85,0"</f>
        <v>85,0</v>
      </c>
      <c r="M6" s="10" t="str">
        <f>"94,1460"</f>
        <v>94,1460</v>
      </c>
      <c r="N6" s="9" t="s">
        <v>1055</v>
      </c>
    </row>
    <row r="7" spans="1:14">
      <c r="B7" s="5" t="s">
        <v>9</v>
      </c>
    </row>
    <row r="8" spans="1:14" ht="16">
      <c r="A8" s="91" t="s">
        <v>49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8" t="s">
        <v>66</v>
      </c>
      <c r="B9" s="17" t="s">
        <v>883</v>
      </c>
      <c r="C9" s="17" t="s">
        <v>884</v>
      </c>
      <c r="D9" s="17" t="s">
        <v>885</v>
      </c>
      <c r="E9" s="17" t="s">
        <v>1167</v>
      </c>
      <c r="F9" s="17" t="s">
        <v>17</v>
      </c>
      <c r="G9" s="17" t="s">
        <v>1039</v>
      </c>
      <c r="H9" s="23" t="s">
        <v>48</v>
      </c>
      <c r="I9" s="23" t="s">
        <v>265</v>
      </c>
      <c r="J9" s="24" t="s">
        <v>455</v>
      </c>
      <c r="K9" s="18"/>
      <c r="L9" s="18" t="str">
        <f>"262,5"</f>
        <v>262,5</v>
      </c>
      <c r="M9" s="18" t="str">
        <f>"152,7881"</f>
        <v>152,7881</v>
      </c>
      <c r="N9" s="17" t="s">
        <v>27</v>
      </c>
    </row>
    <row r="10" spans="1:14">
      <c r="A10" s="22" t="s">
        <v>66</v>
      </c>
      <c r="B10" s="21" t="s">
        <v>886</v>
      </c>
      <c r="C10" s="21" t="s">
        <v>887</v>
      </c>
      <c r="D10" s="21" t="s">
        <v>888</v>
      </c>
      <c r="E10" s="21" t="s">
        <v>1169</v>
      </c>
      <c r="F10" s="21" t="s">
        <v>889</v>
      </c>
      <c r="G10" s="21" t="s">
        <v>1123</v>
      </c>
      <c r="H10" s="27" t="s">
        <v>138</v>
      </c>
      <c r="I10" s="27" t="s">
        <v>223</v>
      </c>
      <c r="J10" s="26" t="s">
        <v>223</v>
      </c>
      <c r="K10" s="22"/>
      <c r="L10" s="22" t="str">
        <f>"190,0"</f>
        <v>190,0</v>
      </c>
      <c r="M10" s="22" t="str">
        <f>"129,3138"</f>
        <v>129,3138</v>
      </c>
      <c r="N10" s="21"/>
    </row>
    <row r="11" spans="1:14">
      <c r="B11" s="5" t="s">
        <v>9</v>
      </c>
    </row>
    <row r="12" spans="1:14" ht="16">
      <c r="B12" s="5" t="s">
        <v>9</v>
      </c>
      <c r="F12" s="7"/>
    </row>
    <row r="13" spans="1:14" ht="16">
      <c r="B13" s="5" t="s">
        <v>9</v>
      </c>
      <c r="F13" s="7"/>
    </row>
    <row r="14" spans="1:14" ht="16">
      <c r="B14" s="5" t="s">
        <v>9</v>
      </c>
      <c r="F14" s="7"/>
    </row>
    <row r="15" spans="1:14" ht="16">
      <c r="B15" s="5" t="s">
        <v>9</v>
      </c>
      <c r="F15" s="7"/>
    </row>
    <row r="16" spans="1:14" ht="16">
      <c r="B16" s="5" t="s">
        <v>9</v>
      </c>
      <c r="F16" s="7"/>
    </row>
    <row r="17" spans="2:14" ht="16">
      <c r="B17" s="5" t="s">
        <v>9</v>
      </c>
      <c r="F17" s="7"/>
    </row>
    <row r="18" spans="2:14">
      <c r="B18" s="5" t="s">
        <v>9</v>
      </c>
      <c r="C18" s="6"/>
      <c r="D18" s="6"/>
      <c r="E18" s="6"/>
      <c r="F18" s="6"/>
      <c r="G18" s="6"/>
      <c r="I18" s="5"/>
      <c r="J18" s="3"/>
      <c r="K18" s="3"/>
      <c r="L18" s="3"/>
      <c r="M18" s="3"/>
      <c r="N18" s="3"/>
    </row>
    <row r="19" spans="2:14">
      <c r="B19" s="5" t="s">
        <v>9</v>
      </c>
      <c r="C19" s="6"/>
      <c r="D19" s="6"/>
      <c r="E19" s="6"/>
      <c r="F19" s="6"/>
      <c r="G19" s="6"/>
      <c r="I19" s="5"/>
      <c r="J19" s="3"/>
      <c r="K19" s="3"/>
      <c r="L19" s="3"/>
      <c r="M19" s="3"/>
      <c r="N19" s="3"/>
    </row>
    <row r="20" spans="2:14">
      <c r="B20" s="5" t="s">
        <v>9</v>
      </c>
      <c r="C20" s="6"/>
      <c r="D20" s="6"/>
      <c r="E20" s="6"/>
      <c r="F20" s="6"/>
      <c r="G20" s="6"/>
      <c r="I20" s="5"/>
      <c r="J20" s="3"/>
      <c r="K20" s="3"/>
      <c r="L20" s="3"/>
      <c r="M20" s="3"/>
      <c r="N20" s="3"/>
    </row>
    <row r="21" spans="2:14">
      <c r="B21" s="5" t="s">
        <v>9</v>
      </c>
      <c r="C21" s="6"/>
      <c r="D21" s="6"/>
      <c r="E21" s="6"/>
      <c r="F21" s="6"/>
      <c r="G21" s="6"/>
      <c r="I21" s="5"/>
      <c r="J21" s="3"/>
      <c r="K21" s="3"/>
      <c r="L21" s="3"/>
      <c r="M21" s="3"/>
      <c r="N21" s="3"/>
    </row>
    <row r="22" spans="2:14">
      <c r="B22" s="5" t="s">
        <v>9</v>
      </c>
      <c r="C22" s="6"/>
      <c r="D22" s="6"/>
      <c r="E22" s="6"/>
      <c r="F22" s="6"/>
      <c r="G22" s="6"/>
      <c r="I22" s="5"/>
      <c r="J22" s="3"/>
      <c r="K22" s="3"/>
      <c r="L22" s="3"/>
      <c r="M22" s="3"/>
      <c r="N22" s="3"/>
    </row>
    <row r="23" spans="2:14">
      <c r="B23" s="5" t="s">
        <v>9</v>
      </c>
      <c r="C23" s="6"/>
      <c r="D23" s="6"/>
      <c r="E23" s="6"/>
      <c r="F23" s="6"/>
      <c r="G23" s="6"/>
      <c r="I23" s="5"/>
      <c r="J23" s="3"/>
      <c r="K23" s="3"/>
      <c r="L23" s="3"/>
      <c r="M23" s="3"/>
      <c r="N23" s="3"/>
    </row>
    <row r="24" spans="2:14">
      <c r="B24" s="5" t="s">
        <v>9</v>
      </c>
      <c r="C24" s="6"/>
      <c r="D24" s="6"/>
      <c r="E24" s="6"/>
      <c r="F24" s="6"/>
      <c r="G24" s="6"/>
      <c r="I24" s="5"/>
      <c r="J24" s="3"/>
      <c r="K24" s="3"/>
      <c r="L24" s="3"/>
      <c r="M24" s="3"/>
      <c r="N24" s="3"/>
    </row>
    <row r="25" spans="2:14">
      <c r="B25" s="5" t="s">
        <v>9</v>
      </c>
      <c r="C25" s="6"/>
      <c r="D25" s="6"/>
      <c r="E25" s="6"/>
      <c r="F25" s="6"/>
      <c r="G25" s="6"/>
      <c r="I25" s="5"/>
      <c r="J25" s="3"/>
      <c r="K25" s="3"/>
      <c r="L25" s="3"/>
      <c r="M25" s="3"/>
      <c r="N25" s="3"/>
    </row>
    <row r="26" spans="2:14">
      <c r="B26" s="5" t="s">
        <v>9</v>
      </c>
      <c r="C26" s="6"/>
      <c r="D26" s="6"/>
      <c r="E26" s="6"/>
      <c r="F26" s="6"/>
      <c r="G26" s="6"/>
      <c r="I26" s="5"/>
      <c r="J26" s="3"/>
      <c r="K26" s="3"/>
      <c r="L26" s="3"/>
      <c r="M26" s="3"/>
      <c r="N26" s="3"/>
    </row>
    <row r="27" spans="2:14">
      <c r="B27" s="5" t="s">
        <v>9</v>
      </c>
      <c r="C27" s="6"/>
      <c r="D27" s="6"/>
      <c r="E27" s="6"/>
      <c r="F27" s="6"/>
      <c r="G27" s="6"/>
      <c r="I27" s="5"/>
      <c r="J27" s="3"/>
      <c r="K27" s="3"/>
      <c r="L27" s="3"/>
      <c r="M27" s="3"/>
      <c r="N27" s="3"/>
    </row>
    <row r="28" spans="2:14">
      <c r="B28" s="5" t="s">
        <v>9</v>
      </c>
      <c r="C28" s="6"/>
      <c r="D28" s="6"/>
      <c r="E28" s="6"/>
      <c r="F28" s="6"/>
      <c r="G28" s="6"/>
      <c r="I28" s="5"/>
      <c r="J28" s="3"/>
      <c r="K28" s="3"/>
      <c r="L28" s="3"/>
      <c r="M28" s="3"/>
      <c r="N28" s="3"/>
    </row>
    <row r="29" spans="2:14">
      <c r="B29" s="5" t="s">
        <v>9</v>
      </c>
      <c r="C29" s="6"/>
      <c r="D29" s="6"/>
      <c r="E29" s="6"/>
      <c r="F29" s="6"/>
      <c r="G29" s="6"/>
      <c r="I29" s="5"/>
      <c r="J29" s="3"/>
      <c r="K29" s="3"/>
      <c r="L29" s="3"/>
      <c r="M29" s="3"/>
      <c r="N29" s="3"/>
    </row>
    <row r="30" spans="2:14">
      <c r="B30" s="5" t="s">
        <v>9</v>
      </c>
      <c r="C30" s="6"/>
      <c r="D30" s="6"/>
      <c r="E30" s="6"/>
      <c r="F30" s="6"/>
      <c r="G30" s="6"/>
      <c r="I30" s="5"/>
      <c r="J30" s="3"/>
      <c r="K30" s="3"/>
      <c r="L30" s="3"/>
      <c r="M30" s="3"/>
      <c r="N30" s="3"/>
    </row>
    <row r="31" spans="2:14">
      <c r="B31" s="5" t="s">
        <v>9</v>
      </c>
      <c r="C31" s="6"/>
      <c r="D31" s="6"/>
      <c r="E31" s="6"/>
      <c r="F31" s="6"/>
      <c r="G31" s="6"/>
      <c r="I31" s="5"/>
      <c r="J31" s="3"/>
      <c r="K31" s="3"/>
      <c r="L31" s="3"/>
      <c r="M31" s="3"/>
      <c r="N31" s="3"/>
    </row>
    <row r="32" spans="2:14">
      <c r="B32" s="5" t="s">
        <v>9</v>
      </c>
      <c r="C32" s="6"/>
      <c r="D32" s="6"/>
      <c r="E32" s="6"/>
      <c r="F32" s="6"/>
      <c r="G32" s="6"/>
      <c r="I32" s="5"/>
      <c r="J32" s="3"/>
      <c r="K32" s="3"/>
      <c r="L32" s="3"/>
      <c r="M32" s="3"/>
      <c r="N32" s="3"/>
    </row>
    <row r="33" spans="2:14">
      <c r="B33" s="5" t="s">
        <v>9</v>
      </c>
      <c r="C33" s="6"/>
      <c r="D33" s="6"/>
      <c r="E33" s="6"/>
      <c r="F33" s="6"/>
      <c r="G33" s="6"/>
      <c r="I33" s="5"/>
      <c r="J33" s="3"/>
      <c r="K33" s="3"/>
      <c r="L33" s="3"/>
      <c r="M33" s="3"/>
      <c r="N33" s="3"/>
    </row>
    <row r="34" spans="2:14">
      <c r="B34" s="5" t="s">
        <v>9</v>
      </c>
      <c r="C34" s="6"/>
      <c r="D34" s="6"/>
      <c r="E34" s="6"/>
      <c r="F34" s="6"/>
      <c r="G34" s="6"/>
      <c r="I34" s="5"/>
      <c r="J34" s="3"/>
      <c r="K34" s="3"/>
      <c r="L34" s="3"/>
      <c r="M34" s="3"/>
      <c r="N34" s="3"/>
    </row>
    <row r="35" spans="2:14">
      <c r="B35" s="5" t="s">
        <v>9</v>
      </c>
      <c r="C35" s="6"/>
      <c r="D35" s="6"/>
      <c r="E35" s="6"/>
      <c r="F35" s="6"/>
      <c r="G35" s="6"/>
      <c r="I35" s="5"/>
      <c r="J35" s="3"/>
      <c r="K35" s="3"/>
      <c r="L35" s="3"/>
      <c r="M35" s="3"/>
      <c r="N35" s="3"/>
    </row>
    <row r="36" spans="2:14">
      <c r="C36" s="6"/>
      <c r="D36" s="6"/>
      <c r="E36" s="6"/>
      <c r="F36" s="6"/>
      <c r="G36" s="6"/>
      <c r="I36" s="5"/>
      <c r="J36" s="3"/>
      <c r="K36" s="3"/>
      <c r="L36" s="3"/>
      <c r="M36" s="3"/>
      <c r="N36" s="3"/>
    </row>
  </sheetData>
  <mergeCells count="14">
    <mergeCell ref="A8:K8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7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30" bestFit="1" customWidth="1"/>
    <col min="13" max="13" width="8.5" style="6" bestFit="1" customWidth="1"/>
    <col min="14" max="14" width="22.83203125" style="5" customWidth="1"/>
    <col min="15" max="16384" width="9.1640625" style="3"/>
  </cols>
  <sheetData>
    <row r="1" spans="1:14" s="2" customFormat="1" ht="29" customHeight="1">
      <c r="A1" s="80" t="s">
        <v>1147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2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3"/>
      <c r="M4" s="75"/>
      <c r="N4" s="77"/>
    </row>
    <row r="5" spans="1:14" ht="16">
      <c r="A5" s="78" t="s">
        <v>28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8" t="s">
        <v>66</v>
      </c>
      <c r="B6" s="17" t="s">
        <v>565</v>
      </c>
      <c r="C6" s="17" t="s">
        <v>566</v>
      </c>
      <c r="D6" s="17" t="s">
        <v>877</v>
      </c>
      <c r="E6" s="17" t="s">
        <v>1167</v>
      </c>
      <c r="F6" s="17" t="s">
        <v>550</v>
      </c>
      <c r="G6" s="17" t="s">
        <v>18</v>
      </c>
      <c r="H6" s="23" t="s">
        <v>38</v>
      </c>
      <c r="I6" s="23" t="s">
        <v>39</v>
      </c>
      <c r="J6" s="23" t="s">
        <v>239</v>
      </c>
      <c r="K6" s="18"/>
      <c r="L6" s="31" t="str">
        <f>"235,0"</f>
        <v>235,0</v>
      </c>
      <c r="M6" s="18" t="str">
        <f>"155,5818"</f>
        <v>155,5818</v>
      </c>
      <c r="N6" s="17"/>
    </row>
    <row r="7" spans="1:14">
      <c r="A7" s="22" t="s">
        <v>67</v>
      </c>
      <c r="B7" s="21" t="s">
        <v>878</v>
      </c>
      <c r="C7" s="21" t="s">
        <v>879</v>
      </c>
      <c r="D7" s="21" t="s">
        <v>228</v>
      </c>
      <c r="E7" s="21" t="s">
        <v>1167</v>
      </c>
      <c r="F7" s="21" t="s">
        <v>17</v>
      </c>
      <c r="G7" s="21" t="s">
        <v>18</v>
      </c>
      <c r="H7" s="27" t="s">
        <v>37</v>
      </c>
      <c r="I7" s="22"/>
      <c r="J7" s="22"/>
      <c r="K7" s="22"/>
      <c r="L7" s="32">
        <v>0</v>
      </c>
      <c r="M7" s="22" t="str">
        <f>"0,0000"</f>
        <v>0,0000</v>
      </c>
      <c r="N7" s="21" t="s">
        <v>27</v>
      </c>
    </row>
    <row r="8" spans="1:14">
      <c r="B8" s="5" t="s">
        <v>9</v>
      </c>
    </row>
    <row r="9" spans="1:14" ht="16">
      <c r="A9" s="91" t="s">
        <v>40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>
      <c r="A10" s="18" t="s">
        <v>66</v>
      </c>
      <c r="B10" s="17" t="s">
        <v>480</v>
      </c>
      <c r="C10" s="17" t="s">
        <v>481</v>
      </c>
      <c r="D10" s="17" t="s">
        <v>482</v>
      </c>
      <c r="E10" s="17" t="s">
        <v>1167</v>
      </c>
      <c r="F10" s="17" t="s">
        <v>110</v>
      </c>
      <c r="G10" s="17" t="s">
        <v>1039</v>
      </c>
      <c r="H10" s="24" t="s">
        <v>277</v>
      </c>
      <c r="I10" s="24" t="s">
        <v>277</v>
      </c>
      <c r="J10" s="23" t="s">
        <v>277</v>
      </c>
      <c r="K10" s="18"/>
      <c r="L10" s="31" t="str">
        <f>"280,0"</f>
        <v>280,0</v>
      </c>
      <c r="M10" s="18" t="str">
        <f>"175,8120"</f>
        <v>175,8120</v>
      </c>
      <c r="N10" s="17" t="s">
        <v>1055</v>
      </c>
    </row>
    <row r="11" spans="1:14">
      <c r="A11" s="20" t="s">
        <v>312</v>
      </c>
      <c r="B11" s="19" t="s">
        <v>880</v>
      </c>
      <c r="C11" s="19" t="s">
        <v>881</v>
      </c>
      <c r="D11" s="19" t="s">
        <v>247</v>
      </c>
      <c r="E11" s="19" t="s">
        <v>1167</v>
      </c>
      <c r="F11" s="19" t="s">
        <v>17</v>
      </c>
      <c r="G11" s="19" t="s">
        <v>18</v>
      </c>
      <c r="H11" s="28" t="s">
        <v>39</v>
      </c>
      <c r="I11" s="28" t="s">
        <v>48</v>
      </c>
      <c r="J11" s="25" t="s">
        <v>240</v>
      </c>
      <c r="K11" s="20"/>
      <c r="L11" s="34" t="str">
        <f>"250,0"</f>
        <v>250,0</v>
      </c>
      <c r="M11" s="20" t="str">
        <f>"152,9625"</f>
        <v>152,9625</v>
      </c>
      <c r="N11" s="19" t="s">
        <v>27</v>
      </c>
    </row>
    <row r="12" spans="1:14">
      <c r="A12" s="22" t="s">
        <v>66</v>
      </c>
      <c r="B12" s="21" t="s">
        <v>880</v>
      </c>
      <c r="C12" s="21" t="s">
        <v>882</v>
      </c>
      <c r="D12" s="21" t="s">
        <v>247</v>
      </c>
      <c r="E12" s="21" t="s">
        <v>1168</v>
      </c>
      <c r="F12" s="21" t="s">
        <v>17</v>
      </c>
      <c r="G12" s="21" t="s">
        <v>18</v>
      </c>
      <c r="H12" s="26" t="s">
        <v>39</v>
      </c>
      <c r="I12" s="26" t="s">
        <v>48</v>
      </c>
      <c r="J12" s="27" t="s">
        <v>240</v>
      </c>
      <c r="K12" s="22"/>
      <c r="L12" s="32" t="str">
        <f>"250,0"</f>
        <v>250,0</v>
      </c>
      <c r="M12" s="22" t="str">
        <f>"152,9625"</f>
        <v>152,9625</v>
      </c>
      <c r="N12" s="21" t="s">
        <v>27</v>
      </c>
    </row>
    <row r="13" spans="1:14">
      <c r="B13" s="5" t="s">
        <v>9</v>
      </c>
    </row>
    <row r="14" spans="1:14" ht="16">
      <c r="B14" s="5" t="s">
        <v>9</v>
      </c>
      <c r="F14" s="7"/>
    </row>
    <row r="15" spans="1:14" ht="16">
      <c r="B15" s="5" t="s">
        <v>9</v>
      </c>
      <c r="F15" s="7"/>
    </row>
    <row r="16" spans="1:14" ht="16">
      <c r="B16" s="5" t="s">
        <v>9</v>
      </c>
      <c r="F16" s="7"/>
    </row>
    <row r="17" spans="2:14" ht="16">
      <c r="B17" s="5" t="s">
        <v>9</v>
      </c>
      <c r="F17" s="7"/>
    </row>
    <row r="18" spans="2:14" ht="16">
      <c r="B18" s="5" t="s">
        <v>9</v>
      </c>
      <c r="F18" s="7"/>
    </row>
    <row r="19" spans="2:14">
      <c r="B19" s="6"/>
      <c r="C19" s="6"/>
      <c r="D19" s="6"/>
      <c r="E19" s="6"/>
      <c r="G19" s="3"/>
      <c r="H19" s="3"/>
      <c r="I19" s="3"/>
      <c r="J19" s="3"/>
      <c r="K19" s="3"/>
      <c r="L19" s="35"/>
      <c r="M19" s="3"/>
      <c r="N19" s="3"/>
    </row>
    <row r="20" spans="2:14">
      <c r="B20" s="6"/>
      <c r="C20" s="6"/>
      <c r="D20" s="6"/>
      <c r="E20" s="6"/>
      <c r="G20" s="3"/>
      <c r="H20" s="3"/>
      <c r="I20" s="3"/>
      <c r="J20" s="3"/>
      <c r="K20" s="3"/>
      <c r="L20" s="35"/>
      <c r="M20" s="3"/>
      <c r="N20" s="3"/>
    </row>
    <row r="21" spans="2:14">
      <c r="B21" s="6"/>
      <c r="C21" s="6"/>
      <c r="D21" s="6"/>
      <c r="E21" s="6"/>
      <c r="G21" s="3"/>
      <c r="H21" s="3"/>
      <c r="I21" s="3"/>
      <c r="J21" s="3"/>
      <c r="K21" s="3"/>
      <c r="L21" s="35"/>
      <c r="M21" s="3"/>
      <c r="N21" s="3"/>
    </row>
    <row r="22" spans="2:14">
      <c r="B22" s="6"/>
      <c r="C22" s="6"/>
      <c r="D22" s="6"/>
      <c r="E22" s="6"/>
      <c r="G22" s="3"/>
      <c r="H22" s="3"/>
      <c r="I22" s="3"/>
      <c r="J22" s="3"/>
      <c r="K22" s="3"/>
      <c r="L22" s="35"/>
      <c r="M22" s="3"/>
      <c r="N22" s="3"/>
    </row>
    <row r="23" spans="2:14">
      <c r="B23" s="6"/>
      <c r="C23" s="6"/>
      <c r="D23" s="6"/>
      <c r="E23" s="6"/>
      <c r="G23" s="3"/>
      <c r="H23" s="3"/>
      <c r="I23" s="3"/>
      <c r="J23" s="3"/>
      <c r="K23" s="3"/>
      <c r="L23" s="35"/>
      <c r="M23" s="3"/>
      <c r="N23" s="3"/>
    </row>
    <row r="24" spans="2:14">
      <c r="B24" s="6"/>
      <c r="C24" s="6"/>
      <c r="D24" s="6"/>
      <c r="E24" s="6"/>
      <c r="G24" s="3"/>
      <c r="H24" s="3"/>
      <c r="I24" s="3"/>
      <c r="J24" s="3"/>
      <c r="K24" s="3"/>
      <c r="L24" s="35"/>
      <c r="M24" s="3"/>
      <c r="N24" s="3"/>
    </row>
    <row r="25" spans="2:14">
      <c r="B25" s="6"/>
      <c r="C25" s="6"/>
      <c r="D25" s="6"/>
      <c r="E25" s="6"/>
      <c r="G25" s="3"/>
      <c r="H25" s="3"/>
      <c r="I25" s="3"/>
      <c r="J25" s="3"/>
      <c r="K25" s="3"/>
      <c r="L25" s="35"/>
      <c r="M25" s="3"/>
      <c r="N25" s="3"/>
    </row>
    <row r="26" spans="2:14">
      <c r="B26" s="6"/>
      <c r="C26" s="6"/>
      <c r="D26" s="6"/>
      <c r="E26" s="6"/>
      <c r="G26" s="3"/>
      <c r="H26" s="3"/>
      <c r="I26" s="3"/>
      <c r="J26" s="3"/>
      <c r="K26" s="3"/>
      <c r="L26" s="35"/>
      <c r="M26" s="3"/>
      <c r="N26" s="3"/>
    </row>
    <row r="27" spans="2:14">
      <c r="B27" s="6"/>
      <c r="C27" s="6"/>
      <c r="D27" s="6"/>
      <c r="E27" s="6"/>
      <c r="G27" s="3"/>
      <c r="H27" s="3"/>
      <c r="I27" s="3"/>
      <c r="J27" s="3"/>
      <c r="K27" s="3"/>
      <c r="L27" s="35"/>
      <c r="M27" s="3"/>
      <c r="N27" s="3"/>
    </row>
    <row r="28" spans="2:14">
      <c r="B28" s="6"/>
      <c r="C28" s="6"/>
      <c r="D28" s="6"/>
      <c r="E28" s="6"/>
      <c r="G28" s="3"/>
      <c r="H28" s="3"/>
      <c r="I28" s="3"/>
      <c r="J28" s="3"/>
      <c r="K28" s="3"/>
      <c r="L28" s="35"/>
      <c r="M28" s="3"/>
      <c r="N28" s="3"/>
    </row>
    <row r="29" spans="2:14">
      <c r="B29" s="6"/>
      <c r="C29" s="6"/>
      <c r="D29" s="6"/>
      <c r="E29" s="6"/>
      <c r="G29" s="3"/>
      <c r="H29" s="3"/>
      <c r="I29" s="3"/>
      <c r="J29" s="3"/>
      <c r="K29" s="3"/>
      <c r="L29" s="35"/>
      <c r="M29" s="3"/>
      <c r="N29" s="3"/>
    </row>
    <row r="30" spans="2:14">
      <c r="B30" s="6"/>
      <c r="C30" s="6"/>
      <c r="D30" s="6"/>
      <c r="E30" s="6"/>
      <c r="G30" s="3"/>
      <c r="H30" s="3"/>
      <c r="I30" s="3"/>
      <c r="J30" s="3"/>
      <c r="K30" s="3"/>
      <c r="L30" s="35"/>
      <c r="M30" s="3"/>
      <c r="N30" s="3"/>
    </row>
    <row r="31" spans="2:14">
      <c r="B31" s="6"/>
      <c r="C31" s="6"/>
      <c r="D31" s="6"/>
      <c r="E31" s="6"/>
      <c r="G31" s="3"/>
      <c r="H31" s="3"/>
      <c r="I31" s="3"/>
      <c r="J31" s="3"/>
      <c r="K31" s="3"/>
      <c r="L31" s="35"/>
      <c r="M31" s="3"/>
      <c r="N31" s="3"/>
    </row>
    <row r="32" spans="2:14">
      <c r="B32" s="6"/>
      <c r="C32" s="6"/>
      <c r="D32" s="6"/>
      <c r="E32" s="6"/>
      <c r="G32" s="3"/>
      <c r="H32" s="3"/>
      <c r="I32" s="3"/>
      <c r="J32" s="3"/>
      <c r="K32" s="3"/>
      <c r="L32" s="35"/>
      <c r="M32" s="3"/>
      <c r="N32" s="3"/>
    </row>
    <row r="33" spans="2:14">
      <c r="B33" s="6"/>
      <c r="C33" s="6"/>
      <c r="D33" s="6"/>
      <c r="E33" s="6"/>
      <c r="G33" s="3"/>
      <c r="H33" s="3"/>
      <c r="I33" s="3"/>
      <c r="J33" s="3"/>
      <c r="K33" s="3"/>
      <c r="L33" s="35"/>
      <c r="M33" s="3"/>
      <c r="N33" s="3"/>
    </row>
    <row r="34" spans="2:14">
      <c r="B34" s="6"/>
      <c r="C34" s="6"/>
      <c r="D34" s="6"/>
      <c r="E34" s="6"/>
      <c r="G34" s="3"/>
      <c r="H34" s="3"/>
      <c r="I34" s="3"/>
      <c r="J34" s="3"/>
      <c r="K34" s="3"/>
      <c r="L34" s="35"/>
      <c r="M34" s="3"/>
      <c r="N34" s="3"/>
    </row>
    <row r="35" spans="2:14">
      <c r="B35" s="6"/>
      <c r="C35" s="6"/>
      <c r="D35" s="6"/>
      <c r="E35" s="6"/>
      <c r="G35" s="3"/>
      <c r="H35" s="3"/>
      <c r="I35" s="3"/>
      <c r="J35" s="3"/>
      <c r="K35" s="3"/>
      <c r="L35" s="35"/>
      <c r="M35" s="3"/>
      <c r="N35" s="3"/>
    </row>
    <row r="36" spans="2:14">
      <c r="B36" s="6"/>
      <c r="C36" s="6"/>
      <c r="D36" s="6"/>
      <c r="E36" s="6"/>
      <c r="G36" s="3"/>
      <c r="H36" s="3"/>
      <c r="I36" s="3"/>
      <c r="J36" s="3"/>
      <c r="K36" s="3"/>
      <c r="L36" s="35"/>
      <c r="M36" s="3"/>
      <c r="N36" s="3"/>
    </row>
    <row r="37" spans="2:14">
      <c r="B37" s="6"/>
      <c r="C37" s="6"/>
      <c r="D37" s="6"/>
      <c r="E37" s="6"/>
      <c r="G37" s="3"/>
      <c r="H37" s="3"/>
      <c r="I37" s="3"/>
      <c r="J37" s="3"/>
      <c r="K37" s="3"/>
      <c r="L37" s="35"/>
      <c r="M37" s="3"/>
      <c r="N37" s="3"/>
    </row>
  </sheetData>
  <mergeCells count="14">
    <mergeCell ref="A9:K9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19.83203125" style="5" customWidth="1"/>
    <col min="15" max="16384" width="9.1640625" style="3"/>
  </cols>
  <sheetData>
    <row r="1" spans="1:14" s="2" customFormat="1" ht="29" customHeight="1">
      <c r="A1" s="80" t="s">
        <v>1148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28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1020</v>
      </c>
      <c r="C6" s="9" t="s">
        <v>1021</v>
      </c>
      <c r="D6" s="9" t="s">
        <v>1022</v>
      </c>
      <c r="E6" s="9" t="s">
        <v>1167</v>
      </c>
      <c r="F6" s="9" t="s">
        <v>17</v>
      </c>
      <c r="G6" s="9" t="s">
        <v>1039</v>
      </c>
      <c r="H6" s="15" t="s">
        <v>129</v>
      </c>
      <c r="I6" s="15" t="s">
        <v>130</v>
      </c>
      <c r="J6" s="16" t="s">
        <v>36</v>
      </c>
      <c r="K6" s="10"/>
      <c r="L6" s="10" t="str">
        <f>"135,0"</f>
        <v>135,0</v>
      </c>
      <c r="M6" s="10" t="str">
        <f>"88,3946"</f>
        <v>88,3946</v>
      </c>
      <c r="N6" s="9" t="s">
        <v>1075</v>
      </c>
    </row>
    <row r="7" spans="1:14">
      <c r="B7" s="5" t="s">
        <v>9</v>
      </c>
    </row>
    <row r="8" spans="1:14" ht="16">
      <c r="A8" s="91" t="s">
        <v>270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0" t="s">
        <v>66</v>
      </c>
      <c r="B9" s="9" t="s">
        <v>630</v>
      </c>
      <c r="C9" s="9" t="s">
        <v>631</v>
      </c>
      <c r="D9" s="9" t="s">
        <v>1023</v>
      </c>
      <c r="E9" s="9" t="s">
        <v>1167</v>
      </c>
      <c r="F9" s="9" t="s">
        <v>17</v>
      </c>
      <c r="G9" s="9" t="s">
        <v>1039</v>
      </c>
      <c r="H9" s="15" t="s">
        <v>224</v>
      </c>
      <c r="I9" s="15" t="s">
        <v>379</v>
      </c>
      <c r="J9" s="16" t="s">
        <v>206</v>
      </c>
      <c r="K9" s="10"/>
      <c r="L9" s="10" t="str">
        <f>"202,5"</f>
        <v>202,5</v>
      </c>
      <c r="M9" s="10" t="str">
        <f>"116,2957"</f>
        <v>116,2957</v>
      </c>
      <c r="N9" s="9"/>
    </row>
    <row r="10" spans="1:14">
      <c r="B10" s="5" t="s">
        <v>9</v>
      </c>
    </row>
    <row r="11" spans="1:14" ht="16">
      <c r="B11" s="5" t="s">
        <v>9</v>
      </c>
      <c r="F11" s="7"/>
    </row>
    <row r="12" spans="1:14" ht="16">
      <c r="B12" s="5" t="s">
        <v>9</v>
      </c>
      <c r="F12" s="7"/>
    </row>
    <row r="13" spans="1:14" ht="16">
      <c r="B13" s="5" t="s">
        <v>9</v>
      </c>
      <c r="F13" s="7"/>
    </row>
    <row r="14" spans="1:14" ht="16">
      <c r="B14" s="5" t="s">
        <v>9</v>
      </c>
      <c r="F14" s="7"/>
    </row>
    <row r="15" spans="1:14" ht="16">
      <c r="B15" s="5" t="s">
        <v>9</v>
      </c>
      <c r="F15" s="7"/>
    </row>
    <row r="16" spans="1:14" ht="16">
      <c r="B16" s="5" t="s">
        <v>9</v>
      </c>
      <c r="F16" s="7"/>
    </row>
    <row r="17" spans="2:14" ht="16">
      <c r="B17" s="5" t="s">
        <v>9</v>
      </c>
      <c r="F17" s="7"/>
    </row>
    <row r="18" spans="2:14">
      <c r="B18" s="6"/>
      <c r="C18" s="6"/>
      <c r="D18" s="6"/>
      <c r="E18" s="6"/>
      <c r="F18" s="6"/>
      <c r="G18" s="6"/>
      <c r="H18" s="5"/>
      <c r="I18" s="3"/>
      <c r="J18" s="3"/>
      <c r="K18" s="3"/>
      <c r="L18" s="3"/>
      <c r="M18" s="3"/>
      <c r="N18" s="3"/>
    </row>
    <row r="19" spans="2:14">
      <c r="B19" s="6"/>
      <c r="C19" s="6"/>
      <c r="D19" s="6"/>
      <c r="E19" s="6"/>
      <c r="F19" s="6"/>
      <c r="G19" s="6"/>
      <c r="H19" s="5"/>
      <c r="I19" s="3"/>
      <c r="J19" s="3"/>
      <c r="K19" s="3"/>
      <c r="L19" s="3"/>
      <c r="M19" s="3"/>
      <c r="N19" s="3"/>
    </row>
    <row r="20" spans="2:14">
      <c r="B20" s="6"/>
      <c r="C20" s="6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</row>
    <row r="21" spans="2:14">
      <c r="B21" s="6"/>
      <c r="C21" s="6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</row>
    <row r="22" spans="2:14">
      <c r="B22" s="6"/>
      <c r="C22" s="6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</row>
    <row r="23" spans="2:14">
      <c r="B23" s="6"/>
      <c r="C23" s="6"/>
      <c r="D23" s="6"/>
      <c r="E23" s="6"/>
      <c r="F23" s="6"/>
      <c r="G23" s="6"/>
      <c r="H23" s="5"/>
      <c r="I23" s="3"/>
      <c r="J23" s="3"/>
      <c r="K23" s="3"/>
      <c r="L23" s="3"/>
      <c r="M23" s="3"/>
      <c r="N23" s="3"/>
    </row>
    <row r="24" spans="2:14">
      <c r="B24" s="6"/>
      <c r="C24" s="6"/>
      <c r="D24" s="6"/>
      <c r="E24" s="6"/>
      <c r="F24" s="6"/>
      <c r="G24" s="6"/>
      <c r="H24" s="5"/>
      <c r="I24" s="3"/>
      <c r="J24" s="3"/>
      <c r="K24" s="3"/>
      <c r="L24" s="3"/>
      <c r="M24" s="3"/>
      <c r="N24" s="3"/>
    </row>
    <row r="25" spans="2:14">
      <c r="B25" s="6"/>
      <c r="C25" s="6"/>
      <c r="D25" s="6"/>
      <c r="E25" s="6"/>
      <c r="F25" s="6"/>
      <c r="G25" s="6"/>
      <c r="H25" s="5"/>
      <c r="I25" s="3"/>
      <c r="J25" s="3"/>
      <c r="K25" s="3"/>
      <c r="L25" s="3"/>
      <c r="M25" s="3"/>
      <c r="N25" s="3"/>
    </row>
    <row r="26" spans="2:14">
      <c r="B26" s="6"/>
      <c r="C26" s="6"/>
      <c r="D26" s="6"/>
      <c r="E26" s="6"/>
      <c r="F26" s="6"/>
      <c r="G26" s="6"/>
      <c r="H26" s="5"/>
      <c r="I26" s="3"/>
      <c r="J26" s="3"/>
      <c r="K26" s="3"/>
      <c r="L26" s="3"/>
      <c r="M26" s="3"/>
      <c r="N26" s="3"/>
    </row>
    <row r="27" spans="2:14">
      <c r="B27" s="6"/>
      <c r="C27" s="6"/>
      <c r="D27" s="6"/>
      <c r="E27" s="6"/>
      <c r="F27" s="6"/>
      <c r="G27" s="6"/>
      <c r="H27" s="5"/>
      <c r="I27" s="3"/>
      <c r="J27" s="3"/>
      <c r="K27" s="3"/>
      <c r="L27" s="3"/>
      <c r="M27" s="3"/>
      <c r="N27" s="3"/>
    </row>
  </sheetData>
  <mergeCells count="14">
    <mergeCell ref="A8:K8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4"/>
  <sheetViews>
    <sheetView topLeftCell="A18" workbookViewId="0">
      <selection activeCell="E49" sqref="E4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32.33203125" style="5" bestFit="1" customWidth="1"/>
    <col min="15" max="16384" width="9.1640625" style="3"/>
  </cols>
  <sheetData>
    <row r="1" spans="1:14" s="2" customFormat="1" ht="29" customHeight="1">
      <c r="A1" s="80" t="s">
        <v>1149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12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94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910</v>
      </c>
      <c r="C6" s="9" t="s">
        <v>911</v>
      </c>
      <c r="D6" s="9" t="s">
        <v>912</v>
      </c>
      <c r="E6" s="9" t="s">
        <v>1167</v>
      </c>
      <c r="F6" s="9" t="s">
        <v>602</v>
      </c>
      <c r="G6" s="9" t="s">
        <v>1039</v>
      </c>
      <c r="H6" s="15" t="s">
        <v>180</v>
      </c>
      <c r="I6" s="15" t="s">
        <v>101</v>
      </c>
      <c r="J6" s="15" t="s">
        <v>136</v>
      </c>
      <c r="K6" s="10"/>
      <c r="L6" s="10" t="str">
        <f>"92,5"</f>
        <v>92,5</v>
      </c>
      <c r="M6" s="10" t="str">
        <f>"115,8285"</f>
        <v>115,8285</v>
      </c>
      <c r="N6" s="9" t="s">
        <v>328</v>
      </c>
    </row>
    <row r="7" spans="1:14">
      <c r="B7" s="5" t="s">
        <v>9</v>
      </c>
    </row>
    <row r="8" spans="1:14" ht="16">
      <c r="A8" s="91" t="s">
        <v>113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8" t="s">
        <v>66</v>
      </c>
      <c r="B9" s="17" t="s">
        <v>343</v>
      </c>
      <c r="C9" s="17" t="s">
        <v>344</v>
      </c>
      <c r="D9" s="17" t="s">
        <v>345</v>
      </c>
      <c r="E9" s="17" t="s">
        <v>1167</v>
      </c>
      <c r="F9" s="17" t="s">
        <v>17</v>
      </c>
      <c r="G9" s="17" t="s">
        <v>1039</v>
      </c>
      <c r="H9" s="23" t="s">
        <v>162</v>
      </c>
      <c r="I9" s="23" t="s">
        <v>34</v>
      </c>
      <c r="J9" s="24" t="s">
        <v>129</v>
      </c>
      <c r="K9" s="18"/>
      <c r="L9" s="18" t="str">
        <f>"125,0"</f>
        <v>125,0</v>
      </c>
      <c r="M9" s="18" t="str">
        <f>"139,7250"</f>
        <v>139,7250</v>
      </c>
      <c r="N9" s="17" t="s">
        <v>1072</v>
      </c>
    </row>
    <row r="10" spans="1:14">
      <c r="A10" s="20" t="s">
        <v>312</v>
      </c>
      <c r="B10" s="19" t="s">
        <v>349</v>
      </c>
      <c r="C10" s="19" t="s">
        <v>350</v>
      </c>
      <c r="D10" s="19" t="s">
        <v>351</v>
      </c>
      <c r="E10" s="19" t="s">
        <v>1167</v>
      </c>
      <c r="F10" s="19" t="s">
        <v>110</v>
      </c>
      <c r="G10" s="19" t="s">
        <v>1039</v>
      </c>
      <c r="H10" s="25" t="s">
        <v>165</v>
      </c>
      <c r="I10" s="28" t="s">
        <v>165</v>
      </c>
      <c r="J10" s="25" t="s">
        <v>35</v>
      </c>
      <c r="K10" s="20"/>
      <c r="L10" s="20" t="str">
        <f>"110,0"</f>
        <v>110,0</v>
      </c>
      <c r="M10" s="20" t="str">
        <f>"122,6390"</f>
        <v>122,6390</v>
      </c>
      <c r="N10" s="19" t="s">
        <v>1055</v>
      </c>
    </row>
    <row r="11" spans="1:14">
      <c r="A11" s="22" t="s">
        <v>66</v>
      </c>
      <c r="B11" s="21" t="s">
        <v>685</v>
      </c>
      <c r="C11" s="21" t="s">
        <v>686</v>
      </c>
      <c r="D11" s="21" t="s">
        <v>687</v>
      </c>
      <c r="E11" s="21" t="s">
        <v>1168</v>
      </c>
      <c r="F11" s="21" t="s">
        <v>688</v>
      </c>
      <c r="G11" s="21" t="s">
        <v>18</v>
      </c>
      <c r="H11" s="26" t="s">
        <v>166</v>
      </c>
      <c r="I11" s="27" t="s">
        <v>34</v>
      </c>
      <c r="J11" s="26" t="s">
        <v>34</v>
      </c>
      <c r="K11" s="22"/>
      <c r="L11" s="22" t="str">
        <f>"125,0"</f>
        <v>125,0</v>
      </c>
      <c r="M11" s="22" t="str">
        <f>"143,1641"</f>
        <v>143,1641</v>
      </c>
      <c r="N11" s="21" t="s">
        <v>689</v>
      </c>
    </row>
    <row r="12" spans="1:14">
      <c r="B12" s="5" t="s">
        <v>9</v>
      </c>
    </row>
    <row r="13" spans="1:14" ht="16">
      <c r="A13" s="91" t="s">
        <v>121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4">
      <c r="A14" s="18" t="s">
        <v>66</v>
      </c>
      <c r="B14" s="17" t="s">
        <v>913</v>
      </c>
      <c r="C14" s="17" t="s">
        <v>914</v>
      </c>
      <c r="D14" s="17" t="s">
        <v>915</v>
      </c>
      <c r="E14" s="17" t="s">
        <v>1166</v>
      </c>
      <c r="F14" s="17" t="s">
        <v>110</v>
      </c>
      <c r="G14" s="17" t="s">
        <v>1039</v>
      </c>
      <c r="H14" s="23" t="s">
        <v>166</v>
      </c>
      <c r="I14" s="23" t="s">
        <v>54</v>
      </c>
      <c r="J14" s="18"/>
      <c r="K14" s="18"/>
      <c r="L14" s="18" t="str">
        <f>"140,0"</f>
        <v>140,0</v>
      </c>
      <c r="M14" s="18" t="str">
        <f>"143,5000"</f>
        <v>143,5000</v>
      </c>
      <c r="N14" s="17" t="s">
        <v>1055</v>
      </c>
    </row>
    <row r="15" spans="1:14">
      <c r="A15" s="20" t="s">
        <v>66</v>
      </c>
      <c r="B15" s="19" t="s">
        <v>358</v>
      </c>
      <c r="C15" s="19" t="s">
        <v>359</v>
      </c>
      <c r="D15" s="19" t="s">
        <v>360</v>
      </c>
      <c r="E15" s="19" t="s">
        <v>1167</v>
      </c>
      <c r="F15" s="19" t="s">
        <v>110</v>
      </c>
      <c r="G15" s="19" t="s">
        <v>1039</v>
      </c>
      <c r="H15" s="28" t="s">
        <v>129</v>
      </c>
      <c r="I15" s="28" t="s">
        <v>244</v>
      </c>
      <c r="J15" s="25" t="s">
        <v>255</v>
      </c>
      <c r="K15" s="20"/>
      <c r="L15" s="20" t="str">
        <f>"145,0"</f>
        <v>145,0</v>
      </c>
      <c r="M15" s="20" t="str">
        <f>"153,1780"</f>
        <v>153,1780</v>
      </c>
      <c r="N15" s="19" t="s">
        <v>1124</v>
      </c>
    </row>
    <row r="16" spans="1:14">
      <c r="A16" s="20" t="s">
        <v>312</v>
      </c>
      <c r="B16" s="19" t="s">
        <v>361</v>
      </c>
      <c r="C16" s="19" t="s">
        <v>362</v>
      </c>
      <c r="D16" s="19" t="s">
        <v>172</v>
      </c>
      <c r="E16" s="19" t="s">
        <v>1167</v>
      </c>
      <c r="F16" s="19" t="s">
        <v>17</v>
      </c>
      <c r="G16" s="19" t="s">
        <v>18</v>
      </c>
      <c r="H16" s="28" t="s">
        <v>34</v>
      </c>
      <c r="I16" s="28" t="s">
        <v>130</v>
      </c>
      <c r="J16" s="25" t="s">
        <v>244</v>
      </c>
      <c r="K16" s="20"/>
      <c r="L16" s="20" t="str">
        <f>"135,0"</f>
        <v>135,0</v>
      </c>
      <c r="M16" s="20" t="str">
        <f>"137,7810"</f>
        <v>137,7810</v>
      </c>
      <c r="N16" s="19" t="s">
        <v>27</v>
      </c>
    </row>
    <row r="17" spans="1:14">
      <c r="A17" s="22" t="s">
        <v>66</v>
      </c>
      <c r="B17" s="21" t="s">
        <v>361</v>
      </c>
      <c r="C17" s="21" t="s">
        <v>366</v>
      </c>
      <c r="D17" s="21" t="s">
        <v>172</v>
      </c>
      <c r="E17" s="21" t="s">
        <v>1168</v>
      </c>
      <c r="F17" s="21" t="s">
        <v>17</v>
      </c>
      <c r="G17" s="21" t="s">
        <v>18</v>
      </c>
      <c r="H17" s="26" t="s">
        <v>34</v>
      </c>
      <c r="I17" s="26" t="s">
        <v>130</v>
      </c>
      <c r="J17" s="27" t="s">
        <v>244</v>
      </c>
      <c r="K17" s="22"/>
      <c r="L17" s="22" t="str">
        <f>"135,0"</f>
        <v>135,0</v>
      </c>
      <c r="M17" s="22" t="str">
        <f>"143,8434"</f>
        <v>143,8434</v>
      </c>
      <c r="N17" s="21" t="s">
        <v>27</v>
      </c>
    </row>
    <row r="18" spans="1:14">
      <c r="B18" s="5" t="s">
        <v>9</v>
      </c>
    </row>
    <row r="19" spans="1:14" ht="16">
      <c r="A19" s="91" t="s">
        <v>176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4">
      <c r="A20" s="10" t="s">
        <v>66</v>
      </c>
      <c r="B20" s="9" t="s">
        <v>367</v>
      </c>
      <c r="C20" s="9" t="s">
        <v>368</v>
      </c>
      <c r="D20" s="9" t="s">
        <v>369</v>
      </c>
      <c r="E20" s="9" t="s">
        <v>1167</v>
      </c>
      <c r="F20" s="9" t="s">
        <v>17</v>
      </c>
      <c r="G20" s="9" t="s">
        <v>1039</v>
      </c>
      <c r="H20" s="16" t="s">
        <v>22</v>
      </c>
      <c r="I20" s="16" t="s">
        <v>22</v>
      </c>
      <c r="J20" s="15" t="s">
        <v>22</v>
      </c>
      <c r="K20" s="10"/>
      <c r="L20" s="10" t="str">
        <f>"95,0"</f>
        <v>95,0</v>
      </c>
      <c r="M20" s="10" t="str">
        <f>"91,1620"</f>
        <v>91,1620</v>
      </c>
      <c r="N20" s="9" t="s">
        <v>27</v>
      </c>
    </row>
    <row r="21" spans="1:14">
      <c r="B21" s="5" t="s">
        <v>9</v>
      </c>
    </row>
    <row r="22" spans="1:14" ht="16">
      <c r="A22" s="91" t="s">
        <v>94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4">
      <c r="A23" s="10" t="s">
        <v>66</v>
      </c>
      <c r="B23" s="9" t="s">
        <v>694</v>
      </c>
      <c r="C23" s="9" t="s">
        <v>695</v>
      </c>
      <c r="D23" s="9" t="s">
        <v>696</v>
      </c>
      <c r="E23" s="9" t="s">
        <v>1166</v>
      </c>
      <c r="F23" s="9" t="s">
        <v>157</v>
      </c>
      <c r="G23" s="9" t="s">
        <v>18</v>
      </c>
      <c r="H23" s="15" t="s">
        <v>105</v>
      </c>
      <c r="I23" s="16" t="s">
        <v>166</v>
      </c>
      <c r="J23" s="16" t="s">
        <v>166</v>
      </c>
      <c r="K23" s="10"/>
      <c r="L23" s="10" t="str">
        <f>"100,0"</f>
        <v>100,0</v>
      </c>
      <c r="M23" s="10" t="str">
        <f>"99,9500"</f>
        <v>99,9500</v>
      </c>
      <c r="N23" s="9" t="s">
        <v>1074</v>
      </c>
    </row>
    <row r="24" spans="1:14">
      <c r="B24" s="5" t="s">
        <v>9</v>
      </c>
    </row>
    <row r="25" spans="1:14" ht="16">
      <c r="A25" s="91" t="s">
        <v>13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4">
      <c r="A26" s="10" t="s">
        <v>66</v>
      </c>
      <c r="B26" s="9" t="s">
        <v>373</v>
      </c>
      <c r="C26" s="9" t="s">
        <v>374</v>
      </c>
      <c r="D26" s="9" t="s">
        <v>336</v>
      </c>
      <c r="E26" s="9" t="s">
        <v>1167</v>
      </c>
      <c r="F26" s="9" t="s">
        <v>110</v>
      </c>
      <c r="G26" s="9" t="s">
        <v>1039</v>
      </c>
      <c r="H26" s="15" t="s">
        <v>47</v>
      </c>
      <c r="I26" s="16" t="s">
        <v>74</v>
      </c>
      <c r="J26" s="16" t="s">
        <v>375</v>
      </c>
      <c r="K26" s="10"/>
      <c r="L26" s="10" t="str">
        <f>"170,0"</f>
        <v>170,0</v>
      </c>
      <c r="M26" s="10" t="str">
        <f>"156,9610"</f>
        <v>156,9610</v>
      </c>
      <c r="N26" s="9" t="s">
        <v>1055</v>
      </c>
    </row>
    <row r="27" spans="1:14">
      <c r="B27" s="5" t="s">
        <v>9</v>
      </c>
    </row>
    <row r="28" spans="1:14" ht="16">
      <c r="A28" s="91" t="s">
        <v>121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4">
      <c r="A29" s="18" t="s">
        <v>66</v>
      </c>
      <c r="B29" s="17" t="s">
        <v>916</v>
      </c>
      <c r="C29" s="17" t="s">
        <v>917</v>
      </c>
      <c r="D29" s="17" t="s">
        <v>918</v>
      </c>
      <c r="E29" s="17" t="s">
        <v>1164</v>
      </c>
      <c r="F29" s="17" t="s">
        <v>125</v>
      </c>
      <c r="G29" s="17" t="s">
        <v>126</v>
      </c>
      <c r="H29" s="23" t="s">
        <v>134</v>
      </c>
      <c r="I29" s="24" t="s">
        <v>25</v>
      </c>
      <c r="J29" s="23" t="s">
        <v>25</v>
      </c>
      <c r="K29" s="18"/>
      <c r="L29" s="18" t="str">
        <f>"160,0"</f>
        <v>160,0</v>
      </c>
      <c r="M29" s="18" t="str">
        <f>"125,1680"</f>
        <v>125,1680</v>
      </c>
      <c r="N29" s="17" t="s">
        <v>1125</v>
      </c>
    </row>
    <row r="30" spans="1:14">
      <c r="A30" s="20" t="s">
        <v>66</v>
      </c>
      <c r="B30" s="19" t="s">
        <v>389</v>
      </c>
      <c r="C30" s="19" t="s">
        <v>390</v>
      </c>
      <c r="D30" s="19" t="s">
        <v>161</v>
      </c>
      <c r="E30" s="19" t="s">
        <v>1167</v>
      </c>
      <c r="F30" s="19" t="s">
        <v>17</v>
      </c>
      <c r="G30" s="19" t="s">
        <v>1039</v>
      </c>
      <c r="H30" s="28" t="s">
        <v>47</v>
      </c>
      <c r="I30" s="28" t="s">
        <v>32</v>
      </c>
      <c r="J30" s="20"/>
      <c r="K30" s="20"/>
      <c r="L30" s="20" t="str">
        <f>"180,0"</f>
        <v>180,0</v>
      </c>
      <c r="M30" s="20" t="str">
        <f>"139,9500"</f>
        <v>139,9500</v>
      </c>
      <c r="N30" s="19" t="s">
        <v>27</v>
      </c>
    </row>
    <row r="31" spans="1:14">
      <c r="A31" s="22" t="s">
        <v>312</v>
      </c>
      <c r="B31" s="21" t="s">
        <v>391</v>
      </c>
      <c r="C31" s="21" t="s">
        <v>392</v>
      </c>
      <c r="D31" s="21" t="s">
        <v>161</v>
      </c>
      <c r="E31" s="21" t="s">
        <v>1167</v>
      </c>
      <c r="F31" s="21" t="s">
        <v>356</v>
      </c>
      <c r="G31" s="21" t="s">
        <v>1039</v>
      </c>
      <c r="H31" s="26" t="s">
        <v>25</v>
      </c>
      <c r="I31" s="26" t="s">
        <v>47</v>
      </c>
      <c r="J31" s="22"/>
      <c r="K31" s="22"/>
      <c r="L31" s="22" t="str">
        <f>"170,0"</f>
        <v>170,0</v>
      </c>
      <c r="M31" s="22" t="str">
        <f>"132,1750"</f>
        <v>132,1750</v>
      </c>
      <c r="N31" s="21" t="s">
        <v>1085</v>
      </c>
    </row>
    <row r="32" spans="1:14">
      <c r="B32" s="5" t="s">
        <v>9</v>
      </c>
    </row>
    <row r="33" spans="1:14" ht="16">
      <c r="A33" s="91" t="s">
        <v>176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4">
      <c r="A34" s="10" t="s">
        <v>66</v>
      </c>
      <c r="B34" s="9" t="s">
        <v>919</v>
      </c>
      <c r="C34" s="9" t="s">
        <v>920</v>
      </c>
      <c r="D34" s="9" t="s">
        <v>921</v>
      </c>
      <c r="E34" s="9" t="s">
        <v>1165</v>
      </c>
      <c r="F34" s="9" t="s">
        <v>922</v>
      </c>
      <c r="G34" s="9" t="s">
        <v>18</v>
      </c>
      <c r="H34" s="15" t="s">
        <v>166</v>
      </c>
      <c r="I34" s="15" t="s">
        <v>200</v>
      </c>
      <c r="J34" s="15" t="s">
        <v>130</v>
      </c>
      <c r="K34" s="10"/>
      <c r="L34" s="10" t="str">
        <f>"135,0"</f>
        <v>135,0</v>
      </c>
      <c r="M34" s="10" t="str">
        <f>"97,9560"</f>
        <v>97,9560</v>
      </c>
      <c r="N34" s="9" t="s">
        <v>1085</v>
      </c>
    </row>
    <row r="35" spans="1:14">
      <c r="B35" s="5" t="s">
        <v>9</v>
      </c>
    </row>
    <row r="36" spans="1:14" ht="16">
      <c r="A36" s="91" t="s">
        <v>28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4">
      <c r="A37" s="18" t="s">
        <v>66</v>
      </c>
      <c r="B37" s="17" t="s">
        <v>416</v>
      </c>
      <c r="C37" s="17" t="s">
        <v>417</v>
      </c>
      <c r="D37" s="17" t="s">
        <v>418</v>
      </c>
      <c r="E37" s="17" t="s">
        <v>1164</v>
      </c>
      <c r="F37" s="17" t="s">
        <v>17</v>
      </c>
      <c r="G37" s="17" t="s">
        <v>18</v>
      </c>
      <c r="H37" s="23" t="s">
        <v>419</v>
      </c>
      <c r="I37" s="24" t="s">
        <v>48</v>
      </c>
      <c r="J37" s="24" t="s">
        <v>48</v>
      </c>
      <c r="K37" s="18"/>
      <c r="L37" s="18" t="str">
        <f>"225,0"</f>
        <v>225,0</v>
      </c>
      <c r="M37" s="18" t="str">
        <f>"153,6075"</f>
        <v>153,6075</v>
      </c>
      <c r="N37" s="17" t="s">
        <v>27</v>
      </c>
    </row>
    <row r="38" spans="1:14">
      <c r="A38" s="20" t="s">
        <v>66</v>
      </c>
      <c r="B38" s="19" t="s">
        <v>923</v>
      </c>
      <c r="C38" s="19" t="s">
        <v>924</v>
      </c>
      <c r="D38" s="19" t="s">
        <v>925</v>
      </c>
      <c r="E38" s="19" t="s">
        <v>1167</v>
      </c>
      <c r="F38" s="19" t="s">
        <v>1054</v>
      </c>
      <c r="G38" s="19" t="s">
        <v>757</v>
      </c>
      <c r="H38" s="25" t="s">
        <v>225</v>
      </c>
      <c r="I38" s="28" t="s">
        <v>225</v>
      </c>
      <c r="J38" s="28" t="s">
        <v>926</v>
      </c>
      <c r="K38" s="20"/>
      <c r="L38" s="20" t="str">
        <f>"242,5"</f>
        <v>242,5</v>
      </c>
      <c r="M38" s="20" t="str">
        <f>"162,4508"</f>
        <v>162,4508</v>
      </c>
      <c r="N38" s="19" t="s">
        <v>1126</v>
      </c>
    </row>
    <row r="39" spans="1:14">
      <c r="A39" s="22" t="s">
        <v>312</v>
      </c>
      <c r="B39" s="21" t="s">
        <v>423</v>
      </c>
      <c r="C39" s="21" t="s">
        <v>927</v>
      </c>
      <c r="D39" s="21" t="s">
        <v>425</v>
      </c>
      <c r="E39" s="21" t="s">
        <v>1167</v>
      </c>
      <c r="F39" s="21" t="s">
        <v>426</v>
      </c>
      <c r="G39" s="21" t="s">
        <v>1039</v>
      </c>
      <c r="H39" s="26" t="s">
        <v>39</v>
      </c>
      <c r="I39" s="26" t="s">
        <v>45</v>
      </c>
      <c r="J39" s="27" t="s">
        <v>216</v>
      </c>
      <c r="K39" s="22"/>
      <c r="L39" s="22" t="str">
        <f>"240,0"</f>
        <v>240,0</v>
      </c>
      <c r="M39" s="22" t="str">
        <f>"163,9680"</f>
        <v>163,9680</v>
      </c>
      <c r="N39" s="21" t="s">
        <v>1085</v>
      </c>
    </row>
    <row r="40" spans="1:14">
      <c r="B40" s="5" t="s">
        <v>9</v>
      </c>
    </row>
    <row r="41" spans="1:14" ht="16">
      <c r="A41" s="91" t="s">
        <v>40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4">
      <c r="A42" s="18" t="s">
        <v>66</v>
      </c>
      <c r="B42" s="17" t="s">
        <v>928</v>
      </c>
      <c r="C42" s="17" t="s">
        <v>929</v>
      </c>
      <c r="D42" s="17" t="s">
        <v>930</v>
      </c>
      <c r="E42" s="17" t="s">
        <v>1166</v>
      </c>
      <c r="F42" s="17" t="s">
        <v>1054</v>
      </c>
      <c r="G42" s="17" t="s">
        <v>509</v>
      </c>
      <c r="H42" s="23" t="s">
        <v>244</v>
      </c>
      <c r="I42" s="23" t="s">
        <v>134</v>
      </c>
      <c r="J42" s="18"/>
      <c r="K42" s="18"/>
      <c r="L42" s="18" t="str">
        <f>"150,0"</f>
        <v>150,0</v>
      </c>
      <c r="M42" s="18" t="str">
        <f>"99,4950"</f>
        <v>99,4950</v>
      </c>
      <c r="N42" s="17" t="s">
        <v>1077</v>
      </c>
    </row>
    <row r="43" spans="1:14">
      <c r="A43" s="20" t="s">
        <v>66</v>
      </c>
      <c r="B43" s="19" t="s">
        <v>437</v>
      </c>
      <c r="C43" s="19" t="s">
        <v>438</v>
      </c>
      <c r="D43" s="19" t="s">
        <v>238</v>
      </c>
      <c r="E43" s="19" t="s">
        <v>1167</v>
      </c>
      <c r="F43" s="19" t="s">
        <v>125</v>
      </c>
      <c r="G43" s="19" t="s">
        <v>126</v>
      </c>
      <c r="H43" s="28" t="s">
        <v>48</v>
      </c>
      <c r="I43" s="28" t="s">
        <v>213</v>
      </c>
      <c r="J43" s="28" t="s">
        <v>254</v>
      </c>
      <c r="K43" s="20"/>
      <c r="L43" s="20" t="str">
        <f>"265,0"</f>
        <v>265,0</v>
      </c>
      <c r="M43" s="20" t="str">
        <f>"169,8650"</f>
        <v>169,8650</v>
      </c>
      <c r="N43" s="19" t="s">
        <v>1127</v>
      </c>
    </row>
    <row r="44" spans="1:14">
      <c r="A44" s="22" t="s">
        <v>66</v>
      </c>
      <c r="B44" s="21" t="s">
        <v>931</v>
      </c>
      <c r="C44" s="21" t="s">
        <v>932</v>
      </c>
      <c r="D44" s="21" t="s">
        <v>479</v>
      </c>
      <c r="E44" s="21" t="s">
        <v>1170</v>
      </c>
      <c r="F44" s="21" t="s">
        <v>17</v>
      </c>
      <c r="G44" s="21" t="s">
        <v>18</v>
      </c>
      <c r="H44" s="26" t="s">
        <v>32</v>
      </c>
      <c r="I44" s="26" t="s">
        <v>37</v>
      </c>
      <c r="J44" s="26" t="s">
        <v>38</v>
      </c>
      <c r="K44" s="22"/>
      <c r="L44" s="22" t="str">
        <f>"210,0"</f>
        <v>210,0</v>
      </c>
      <c r="M44" s="22" t="str">
        <f>"205,6489"</f>
        <v>205,6489</v>
      </c>
      <c r="N44" s="21" t="s">
        <v>27</v>
      </c>
    </row>
    <row r="45" spans="1:14">
      <c r="B45" s="5" t="s">
        <v>9</v>
      </c>
    </row>
    <row r="46" spans="1:14" ht="16">
      <c r="A46" s="91" t="s">
        <v>49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</row>
    <row r="47" spans="1:14">
      <c r="A47" s="18" t="s">
        <v>66</v>
      </c>
      <c r="B47" s="17" t="s">
        <v>442</v>
      </c>
      <c r="C47" s="17" t="s">
        <v>443</v>
      </c>
      <c r="D47" s="17" t="s">
        <v>444</v>
      </c>
      <c r="E47" s="17" t="s">
        <v>1167</v>
      </c>
      <c r="F47" s="17" t="s">
        <v>235</v>
      </c>
      <c r="G47" s="17" t="s">
        <v>1039</v>
      </c>
      <c r="H47" s="23" t="s">
        <v>38</v>
      </c>
      <c r="I47" s="23" t="s">
        <v>446</v>
      </c>
      <c r="J47" s="23" t="s">
        <v>45</v>
      </c>
      <c r="K47" s="18"/>
      <c r="L47" s="18" t="str">
        <f>"240,0"</f>
        <v>240,0</v>
      </c>
      <c r="M47" s="18" t="str">
        <f>"150,4560"</f>
        <v>150,4560</v>
      </c>
      <c r="N47" s="17" t="s">
        <v>412</v>
      </c>
    </row>
    <row r="48" spans="1:14">
      <c r="A48" s="22" t="s">
        <v>312</v>
      </c>
      <c r="B48" s="21" t="s">
        <v>50</v>
      </c>
      <c r="C48" s="21" t="s">
        <v>51</v>
      </c>
      <c r="D48" s="21" t="s">
        <v>52</v>
      </c>
      <c r="E48" s="21" t="s">
        <v>1167</v>
      </c>
      <c r="F48" s="21" t="s">
        <v>17</v>
      </c>
      <c r="G48" s="21" t="s">
        <v>18</v>
      </c>
      <c r="H48" s="26" t="s">
        <v>379</v>
      </c>
      <c r="I48" s="26" t="s">
        <v>38</v>
      </c>
      <c r="J48" s="22"/>
      <c r="K48" s="22"/>
      <c r="L48" s="22" t="str">
        <f>"210,0"</f>
        <v>210,0</v>
      </c>
      <c r="M48" s="22" t="str">
        <f>"128,8560"</f>
        <v>128,8560</v>
      </c>
      <c r="N48" s="21" t="s">
        <v>27</v>
      </c>
    </row>
    <row r="49" spans="2:6">
      <c r="B49" s="5" t="s">
        <v>9</v>
      </c>
    </row>
    <row r="50" spans="2:6" ht="16">
      <c r="B50" s="5" t="s">
        <v>9</v>
      </c>
      <c r="F50" s="7"/>
    </row>
    <row r="51" spans="2:6" ht="16">
      <c r="B51" s="5" t="s">
        <v>9</v>
      </c>
      <c r="F51" s="7"/>
    </row>
    <row r="52" spans="2:6" ht="18">
      <c r="B52" s="8" t="s">
        <v>8</v>
      </c>
      <c r="C52" s="8"/>
    </row>
    <row r="53" spans="2:6" ht="16">
      <c r="B53" s="11" t="s">
        <v>55</v>
      </c>
      <c r="C53" s="11"/>
    </row>
    <row r="54" spans="2:6" ht="14">
      <c r="B54" s="12"/>
      <c r="C54" s="13" t="s">
        <v>56</v>
      </c>
    </row>
    <row r="55" spans="2:6" ht="14">
      <c r="B55" s="14" t="s">
        <v>57</v>
      </c>
      <c r="C55" s="14" t="s">
        <v>58</v>
      </c>
      <c r="D55" s="14" t="s">
        <v>1041</v>
      </c>
      <c r="E55" s="14" t="s">
        <v>490</v>
      </c>
      <c r="F55" s="14" t="s">
        <v>61</v>
      </c>
    </row>
    <row r="56" spans="2:6">
      <c r="B56" s="5" t="s">
        <v>358</v>
      </c>
      <c r="C56" s="5" t="s">
        <v>56</v>
      </c>
      <c r="D56" s="6" t="s">
        <v>291</v>
      </c>
      <c r="E56" s="6" t="s">
        <v>244</v>
      </c>
      <c r="F56" s="6" t="s">
        <v>933</v>
      </c>
    </row>
    <row r="57" spans="2:6">
      <c r="B57" s="5" t="s">
        <v>343</v>
      </c>
      <c r="C57" s="5" t="s">
        <v>56</v>
      </c>
      <c r="D57" s="6" t="s">
        <v>453</v>
      </c>
      <c r="E57" s="6" t="s">
        <v>34</v>
      </c>
      <c r="F57" s="6" t="s">
        <v>934</v>
      </c>
    </row>
    <row r="58" spans="2:6">
      <c r="B58" s="5" t="s">
        <v>361</v>
      </c>
      <c r="C58" s="5" t="s">
        <v>56</v>
      </c>
      <c r="D58" s="6" t="s">
        <v>291</v>
      </c>
      <c r="E58" s="6" t="s">
        <v>130</v>
      </c>
      <c r="F58" s="6" t="s">
        <v>935</v>
      </c>
    </row>
    <row r="60" spans="2:6" ht="14">
      <c r="B60" s="12"/>
      <c r="C60" s="13" t="s">
        <v>56</v>
      </c>
    </row>
    <row r="61" spans="2:6" ht="14">
      <c r="B61" s="14" t="s">
        <v>57</v>
      </c>
      <c r="C61" s="14" t="s">
        <v>58</v>
      </c>
      <c r="D61" s="14" t="s">
        <v>1041</v>
      </c>
      <c r="E61" s="14" t="s">
        <v>490</v>
      </c>
      <c r="F61" s="14" t="s">
        <v>61</v>
      </c>
    </row>
    <row r="62" spans="2:6">
      <c r="B62" s="5" t="s">
        <v>437</v>
      </c>
      <c r="C62" s="5" t="s">
        <v>56</v>
      </c>
      <c r="D62" s="6" t="s">
        <v>64</v>
      </c>
      <c r="E62" s="6" t="s">
        <v>254</v>
      </c>
      <c r="F62" s="6" t="s">
        <v>936</v>
      </c>
    </row>
    <row r="63" spans="2:6">
      <c r="B63" s="5" t="s">
        <v>423</v>
      </c>
      <c r="C63" s="5" t="s">
        <v>56</v>
      </c>
      <c r="D63" s="6" t="s">
        <v>65</v>
      </c>
      <c r="E63" s="6" t="s">
        <v>45</v>
      </c>
      <c r="F63" s="6" t="s">
        <v>937</v>
      </c>
    </row>
    <row r="64" spans="2:6">
      <c r="B64" s="5" t="s">
        <v>923</v>
      </c>
      <c r="C64" s="5" t="s">
        <v>56</v>
      </c>
      <c r="D64" s="6" t="s">
        <v>65</v>
      </c>
      <c r="E64" s="6" t="s">
        <v>926</v>
      </c>
      <c r="F64" s="6" t="s">
        <v>938</v>
      </c>
    </row>
    <row r="65" spans="2:14">
      <c r="B65" s="5" t="s">
        <v>9</v>
      </c>
    </row>
    <row r="66" spans="2:14">
      <c r="B66" s="5" t="s">
        <v>9</v>
      </c>
    </row>
    <row r="67" spans="2:14">
      <c r="B67" s="5" t="s">
        <v>9</v>
      </c>
    </row>
    <row r="68" spans="2:14">
      <c r="B68" s="5" t="s">
        <v>9</v>
      </c>
    </row>
    <row r="69" spans="2:14">
      <c r="B69" s="5" t="s">
        <v>9</v>
      </c>
    </row>
    <row r="70" spans="2:14">
      <c r="B70" s="5" t="s">
        <v>9</v>
      </c>
    </row>
    <row r="71" spans="2:14">
      <c r="B71" s="5" t="s">
        <v>9</v>
      </c>
    </row>
    <row r="72" spans="2:14">
      <c r="B72" s="5" t="s">
        <v>9</v>
      </c>
      <c r="C72" s="6"/>
      <c r="D72" s="6"/>
      <c r="E72" s="6"/>
      <c r="F72" s="6"/>
      <c r="G72" s="6"/>
      <c r="I72" s="5"/>
      <c r="J72" s="3"/>
      <c r="K72" s="3"/>
      <c r="L72" s="3"/>
      <c r="M72" s="3"/>
      <c r="N72" s="3"/>
    </row>
    <row r="73" spans="2:14">
      <c r="B73" s="5" t="s">
        <v>9</v>
      </c>
      <c r="C73" s="6"/>
      <c r="D73" s="6"/>
      <c r="E73" s="6"/>
      <c r="F73" s="6"/>
      <c r="G73" s="6"/>
      <c r="I73" s="5"/>
      <c r="J73" s="3"/>
      <c r="K73" s="3"/>
      <c r="L73" s="3"/>
      <c r="M73" s="3"/>
      <c r="N73" s="3"/>
    </row>
    <row r="74" spans="2:14">
      <c r="B74" s="5" t="s">
        <v>9</v>
      </c>
      <c r="C74" s="6"/>
      <c r="D74" s="6"/>
      <c r="E74" s="6"/>
      <c r="F74" s="6"/>
      <c r="G74" s="6"/>
      <c r="I74" s="5"/>
      <c r="J74" s="3"/>
      <c r="K74" s="3"/>
      <c r="L74" s="3"/>
      <c r="M74" s="3"/>
      <c r="N74" s="3"/>
    </row>
    <row r="75" spans="2:14">
      <c r="B75" s="5" t="s">
        <v>9</v>
      </c>
      <c r="C75" s="6"/>
      <c r="D75" s="6"/>
      <c r="E75" s="6"/>
      <c r="F75" s="6"/>
      <c r="G75" s="6"/>
      <c r="I75" s="5"/>
      <c r="J75" s="3"/>
      <c r="K75" s="3"/>
      <c r="L75" s="3"/>
      <c r="M75" s="3"/>
      <c r="N75" s="3"/>
    </row>
    <row r="76" spans="2:14">
      <c r="B76" s="5" t="s">
        <v>9</v>
      </c>
    </row>
    <row r="77" spans="2:14">
      <c r="B77" s="5" t="s">
        <v>9</v>
      </c>
    </row>
    <row r="78" spans="2:14">
      <c r="B78" s="5" t="s">
        <v>9</v>
      </c>
    </row>
    <row r="79" spans="2:14">
      <c r="B79" s="5" t="s">
        <v>9</v>
      </c>
    </row>
    <row r="80" spans="2:14">
      <c r="B80" s="5" t="s">
        <v>9</v>
      </c>
    </row>
    <row r="81" spans="2:2">
      <c r="B81" s="5" t="s">
        <v>9</v>
      </c>
    </row>
    <row r="82" spans="2:2">
      <c r="B82" s="5" t="s">
        <v>9</v>
      </c>
    </row>
    <row r="83" spans="2:2">
      <c r="B83" s="5" t="s">
        <v>9</v>
      </c>
    </row>
    <row r="84" spans="2:2">
      <c r="B84" s="5" t="s">
        <v>9</v>
      </c>
    </row>
    <row r="85" spans="2:2">
      <c r="B85" s="5" t="s">
        <v>9</v>
      </c>
    </row>
    <row r="86" spans="2:2">
      <c r="B86" s="5" t="s">
        <v>9</v>
      </c>
    </row>
    <row r="87" spans="2:2">
      <c r="B87" s="5" t="s">
        <v>9</v>
      </c>
    </row>
    <row r="88" spans="2:2">
      <c r="B88" s="5" t="s">
        <v>9</v>
      </c>
    </row>
    <row r="89" spans="2:2">
      <c r="B89" s="5" t="s">
        <v>9</v>
      </c>
    </row>
    <row r="90" spans="2:2">
      <c r="B90" s="5" t="s">
        <v>9</v>
      </c>
    </row>
    <row r="91" spans="2:2">
      <c r="B91" s="5" t="s">
        <v>9</v>
      </c>
    </row>
    <row r="92" spans="2:2">
      <c r="B92" s="5" t="s">
        <v>9</v>
      </c>
    </row>
    <row r="93" spans="2:2">
      <c r="B93" s="5" t="s">
        <v>9</v>
      </c>
    </row>
    <row r="94" spans="2:2">
      <c r="B94" s="5" t="s">
        <v>9</v>
      </c>
    </row>
  </sheetData>
  <mergeCells count="23">
    <mergeCell ref="A33:K33"/>
    <mergeCell ref="A36:K36"/>
    <mergeCell ref="A41:K41"/>
    <mergeCell ref="A46:K46"/>
    <mergeCell ref="B3:B4"/>
    <mergeCell ref="A8:K8"/>
    <mergeCell ref="A13:K13"/>
    <mergeCell ref="A19:K19"/>
    <mergeCell ref="A22:K22"/>
    <mergeCell ref="A25:K25"/>
    <mergeCell ref="A28:K28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2"/>
  <sheetViews>
    <sheetView workbookViewId="0">
      <selection activeCell="F36" sqref="F36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9.83203125" style="5" bestFit="1" customWidth="1"/>
    <col min="15" max="16384" width="9.1640625" style="3"/>
  </cols>
  <sheetData>
    <row r="1" spans="1:14" s="2" customFormat="1" ht="29" customHeight="1">
      <c r="A1" s="80" t="s">
        <v>1150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12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81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82</v>
      </c>
      <c r="C6" s="9" t="s">
        <v>83</v>
      </c>
      <c r="D6" s="9" t="s">
        <v>84</v>
      </c>
      <c r="E6" s="9" t="s">
        <v>1166</v>
      </c>
      <c r="F6" s="9" t="s">
        <v>85</v>
      </c>
      <c r="G6" s="9" t="s">
        <v>86</v>
      </c>
      <c r="H6" s="15" t="s">
        <v>91</v>
      </c>
      <c r="I6" s="15" t="s">
        <v>92</v>
      </c>
      <c r="J6" s="15" t="s">
        <v>93</v>
      </c>
      <c r="K6" s="10"/>
      <c r="L6" s="10" t="str">
        <f>"75,0"</f>
        <v>75,0</v>
      </c>
      <c r="M6" s="10" t="str">
        <f>"112,0200"</f>
        <v>112,0200</v>
      </c>
      <c r="N6" s="9" t="s">
        <v>1128</v>
      </c>
    </row>
    <row r="7" spans="1:14">
      <c r="B7" s="5" t="s">
        <v>9</v>
      </c>
    </row>
    <row r="8" spans="1:14" ht="16">
      <c r="A8" s="91" t="s">
        <v>13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8" t="s">
        <v>66</v>
      </c>
      <c r="B9" s="17" t="s">
        <v>893</v>
      </c>
      <c r="C9" s="17" t="s">
        <v>894</v>
      </c>
      <c r="D9" s="17" t="s">
        <v>895</v>
      </c>
      <c r="E9" s="17" t="s">
        <v>1166</v>
      </c>
      <c r="F9" s="17" t="s">
        <v>85</v>
      </c>
      <c r="G9" s="17" t="s">
        <v>86</v>
      </c>
      <c r="H9" s="23" t="s">
        <v>158</v>
      </c>
      <c r="I9" s="23" t="s">
        <v>101</v>
      </c>
      <c r="J9" s="24" t="s">
        <v>23</v>
      </c>
      <c r="K9" s="18"/>
      <c r="L9" s="18" t="str">
        <f>"90,0"</f>
        <v>90,0</v>
      </c>
      <c r="M9" s="18" t="str">
        <f>"110,8800"</f>
        <v>110,8800</v>
      </c>
      <c r="N9" s="17" t="s">
        <v>1128</v>
      </c>
    </row>
    <row r="10" spans="1:14">
      <c r="A10" s="22" t="s">
        <v>66</v>
      </c>
      <c r="B10" s="21" t="s">
        <v>14</v>
      </c>
      <c r="C10" s="21" t="s">
        <v>15</v>
      </c>
      <c r="D10" s="21" t="s">
        <v>16</v>
      </c>
      <c r="E10" s="21" t="s">
        <v>1167</v>
      </c>
      <c r="F10" s="21" t="s">
        <v>17</v>
      </c>
      <c r="G10" s="21" t="s">
        <v>18</v>
      </c>
      <c r="H10" s="26" t="s">
        <v>25</v>
      </c>
      <c r="I10" s="26" t="s">
        <v>21</v>
      </c>
      <c r="J10" s="27" t="s">
        <v>26</v>
      </c>
      <c r="K10" s="22"/>
      <c r="L10" s="22" t="str">
        <f>"175,5"</f>
        <v>175,5</v>
      </c>
      <c r="M10" s="22" t="str">
        <f>"206,4933"</f>
        <v>206,4933</v>
      </c>
      <c r="N10" s="21" t="s">
        <v>27</v>
      </c>
    </row>
    <row r="11" spans="1:14">
      <c r="B11" s="5" t="s">
        <v>9</v>
      </c>
    </row>
    <row r="12" spans="1:14" ht="16">
      <c r="A12" s="91" t="s">
        <v>121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4">
      <c r="A13" s="10" t="s">
        <v>66</v>
      </c>
      <c r="B13" s="9" t="s">
        <v>896</v>
      </c>
      <c r="C13" s="9" t="s">
        <v>897</v>
      </c>
      <c r="D13" s="9" t="s">
        <v>898</v>
      </c>
      <c r="E13" s="9" t="s">
        <v>1169</v>
      </c>
      <c r="F13" s="9" t="s">
        <v>1054</v>
      </c>
      <c r="G13" s="9" t="s">
        <v>1039</v>
      </c>
      <c r="H13" s="15" t="s">
        <v>100</v>
      </c>
      <c r="I13" s="15" t="s">
        <v>158</v>
      </c>
      <c r="J13" s="15" t="s">
        <v>180</v>
      </c>
      <c r="K13" s="10"/>
      <c r="L13" s="10" t="str">
        <f>"87,5"</f>
        <v>87,5</v>
      </c>
      <c r="M13" s="10" t="str">
        <f>"106,4210"</f>
        <v>106,4210</v>
      </c>
      <c r="N13" s="9"/>
    </row>
    <row r="14" spans="1:14">
      <c r="B14" s="5" t="s">
        <v>9</v>
      </c>
    </row>
    <row r="15" spans="1:14" ht="16">
      <c r="A15" s="91" t="s">
        <v>94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4">
      <c r="A16" s="10" t="s">
        <v>66</v>
      </c>
      <c r="B16" s="9" t="s">
        <v>899</v>
      </c>
      <c r="C16" s="9" t="s">
        <v>900</v>
      </c>
      <c r="D16" s="9" t="s">
        <v>901</v>
      </c>
      <c r="E16" s="9" t="s">
        <v>1166</v>
      </c>
      <c r="F16" s="9" t="s">
        <v>85</v>
      </c>
      <c r="G16" s="9" t="s">
        <v>86</v>
      </c>
      <c r="H16" s="15" t="s">
        <v>91</v>
      </c>
      <c r="I16" s="15" t="s">
        <v>93</v>
      </c>
      <c r="J16" s="15" t="s">
        <v>100</v>
      </c>
      <c r="K16" s="10"/>
      <c r="L16" s="10" t="str">
        <f>"80,0"</f>
        <v>80,0</v>
      </c>
      <c r="M16" s="10" t="str">
        <f>"90,5840"</f>
        <v>90,5840</v>
      </c>
      <c r="N16" s="9" t="s">
        <v>1128</v>
      </c>
    </row>
    <row r="17" spans="1:14">
      <c r="B17" s="5" t="s">
        <v>9</v>
      </c>
    </row>
    <row r="18" spans="1:14" ht="16">
      <c r="A18" s="91" t="s">
        <v>176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4">
      <c r="A19" s="18" t="s">
        <v>66</v>
      </c>
      <c r="B19" s="17" t="s">
        <v>181</v>
      </c>
      <c r="C19" s="17" t="s">
        <v>182</v>
      </c>
      <c r="D19" s="17" t="s">
        <v>183</v>
      </c>
      <c r="E19" s="17" t="s">
        <v>1166</v>
      </c>
      <c r="F19" s="17" t="s">
        <v>85</v>
      </c>
      <c r="G19" s="17" t="s">
        <v>86</v>
      </c>
      <c r="H19" s="23" t="s">
        <v>105</v>
      </c>
      <c r="I19" s="24" t="s">
        <v>23</v>
      </c>
      <c r="J19" s="24" t="s">
        <v>23</v>
      </c>
      <c r="K19" s="18"/>
      <c r="L19" s="18" t="str">
        <f>"100,0"</f>
        <v>100,0</v>
      </c>
      <c r="M19" s="18" t="str">
        <f>"75,8600"</f>
        <v>75,8600</v>
      </c>
      <c r="N19" s="17" t="s">
        <v>1128</v>
      </c>
    </row>
    <row r="20" spans="1:14">
      <c r="A20" s="22" t="s">
        <v>66</v>
      </c>
      <c r="B20" s="21" t="s">
        <v>184</v>
      </c>
      <c r="C20" s="21" t="s">
        <v>185</v>
      </c>
      <c r="D20" s="21" t="s">
        <v>186</v>
      </c>
      <c r="E20" s="21" t="s">
        <v>1164</v>
      </c>
      <c r="F20" s="21" t="s">
        <v>110</v>
      </c>
      <c r="G20" s="21" t="s">
        <v>1039</v>
      </c>
      <c r="H20" s="26" t="s">
        <v>129</v>
      </c>
      <c r="I20" s="26" t="s">
        <v>54</v>
      </c>
      <c r="J20" s="26" t="s">
        <v>187</v>
      </c>
      <c r="K20" s="22"/>
      <c r="L20" s="22" t="str">
        <f>"147,5"</f>
        <v>147,5</v>
      </c>
      <c r="M20" s="22" t="str">
        <f>"107,9995"</f>
        <v>107,9995</v>
      </c>
      <c r="N20" s="21" t="s">
        <v>1055</v>
      </c>
    </row>
    <row r="21" spans="1:14">
      <c r="B21" s="5" t="s">
        <v>9</v>
      </c>
    </row>
    <row r="22" spans="1:14" ht="16">
      <c r="A22" s="91" t="s">
        <v>28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4">
      <c r="A23" s="18" t="s">
        <v>66</v>
      </c>
      <c r="B23" s="17" t="s">
        <v>191</v>
      </c>
      <c r="C23" s="17" t="s">
        <v>192</v>
      </c>
      <c r="D23" s="17" t="s">
        <v>193</v>
      </c>
      <c r="E23" s="17" t="s">
        <v>1166</v>
      </c>
      <c r="F23" s="17" t="s">
        <v>110</v>
      </c>
      <c r="G23" s="17" t="s">
        <v>1039</v>
      </c>
      <c r="H23" s="23" t="s">
        <v>129</v>
      </c>
      <c r="I23" s="23" t="s">
        <v>54</v>
      </c>
      <c r="J23" s="23" t="s">
        <v>187</v>
      </c>
      <c r="K23" s="18"/>
      <c r="L23" s="18" t="str">
        <f>"147,5"</f>
        <v>147,5</v>
      </c>
      <c r="M23" s="18" t="str">
        <f>"99,3265"</f>
        <v>99,3265</v>
      </c>
      <c r="N23" s="17" t="s">
        <v>1055</v>
      </c>
    </row>
    <row r="24" spans="1:14">
      <c r="A24" s="20" t="s">
        <v>312</v>
      </c>
      <c r="B24" s="19" t="s">
        <v>194</v>
      </c>
      <c r="C24" s="19" t="s">
        <v>195</v>
      </c>
      <c r="D24" s="19" t="s">
        <v>196</v>
      </c>
      <c r="E24" s="19" t="s">
        <v>1166</v>
      </c>
      <c r="F24" s="19" t="s">
        <v>85</v>
      </c>
      <c r="G24" s="19" t="s">
        <v>86</v>
      </c>
      <c r="H24" s="28" t="s">
        <v>34</v>
      </c>
      <c r="I24" s="28" t="s">
        <v>129</v>
      </c>
      <c r="J24" s="28" t="s">
        <v>35</v>
      </c>
      <c r="K24" s="20"/>
      <c r="L24" s="20" t="str">
        <f>"132,5"</f>
        <v>132,5</v>
      </c>
      <c r="M24" s="20" t="str">
        <f>"90,7492"</f>
        <v>90,7492</v>
      </c>
      <c r="N24" s="19" t="s">
        <v>1128</v>
      </c>
    </row>
    <row r="25" spans="1:14">
      <c r="A25" s="20" t="s">
        <v>66</v>
      </c>
      <c r="B25" s="19" t="s">
        <v>202</v>
      </c>
      <c r="C25" s="19" t="s">
        <v>203</v>
      </c>
      <c r="D25" s="19" t="s">
        <v>133</v>
      </c>
      <c r="E25" s="19" t="s">
        <v>1165</v>
      </c>
      <c r="F25" s="19" t="s">
        <v>204</v>
      </c>
      <c r="G25" s="19" t="s">
        <v>1039</v>
      </c>
      <c r="H25" s="28" t="s">
        <v>206</v>
      </c>
      <c r="I25" s="28" t="s">
        <v>207</v>
      </c>
      <c r="J25" s="28" t="s">
        <v>208</v>
      </c>
      <c r="K25" s="20"/>
      <c r="L25" s="20" t="str">
        <f>"232,5"</f>
        <v>232,5</v>
      </c>
      <c r="M25" s="20" t="str">
        <f>"160,1460"</f>
        <v>160,1460</v>
      </c>
      <c r="N25" s="19"/>
    </row>
    <row r="26" spans="1:14">
      <c r="A26" s="22" t="s">
        <v>66</v>
      </c>
      <c r="B26" s="21" t="s">
        <v>202</v>
      </c>
      <c r="C26" s="21" t="s">
        <v>218</v>
      </c>
      <c r="D26" s="21" t="s">
        <v>133</v>
      </c>
      <c r="E26" s="21" t="s">
        <v>1167</v>
      </c>
      <c r="F26" s="21" t="s">
        <v>204</v>
      </c>
      <c r="G26" s="21" t="s">
        <v>1039</v>
      </c>
      <c r="H26" s="26" t="s">
        <v>206</v>
      </c>
      <c r="I26" s="26" t="s">
        <v>207</v>
      </c>
      <c r="J26" s="26" t="s">
        <v>208</v>
      </c>
      <c r="K26" s="22"/>
      <c r="L26" s="22" t="str">
        <f>"232,5"</f>
        <v>232,5</v>
      </c>
      <c r="M26" s="22" t="str">
        <f>"160,1460"</f>
        <v>160,1460</v>
      </c>
      <c r="N26" s="21"/>
    </row>
    <row r="27" spans="1:14">
      <c r="B27" s="5" t="s">
        <v>9</v>
      </c>
    </row>
    <row r="28" spans="1:14" ht="16">
      <c r="A28" s="91" t="s">
        <v>40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4">
      <c r="A29" s="18" t="s">
        <v>66</v>
      </c>
      <c r="B29" s="17" t="s">
        <v>251</v>
      </c>
      <c r="C29" s="17" t="s">
        <v>252</v>
      </c>
      <c r="D29" s="17" t="s">
        <v>253</v>
      </c>
      <c r="E29" s="17" t="s">
        <v>1167</v>
      </c>
      <c r="F29" s="17" t="s">
        <v>17</v>
      </c>
      <c r="G29" s="17" t="s">
        <v>1039</v>
      </c>
      <c r="H29" s="23" t="s">
        <v>71</v>
      </c>
      <c r="I29" s="23" t="s">
        <v>73</v>
      </c>
      <c r="J29" s="24" t="s">
        <v>249</v>
      </c>
      <c r="K29" s="18"/>
      <c r="L29" s="18" t="str">
        <f>"320,0"</f>
        <v>320,0</v>
      </c>
      <c r="M29" s="18" t="str">
        <f>"209,1520"</f>
        <v>209,1520</v>
      </c>
      <c r="N29" s="17" t="s">
        <v>1129</v>
      </c>
    </row>
    <row r="30" spans="1:14">
      <c r="A30" s="20" t="s">
        <v>312</v>
      </c>
      <c r="B30" s="19" t="s">
        <v>902</v>
      </c>
      <c r="C30" s="19" t="s">
        <v>903</v>
      </c>
      <c r="D30" s="19" t="s">
        <v>904</v>
      </c>
      <c r="E30" s="19" t="s">
        <v>1167</v>
      </c>
      <c r="F30" s="19" t="s">
        <v>110</v>
      </c>
      <c r="G30" s="19" t="s">
        <v>1039</v>
      </c>
      <c r="H30" s="28" t="s">
        <v>231</v>
      </c>
      <c r="I30" s="28" t="s">
        <v>138</v>
      </c>
      <c r="J30" s="28" t="s">
        <v>206</v>
      </c>
      <c r="K30" s="20"/>
      <c r="L30" s="20" t="str">
        <f>"205,0"</f>
        <v>205,0</v>
      </c>
      <c r="M30" s="20" t="str">
        <f>"133,7215"</f>
        <v>133,7215</v>
      </c>
      <c r="N30" s="19" t="s">
        <v>1055</v>
      </c>
    </row>
    <row r="31" spans="1:14">
      <c r="A31" s="22" t="s">
        <v>66</v>
      </c>
      <c r="B31" s="21" t="s">
        <v>902</v>
      </c>
      <c r="C31" s="21" t="s">
        <v>905</v>
      </c>
      <c r="D31" s="21" t="s">
        <v>904</v>
      </c>
      <c r="E31" s="21" t="s">
        <v>1168</v>
      </c>
      <c r="F31" s="21" t="s">
        <v>110</v>
      </c>
      <c r="G31" s="21" t="s">
        <v>1039</v>
      </c>
      <c r="H31" s="26" t="s">
        <v>231</v>
      </c>
      <c r="I31" s="26" t="s">
        <v>138</v>
      </c>
      <c r="J31" s="26" t="s">
        <v>206</v>
      </c>
      <c r="K31" s="22"/>
      <c r="L31" s="22" t="str">
        <f>"205,0"</f>
        <v>205,0</v>
      </c>
      <c r="M31" s="22" t="str">
        <f>"148,9658"</f>
        <v>148,9658</v>
      </c>
      <c r="N31" s="21" t="s">
        <v>1055</v>
      </c>
    </row>
    <row r="32" spans="1:14">
      <c r="B32" s="5" t="s">
        <v>9</v>
      </c>
    </row>
    <row r="33" spans="1:14" ht="16">
      <c r="A33" s="91" t="s">
        <v>49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4">
      <c r="A34" s="10" t="s">
        <v>66</v>
      </c>
      <c r="B34" s="9" t="s">
        <v>906</v>
      </c>
      <c r="C34" s="9" t="s">
        <v>907</v>
      </c>
      <c r="D34" s="9" t="s">
        <v>908</v>
      </c>
      <c r="E34" s="9" t="s">
        <v>1167</v>
      </c>
      <c r="F34" s="9" t="s">
        <v>909</v>
      </c>
      <c r="G34" s="9" t="s">
        <v>1039</v>
      </c>
      <c r="H34" s="16" t="s">
        <v>285</v>
      </c>
      <c r="I34" s="15" t="s">
        <v>285</v>
      </c>
      <c r="J34" s="15" t="s">
        <v>294</v>
      </c>
      <c r="K34" s="10"/>
      <c r="L34" s="10" t="str">
        <f>"312,5"</f>
        <v>312,5</v>
      </c>
      <c r="M34" s="10" t="str">
        <f>"192,8750"</f>
        <v>192,8750</v>
      </c>
      <c r="N34" s="9" t="s">
        <v>1070</v>
      </c>
    </row>
    <row r="35" spans="1:14">
      <c r="B35" s="5" t="s">
        <v>9</v>
      </c>
    </row>
    <row r="36" spans="1:14" ht="16">
      <c r="B36" s="5" t="s">
        <v>9</v>
      </c>
      <c r="F36" s="7"/>
    </row>
    <row r="37" spans="1:14" ht="16">
      <c r="B37" s="5" t="s">
        <v>9</v>
      </c>
      <c r="F37" s="7"/>
    </row>
    <row r="38" spans="1:14" ht="16">
      <c r="B38" s="5" t="s">
        <v>9</v>
      </c>
      <c r="F38" s="7"/>
    </row>
    <row r="39" spans="1:14" ht="16">
      <c r="B39" s="5" t="s">
        <v>9</v>
      </c>
      <c r="F39" s="7"/>
    </row>
    <row r="40" spans="1:14" ht="16">
      <c r="B40" s="5" t="s">
        <v>9</v>
      </c>
      <c r="F40" s="7"/>
    </row>
    <row r="41" spans="1:14" ht="16">
      <c r="B41" s="5" t="s">
        <v>9</v>
      </c>
      <c r="F41" s="7"/>
    </row>
    <row r="42" spans="1:14">
      <c r="B42" s="5" t="s">
        <v>9</v>
      </c>
    </row>
    <row r="43" spans="1:14">
      <c r="B43" s="5" t="s">
        <v>9</v>
      </c>
    </row>
    <row r="44" spans="1:14">
      <c r="B44" s="5" t="s">
        <v>9</v>
      </c>
    </row>
    <row r="45" spans="1:14">
      <c r="B45" s="5" t="s">
        <v>9</v>
      </c>
    </row>
    <row r="46" spans="1:14">
      <c r="B46" s="5" t="s">
        <v>9</v>
      </c>
    </row>
    <row r="47" spans="1:14">
      <c r="B47" s="5" t="s">
        <v>9</v>
      </c>
    </row>
    <row r="48" spans="1:14">
      <c r="B48" s="5" t="s">
        <v>9</v>
      </c>
    </row>
    <row r="49" spans="2:2">
      <c r="B49" s="5" t="s">
        <v>9</v>
      </c>
    </row>
    <row r="50" spans="2:2">
      <c r="B50" s="5" t="s">
        <v>9</v>
      </c>
    </row>
    <row r="51" spans="2:2">
      <c r="B51" s="5" t="s">
        <v>9</v>
      </c>
    </row>
    <row r="52" spans="2:2">
      <c r="B52" s="5" t="s">
        <v>9</v>
      </c>
    </row>
  </sheetData>
  <mergeCells count="20">
    <mergeCell ref="A33:K33"/>
    <mergeCell ref="B3:B4"/>
    <mergeCell ref="A8:K8"/>
    <mergeCell ref="A12:K12"/>
    <mergeCell ref="A15:K15"/>
    <mergeCell ref="A18:K18"/>
    <mergeCell ref="A22:K22"/>
    <mergeCell ref="A28:K28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24"/>
  <sheetViews>
    <sheetView workbookViewId="0">
      <selection activeCell="E78" sqref="E78"/>
    </sheetView>
  </sheetViews>
  <sheetFormatPr baseColWidth="10" defaultColWidth="9.1640625" defaultRowHeight="13"/>
  <cols>
    <col min="1" max="1" width="7.5" style="5" bestFit="1" customWidth="1"/>
    <col min="2" max="2" width="22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0" bestFit="1" customWidth="1"/>
    <col min="21" max="21" width="8.5" style="6" bestFit="1" customWidth="1"/>
    <col min="22" max="22" width="22.6640625" style="5" customWidth="1"/>
    <col min="23" max="16384" width="9.1640625" style="3"/>
  </cols>
  <sheetData>
    <row r="1" spans="1:22" s="2" customFormat="1" ht="29" customHeight="1">
      <c r="A1" s="80" t="s">
        <v>1133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</row>
    <row r="2" spans="1:22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</row>
    <row r="3" spans="1:22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10</v>
      </c>
      <c r="I3" s="74"/>
      <c r="J3" s="74"/>
      <c r="K3" s="74"/>
      <c r="L3" s="74" t="s">
        <v>11</v>
      </c>
      <c r="M3" s="74"/>
      <c r="N3" s="74"/>
      <c r="O3" s="74"/>
      <c r="P3" s="74" t="s">
        <v>12</v>
      </c>
      <c r="Q3" s="74"/>
      <c r="R3" s="74"/>
      <c r="S3" s="74"/>
      <c r="T3" s="72" t="s">
        <v>1</v>
      </c>
      <c r="U3" s="74" t="s">
        <v>3</v>
      </c>
      <c r="V3" s="76" t="s">
        <v>2</v>
      </c>
    </row>
    <row r="4" spans="1:22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73"/>
      <c r="U4" s="75"/>
      <c r="V4" s="77"/>
    </row>
    <row r="5" spans="1:22" ht="16">
      <c r="A5" s="78" t="s">
        <v>81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2">
      <c r="A6" s="10" t="s">
        <v>66</v>
      </c>
      <c r="B6" s="9" t="s">
        <v>82</v>
      </c>
      <c r="C6" s="9" t="s">
        <v>83</v>
      </c>
      <c r="D6" s="9" t="s">
        <v>84</v>
      </c>
      <c r="E6" s="9" t="s">
        <v>1166</v>
      </c>
      <c r="F6" s="9" t="s">
        <v>85</v>
      </c>
      <c r="G6" s="9" t="s">
        <v>86</v>
      </c>
      <c r="H6" s="15" t="s">
        <v>87</v>
      </c>
      <c r="I6" s="16" t="s">
        <v>88</v>
      </c>
      <c r="J6" s="16" t="s">
        <v>88</v>
      </c>
      <c r="K6" s="10"/>
      <c r="L6" s="15" t="s">
        <v>89</v>
      </c>
      <c r="M6" s="16" t="s">
        <v>90</v>
      </c>
      <c r="N6" s="16" t="s">
        <v>90</v>
      </c>
      <c r="O6" s="10"/>
      <c r="P6" s="15" t="s">
        <v>91</v>
      </c>
      <c r="Q6" s="15" t="s">
        <v>92</v>
      </c>
      <c r="R6" s="15" t="s">
        <v>93</v>
      </c>
      <c r="S6" s="10"/>
      <c r="T6" s="33" t="str">
        <f>"160,0"</f>
        <v>160,0</v>
      </c>
      <c r="U6" s="10" t="str">
        <f>"238,9760"</f>
        <v>238,9760</v>
      </c>
      <c r="V6" s="9"/>
    </row>
    <row r="7" spans="1:22">
      <c r="B7" s="5" t="s">
        <v>9</v>
      </c>
    </row>
    <row r="8" spans="1:22" ht="16">
      <c r="A8" s="91" t="s">
        <v>94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spans="1:22">
      <c r="A9" s="10" t="s">
        <v>66</v>
      </c>
      <c r="B9" s="9" t="s">
        <v>95</v>
      </c>
      <c r="C9" s="9" t="s">
        <v>96</v>
      </c>
      <c r="D9" s="9" t="s">
        <v>97</v>
      </c>
      <c r="E9" s="9" t="s">
        <v>1166</v>
      </c>
      <c r="F9" s="9" t="s">
        <v>98</v>
      </c>
      <c r="G9" s="9" t="s">
        <v>99</v>
      </c>
      <c r="H9" s="15" t="s">
        <v>100</v>
      </c>
      <c r="I9" s="16" t="s">
        <v>101</v>
      </c>
      <c r="J9" s="15" t="s">
        <v>101</v>
      </c>
      <c r="K9" s="16" t="s">
        <v>22</v>
      </c>
      <c r="L9" s="15" t="s">
        <v>102</v>
      </c>
      <c r="M9" s="15" t="s">
        <v>103</v>
      </c>
      <c r="N9" s="16" t="s">
        <v>104</v>
      </c>
      <c r="O9" s="10"/>
      <c r="P9" s="15" t="s">
        <v>105</v>
      </c>
      <c r="Q9" s="15" t="s">
        <v>24</v>
      </c>
      <c r="R9" s="15" t="s">
        <v>106</v>
      </c>
      <c r="S9" s="10"/>
      <c r="T9" s="33" t="str">
        <f>"245,0"</f>
        <v>245,0</v>
      </c>
      <c r="U9" s="10" t="str">
        <f>"306,3480"</f>
        <v>306,3480</v>
      </c>
      <c r="V9" s="9"/>
    </row>
    <row r="10" spans="1:22">
      <c r="B10" s="5" t="s">
        <v>9</v>
      </c>
    </row>
    <row r="11" spans="1:22" ht="16">
      <c r="A11" s="91" t="s">
        <v>13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pans="1:22">
      <c r="A12" s="10" t="s">
        <v>66</v>
      </c>
      <c r="B12" s="9" t="s">
        <v>107</v>
      </c>
      <c r="C12" s="9" t="s">
        <v>108</v>
      </c>
      <c r="D12" s="9" t="s">
        <v>109</v>
      </c>
      <c r="E12" s="9" t="s">
        <v>1166</v>
      </c>
      <c r="F12" s="9" t="s">
        <v>110</v>
      </c>
      <c r="G12" s="9" t="s">
        <v>1039</v>
      </c>
      <c r="H12" s="16" t="s">
        <v>88</v>
      </c>
      <c r="I12" s="15" t="s">
        <v>88</v>
      </c>
      <c r="J12" s="15" t="s">
        <v>111</v>
      </c>
      <c r="K12" s="10"/>
      <c r="L12" s="15" t="s">
        <v>89</v>
      </c>
      <c r="M12" s="15" t="s">
        <v>112</v>
      </c>
      <c r="N12" s="16" t="s">
        <v>102</v>
      </c>
      <c r="O12" s="10"/>
      <c r="P12" s="15" t="s">
        <v>88</v>
      </c>
      <c r="Q12" s="15" t="s">
        <v>91</v>
      </c>
      <c r="R12" s="15" t="s">
        <v>92</v>
      </c>
      <c r="S12" s="10"/>
      <c r="T12" s="33" t="str">
        <f>"172,5"</f>
        <v>172,5</v>
      </c>
      <c r="U12" s="10" t="str">
        <f>"206,7413"</f>
        <v>206,7413</v>
      </c>
      <c r="V12" s="9" t="s">
        <v>1055</v>
      </c>
    </row>
    <row r="13" spans="1:22">
      <c r="B13" s="5" t="s">
        <v>9</v>
      </c>
    </row>
    <row r="14" spans="1:22" ht="16">
      <c r="A14" s="91" t="s">
        <v>113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</row>
    <row r="15" spans="1:22">
      <c r="A15" s="10" t="s">
        <v>66</v>
      </c>
      <c r="B15" s="9" t="s">
        <v>114</v>
      </c>
      <c r="C15" s="9" t="s">
        <v>115</v>
      </c>
      <c r="D15" s="9" t="s">
        <v>116</v>
      </c>
      <c r="E15" s="9" t="s">
        <v>1164</v>
      </c>
      <c r="F15" s="9" t="s">
        <v>110</v>
      </c>
      <c r="G15" s="9" t="s">
        <v>1039</v>
      </c>
      <c r="H15" s="15" t="s">
        <v>117</v>
      </c>
      <c r="I15" s="15" t="s">
        <v>118</v>
      </c>
      <c r="J15" s="15" t="s">
        <v>119</v>
      </c>
      <c r="K15" s="10"/>
      <c r="L15" s="15" t="s">
        <v>89</v>
      </c>
      <c r="M15" s="15" t="s">
        <v>120</v>
      </c>
      <c r="N15" s="16" t="s">
        <v>103</v>
      </c>
      <c r="O15" s="10"/>
      <c r="P15" s="15" t="s">
        <v>111</v>
      </c>
      <c r="Q15" s="15" t="s">
        <v>91</v>
      </c>
      <c r="R15" s="15" t="s">
        <v>92</v>
      </c>
      <c r="S15" s="10"/>
      <c r="T15" s="33" t="str">
        <f>"177,5"</f>
        <v>177,5</v>
      </c>
      <c r="U15" s="10" t="str">
        <f>"200,2378"</f>
        <v>200,2378</v>
      </c>
      <c r="V15" s="9" t="s">
        <v>1055</v>
      </c>
    </row>
    <row r="16" spans="1:22">
      <c r="B16" s="5" t="s">
        <v>9</v>
      </c>
    </row>
    <row r="17" spans="1:22" ht="16">
      <c r="A17" s="91" t="s">
        <v>121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spans="1:22">
      <c r="A18" s="10" t="s">
        <v>66</v>
      </c>
      <c r="B18" s="9" t="s">
        <v>122</v>
      </c>
      <c r="C18" s="9" t="s">
        <v>123</v>
      </c>
      <c r="D18" s="9" t="s">
        <v>124</v>
      </c>
      <c r="E18" s="9" t="s">
        <v>1167</v>
      </c>
      <c r="F18" s="9" t="s">
        <v>125</v>
      </c>
      <c r="G18" s="9" t="s">
        <v>126</v>
      </c>
      <c r="H18" s="15" t="s">
        <v>127</v>
      </c>
      <c r="I18" s="15" t="s">
        <v>128</v>
      </c>
      <c r="J18" s="15" t="s">
        <v>34</v>
      </c>
      <c r="K18" s="10"/>
      <c r="L18" s="15" t="s">
        <v>119</v>
      </c>
      <c r="M18" s="15" t="s">
        <v>92</v>
      </c>
      <c r="N18" s="15" t="s">
        <v>93</v>
      </c>
      <c r="O18" s="10"/>
      <c r="P18" s="15" t="s">
        <v>129</v>
      </c>
      <c r="Q18" s="15" t="s">
        <v>130</v>
      </c>
      <c r="R18" s="15" t="s">
        <v>54</v>
      </c>
      <c r="S18" s="10"/>
      <c r="T18" s="33" t="str">
        <f>"340,0"</f>
        <v>340,0</v>
      </c>
      <c r="U18" s="10" t="str">
        <f>"350,7780"</f>
        <v>350,7780</v>
      </c>
      <c r="V18" s="9"/>
    </row>
    <row r="19" spans="1:22">
      <c r="B19" s="5" t="s">
        <v>9</v>
      </c>
    </row>
    <row r="20" spans="1:22" ht="16">
      <c r="A20" s="91" t="s">
        <v>28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</row>
    <row r="21" spans="1:22">
      <c r="A21" s="10" t="s">
        <v>66</v>
      </c>
      <c r="B21" s="9" t="s">
        <v>131</v>
      </c>
      <c r="C21" s="9" t="s">
        <v>132</v>
      </c>
      <c r="D21" s="9" t="s">
        <v>133</v>
      </c>
      <c r="E21" s="9" t="s">
        <v>1167</v>
      </c>
      <c r="F21" s="9" t="s">
        <v>125</v>
      </c>
      <c r="G21" s="9" t="s">
        <v>126</v>
      </c>
      <c r="H21" s="15" t="s">
        <v>134</v>
      </c>
      <c r="I21" s="15" t="s">
        <v>25</v>
      </c>
      <c r="J21" s="16" t="s">
        <v>135</v>
      </c>
      <c r="K21" s="10"/>
      <c r="L21" s="15" t="s">
        <v>136</v>
      </c>
      <c r="M21" s="15" t="s">
        <v>137</v>
      </c>
      <c r="N21" s="15" t="s">
        <v>105</v>
      </c>
      <c r="O21" s="10"/>
      <c r="P21" s="15" t="s">
        <v>74</v>
      </c>
      <c r="Q21" s="15" t="s">
        <v>32</v>
      </c>
      <c r="R21" s="16" t="s">
        <v>138</v>
      </c>
      <c r="S21" s="10"/>
      <c r="T21" s="33" t="str">
        <f>"440,0"</f>
        <v>440,0</v>
      </c>
      <c r="U21" s="10" t="str">
        <f>"405,7680"</f>
        <v>405,7680</v>
      </c>
      <c r="V21" s="9"/>
    </row>
    <row r="22" spans="1:22">
      <c r="B22" s="5" t="s">
        <v>9</v>
      </c>
    </row>
    <row r="23" spans="1:22" ht="16">
      <c r="A23" s="91" t="s">
        <v>40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</row>
    <row r="24" spans="1:22">
      <c r="A24" s="10" t="s">
        <v>66</v>
      </c>
      <c r="B24" s="9" t="s">
        <v>139</v>
      </c>
      <c r="C24" s="9" t="s">
        <v>140</v>
      </c>
      <c r="D24" s="9" t="s">
        <v>141</v>
      </c>
      <c r="E24" s="9" t="s">
        <v>1167</v>
      </c>
      <c r="F24" s="9" t="s">
        <v>125</v>
      </c>
      <c r="G24" s="9" t="s">
        <v>126</v>
      </c>
      <c r="H24" s="15" t="s">
        <v>136</v>
      </c>
      <c r="I24" s="16" t="s">
        <v>105</v>
      </c>
      <c r="J24" s="16" t="s">
        <v>105</v>
      </c>
      <c r="K24" s="10"/>
      <c r="L24" s="15" t="s">
        <v>88</v>
      </c>
      <c r="M24" s="15" t="s">
        <v>111</v>
      </c>
      <c r="N24" s="15" t="s">
        <v>91</v>
      </c>
      <c r="O24" s="10"/>
      <c r="P24" s="15" t="s">
        <v>35</v>
      </c>
      <c r="Q24" s="15" t="s">
        <v>142</v>
      </c>
      <c r="R24" s="15" t="s">
        <v>134</v>
      </c>
      <c r="S24" s="10"/>
      <c r="T24" s="33" t="str">
        <f>"312,5"</f>
        <v>312,5</v>
      </c>
      <c r="U24" s="10" t="str">
        <f>"270,2812"</f>
        <v>270,2812</v>
      </c>
      <c r="V24" s="9"/>
    </row>
    <row r="25" spans="1:22">
      <c r="B25" s="5" t="s">
        <v>9</v>
      </c>
    </row>
    <row r="26" spans="1:22" ht="16">
      <c r="A26" s="91" t="s">
        <v>94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spans="1:22">
      <c r="A27" s="18" t="s">
        <v>66</v>
      </c>
      <c r="B27" s="17" t="s">
        <v>143</v>
      </c>
      <c r="C27" s="17" t="s">
        <v>144</v>
      </c>
      <c r="D27" s="17" t="s">
        <v>145</v>
      </c>
      <c r="E27" s="17" t="s">
        <v>1166</v>
      </c>
      <c r="F27" s="17" t="s">
        <v>110</v>
      </c>
      <c r="G27" s="17" t="s">
        <v>1039</v>
      </c>
      <c r="H27" s="23" t="s">
        <v>117</v>
      </c>
      <c r="I27" s="24" t="s">
        <v>118</v>
      </c>
      <c r="J27" s="24" t="s">
        <v>118</v>
      </c>
      <c r="K27" s="18"/>
      <c r="L27" s="23" t="s">
        <v>112</v>
      </c>
      <c r="M27" s="23" t="s">
        <v>102</v>
      </c>
      <c r="N27" s="23" t="s">
        <v>104</v>
      </c>
      <c r="O27" s="18"/>
      <c r="P27" s="23" t="s">
        <v>88</v>
      </c>
      <c r="Q27" s="23" t="s">
        <v>91</v>
      </c>
      <c r="R27" s="24" t="s">
        <v>92</v>
      </c>
      <c r="S27" s="18"/>
      <c r="T27" s="31" t="str">
        <f>"167,5"</f>
        <v>167,5</v>
      </c>
      <c r="U27" s="18" t="str">
        <f>"198,9565"</f>
        <v>198,9565</v>
      </c>
      <c r="V27" s="17" t="s">
        <v>1055</v>
      </c>
    </row>
    <row r="28" spans="1:22">
      <c r="A28" s="22" t="s">
        <v>312</v>
      </c>
      <c r="B28" s="21" t="s">
        <v>146</v>
      </c>
      <c r="C28" s="21" t="s">
        <v>147</v>
      </c>
      <c r="D28" s="21" t="s">
        <v>148</v>
      </c>
      <c r="E28" s="21" t="s">
        <v>1166</v>
      </c>
      <c r="F28" s="21" t="s">
        <v>110</v>
      </c>
      <c r="G28" s="21" t="s">
        <v>1039</v>
      </c>
      <c r="H28" s="27" t="s">
        <v>120</v>
      </c>
      <c r="I28" s="26" t="s">
        <v>120</v>
      </c>
      <c r="J28" s="26" t="s">
        <v>104</v>
      </c>
      <c r="K28" s="22"/>
      <c r="L28" s="27" t="s">
        <v>89</v>
      </c>
      <c r="M28" s="26" t="s">
        <v>89</v>
      </c>
      <c r="N28" s="26" t="s">
        <v>112</v>
      </c>
      <c r="O28" s="22"/>
      <c r="P28" s="27" t="s">
        <v>149</v>
      </c>
      <c r="Q28" s="26" t="s">
        <v>149</v>
      </c>
      <c r="R28" s="27" t="s">
        <v>88</v>
      </c>
      <c r="S28" s="22"/>
      <c r="T28" s="32" t="str">
        <f>"130,0"</f>
        <v>130,0</v>
      </c>
      <c r="U28" s="22" t="str">
        <f>"145,3530"</f>
        <v>145,3530</v>
      </c>
      <c r="V28" s="21" t="s">
        <v>1055</v>
      </c>
    </row>
    <row r="29" spans="1:22">
      <c r="B29" s="5" t="s">
        <v>9</v>
      </c>
    </row>
    <row r="30" spans="1:22" ht="16">
      <c r="A30" s="91" t="s">
        <v>13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</row>
    <row r="31" spans="1:22">
      <c r="A31" s="10" t="s">
        <v>66</v>
      </c>
      <c r="B31" s="9" t="s">
        <v>150</v>
      </c>
      <c r="C31" s="9" t="s">
        <v>151</v>
      </c>
      <c r="D31" s="9" t="s">
        <v>152</v>
      </c>
      <c r="E31" s="9" t="s">
        <v>1166</v>
      </c>
      <c r="F31" s="9" t="s">
        <v>85</v>
      </c>
      <c r="G31" s="9" t="s">
        <v>86</v>
      </c>
      <c r="H31" s="15" t="s">
        <v>91</v>
      </c>
      <c r="I31" s="15" t="s">
        <v>100</v>
      </c>
      <c r="J31" s="16" t="s">
        <v>101</v>
      </c>
      <c r="K31" s="10"/>
      <c r="L31" s="16" t="s">
        <v>88</v>
      </c>
      <c r="M31" s="15" t="s">
        <v>88</v>
      </c>
      <c r="N31" s="15" t="s">
        <v>111</v>
      </c>
      <c r="O31" s="10"/>
      <c r="P31" s="15" t="s">
        <v>105</v>
      </c>
      <c r="Q31" s="16" t="s">
        <v>153</v>
      </c>
      <c r="R31" s="16" t="s">
        <v>153</v>
      </c>
      <c r="S31" s="10"/>
      <c r="T31" s="33" t="str">
        <f>"245,0"</f>
        <v>245,0</v>
      </c>
      <c r="U31" s="10" t="str">
        <f>"224,2240"</f>
        <v>224,2240</v>
      </c>
      <c r="V31" s="9"/>
    </row>
    <row r="32" spans="1:22">
      <c r="B32" s="5" t="s">
        <v>9</v>
      </c>
    </row>
    <row r="33" spans="1:22" ht="16">
      <c r="A33" s="91" t="s">
        <v>113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spans="1:22">
      <c r="A34" s="10" t="s">
        <v>66</v>
      </c>
      <c r="B34" s="9" t="s">
        <v>154</v>
      </c>
      <c r="C34" s="9" t="s">
        <v>155</v>
      </c>
      <c r="D34" s="9" t="s">
        <v>156</v>
      </c>
      <c r="E34" s="9" t="s">
        <v>1166</v>
      </c>
      <c r="F34" s="9" t="s">
        <v>157</v>
      </c>
      <c r="G34" s="9" t="s">
        <v>1039</v>
      </c>
      <c r="H34" s="15" t="s">
        <v>91</v>
      </c>
      <c r="I34" s="16" t="s">
        <v>100</v>
      </c>
      <c r="J34" s="15" t="s">
        <v>100</v>
      </c>
      <c r="K34" s="10"/>
      <c r="L34" s="15" t="s">
        <v>112</v>
      </c>
      <c r="M34" s="15" t="s">
        <v>102</v>
      </c>
      <c r="N34" s="15" t="s">
        <v>104</v>
      </c>
      <c r="O34" s="10"/>
      <c r="P34" s="15" t="s">
        <v>91</v>
      </c>
      <c r="Q34" s="15" t="s">
        <v>158</v>
      </c>
      <c r="R34" s="15" t="s">
        <v>105</v>
      </c>
      <c r="S34" s="10"/>
      <c r="T34" s="33" t="str">
        <f>"225,0"</f>
        <v>225,0</v>
      </c>
      <c r="U34" s="10" t="str">
        <f>"198,6750"</f>
        <v>198,6750</v>
      </c>
      <c r="V34" s="9" t="s">
        <v>1056</v>
      </c>
    </row>
    <row r="35" spans="1:22">
      <c r="B35" s="5" t="s">
        <v>9</v>
      </c>
    </row>
    <row r="36" spans="1:22" ht="16">
      <c r="A36" s="91" t="s">
        <v>121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  <row r="37" spans="1:22">
      <c r="A37" s="18" t="s">
        <v>66</v>
      </c>
      <c r="B37" s="17" t="s">
        <v>159</v>
      </c>
      <c r="C37" s="17" t="s">
        <v>160</v>
      </c>
      <c r="D37" s="17" t="s">
        <v>161</v>
      </c>
      <c r="E37" s="17" t="s">
        <v>1166</v>
      </c>
      <c r="F37" s="17" t="s">
        <v>110</v>
      </c>
      <c r="G37" s="17" t="s">
        <v>1039</v>
      </c>
      <c r="H37" s="23" t="s">
        <v>136</v>
      </c>
      <c r="I37" s="24" t="s">
        <v>153</v>
      </c>
      <c r="J37" s="23" t="s">
        <v>162</v>
      </c>
      <c r="K37" s="18"/>
      <c r="L37" s="23" t="s">
        <v>91</v>
      </c>
      <c r="M37" s="23" t="s">
        <v>163</v>
      </c>
      <c r="N37" s="24" t="s">
        <v>164</v>
      </c>
      <c r="O37" s="18"/>
      <c r="P37" s="23" t="s">
        <v>105</v>
      </c>
      <c r="Q37" s="23" t="s">
        <v>165</v>
      </c>
      <c r="R37" s="23" t="s">
        <v>166</v>
      </c>
      <c r="S37" s="18"/>
      <c r="T37" s="31" t="str">
        <f>"312,5"</f>
        <v>312,5</v>
      </c>
      <c r="U37" s="18" t="str">
        <f>"242,9687"</f>
        <v>242,9687</v>
      </c>
      <c r="V37" s="17" t="s">
        <v>1055</v>
      </c>
    </row>
    <row r="38" spans="1:22">
      <c r="A38" s="20" t="s">
        <v>312</v>
      </c>
      <c r="B38" s="19" t="s">
        <v>167</v>
      </c>
      <c r="C38" s="19" t="s">
        <v>168</v>
      </c>
      <c r="D38" s="19" t="s">
        <v>169</v>
      </c>
      <c r="E38" s="19" t="s">
        <v>1166</v>
      </c>
      <c r="F38" s="19" t="s">
        <v>110</v>
      </c>
      <c r="G38" s="19" t="s">
        <v>18</v>
      </c>
      <c r="H38" s="25" t="s">
        <v>111</v>
      </c>
      <c r="I38" s="28" t="s">
        <v>111</v>
      </c>
      <c r="J38" s="28" t="s">
        <v>92</v>
      </c>
      <c r="K38" s="20"/>
      <c r="L38" s="28" t="s">
        <v>88</v>
      </c>
      <c r="M38" s="28" t="s">
        <v>91</v>
      </c>
      <c r="N38" s="28" t="s">
        <v>100</v>
      </c>
      <c r="O38" s="20"/>
      <c r="P38" s="28" t="s">
        <v>158</v>
      </c>
      <c r="Q38" s="28" t="s">
        <v>22</v>
      </c>
      <c r="R38" s="28" t="s">
        <v>153</v>
      </c>
      <c r="S38" s="20"/>
      <c r="T38" s="34" t="str">
        <f>"257,5"</f>
        <v>257,5</v>
      </c>
      <c r="U38" s="20" t="str">
        <f>"203,4507"</f>
        <v>203,4507</v>
      </c>
      <c r="V38" s="19" t="s">
        <v>1055</v>
      </c>
    </row>
    <row r="39" spans="1:22">
      <c r="A39" s="20" t="s">
        <v>313</v>
      </c>
      <c r="B39" s="19" t="s">
        <v>170</v>
      </c>
      <c r="C39" s="19" t="s">
        <v>171</v>
      </c>
      <c r="D39" s="19" t="s">
        <v>172</v>
      </c>
      <c r="E39" s="19" t="s">
        <v>1166</v>
      </c>
      <c r="F39" s="19" t="s">
        <v>110</v>
      </c>
      <c r="G39" s="19" t="s">
        <v>1039</v>
      </c>
      <c r="H39" s="25" t="s">
        <v>163</v>
      </c>
      <c r="I39" s="25" t="s">
        <v>163</v>
      </c>
      <c r="J39" s="28" t="s">
        <v>163</v>
      </c>
      <c r="K39" s="20"/>
      <c r="L39" s="28" t="s">
        <v>149</v>
      </c>
      <c r="M39" s="28" t="s">
        <v>87</v>
      </c>
      <c r="N39" s="25" t="s">
        <v>88</v>
      </c>
      <c r="O39" s="20"/>
      <c r="P39" s="28" t="s">
        <v>22</v>
      </c>
      <c r="Q39" s="28" t="s">
        <v>153</v>
      </c>
      <c r="R39" s="28" t="s">
        <v>162</v>
      </c>
      <c r="S39" s="20"/>
      <c r="T39" s="34" t="str">
        <f>"247,5"</f>
        <v>247,5</v>
      </c>
      <c r="U39" s="20" t="str">
        <f>"190,8225"</f>
        <v>190,8225</v>
      </c>
      <c r="V39" s="19" t="s">
        <v>1055</v>
      </c>
    </row>
    <row r="40" spans="1:22">
      <c r="A40" s="22" t="s">
        <v>66</v>
      </c>
      <c r="B40" s="21" t="s">
        <v>173</v>
      </c>
      <c r="C40" s="21" t="s">
        <v>174</v>
      </c>
      <c r="D40" s="21" t="s">
        <v>175</v>
      </c>
      <c r="E40" s="21" t="s">
        <v>1164</v>
      </c>
      <c r="F40" s="21" t="s">
        <v>98</v>
      </c>
      <c r="G40" s="21" t="s">
        <v>99</v>
      </c>
      <c r="H40" s="26" t="s">
        <v>166</v>
      </c>
      <c r="I40" s="26" t="s">
        <v>129</v>
      </c>
      <c r="J40" s="26" t="s">
        <v>54</v>
      </c>
      <c r="K40" s="22"/>
      <c r="L40" s="26" t="s">
        <v>93</v>
      </c>
      <c r="M40" s="26" t="s">
        <v>100</v>
      </c>
      <c r="N40" s="27" t="s">
        <v>164</v>
      </c>
      <c r="O40" s="22"/>
      <c r="P40" s="26" t="s">
        <v>129</v>
      </c>
      <c r="Q40" s="26" t="s">
        <v>54</v>
      </c>
      <c r="R40" s="26" t="s">
        <v>134</v>
      </c>
      <c r="S40" s="22"/>
      <c r="T40" s="32" t="str">
        <f>"370,0"</f>
        <v>370,0</v>
      </c>
      <c r="U40" s="22" t="str">
        <f>"288,3780"</f>
        <v>288,3780</v>
      </c>
      <c r="V40" s="21"/>
    </row>
    <row r="41" spans="1:22">
      <c r="B41" s="5" t="s">
        <v>9</v>
      </c>
    </row>
    <row r="42" spans="1:22" ht="16">
      <c r="A42" s="91" t="s">
        <v>176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</row>
    <row r="43" spans="1:22">
      <c r="A43" s="18" t="s">
        <v>66</v>
      </c>
      <c r="B43" s="17" t="s">
        <v>177</v>
      </c>
      <c r="C43" s="17" t="s">
        <v>178</v>
      </c>
      <c r="D43" s="17" t="s">
        <v>179</v>
      </c>
      <c r="E43" s="17" t="s">
        <v>1166</v>
      </c>
      <c r="F43" s="17" t="s">
        <v>98</v>
      </c>
      <c r="G43" s="17" t="s">
        <v>99</v>
      </c>
      <c r="H43" s="23" t="s">
        <v>105</v>
      </c>
      <c r="I43" s="23" t="s">
        <v>165</v>
      </c>
      <c r="J43" s="23" t="s">
        <v>166</v>
      </c>
      <c r="K43" s="18"/>
      <c r="L43" s="23" t="s">
        <v>100</v>
      </c>
      <c r="M43" s="23" t="s">
        <v>158</v>
      </c>
      <c r="N43" s="24" t="s">
        <v>180</v>
      </c>
      <c r="O43" s="18"/>
      <c r="P43" s="23" t="s">
        <v>129</v>
      </c>
      <c r="Q43" s="23" t="s">
        <v>54</v>
      </c>
      <c r="R43" s="23" t="s">
        <v>134</v>
      </c>
      <c r="S43" s="18"/>
      <c r="T43" s="31" t="str">
        <f>"355,0"</f>
        <v>355,0</v>
      </c>
      <c r="U43" s="18" t="str">
        <f>"266,6050"</f>
        <v>266,6050</v>
      </c>
      <c r="V43" s="17"/>
    </row>
    <row r="44" spans="1:22">
      <c r="A44" s="20" t="s">
        <v>67</v>
      </c>
      <c r="B44" s="19" t="s">
        <v>181</v>
      </c>
      <c r="C44" s="19" t="s">
        <v>182</v>
      </c>
      <c r="D44" s="19" t="s">
        <v>183</v>
      </c>
      <c r="E44" s="19" t="s">
        <v>1166</v>
      </c>
      <c r="F44" s="19" t="s">
        <v>85</v>
      </c>
      <c r="G44" s="19" t="s">
        <v>86</v>
      </c>
      <c r="H44" s="28" t="s">
        <v>100</v>
      </c>
      <c r="I44" s="25" t="s">
        <v>164</v>
      </c>
      <c r="J44" s="28" t="s">
        <v>164</v>
      </c>
      <c r="K44" s="20"/>
      <c r="L44" s="25" t="s">
        <v>87</v>
      </c>
      <c r="M44" s="25" t="s">
        <v>87</v>
      </c>
      <c r="N44" s="25" t="s">
        <v>87</v>
      </c>
      <c r="O44" s="20"/>
      <c r="P44" s="20"/>
      <c r="Q44" s="25"/>
      <c r="R44" s="25"/>
      <c r="S44" s="20"/>
      <c r="T44" s="34">
        <v>0</v>
      </c>
      <c r="U44" s="20" t="str">
        <f>"0,0000"</f>
        <v>0,0000</v>
      </c>
      <c r="V44" s="19"/>
    </row>
    <row r="45" spans="1:22">
      <c r="A45" s="20" t="s">
        <v>66</v>
      </c>
      <c r="B45" s="19" t="s">
        <v>184</v>
      </c>
      <c r="C45" s="19" t="s">
        <v>185</v>
      </c>
      <c r="D45" s="19" t="s">
        <v>186</v>
      </c>
      <c r="E45" s="19" t="s">
        <v>1164</v>
      </c>
      <c r="F45" s="19" t="s">
        <v>110</v>
      </c>
      <c r="G45" s="19" t="s">
        <v>1039</v>
      </c>
      <c r="H45" s="28" t="s">
        <v>24</v>
      </c>
      <c r="I45" s="28" t="s">
        <v>127</v>
      </c>
      <c r="J45" s="25" t="s">
        <v>34</v>
      </c>
      <c r="K45" s="20"/>
      <c r="L45" s="28" t="s">
        <v>91</v>
      </c>
      <c r="M45" s="25" t="s">
        <v>163</v>
      </c>
      <c r="N45" s="25" t="s">
        <v>164</v>
      </c>
      <c r="O45" s="20"/>
      <c r="P45" s="28" t="s">
        <v>129</v>
      </c>
      <c r="Q45" s="28" t="s">
        <v>54</v>
      </c>
      <c r="R45" s="28" t="s">
        <v>187</v>
      </c>
      <c r="S45" s="20"/>
      <c r="T45" s="34" t="str">
        <f>"335,0"</f>
        <v>335,0</v>
      </c>
      <c r="U45" s="20" t="str">
        <f>"245,2870"</f>
        <v>245,2870</v>
      </c>
      <c r="V45" s="19" t="s">
        <v>1055</v>
      </c>
    </row>
    <row r="46" spans="1:22">
      <c r="A46" s="22" t="s">
        <v>66</v>
      </c>
      <c r="B46" s="21" t="s">
        <v>188</v>
      </c>
      <c r="C46" s="21" t="s">
        <v>189</v>
      </c>
      <c r="D46" s="21" t="s">
        <v>190</v>
      </c>
      <c r="E46" s="21" t="s">
        <v>1167</v>
      </c>
      <c r="F46" s="21" t="s">
        <v>110</v>
      </c>
      <c r="G46" s="21" t="s">
        <v>1039</v>
      </c>
      <c r="H46" s="26" t="s">
        <v>162</v>
      </c>
      <c r="I46" s="26" t="s">
        <v>34</v>
      </c>
      <c r="J46" s="27" t="s">
        <v>129</v>
      </c>
      <c r="K46" s="22"/>
      <c r="L46" s="26" t="s">
        <v>158</v>
      </c>
      <c r="M46" s="26" t="s">
        <v>22</v>
      </c>
      <c r="N46" s="27" t="s">
        <v>105</v>
      </c>
      <c r="O46" s="22"/>
      <c r="P46" s="26" t="s">
        <v>54</v>
      </c>
      <c r="Q46" s="26" t="s">
        <v>25</v>
      </c>
      <c r="R46" s="26" t="s">
        <v>135</v>
      </c>
      <c r="S46" s="22"/>
      <c r="T46" s="32" t="str">
        <f>"387,5"</f>
        <v>387,5</v>
      </c>
      <c r="U46" s="22" t="str">
        <f>"280,8988"</f>
        <v>280,8988</v>
      </c>
      <c r="V46" s="21" t="s">
        <v>1055</v>
      </c>
    </row>
    <row r="47" spans="1:22">
      <c r="B47" s="5" t="s">
        <v>9</v>
      </c>
    </row>
    <row r="48" spans="1:22" ht="16">
      <c r="A48" s="91" t="s">
        <v>28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spans="1:22">
      <c r="A49" s="18" t="s">
        <v>66</v>
      </c>
      <c r="B49" s="17" t="s">
        <v>191</v>
      </c>
      <c r="C49" s="17" t="s">
        <v>192</v>
      </c>
      <c r="D49" s="17" t="s">
        <v>193</v>
      </c>
      <c r="E49" s="17" t="s">
        <v>1166</v>
      </c>
      <c r="F49" s="17" t="s">
        <v>110</v>
      </c>
      <c r="G49" s="17" t="s">
        <v>1039</v>
      </c>
      <c r="H49" s="23" t="s">
        <v>136</v>
      </c>
      <c r="I49" s="23" t="s">
        <v>23</v>
      </c>
      <c r="J49" s="23" t="s">
        <v>165</v>
      </c>
      <c r="K49" s="18"/>
      <c r="L49" s="23" t="s">
        <v>117</v>
      </c>
      <c r="M49" s="23" t="s">
        <v>88</v>
      </c>
      <c r="N49" s="24" t="s">
        <v>119</v>
      </c>
      <c r="O49" s="18"/>
      <c r="P49" s="23" t="s">
        <v>129</v>
      </c>
      <c r="Q49" s="23" t="s">
        <v>54</v>
      </c>
      <c r="R49" s="23" t="s">
        <v>187</v>
      </c>
      <c r="S49" s="18"/>
      <c r="T49" s="31" t="str">
        <f>"317,5"</f>
        <v>317,5</v>
      </c>
      <c r="U49" s="18" t="str">
        <f>"213,8045"</f>
        <v>213,8045</v>
      </c>
      <c r="V49" s="17" t="s">
        <v>1055</v>
      </c>
    </row>
    <row r="50" spans="1:22">
      <c r="A50" s="20" t="s">
        <v>312</v>
      </c>
      <c r="B50" s="19" t="s">
        <v>194</v>
      </c>
      <c r="C50" s="19" t="s">
        <v>195</v>
      </c>
      <c r="D50" s="19" t="s">
        <v>196</v>
      </c>
      <c r="E50" s="19" t="s">
        <v>1166</v>
      </c>
      <c r="F50" s="19" t="s">
        <v>85</v>
      </c>
      <c r="G50" s="19" t="s">
        <v>86</v>
      </c>
      <c r="H50" s="28" t="s">
        <v>101</v>
      </c>
      <c r="I50" s="28" t="s">
        <v>22</v>
      </c>
      <c r="J50" s="25" t="s">
        <v>105</v>
      </c>
      <c r="K50" s="20"/>
      <c r="L50" s="28" t="s">
        <v>88</v>
      </c>
      <c r="M50" s="28" t="s">
        <v>111</v>
      </c>
      <c r="N50" s="28" t="s">
        <v>91</v>
      </c>
      <c r="O50" s="20"/>
      <c r="P50" s="28" t="s">
        <v>34</v>
      </c>
      <c r="Q50" s="28" t="s">
        <v>129</v>
      </c>
      <c r="R50" s="28" t="s">
        <v>35</v>
      </c>
      <c r="S50" s="20"/>
      <c r="T50" s="34" t="str">
        <f>"297,5"</f>
        <v>297,5</v>
      </c>
      <c r="U50" s="20" t="str">
        <f>"203,7577"</f>
        <v>203,7577</v>
      </c>
      <c r="V50" s="19"/>
    </row>
    <row r="51" spans="1:22">
      <c r="A51" s="20" t="s">
        <v>66</v>
      </c>
      <c r="B51" s="19" t="s">
        <v>197</v>
      </c>
      <c r="C51" s="19" t="s">
        <v>198</v>
      </c>
      <c r="D51" s="19" t="s">
        <v>199</v>
      </c>
      <c r="E51" s="19" t="s">
        <v>1164</v>
      </c>
      <c r="F51" s="19" t="s">
        <v>110</v>
      </c>
      <c r="G51" s="19" t="s">
        <v>1039</v>
      </c>
      <c r="H51" s="28" t="s">
        <v>127</v>
      </c>
      <c r="I51" s="28" t="s">
        <v>200</v>
      </c>
      <c r="J51" s="28" t="s">
        <v>130</v>
      </c>
      <c r="K51" s="20"/>
      <c r="L51" s="28" t="s">
        <v>137</v>
      </c>
      <c r="M51" s="28" t="s">
        <v>24</v>
      </c>
      <c r="N51" s="25" t="s">
        <v>165</v>
      </c>
      <c r="O51" s="20"/>
      <c r="P51" s="28" t="s">
        <v>130</v>
      </c>
      <c r="Q51" s="28" t="s">
        <v>187</v>
      </c>
      <c r="R51" s="28" t="s">
        <v>201</v>
      </c>
      <c r="S51" s="20"/>
      <c r="T51" s="34" t="str">
        <f>"400,0"</f>
        <v>400,0</v>
      </c>
      <c r="U51" s="20" t="str">
        <f>"269,1600"</f>
        <v>269,1600</v>
      </c>
      <c r="V51" s="19" t="s">
        <v>1057</v>
      </c>
    </row>
    <row r="52" spans="1:22">
      <c r="A52" s="20" t="s">
        <v>66</v>
      </c>
      <c r="B52" s="19" t="s">
        <v>202</v>
      </c>
      <c r="C52" s="19" t="s">
        <v>203</v>
      </c>
      <c r="D52" s="19" t="s">
        <v>133</v>
      </c>
      <c r="E52" s="19" t="s">
        <v>1165</v>
      </c>
      <c r="F52" s="19" t="s">
        <v>204</v>
      </c>
      <c r="G52" s="19" t="s">
        <v>1039</v>
      </c>
      <c r="H52" s="28" t="s">
        <v>47</v>
      </c>
      <c r="I52" s="28" t="s">
        <v>32</v>
      </c>
      <c r="J52" s="28" t="s">
        <v>205</v>
      </c>
      <c r="K52" s="20"/>
      <c r="L52" s="28" t="s">
        <v>134</v>
      </c>
      <c r="M52" s="28" t="s">
        <v>19</v>
      </c>
      <c r="N52" s="28" t="s">
        <v>46</v>
      </c>
      <c r="O52" s="20"/>
      <c r="P52" s="28" t="s">
        <v>206</v>
      </c>
      <c r="Q52" s="28" t="s">
        <v>207</v>
      </c>
      <c r="R52" s="28" t="s">
        <v>208</v>
      </c>
      <c r="S52" s="20"/>
      <c r="T52" s="34" t="str">
        <f>"587,5"</f>
        <v>587,5</v>
      </c>
      <c r="U52" s="20" t="str">
        <f>"404,6700"</f>
        <v>404,6700</v>
      </c>
      <c r="V52" s="19"/>
    </row>
    <row r="53" spans="1:22">
      <c r="A53" s="20" t="s">
        <v>66</v>
      </c>
      <c r="B53" s="19" t="s">
        <v>209</v>
      </c>
      <c r="C53" s="19" t="s">
        <v>210</v>
      </c>
      <c r="D53" s="19" t="s">
        <v>211</v>
      </c>
      <c r="E53" s="19" t="s">
        <v>1167</v>
      </c>
      <c r="F53" s="19" t="s">
        <v>110</v>
      </c>
      <c r="G53" s="19" t="s">
        <v>1039</v>
      </c>
      <c r="H53" s="25" t="s">
        <v>212</v>
      </c>
      <c r="I53" s="28" t="s">
        <v>213</v>
      </c>
      <c r="J53" s="28" t="s">
        <v>214</v>
      </c>
      <c r="K53" s="20"/>
      <c r="L53" s="28" t="s">
        <v>215</v>
      </c>
      <c r="M53" s="28" t="s">
        <v>26</v>
      </c>
      <c r="N53" s="28" t="s">
        <v>205</v>
      </c>
      <c r="O53" s="20"/>
      <c r="P53" s="28" t="s">
        <v>216</v>
      </c>
      <c r="Q53" s="28" t="s">
        <v>217</v>
      </c>
      <c r="R53" s="20"/>
      <c r="S53" s="20"/>
      <c r="T53" s="34" t="str">
        <f>"732,5"</f>
        <v>732,5</v>
      </c>
      <c r="U53" s="20" t="str">
        <f>"492,5330"</f>
        <v>492,5330</v>
      </c>
      <c r="V53" s="19" t="s">
        <v>1043</v>
      </c>
    </row>
    <row r="54" spans="1:22">
      <c r="A54" s="20" t="s">
        <v>312</v>
      </c>
      <c r="B54" s="19" t="s">
        <v>202</v>
      </c>
      <c r="C54" s="19" t="s">
        <v>218</v>
      </c>
      <c r="D54" s="19" t="s">
        <v>133</v>
      </c>
      <c r="E54" s="19" t="s">
        <v>1167</v>
      </c>
      <c r="F54" s="19" t="s">
        <v>204</v>
      </c>
      <c r="G54" s="19" t="s">
        <v>1039</v>
      </c>
      <c r="H54" s="28" t="s">
        <v>47</v>
      </c>
      <c r="I54" s="28" t="s">
        <v>32</v>
      </c>
      <c r="J54" s="28" t="s">
        <v>205</v>
      </c>
      <c r="K54" s="20"/>
      <c r="L54" s="28" t="s">
        <v>134</v>
      </c>
      <c r="M54" s="28" t="s">
        <v>19</v>
      </c>
      <c r="N54" s="28" t="s">
        <v>46</v>
      </c>
      <c r="O54" s="20"/>
      <c r="P54" s="28" t="s">
        <v>206</v>
      </c>
      <c r="Q54" s="28" t="s">
        <v>207</v>
      </c>
      <c r="R54" s="28" t="s">
        <v>208</v>
      </c>
      <c r="S54" s="20"/>
      <c r="T54" s="34" t="str">
        <f>"587,5"</f>
        <v>587,5</v>
      </c>
      <c r="U54" s="20" t="str">
        <f>"404,6700"</f>
        <v>404,6700</v>
      </c>
      <c r="V54" s="19"/>
    </row>
    <row r="55" spans="1:22">
      <c r="A55" s="20" t="s">
        <v>313</v>
      </c>
      <c r="B55" s="19" t="s">
        <v>219</v>
      </c>
      <c r="C55" s="19" t="s">
        <v>220</v>
      </c>
      <c r="D55" s="19" t="s">
        <v>221</v>
      </c>
      <c r="E55" s="19" t="s">
        <v>1167</v>
      </c>
      <c r="F55" s="19" t="s">
        <v>222</v>
      </c>
      <c r="G55" s="19" t="s">
        <v>86</v>
      </c>
      <c r="H55" s="28" t="s">
        <v>32</v>
      </c>
      <c r="I55" s="28" t="s">
        <v>223</v>
      </c>
      <c r="J55" s="25" t="s">
        <v>224</v>
      </c>
      <c r="K55" s="20"/>
      <c r="L55" s="28" t="s">
        <v>134</v>
      </c>
      <c r="M55" s="28" t="s">
        <v>19</v>
      </c>
      <c r="N55" s="28" t="s">
        <v>46</v>
      </c>
      <c r="O55" s="20"/>
      <c r="P55" s="28" t="s">
        <v>39</v>
      </c>
      <c r="Q55" s="25" t="s">
        <v>225</v>
      </c>
      <c r="R55" s="25" t="s">
        <v>225</v>
      </c>
      <c r="S55" s="20"/>
      <c r="T55" s="34" t="str">
        <f>"572,5"</f>
        <v>572,5</v>
      </c>
      <c r="U55" s="20" t="str">
        <f>"386,3802"</f>
        <v>386,3802</v>
      </c>
      <c r="V55" s="19"/>
    </row>
    <row r="56" spans="1:22">
      <c r="A56" s="20" t="s">
        <v>314</v>
      </c>
      <c r="B56" s="19" t="s">
        <v>226</v>
      </c>
      <c r="C56" s="19" t="s">
        <v>227</v>
      </c>
      <c r="D56" s="19" t="s">
        <v>228</v>
      </c>
      <c r="E56" s="19" t="s">
        <v>1167</v>
      </c>
      <c r="F56" s="19" t="s">
        <v>229</v>
      </c>
      <c r="G56" s="19" t="s">
        <v>230</v>
      </c>
      <c r="H56" s="25" t="s">
        <v>231</v>
      </c>
      <c r="I56" s="28" t="s">
        <v>231</v>
      </c>
      <c r="J56" s="25" t="s">
        <v>215</v>
      </c>
      <c r="K56" s="20"/>
      <c r="L56" s="25" t="s">
        <v>34</v>
      </c>
      <c r="M56" s="28" t="s">
        <v>34</v>
      </c>
      <c r="N56" s="28" t="s">
        <v>129</v>
      </c>
      <c r="O56" s="20"/>
      <c r="P56" s="28" t="s">
        <v>206</v>
      </c>
      <c r="Q56" s="28" t="s">
        <v>232</v>
      </c>
      <c r="R56" s="25" t="s">
        <v>39</v>
      </c>
      <c r="S56" s="20"/>
      <c r="T56" s="34" t="str">
        <f>"507,5"</f>
        <v>507,5</v>
      </c>
      <c r="U56" s="20" t="str">
        <f>"340,2280"</f>
        <v>340,2280</v>
      </c>
      <c r="V56" s="19" t="s">
        <v>1058</v>
      </c>
    </row>
    <row r="57" spans="1:22">
      <c r="A57" s="22" t="s">
        <v>66</v>
      </c>
      <c r="B57" s="21" t="s">
        <v>233</v>
      </c>
      <c r="C57" s="21" t="s">
        <v>234</v>
      </c>
      <c r="D57" s="21" t="s">
        <v>228</v>
      </c>
      <c r="E57" s="21" t="s">
        <v>1169</v>
      </c>
      <c r="F57" s="21" t="s">
        <v>235</v>
      </c>
      <c r="G57" s="21" t="s">
        <v>18</v>
      </c>
      <c r="H57" s="26" t="s">
        <v>129</v>
      </c>
      <c r="I57" s="26" t="s">
        <v>142</v>
      </c>
      <c r="J57" s="27" t="s">
        <v>134</v>
      </c>
      <c r="K57" s="22"/>
      <c r="L57" s="26" t="s">
        <v>105</v>
      </c>
      <c r="M57" s="26" t="s">
        <v>24</v>
      </c>
      <c r="N57" s="26" t="s">
        <v>106</v>
      </c>
      <c r="O57" s="22"/>
      <c r="P57" s="26" t="s">
        <v>54</v>
      </c>
      <c r="Q57" s="27" t="s">
        <v>134</v>
      </c>
      <c r="R57" s="26" t="s">
        <v>134</v>
      </c>
      <c r="S57" s="22"/>
      <c r="T57" s="32" t="str">
        <f>"405,0"</f>
        <v>405,0</v>
      </c>
      <c r="U57" s="22" t="str">
        <f>"317,1260"</f>
        <v>317,1260</v>
      </c>
      <c r="V57" s="21" t="s">
        <v>1059</v>
      </c>
    </row>
    <row r="58" spans="1:22">
      <c r="B58" s="5" t="s">
        <v>9</v>
      </c>
    </row>
    <row r="59" spans="1:22" ht="16">
      <c r="A59" s="91" t="s">
        <v>40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spans="1:22">
      <c r="A60" s="18" t="s">
        <v>66</v>
      </c>
      <c r="B60" s="17" t="s">
        <v>236</v>
      </c>
      <c r="C60" s="17" t="s">
        <v>237</v>
      </c>
      <c r="D60" s="17" t="s">
        <v>238</v>
      </c>
      <c r="E60" s="17" t="s">
        <v>1165</v>
      </c>
      <c r="F60" s="17" t="s">
        <v>1054</v>
      </c>
      <c r="G60" s="17" t="s">
        <v>1039</v>
      </c>
      <c r="H60" s="23" t="s">
        <v>37</v>
      </c>
      <c r="I60" s="23" t="s">
        <v>232</v>
      </c>
      <c r="J60" s="24" t="s">
        <v>39</v>
      </c>
      <c r="K60" s="18"/>
      <c r="L60" s="23" t="s">
        <v>19</v>
      </c>
      <c r="M60" s="23" t="s">
        <v>231</v>
      </c>
      <c r="N60" s="24" t="s">
        <v>47</v>
      </c>
      <c r="O60" s="18"/>
      <c r="P60" s="23" t="s">
        <v>239</v>
      </c>
      <c r="Q60" s="23" t="s">
        <v>48</v>
      </c>
      <c r="R60" s="24" t="s">
        <v>240</v>
      </c>
      <c r="S60" s="18"/>
      <c r="T60" s="31" t="str">
        <f>"627,5"</f>
        <v>627,5</v>
      </c>
      <c r="U60" s="18" t="str">
        <f>"402,2275"</f>
        <v>402,2275</v>
      </c>
      <c r="V60" s="17" t="s">
        <v>1060</v>
      </c>
    </row>
    <row r="61" spans="1:22">
      <c r="A61" s="20" t="s">
        <v>312</v>
      </c>
      <c r="B61" s="19" t="s">
        <v>241</v>
      </c>
      <c r="C61" s="19" t="s">
        <v>242</v>
      </c>
      <c r="D61" s="19" t="s">
        <v>243</v>
      </c>
      <c r="E61" s="19" t="s">
        <v>1165</v>
      </c>
      <c r="F61" s="19" t="s">
        <v>1054</v>
      </c>
      <c r="G61" s="19" t="s">
        <v>1039</v>
      </c>
      <c r="H61" s="25" t="s">
        <v>54</v>
      </c>
      <c r="I61" s="25" t="s">
        <v>54</v>
      </c>
      <c r="J61" s="28" t="s">
        <v>244</v>
      </c>
      <c r="K61" s="20"/>
      <c r="L61" s="28" t="s">
        <v>165</v>
      </c>
      <c r="M61" s="28" t="s">
        <v>127</v>
      </c>
      <c r="N61" s="25" t="s">
        <v>128</v>
      </c>
      <c r="O61" s="20"/>
      <c r="P61" s="25" t="s">
        <v>32</v>
      </c>
      <c r="Q61" s="28" t="s">
        <v>205</v>
      </c>
      <c r="R61" s="25" t="s">
        <v>37</v>
      </c>
      <c r="S61" s="20"/>
      <c r="T61" s="34" t="str">
        <f>"455,0"</f>
        <v>455,0</v>
      </c>
      <c r="U61" s="20" t="str">
        <f>"293,3385"</f>
        <v>293,3385</v>
      </c>
      <c r="V61" s="19"/>
    </row>
    <row r="62" spans="1:22">
      <c r="A62" s="20" t="s">
        <v>66</v>
      </c>
      <c r="B62" s="19" t="s">
        <v>245</v>
      </c>
      <c r="C62" s="19" t="s">
        <v>246</v>
      </c>
      <c r="D62" s="19" t="s">
        <v>247</v>
      </c>
      <c r="E62" s="19" t="s">
        <v>1167</v>
      </c>
      <c r="F62" s="19" t="s">
        <v>110</v>
      </c>
      <c r="G62" s="19" t="s">
        <v>1039</v>
      </c>
      <c r="H62" s="28" t="s">
        <v>72</v>
      </c>
      <c r="I62" s="25" t="s">
        <v>248</v>
      </c>
      <c r="J62" s="25" t="s">
        <v>248</v>
      </c>
      <c r="K62" s="20"/>
      <c r="L62" s="28" t="s">
        <v>47</v>
      </c>
      <c r="M62" s="28" t="s">
        <v>32</v>
      </c>
      <c r="N62" s="25" t="s">
        <v>26</v>
      </c>
      <c r="O62" s="20"/>
      <c r="P62" s="28" t="s">
        <v>249</v>
      </c>
      <c r="Q62" s="25" t="s">
        <v>250</v>
      </c>
      <c r="R62" s="25" t="s">
        <v>250</v>
      </c>
      <c r="S62" s="20"/>
      <c r="T62" s="34" t="str">
        <f>"820,0"</f>
        <v>820,0</v>
      </c>
      <c r="U62" s="20" t="str">
        <f>"523,4880"</f>
        <v>523,4880</v>
      </c>
      <c r="V62" s="19" t="s">
        <v>1055</v>
      </c>
    </row>
    <row r="63" spans="1:22">
      <c r="A63" s="20" t="s">
        <v>312</v>
      </c>
      <c r="B63" s="19" t="s">
        <v>251</v>
      </c>
      <c r="C63" s="19" t="s">
        <v>252</v>
      </c>
      <c r="D63" s="19" t="s">
        <v>253</v>
      </c>
      <c r="E63" s="19" t="s">
        <v>1167</v>
      </c>
      <c r="F63" s="19" t="s">
        <v>17</v>
      </c>
      <c r="G63" s="19" t="s">
        <v>1039</v>
      </c>
      <c r="H63" s="28" t="s">
        <v>48</v>
      </c>
      <c r="I63" s="28" t="s">
        <v>254</v>
      </c>
      <c r="J63" s="25" t="s">
        <v>240</v>
      </c>
      <c r="K63" s="20"/>
      <c r="L63" s="28" t="s">
        <v>54</v>
      </c>
      <c r="M63" s="25" t="s">
        <v>255</v>
      </c>
      <c r="N63" s="28" t="s">
        <v>255</v>
      </c>
      <c r="O63" s="20"/>
      <c r="P63" s="28" t="s">
        <v>71</v>
      </c>
      <c r="Q63" s="28" t="s">
        <v>73</v>
      </c>
      <c r="R63" s="25" t="s">
        <v>249</v>
      </c>
      <c r="S63" s="20"/>
      <c r="T63" s="34" t="str">
        <f>"737,5"</f>
        <v>737,5</v>
      </c>
      <c r="U63" s="20" t="str">
        <f>"482,0300"</f>
        <v>482,0300</v>
      </c>
      <c r="V63" s="19" t="s">
        <v>1061</v>
      </c>
    </row>
    <row r="64" spans="1:22">
      <c r="A64" s="20" t="s">
        <v>313</v>
      </c>
      <c r="B64" s="19" t="s">
        <v>256</v>
      </c>
      <c r="C64" s="19" t="s">
        <v>257</v>
      </c>
      <c r="D64" s="19" t="s">
        <v>258</v>
      </c>
      <c r="E64" s="19" t="s">
        <v>1167</v>
      </c>
      <c r="F64" s="19" t="s">
        <v>110</v>
      </c>
      <c r="G64" s="19" t="s">
        <v>1039</v>
      </c>
      <c r="H64" s="28" t="s">
        <v>223</v>
      </c>
      <c r="I64" s="28" t="s">
        <v>37</v>
      </c>
      <c r="J64" s="25" t="s">
        <v>38</v>
      </c>
      <c r="K64" s="20"/>
      <c r="L64" s="28" t="s">
        <v>54</v>
      </c>
      <c r="M64" s="28" t="s">
        <v>244</v>
      </c>
      <c r="N64" s="28" t="s">
        <v>134</v>
      </c>
      <c r="O64" s="20"/>
      <c r="P64" s="28" t="s">
        <v>39</v>
      </c>
      <c r="Q64" s="28" t="s">
        <v>225</v>
      </c>
      <c r="R64" s="25" t="s">
        <v>259</v>
      </c>
      <c r="S64" s="20"/>
      <c r="T64" s="34" t="str">
        <f>"580,0"</f>
        <v>580,0</v>
      </c>
      <c r="U64" s="20" t="str">
        <f>"384,9460"</f>
        <v>384,9460</v>
      </c>
      <c r="V64" s="19" t="s">
        <v>1062</v>
      </c>
    </row>
    <row r="65" spans="1:22">
      <c r="A65" s="22" t="s">
        <v>66</v>
      </c>
      <c r="B65" s="21" t="s">
        <v>1024</v>
      </c>
      <c r="C65" s="21" t="s">
        <v>260</v>
      </c>
      <c r="D65" s="21" t="s">
        <v>261</v>
      </c>
      <c r="E65" s="21" t="s">
        <v>1168</v>
      </c>
      <c r="F65" s="21" t="s">
        <v>110</v>
      </c>
      <c r="G65" s="21" t="s">
        <v>18</v>
      </c>
      <c r="H65" s="26" t="s">
        <v>34</v>
      </c>
      <c r="I65" s="26" t="s">
        <v>36</v>
      </c>
      <c r="J65" s="26" t="s">
        <v>244</v>
      </c>
      <c r="K65" s="22"/>
      <c r="L65" s="26" t="s">
        <v>105</v>
      </c>
      <c r="M65" s="26" t="s">
        <v>165</v>
      </c>
      <c r="N65" s="26" t="s">
        <v>166</v>
      </c>
      <c r="O65" s="22"/>
      <c r="P65" s="26" t="s">
        <v>130</v>
      </c>
      <c r="Q65" s="26" t="s">
        <v>134</v>
      </c>
      <c r="R65" s="26" t="s">
        <v>25</v>
      </c>
      <c r="S65" s="22"/>
      <c r="T65" s="32" t="str">
        <f>"425,0"</f>
        <v>425,0</v>
      </c>
      <c r="U65" s="22" t="str">
        <f>"274,1675"</f>
        <v>274,1675</v>
      </c>
      <c r="V65" s="21" t="s">
        <v>1043</v>
      </c>
    </row>
    <row r="66" spans="1:22">
      <c r="B66" s="5" t="s">
        <v>9</v>
      </c>
    </row>
    <row r="67" spans="1:22" ht="16">
      <c r="A67" s="91" t="s">
        <v>49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</row>
    <row r="68" spans="1:22">
      <c r="A68" s="18" t="s">
        <v>66</v>
      </c>
      <c r="B68" s="17" t="s">
        <v>262</v>
      </c>
      <c r="C68" s="17" t="s">
        <v>263</v>
      </c>
      <c r="D68" s="17" t="s">
        <v>264</v>
      </c>
      <c r="E68" s="17" t="s">
        <v>1167</v>
      </c>
      <c r="F68" s="17" t="s">
        <v>110</v>
      </c>
      <c r="G68" s="17" t="s">
        <v>1039</v>
      </c>
      <c r="H68" s="23" t="s">
        <v>37</v>
      </c>
      <c r="I68" s="24" t="s">
        <v>39</v>
      </c>
      <c r="J68" s="18"/>
      <c r="K68" s="18"/>
      <c r="L68" s="23" t="s">
        <v>47</v>
      </c>
      <c r="M68" s="23" t="s">
        <v>32</v>
      </c>
      <c r="N68" s="24" t="s">
        <v>138</v>
      </c>
      <c r="O68" s="18"/>
      <c r="P68" s="23" t="s">
        <v>37</v>
      </c>
      <c r="Q68" s="23" t="s">
        <v>45</v>
      </c>
      <c r="R68" s="23" t="s">
        <v>265</v>
      </c>
      <c r="S68" s="18"/>
      <c r="T68" s="31" t="str">
        <f>"642,5"</f>
        <v>642,5</v>
      </c>
      <c r="U68" s="18" t="str">
        <f>"391,0255"</f>
        <v>391,0255</v>
      </c>
      <c r="V68" s="17" t="s">
        <v>1055</v>
      </c>
    </row>
    <row r="69" spans="1:22">
      <c r="A69" s="22" t="s">
        <v>312</v>
      </c>
      <c r="B69" s="21" t="s">
        <v>266</v>
      </c>
      <c r="C69" s="21" t="s">
        <v>267</v>
      </c>
      <c r="D69" s="21" t="s">
        <v>268</v>
      </c>
      <c r="E69" s="21" t="s">
        <v>1167</v>
      </c>
      <c r="F69" s="21" t="s">
        <v>110</v>
      </c>
      <c r="G69" s="21" t="s">
        <v>1039</v>
      </c>
      <c r="H69" s="26" t="s">
        <v>223</v>
      </c>
      <c r="I69" s="26" t="s">
        <v>38</v>
      </c>
      <c r="J69" s="27" t="s">
        <v>269</v>
      </c>
      <c r="K69" s="22"/>
      <c r="L69" s="26" t="s">
        <v>231</v>
      </c>
      <c r="M69" s="27" t="s">
        <v>215</v>
      </c>
      <c r="N69" s="27" t="s">
        <v>215</v>
      </c>
      <c r="O69" s="22"/>
      <c r="P69" s="26" t="s">
        <v>225</v>
      </c>
      <c r="Q69" s="26" t="s">
        <v>48</v>
      </c>
      <c r="R69" s="26" t="s">
        <v>213</v>
      </c>
      <c r="S69" s="22"/>
      <c r="T69" s="32" t="str">
        <f>"635,0"</f>
        <v>635,0</v>
      </c>
      <c r="U69" s="22" t="str">
        <f>"395,7320"</f>
        <v>395,7320</v>
      </c>
      <c r="V69" s="21" t="s">
        <v>1043</v>
      </c>
    </row>
    <row r="70" spans="1:22">
      <c r="B70" s="5" t="s">
        <v>9</v>
      </c>
    </row>
    <row r="71" spans="1:22" ht="16">
      <c r="A71" s="91" t="s">
        <v>270</v>
      </c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</row>
    <row r="72" spans="1:22">
      <c r="A72" s="18" t="s">
        <v>66</v>
      </c>
      <c r="B72" s="17" t="s">
        <v>271</v>
      </c>
      <c r="C72" s="17" t="s">
        <v>272</v>
      </c>
      <c r="D72" s="17" t="s">
        <v>273</v>
      </c>
      <c r="E72" s="17" t="s">
        <v>1166</v>
      </c>
      <c r="F72" s="17" t="s">
        <v>98</v>
      </c>
      <c r="G72" s="17" t="s">
        <v>99</v>
      </c>
      <c r="H72" s="23" t="s">
        <v>101</v>
      </c>
      <c r="I72" s="23" t="s">
        <v>105</v>
      </c>
      <c r="J72" s="23" t="s">
        <v>153</v>
      </c>
      <c r="K72" s="18"/>
      <c r="L72" s="23" t="s">
        <v>104</v>
      </c>
      <c r="M72" s="23" t="s">
        <v>117</v>
      </c>
      <c r="N72" s="23" t="s">
        <v>88</v>
      </c>
      <c r="O72" s="18"/>
      <c r="P72" s="23" t="s">
        <v>105</v>
      </c>
      <c r="Q72" s="23" t="s">
        <v>162</v>
      </c>
      <c r="R72" s="23" t="s">
        <v>166</v>
      </c>
      <c r="S72" s="18"/>
      <c r="T72" s="31" t="str">
        <f>"285,0"</f>
        <v>285,0</v>
      </c>
      <c r="U72" s="18" t="str">
        <f>"170,3730"</f>
        <v>170,3730</v>
      </c>
      <c r="V72" s="17"/>
    </row>
    <row r="73" spans="1:22">
      <c r="A73" s="22" t="s">
        <v>66</v>
      </c>
      <c r="B73" s="21" t="s">
        <v>274</v>
      </c>
      <c r="C73" s="21" t="s">
        <v>275</v>
      </c>
      <c r="D73" s="21" t="s">
        <v>276</v>
      </c>
      <c r="E73" s="21" t="s">
        <v>1167</v>
      </c>
      <c r="F73" s="21" t="s">
        <v>98</v>
      </c>
      <c r="G73" s="21" t="s">
        <v>99</v>
      </c>
      <c r="H73" s="26" t="s">
        <v>32</v>
      </c>
      <c r="I73" s="26" t="s">
        <v>37</v>
      </c>
      <c r="J73" s="26" t="s">
        <v>38</v>
      </c>
      <c r="K73" s="22"/>
      <c r="L73" s="26" t="s">
        <v>47</v>
      </c>
      <c r="M73" s="26" t="s">
        <v>32</v>
      </c>
      <c r="N73" s="27" t="s">
        <v>138</v>
      </c>
      <c r="O73" s="22"/>
      <c r="P73" s="26" t="s">
        <v>48</v>
      </c>
      <c r="Q73" s="26" t="s">
        <v>240</v>
      </c>
      <c r="R73" s="26" t="s">
        <v>277</v>
      </c>
      <c r="S73" s="22"/>
      <c r="T73" s="32" t="str">
        <f>"670,0"</f>
        <v>670,0</v>
      </c>
      <c r="U73" s="22" t="str">
        <f>"402,8710"</f>
        <v>402,8710</v>
      </c>
      <c r="V73" s="21"/>
    </row>
    <row r="74" spans="1:22">
      <c r="B74" s="5" t="s">
        <v>9</v>
      </c>
    </row>
    <row r="75" spans="1:22" ht="16">
      <c r="A75" s="91" t="s">
        <v>278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</row>
    <row r="76" spans="1:22">
      <c r="A76" s="18" t="s">
        <v>66</v>
      </c>
      <c r="B76" s="17" t="s">
        <v>279</v>
      </c>
      <c r="C76" s="17" t="s">
        <v>280</v>
      </c>
      <c r="D76" s="17" t="s">
        <v>281</v>
      </c>
      <c r="E76" s="17" t="s">
        <v>1166</v>
      </c>
      <c r="F76" s="17" t="s">
        <v>110</v>
      </c>
      <c r="G76" s="17" t="s">
        <v>1039</v>
      </c>
      <c r="H76" s="24" t="s">
        <v>130</v>
      </c>
      <c r="I76" s="23" t="s">
        <v>130</v>
      </c>
      <c r="J76" s="23" t="s">
        <v>187</v>
      </c>
      <c r="K76" s="18"/>
      <c r="L76" s="23" t="s">
        <v>100</v>
      </c>
      <c r="M76" s="23" t="s">
        <v>180</v>
      </c>
      <c r="N76" s="23" t="s">
        <v>136</v>
      </c>
      <c r="O76" s="18"/>
      <c r="P76" s="23" t="s">
        <v>19</v>
      </c>
      <c r="Q76" s="23" t="s">
        <v>135</v>
      </c>
      <c r="R76" s="23" t="s">
        <v>215</v>
      </c>
      <c r="S76" s="18"/>
      <c r="T76" s="31" t="str">
        <f>"415,0"</f>
        <v>415,0</v>
      </c>
      <c r="U76" s="18" t="str">
        <f>"240,1190"</f>
        <v>240,1190</v>
      </c>
      <c r="V76" s="17" t="s">
        <v>1055</v>
      </c>
    </row>
    <row r="77" spans="1:22">
      <c r="A77" s="22" t="s">
        <v>66</v>
      </c>
      <c r="B77" s="21" t="s">
        <v>282</v>
      </c>
      <c r="C77" s="21" t="s">
        <v>283</v>
      </c>
      <c r="D77" s="21" t="s">
        <v>284</v>
      </c>
      <c r="E77" s="21" t="s">
        <v>1167</v>
      </c>
      <c r="F77" s="21" t="s">
        <v>110</v>
      </c>
      <c r="G77" s="21" t="s">
        <v>1039</v>
      </c>
      <c r="H77" s="26" t="s">
        <v>254</v>
      </c>
      <c r="I77" s="26" t="s">
        <v>277</v>
      </c>
      <c r="J77" s="26" t="s">
        <v>285</v>
      </c>
      <c r="K77" s="22"/>
      <c r="L77" s="26" t="s">
        <v>47</v>
      </c>
      <c r="M77" s="26" t="s">
        <v>32</v>
      </c>
      <c r="N77" s="26" t="s">
        <v>223</v>
      </c>
      <c r="O77" s="22"/>
      <c r="P77" s="26" t="s">
        <v>213</v>
      </c>
      <c r="Q77" s="26" t="s">
        <v>240</v>
      </c>
      <c r="R77" s="27" t="s">
        <v>277</v>
      </c>
      <c r="S77" s="22"/>
      <c r="T77" s="32" t="str">
        <f>"750,0"</f>
        <v>750,0</v>
      </c>
      <c r="U77" s="22" t="str">
        <f>"428,8500"</f>
        <v>428,8500</v>
      </c>
      <c r="V77" s="21" t="s">
        <v>1063</v>
      </c>
    </row>
    <row r="78" spans="1:22">
      <c r="B78" s="5" t="s">
        <v>9</v>
      </c>
    </row>
    <row r="79" spans="1:22" ht="16">
      <c r="B79" s="5" t="s">
        <v>9</v>
      </c>
      <c r="F79" s="7"/>
    </row>
    <row r="80" spans="1:22" ht="16">
      <c r="B80" s="5" t="s">
        <v>9</v>
      </c>
      <c r="F80" s="7"/>
    </row>
    <row r="81" spans="2:6" ht="18">
      <c r="B81" s="8" t="s">
        <v>8</v>
      </c>
      <c r="C81" s="8"/>
    </row>
    <row r="82" spans="2:6" ht="16">
      <c r="B82" s="11" t="s">
        <v>55</v>
      </c>
      <c r="C82" s="11"/>
    </row>
    <row r="83" spans="2:6" ht="14">
      <c r="B83" s="12"/>
      <c r="C83" s="13" t="s">
        <v>56</v>
      </c>
    </row>
    <row r="84" spans="2:6" ht="14">
      <c r="B84" s="14" t="s">
        <v>57</v>
      </c>
      <c r="C84" s="14" t="s">
        <v>58</v>
      </c>
      <c r="D84" s="14" t="s">
        <v>1041</v>
      </c>
      <c r="E84" s="14" t="s">
        <v>60</v>
      </c>
      <c r="F84" s="14" t="s">
        <v>61</v>
      </c>
    </row>
    <row r="85" spans="2:6">
      <c r="B85" s="5" t="s">
        <v>131</v>
      </c>
      <c r="C85" s="5" t="s">
        <v>56</v>
      </c>
      <c r="D85" s="6" t="s">
        <v>65</v>
      </c>
      <c r="E85" s="6" t="s">
        <v>289</v>
      </c>
      <c r="F85" s="6" t="s">
        <v>290</v>
      </c>
    </row>
    <row r="86" spans="2:6">
      <c r="B86" s="5" t="s">
        <v>122</v>
      </c>
      <c r="C86" s="5" t="s">
        <v>56</v>
      </c>
      <c r="D86" s="6" t="s">
        <v>291</v>
      </c>
      <c r="E86" s="6" t="s">
        <v>292</v>
      </c>
      <c r="F86" s="6" t="s">
        <v>293</v>
      </c>
    </row>
    <row r="87" spans="2:6">
      <c r="B87" s="5" t="s">
        <v>139</v>
      </c>
      <c r="C87" s="5" t="s">
        <v>56</v>
      </c>
      <c r="D87" s="6" t="s">
        <v>64</v>
      </c>
      <c r="E87" s="6" t="s">
        <v>294</v>
      </c>
      <c r="F87" s="6" t="s">
        <v>295</v>
      </c>
    </row>
    <row r="89" spans="2:6" ht="16">
      <c r="B89" s="11" t="s">
        <v>63</v>
      </c>
      <c r="C89" s="11"/>
    </row>
    <row r="90" spans="2:6" ht="14">
      <c r="B90" s="12"/>
      <c r="C90" s="13" t="s">
        <v>296</v>
      </c>
    </row>
    <row r="91" spans="2:6" ht="14">
      <c r="B91" s="14" t="s">
        <v>57</v>
      </c>
      <c r="C91" s="14" t="s">
        <v>58</v>
      </c>
      <c r="D91" s="14" t="s">
        <v>1041</v>
      </c>
      <c r="E91" s="14" t="s">
        <v>60</v>
      </c>
      <c r="F91" s="14" t="s">
        <v>61</v>
      </c>
    </row>
    <row r="92" spans="2:6">
      <c r="B92" s="5" t="s">
        <v>173</v>
      </c>
      <c r="C92" s="5" t="s">
        <v>297</v>
      </c>
      <c r="D92" s="6" t="s">
        <v>291</v>
      </c>
      <c r="E92" s="6" t="s">
        <v>298</v>
      </c>
      <c r="F92" s="6" t="s">
        <v>299</v>
      </c>
    </row>
    <row r="93" spans="2:6">
      <c r="B93" s="5" t="s">
        <v>197</v>
      </c>
      <c r="C93" s="5" t="s">
        <v>297</v>
      </c>
      <c r="D93" s="6" t="s">
        <v>65</v>
      </c>
      <c r="E93" s="6" t="s">
        <v>300</v>
      </c>
      <c r="F93" s="6" t="s">
        <v>301</v>
      </c>
    </row>
    <row r="94" spans="2:6">
      <c r="B94" s="5" t="s">
        <v>177</v>
      </c>
      <c r="C94" s="5" t="s">
        <v>286</v>
      </c>
      <c r="D94" s="6" t="s">
        <v>302</v>
      </c>
      <c r="E94" s="6" t="s">
        <v>303</v>
      </c>
      <c r="F94" s="6" t="s">
        <v>304</v>
      </c>
    </row>
    <row r="96" spans="2:6" ht="14">
      <c r="B96" s="12"/>
      <c r="C96" s="13" t="s">
        <v>56</v>
      </c>
    </row>
    <row r="97" spans="2:22" ht="14">
      <c r="B97" s="14" t="s">
        <v>57</v>
      </c>
      <c r="C97" s="14" t="s">
        <v>58</v>
      </c>
      <c r="D97" s="14" t="s">
        <v>1041</v>
      </c>
      <c r="E97" s="14" t="s">
        <v>60</v>
      </c>
      <c r="F97" s="14" t="s">
        <v>61</v>
      </c>
    </row>
    <row r="98" spans="2:22">
      <c r="B98" s="5" t="s">
        <v>245</v>
      </c>
      <c r="C98" s="5" t="s">
        <v>56</v>
      </c>
      <c r="D98" s="6" t="s">
        <v>64</v>
      </c>
      <c r="E98" s="6" t="s">
        <v>307</v>
      </c>
      <c r="F98" s="6" t="s">
        <v>308</v>
      </c>
    </row>
    <row r="99" spans="2:22">
      <c r="B99" s="5" t="s">
        <v>209</v>
      </c>
      <c r="C99" s="5" t="s">
        <v>56</v>
      </c>
      <c r="D99" s="6" t="s">
        <v>65</v>
      </c>
      <c r="E99" s="6" t="s">
        <v>80</v>
      </c>
      <c r="F99" s="6" t="s">
        <v>309</v>
      </c>
    </row>
    <row r="100" spans="2:22">
      <c r="B100" s="5" t="s">
        <v>251</v>
      </c>
      <c r="C100" s="5" t="s">
        <v>56</v>
      </c>
      <c r="D100" s="6" t="s">
        <v>64</v>
      </c>
      <c r="E100" s="6" t="s">
        <v>310</v>
      </c>
      <c r="F100" s="6" t="s">
        <v>311</v>
      </c>
    </row>
    <row r="101" spans="2:22">
      <c r="B101" s="5" t="s">
        <v>9</v>
      </c>
    </row>
    <row r="102" spans="2:22">
      <c r="B102" s="5" t="s">
        <v>9</v>
      </c>
    </row>
    <row r="103" spans="2:22">
      <c r="B103" s="5" t="s">
        <v>9</v>
      </c>
    </row>
    <row r="104" spans="2:22">
      <c r="B104" s="5" t="s">
        <v>9</v>
      </c>
    </row>
    <row r="105" spans="2:22">
      <c r="B105" s="5" t="s">
        <v>9</v>
      </c>
    </row>
    <row r="106" spans="2:22">
      <c r="B106" s="5" t="s">
        <v>9</v>
      </c>
    </row>
    <row r="107" spans="2:22">
      <c r="B107" s="5" t="s">
        <v>9</v>
      </c>
    </row>
    <row r="108" spans="2:22">
      <c r="B108" s="5" t="s">
        <v>9</v>
      </c>
      <c r="C108" s="6"/>
      <c r="D108" s="6"/>
      <c r="E108" s="6"/>
      <c r="F108" s="6"/>
      <c r="G108" s="6"/>
      <c r="Q108" s="5"/>
      <c r="R108" s="3"/>
      <c r="S108" s="3"/>
      <c r="T108" s="35"/>
      <c r="U108" s="3"/>
      <c r="V108" s="3"/>
    </row>
    <row r="109" spans="2:22">
      <c r="B109" s="5" t="s">
        <v>9</v>
      </c>
      <c r="C109" s="6"/>
      <c r="D109" s="6"/>
      <c r="E109" s="6"/>
      <c r="F109" s="6"/>
      <c r="G109" s="6"/>
      <c r="Q109" s="5"/>
      <c r="R109" s="3"/>
      <c r="S109" s="3"/>
      <c r="T109" s="35"/>
      <c r="U109" s="3"/>
      <c r="V109" s="3"/>
    </row>
    <row r="110" spans="2:22">
      <c r="B110" s="5" t="s">
        <v>9</v>
      </c>
      <c r="C110" s="6"/>
      <c r="D110" s="6"/>
      <c r="E110" s="6"/>
      <c r="F110" s="6"/>
      <c r="G110" s="6"/>
      <c r="Q110" s="5"/>
      <c r="R110" s="3"/>
      <c r="S110" s="3"/>
      <c r="T110" s="35"/>
      <c r="U110" s="3"/>
      <c r="V110" s="3"/>
    </row>
    <row r="111" spans="2:22">
      <c r="B111" s="5" t="s">
        <v>9</v>
      </c>
      <c r="C111" s="6"/>
      <c r="D111" s="6"/>
      <c r="E111" s="6"/>
      <c r="F111" s="6"/>
      <c r="G111" s="6"/>
      <c r="Q111" s="5"/>
      <c r="R111" s="3"/>
      <c r="S111" s="3"/>
      <c r="T111" s="35"/>
      <c r="U111" s="3"/>
      <c r="V111" s="3"/>
    </row>
    <row r="112" spans="2:22">
      <c r="B112" s="5" t="s">
        <v>9</v>
      </c>
      <c r="C112" s="6"/>
      <c r="D112" s="6"/>
      <c r="E112" s="6"/>
      <c r="F112" s="6"/>
      <c r="G112" s="6"/>
      <c r="Q112" s="5"/>
      <c r="R112" s="3"/>
      <c r="S112" s="3"/>
      <c r="T112" s="35"/>
      <c r="U112" s="3"/>
      <c r="V112" s="3"/>
    </row>
    <row r="113" spans="2:2">
      <c r="B113" s="5" t="s">
        <v>9</v>
      </c>
    </row>
    <row r="114" spans="2:2">
      <c r="B114" s="5" t="s">
        <v>9</v>
      </c>
    </row>
    <row r="115" spans="2:2">
      <c r="B115" s="5" t="s">
        <v>9</v>
      </c>
    </row>
    <row r="116" spans="2:2">
      <c r="B116" s="5" t="s">
        <v>9</v>
      </c>
    </row>
    <row r="117" spans="2:2">
      <c r="B117" s="5" t="s">
        <v>9</v>
      </c>
    </row>
    <row r="118" spans="2:2">
      <c r="B118" s="5" t="s">
        <v>9</v>
      </c>
    </row>
    <row r="119" spans="2:2">
      <c r="B119" s="5" t="s">
        <v>9</v>
      </c>
    </row>
    <row r="120" spans="2:2">
      <c r="B120" s="5" t="s">
        <v>9</v>
      </c>
    </row>
    <row r="121" spans="2:2">
      <c r="B121" s="5" t="s">
        <v>9</v>
      </c>
    </row>
    <row r="122" spans="2:2">
      <c r="B122" s="5" t="s">
        <v>9</v>
      </c>
    </row>
    <row r="123" spans="2:2">
      <c r="B123" s="5" t="s">
        <v>9</v>
      </c>
    </row>
    <row r="124" spans="2:2">
      <c r="B124" s="5" t="s">
        <v>9</v>
      </c>
    </row>
  </sheetData>
  <mergeCells count="31">
    <mergeCell ref="A59:S59"/>
    <mergeCell ref="A67:S67"/>
    <mergeCell ref="A71:S71"/>
    <mergeCell ref="A75:S75"/>
    <mergeCell ref="B3:B4"/>
    <mergeCell ref="A26:S26"/>
    <mergeCell ref="A30:S30"/>
    <mergeCell ref="A33:S33"/>
    <mergeCell ref="A36:S36"/>
    <mergeCell ref="A42:S42"/>
    <mergeCell ref="A48:S48"/>
    <mergeCell ref="A8:S8"/>
    <mergeCell ref="A11:S11"/>
    <mergeCell ref="A14:S14"/>
    <mergeCell ref="A17:S17"/>
    <mergeCell ref="A20:S20"/>
    <mergeCell ref="A23:S23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C2B2-F09A-4445-A618-CF8D5611D036}">
  <dimension ref="A1:N35"/>
  <sheetViews>
    <sheetView zoomScaleNormal="100" workbookViewId="0">
      <selection sqref="A1:N2"/>
    </sheetView>
  </sheetViews>
  <sheetFormatPr baseColWidth="10" defaultColWidth="9.1640625" defaultRowHeight="13"/>
  <cols>
    <col min="1" max="1" width="7.5" style="40" bestFit="1" customWidth="1"/>
    <col min="2" max="2" width="18.33203125" style="40" bestFit="1" customWidth="1"/>
    <col min="3" max="3" width="26.33203125" style="40" bestFit="1" customWidth="1"/>
    <col min="4" max="4" width="21.5" style="40" bestFit="1" customWidth="1"/>
    <col min="5" max="5" width="10.5" style="40" bestFit="1" customWidth="1"/>
    <col min="6" max="6" width="22.6640625" style="40" bestFit="1" customWidth="1"/>
    <col min="7" max="7" width="34.5" style="40" bestFit="1" customWidth="1"/>
    <col min="8" max="11" width="5.5" style="39" customWidth="1"/>
    <col min="12" max="12" width="10.5" style="60" bestFit="1" customWidth="1"/>
    <col min="13" max="13" width="8.5" style="39" bestFit="1" customWidth="1"/>
    <col min="14" max="14" width="29.83203125" style="40" bestFit="1" customWidth="1"/>
    <col min="15" max="16384" width="9.1640625" style="41"/>
  </cols>
  <sheetData>
    <row r="1" spans="1:14" s="36" customFormat="1" ht="29" customHeight="1">
      <c r="A1" s="99" t="s">
        <v>1151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s="36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</row>
    <row r="3" spans="1:14" s="37" customFormat="1" ht="12.75" customHeight="1">
      <c r="A3" s="107" t="s">
        <v>1161</v>
      </c>
      <c r="B3" s="109" t="s">
        <v>0</v>
      </c>
      <c r="C3" s="110" t="s">
        <v>1162</v>
      </c>
      <c r="D3" s="110" t="s">
        <v>7</v>
      </c>
      <c r="E3" s="94" t="s">
        <v>1163</v>
      </c>
      <c r="F3" s="94" t="s">
        <v>4</v>
      </c>
      <c r="G3" s="94" t="s">
        <v>6</v>
      </c>
      <c r="H3" s="94" t="s">
        <v>12</v>
      </c>
      <c r="I3" s="94"/>
      <c r="J3" s="94"/>
      <c r="K3" s="94"/>
      <c r="L3" s="111" t="s">
        <v>495</v>
      </c>
      <c r="M3" s="94" t="s">
        <v>3</v>
      </c>
      <c r="N3" s="96" t="s">
        <v>2</v>
      </c>
    </row>
    <row r="4" spans="1:14" s="37" customFormat="1" ht="21" customHeight="1" thickBot="1">
      <c r="A4" s="108"/>
      <c r="B4" s="93"/>
      <c r="C4" s="95"/>
      <c r="D4" s="95"/>
      <c r="E4" s="95"/>
      <c r="F4" s="95"/>
      <c r="G4" s="95"/>
      <c r="H4" s="38">
        <v>1</v>
      </c>
      <c r="I4" s="38">
        <v>2</v>
      </c>
      <c r="J4" s="38">
        <v>3</v>
      </c>
      <c r="K4" s="38" t="s">
        <v>5</v>
      </c>
      <c r="L4" s="112"/>
      <c r="M4" s="95"/>
      <c r="N4" s="97"/>
    </row>
    <row r="5" spans="1:14" ht="16">
      <c r="A5" s="79" t="s">
        <v>40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42" t="s">
        <v>66</v>
      </c>
      <c r="B6" s="43" t="s">
        <v>245</v>
      </c>
      <c r="C6" s="43" t="s">
        <v>246</v>
      </c>
      <c r="D6" s="43" t="s">
        <v>247</v>
      </c>
      <c r="E6" s="43" t="s">
        <v>1167</v>
      </c>
      <c r="F6" s="43" t="s">
        <v>110</v>
      </c>
      <c r="G6" s="43" t="s">
        <v>18</v>
      </c>
      <c r="H6" s="23" t="s">
        <v>1089</v>
      </c>
      <c r="I6" s="23" t="s">
        <v>1090</v>
      </c>
      <c r="J6" s="44" t="s">
        <v>298</v>
      </c>
      <c r="K6" s="44" t="s">
        <v>298</v>
      </c>
      <c r="L6" s="61" t="str">
        <f ca="1">"360,0"</f>
        <v>360,0</v>
      </c>
      <c r="M6" s="42" t="str">
        <f ca="1">"229,8240"</f>
        <v>229,8240</v>
      </c>
      <c r="N6" s="43" t="s">
        <v>1055</v>
      </c>
    </row>
    <row r="7" spans="1:14">
      <c r="A7" s="45" t="s">
        <v>312</v>
      </c>
      <c r="B7" s="46" t="s">
        <v>477</v>
      </c>
      <c r="C7" s="46" t="s">
        <v>478</v>
      </c>
      <c r="D7" s="46" t="s">
        <v>479</v>
      </c>
      <c r="E7" s="46" t="s">
        <v>1167</v>
      </c>
      <c r="F7" s="46" t="s">
        <v>17</v>
      </c>
      <c r="G7" s="46" t="s">
        <v>18</v>
      </c>
      <c r="H7" s="28" t="s">
        <v>72</v>
      </c>
      <c r="I7" s="28" t="s">
        <v>1091</v>
      </c>
      <c r="J7" s="47" t="s">
        <v>292</v>
      </c>
      <c r="K7" s="47" t="s">
        <v>1092</v>
      </c>
      <c r="L7" s="62" t="str">
        <f ca="1">"325,0"</f>
        <v>325,0</v>
      </c>
      <c r="M7" s="45" t="str">
        <f ca="1">"207,6100"</f>
        <v>207,6100</v>
      </c>
      <c r="N7" s="46"/>
    </row>
    <row r="8" spans="1:14">
      <c r="A8" s="48" t="s">
        <v>67</v>
      </c>
      <c r="B8" s="49" t="s">
        <v>251</v>
      </c>
      <c r="C8" s="49" t="s">
        <v>252</v>
      </c>
      <c r="D8" s="49" t="s">
        <v>253</v>
      </c>
      <c r="E8" s="49" t="s">
        <v>1167</v>
      </c>
      <c r="F8" s="49" t="s">
        <v>17</v>
      </c>
      <c r="G8" s="49" t="s">
        <v>18</v>
      </c>
      <c r="H8" s="50" t="s">
        <v>249</v>
      </c>
      <c r="I8" s="48"/>
      <c r="J8" s="48"/>
      <c r="K8" s="48"/>
      <c r="L8" s="63">
        <v>0</v>
      </c>
      <c r="M8" s="48" t="str">
        <f ca="1">"0,0000"</f>
        <v>0,0000</v>
      </c>
      <c r="N8" s="49" t="s">
        <v>1129</v>
      </c>
    </row>
    <row r="9" spans="1:14">
      <c r="B9" s="40" t="s">
        <v>9</v>
      </c>
    </row>
    <row r="10" spans="1:14" ht="16">
      <c r="A10" s="98" t="s">
        <v>49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4">
      <c r="A11" s="51" t="s">
        <v>66</v>
      </c>
      <c r="B11" s="52" t="s">
        <v>906</v>
      </c>
      <c r="C11" s="52" t="s">
        <v>907</v>
      </c>
      <c r="D11" s="52" t="s">
        <v>908</v>
      </c>
      <c r="E11" s="52" t="s">
        <v>1167</v>
      </c>
      <c r="F11" s="52" t="s">
        <v>909</v>
      </c>
      <c r="G11" s="52" t="s">
        <v>18</v>
      </c>
      <c r="H11" s="53" t="s">
        <v>71</v>
      </c>
      <c r="I11" s="15" t="s">
        <v>71</v>
      </c>
      <c r="J11" s="53" t="s">
        <v>72</v>
      </c>
      <c r="K11" s="51"/>
      <c r="L11" s="64" t="str">
        <f ca="1">"300,0"</f>
        <v>300,0</v>
      </c>
      <c r="M11" s="51" t="str">
        <f ca="1">"185,1600"</f>
        <v>185,1600</v>
      </c>
      <c r="N11" s="52" t="s">
        <v>1070</v>
      </c>
    </row>
    <row r="12" spans="1:14">
      <c r="B12" s="40" t="s">
        <v>9</v>
      </c>
    </row>
    <row r="13" spans="1:14" ht="16">
      <c r="A13" s="98" t="s">
        <v>270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14">
      <c r="A14" s="51" t="s">
        <v>66</v>
      </c>
      <c r="B14" s="52" t="s">
        <v>1093</v>
      </c>
      <c r="C14" s="52" t="s">
        <v>1110</v>
      </c>
      <c r="D14" s="52" t="s">
        <v>452</v>
      </c>
      <c r="E14" s="52" t="s">
        <v>1167</v>
      </c>
      <c r="F14" s="52" t="s">
        <v>110</v>
      </c>
      <c r="G14" s="52" t="s">
        <v>18</v>
      </c>
      <c r="H14" s="15" t="s">
        <v>292</v>
      </c>
      <c r="I14" s="15" t="s">
        <v>1094</v>
      </c>
      <c r="J14" s="15" t="s">
        <v>1095</v>
      </c>
      <c r="K14" s="53" t="s">
        <v>300</v>
      </c>
      <c r="L14" s="64" t="str">
        <f ca="1">"392,5"</f>
        <v>392,5</v>
      </c>
      <c r="M14" s="51" t="str">
        <f ca="1">"231,3002"</f>
        <v>231,3002</v>
      </c>
      <c r="N14" s="52" t="s">
        <v>1129</v>
      </c>
    </row>
    <row r="15" spans="1:14">
      <c r="B15" s="40" t="s">
        <v>9</v>
      </c>
    </row>
    <row r="16" spans="1:14" ht="16">
      <c r="A16" s="98" t="s">
        <v>278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4">
      <c r="A17" s="42" t="s">
        <v>66</v>
      </c>
      <c r="B17" s="43" t="s">
        <v>1096</v>
      </c>
      <c r="C17" s="43" t="s">
        <v>1111</v>
      </c>
      <c r="D17" s="43" t="s">
        <v>1097</v>
      </c>
      <c r="E17" s="43" t="s">
        <v>1167</v>
      </c>
      <c r="F17" s="43" t="s">
        <v>602</v>
      </c>
      <c r="G17" s="43" t="s">
        <v>230</v>
      </c>
      <c r="H17" s="23" t="s">
        <v>1098</v>
      </c>
      <c r="I17" s="23" t="s">
        <v>1099</v>
      </c>
      <c r="J17" s="44" t="s">
        <v>1095</v>
      </c>
      <c r="K17" s="23" t="s">
        <v>1095</v>
      </c>
      <c r="L17" s="61" t="str">
        <f ca="1">"392,5"</f>
        <v>392,5</v>
      </c>
      <c r="M17" s="42" t="str">
        <f ca="1">"227,5322"</f>
        <v>227,5322</v>
      </c>
      <c r="N17" s="43"/>
    </row>
    <row r="18" spans="1:14">
      <c r="A18" s="48" t="s">
        <v>312</v>
      </c>
      <c r="B18" s="49" t="s">
        <v>1100</v>
      </c>
      <c r="C18" s="49" t="s">
        <v>1112</v>
      </c>
      <c r="D18" s="49" t="s">
        <v>1101</v>
      </c>
      <c r="E18" s="49" t="s">
        <v>1167</v>
      </c>
      <c r="F18" s="49" t="s">
        <v>602</v>
      </c>
      <c r="G18" s="49" t="s">
        <v>230</v>
      </c>
      <c r="H18" s="26" t="s">
        <v>1102</v>
      </c>
      <c r="I18" s="26" t="s">
        <v>1103</v>
      </c>
      <c r="J18" s="26" t="s">
        <v>1104</v>
      </c>
      <c r="K18" s="50" t="s">
        <v>1105</v>
      </c>
      <c r="L18" s="63" t="str">
        <f ca="1">"327,5"</f>
        <v>327,5</v>
      </c>
      <c r="M18" s="48" t="str">
        <f ca="1">"186,6750"</f>
        <v>186,6750</v>
      </c>
      <c r="N18" s="49" t="s">
        <v>328</v>
      </c>
    </row>
    <row r="19" spans="1:14">
      <c r="B19" s="40" t="s">
        <v>9</v>
      </c>
    </row>
    <row r="20" spans="1:14" ht="16">
      <c r="B20" s="40" t="s">
        <v>9</v>
      </c>
      <c r="F20" s="54"/>
    </row>
    <row r="21" spans="1:14" ht="16">
      <c r="B21" s="40" t="s">
        <v>9</v>
      </c>
      <c r="F21" s="54"/>
    </row>
    <row r="22" spans="1:14" ht="18">
      <c r="B22" s="55" t="s">
        <v>8</v>
      </c>
      <c r="C22" s="55"/>
    </row>
    <row r="23" spans="1:14" ht="16">
      <c r="B23" s="56" t="s">
        <v>63</v>
      </c>
      <c r="C23" s="56"/>
    </row>
    <row r="24" spans="1:14" ht="14">
      <c r="B24" s="57"/>
      <c r="C24" s="58" t="s">
        <v>56</v>
      </c>
    </row>
    <row r="25" spans="1:14" ht="14">
      <c r="B25" s="59" t="s">
        <v>57</v>
      </c>
      <c r="C25" s="59" t="s">
        <v>58</v>
      </c>
      <c r="D25" s="59" t="s">
        <v>59</v>
      </c>
      <c r="E25" s="59" t="s">
        <v>490</v>
      </c>
      <c r="F25" s="59" t="s">
        <v>61</v>
      </c>
    </row>
    <row r="26" spans="1:14">
      <c r="B26" s="40" t="s">
        <v>1093</v>
      </c>
      <c r="C26" s="40" t="s">
        <v>56</v>
      </c>
      <c r="D26" s="39" t="s">
        <v>1106</v>
      </c>
      <c r="E26" s="39" t="s">
        <v>1095</v>
      </c>
      <c r="F26" s="39" t="s">
        <v>1107</v>
      </c>
    </row>
    <row r="27" spans="1:14">
      <c r="B27" s="40" t="s">
        <v>245</v>
      </c>
      <c r="C27" s="40" t="s">
        <v>56</v>
      </c>
      <c r="D27" s="39" t="s">
        <v>64</v>
      </c>
      <c r="E27" s="39" t="s">
        <v>1090</v>
      </c>
      <c r="F27" s="39" t="s">
        <v>1108</v>
      </c>
    </row>
    <row r="28" spans="1:14">
      <c r="B28" s="40" t="s">
        <v>1096</v>
      </c>
      <c r="C28" s="40" t="s">
        <v>56</v>
      </c>
      <c r="D28" s="39" t="s">
        <v>306</v>
      </c>
      <c r="E28" s="39" t="s">
        <v>1095</v>
      </c>
      <c r="F28" s="39" t="s">
        <v>1109</v>
      </c>
    </row>
    <row r="29" spans="1:14">
      <c r="B29" s="40" t="s">
        <v>9</v>
      </c>
    </row>
    <row r="30" spans="1:14">
      <c r="B30" s="40" t="s">
        <v>9</v>
      </c>
    </row>
    <row r="31" spans="1:14">
      <c r="B31" s="40" t="s">
        <v>9</v>
      </c>
    </row>
    <row r="32" spans="1:14">
      <c r="B32" s="40" t="s">
        <v>9</v>
      </c>
    </row>
    <row r="33" spans="2:2">
      <c r="B33" s="40" t="s">
        <v>9</v>
      </c>
    </row>
    <row r="34" spans="2:2">
      <c r="B34" s="40" t="s">
        <v>9</v>
      </c>
    </row>
    <row r="35" spans="2:2">
      <c r="B35" s="40" t="s">
        <v>9</v>
      </c>
    </row>
  </sheetData>
  <mergeCells count="16">
    <mergeCell ref="A16:K16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10:K10"/>
    <mergeCell ref="A13:K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4"/>
  <sheetViews>
    <sheetView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5" width="5.5" style="6" customWidth="1"/>
    <col min="16" max="16" width="7.83203125" style="6" bestFit="1" customWidth="1"/>
    <col min="17" max="17" width="8.5" style="6" bestFit="1" customWidth="1"/>
    <col min="18" max="18" width="21.1640625" style="5" customWidth="1"/>
    <col min="19" max="16384" width="9.1640625" style="3"/>
  </cols>
  <sheetData>
    <row r="1" spans="1:18" s="2" customFormat="1" ht="29" customHeight="1">
      <c r="A1" s="80" t="s">
        <v>1152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7"/>
    </row>
    <row r="3" spans="1:18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1160</v>
      </c>
      <c r="M3" s="74"/>
      <c r="N3" s="74"/>
      <c r="O3" s="74"/>
      <c r="P3" s="74" t="s">
        <v>1</v>
      </c>
      <c r="Q3" s="74" t="s">
        <v>3</v>
      </c>
      <c r="R3" s="76" t="s">
        <v>2</v>
      </c>
    </row>
    <row r="4" spans="1:18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75"/>
      <c r="Q4" s="75"/>
      <c r="R4" s="77"/>
    </row>
    <row r="5" spans="1:18" ht="16">
      <c r="A5" s="78" t="s">
        <v>94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8">
      <c r="A6" s="18" t="s">
        <v>66</v>
      </c>
      <c r="B6" s="17" t="s">
        <v>910</v>
      </c>
      <c r="C6" s="17" t="s">
        <v>911</v>
      </c>
      <c r="D6" s="17" t="s">
        <v>995</v>
      </c>
      <c r="E6" s="17" t="s">
        <v>1167</v>
      </c>
      <c r="F6" s="17" t="s">
        <v>602</v>
      </c>
      <c r="G6" s="17" t="s">
        <v>1039</v>
      </c>
      <c r="H6" s="23" t="s">
        <v>89</v>
      </c>
      <c r="I6" s="23" t="s">
        <v>90</v>
      </c>
      <c r="J6" s="24" t="s">
        <v>112</v>
      </c>
      <c r="K6" s="18"/>
      <c r="L6" s="23" t="s">
        <v>505</v>
      </c>
      <c r="M6" s="23" t="s">
        <v>671</v>
      </c>
      <c r="N6" s="24" t="s">
        <v>89</v>
      </c>
      <c r="O6" s="18"/>
      <c r="P6" s="18" t="str">
        <f>"60,0"</f>
        <v>60,0</v>
      </c>
      <c r="Q6" s="18" t="str">
        <f>"66,8100"</f>
        <v>66,8100</v>
      </c>
      <c r="R6" s="17" t="s">
        <v>328</v>
      </c>
    </row>
    <row r="7" spans="1:18">
      <c r="A7" s="22" t="s">
        <v>312</v>
      </c>
      <c r="B7" s="21" t="s">
        <v>325</v>
      </c>
      <c r="C7" s="21" t="s">
        <v>326</v>
      </c>
      <c r="D7" s="21" t="s">
        <v>327</v>
      </c>
      <c r="E7" s="21" t="s">
        <v>1167</v>
      </c>
      <c r="F7" s="21" t="s">
        <v>602</v>
      </c>
      <c r="G7" s="21" t="s">
        <v>1039</v>
      </c>
      <c r="H7" s="27" t="s">
        <v>89</v>
      </c>
      <c r="I7" s="26" t="s">
        <v>89</v>
      </c>
      <c r="J7" s="27" t="s">
        <v>90</v>
      </c>
      <c r="K7" s="22"/>
      <c r="L7" s="26" t="s">
        <v>505</v>
      </c>
      <c r="M7" s="26" t="s">
        <v>671</v>
      </c>
      <c r="N7" s="27" t="s">
        <v>89</v>
      </c>
      <c r="O7" s="22"/>
      <c r="P7" s="22" t="str">
        <f>"57,5"</f>
        <v>57,5</v>
      </c>
      <c r="Q7" s="22" t="str">
        <f>"63,6870"</f>
        <v>63,6870</v>
      </c>
      <c r="R7" s="21" t="s">
        <v>328</v>
      </c>
    </row>
    <row r="8" spans="1:18">
      <c r="B8" s="5" t="s">
        <v>9</v>
      </c>
    </row>
    <row r="9" spans="1:18" ht="16">
      <c r="A9" s="91" t="s">
        <v>113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8">
      <c r="A10" s="10" t="s">
        <v>66</v>
      </c>
      <c r="B10" s="9" t="s">
        <v>682</v>
      </c>
      <c r="C10" s="9" t="s">
        <v>683</v>
      </c>
      <c r="D10" s="9" t="s">
        <v>684</v>
      </c>
      <c r="E10" s="9" t="s">
        <v>1167</v>
      </c>
      <c r="F10" s="9" t="s">
        <v>602</v>
      </c>
      <c r="G10" s="9" t="s">
        <v>1039</v>
      </c>
      <c r="H10" s="16" t="s">
        <v>112</v>
      </c>
      <c r="I10" s="15" t="s">
        <v>112</v>
      </c>
      <c r="J10" s="16" t="s">
        <v>120</v>
      </c>
      <c r="K10" s="10"/>
      <c r="L10" s="15" t="s">
        <v>505</v>
      </c>
      <c r="M10" s="15" t="s">
        <v>671</v>
      </c>
      <c r="N10" s="16" t="s">
        <v>90</v>
      </c>
      <c r="O10" s="10"/>
      <c r="P10" s="10" t="str">
        <f>"62,5"</f>
        <v>62,5</v>
      </c>
      <c r="Q10" s="10" t="str">
        <f>"62,7313"</f>
        <v>62,7313</v>
      </c>
      <c r="R10" s="9" t="s">
        <v>328</v>
      </c>
    </row>
    <row r="11" spans="1:18">
      <c r="B11" s="5" t="s">
        <v>9</v>
      </c>
    </row>
    <row r="12" spans="1:18" ht="16">
      <c r="A12" s="91" t="s">
        <v>13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8">
      <c r="A13" s="10" t="s">
        <v>66</v>
      </c>
      <c r="B13" s="9" t="s">
        <v>373</v>
      </c>
      <c r="C13" s="9" t="s">
        <v>374</v>
      </c>
      <c r="D13" s="9" t="s">
        <v>967</v>
      </c>
      <c r="E13" s="9" t="s">
        <v>1167</v>
      </c>
      <c r="F13" s="9" t="s">
        <v>110</v>
      </c>
      <c r="G13" s="9" t="s">
        <v>1039</v>
      </c>
      <c r="H13" s="15" t="s">
        <v>149</v>
      </c>
      <c r="I13" s="16" t="s">
        <v>88</v>
      </c>
      <c r="J13" s="16" t="s">
        <v>88</v>
      </c>
      <c r="K13" s="10"/>
      <c r="L13" s="15" t="s">
        <v>104</v>
      </c>
      <c r="M13" s="16" t="s">
        <v>968</v>
      </c>
      <c r="N13" s="15" t="s">
        <v>968</v>
      </c>
      <c r="O13" s="10"/>
      <c r="P13" s="10" t="str">
        <f>"98,0"</f>
        <v>98,0</v>
      </c>
      <c r="Q13" s="10" t="str">
        <f>"88,8782"</f>
        <v>88,8782</v>
      </c>
      <c r="R13" s="9" t="s">
        <v>1055</v>
      </c>
    </row>
    <row r="14" spans="1:18">
      <c r="B14" s="5" t="s">
        <v>9</v>
      </c>
    </row>
    <row r="15" spans="1:18" ht="16">
      <c r="A15" s="91" t="s">
        <v>121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8">
      <c r="A16" s="18" t="s">
        <v>66</v>
      </c>
      <c r="B16" s="17" t="s">
        <v>996</v>
      </c>
      <c r="C16" s="17" t="s">
        <v>1025</v>
      </c>
      <c r="D16" s="17" t="s">
        <v>997</v>
      </c>
      <c r="E16" s="17" t="s">
        <v>1171</v>
      </c>
      <c r="F16" s="17" t="s">
        <v>602</v>
      </c>
      <c r="G16" s="17" t="s">
        <v>1039</v>
      </c>
      <c r="H16" s="23" t="s">
        <v>149</v>
      </c>
      <c r="I16" s="24" t="s">
        <v>87</v>
      </c>
      <c r="J16" s="23" t="s">
        <v>88</v>
      </c>
      <c r="K16" s="18"/>
      <c r="L16" s="23" t="s">
        <v>102</v>
      </c>
      <c r="M16" s="23" t="s">
        <v>104</v>
      </c>
      <c r="N16" s="24" t="s">
        <v>117</v>
      </c>
      <c r="O16" s="18"/>
      <c r="P16" s="18" t="str">
        <f>"105,0"</f>
        <v>105,0</v>
      </c>
      <c r="Q16" s="18" t="str">
        <f>"80,3302"</f>
        <v>80,3302</v>
      </c>
      <c r="R16" s="17" t="s">
        <v>1131</v>
      </c>
    </row>
    <row r="17" spans="1:18">
      <c r="A17" s="20" t="s">
        <v>66</v>
      </c>
      <c r="B17" s="19" t="s">
        <v>969</v>
      </c>
      <c r="C17" s="19" t="s">
        <v>970</v>
      </c>
      <c r="D17" s="19" t="s">
        <v>971</v>
      </c>
      <c r="E17" s="19" t="s">
        <v>1167</v>
      </c>
      <c r="F17" s="19" t="s">
        <v>110</v>
      </c>
      <c r="G17" s="19" t="s">
        <v>1039</v>
      </c>
      <c r="H17" s="28" t="s">
        <v>119</v>
      </c>
      <c r="I17" s="28" t="s">
        <v>92</v>
      </c>
      <c r="J17" s="28" t="s">
        <v>93</v>
      </c>
      <c r="K17" s="20"/>
      <c r="L17" s="28" t="s">
        <v>87</v>
      </c>
      <c r="M17" s="28" t="s">
        <v>331</v>
      </c>
      <c r="N17" s="25" t="s">
        <v>88</v>
      </c>
      <c r="O17" s="20"/>
      <c r="P17" s="20" t="str">
        <f>"132,5"</f>
        <v>132,5</v>
      </c>
      <c r="Q17" s="20" t="str">
        <f>"99,6029"</f>
        <v>99,6029</v>
      </c>
      <c r="R17" s="19" t="s">
        <v>1055</v>
      </c>
    </row>
    <row r="18" spans="1:18">
      <c r="A18" s="20" t="s">
        <v>312</v>
      </c>
      <c r="B18" s="19" t="s">
        <v>998</v>
      </c>
      <c r="C18" s="19" t="s">
        <v>999</v>
      </c>
      <c r="D18" s="19" t="s">
        <v>1000</v>
      </c>
      <c r="E18" s="19" t="s">
        <v>1167</v>
      </c>
      <c r="F18" s="19" t="s">
        <v>956</v>
      </c>
      <c r="G18" s="19" t="s">
        <v>1039</v>
      </c>
      <c r="H18" s="28" t="s">
        <v>118</v>
      </c>
      <c r="I18" s="28" t="s">
        <v>111</v>
      </c>
      <c r="J18" s="25" t="s">
        <v>119</v>
      </c>
      <c r="K18" s="20"/>
      <c r="L18" s="28" t="s">
        <v>348</v>
      </c>
      <c r="M18" s="28" t="s">
        <v>149</v>
      </c>
      <c r="N18" s="28" t="s">
        <v>87</v>
      </c>
      <c r="O18" s="20"/>
      <c r="P18" s="20" t="str">
        <f>"120,0"</f>
        <v>120,0</v>
      </c>
      <c r="Q18" s="20" t="str">
        <f>"91,9824"</f>
        <v>91,9824</v>
      </c>
      <c r="R18" s="19" t="s">
        <v>689</v>
      </c>
    </row>
    <row r="19" spans="1:18">
      <c r="A19" s="22" t="s">
        <v>313</v>
      </c>
      <c r="B19" s="21" t="s">
        <v>731</v>
      </c>
      <c r="C19" s="21" t="s">
        <v>732</v>
      </c>
      <c r="D19" s="21" t="s">
        <v>1001</v>
      </c>
      <c r="E19" s="21" t="s">
        <v>1167</v>
      </c>
      <c r="F19" s="21" t="s">
        <v>110</v>
      </c>
      <c r="G19" s="21" t="s">
        <v>1039</v>
      </c>
      <c r="H19" s="26" t="s">
        <v>331</v>
      </c>
      <c r="I19" s="27" t="s">
        <v>118</v>
      </c>
      <c r="J19" s="27" t="s">
        <v>118</v>
      </c>
      <c r="K19" s="22"/>
      <c r="L19" s="26" t="s">
        <v>104</v>
      </c>
      <c r="M19" s="26" t="s">
        <v>149</v>
      </c>
      <c r="N19" s="27" t="s">
        <v>87</v>
      </c>
      <c r="O19" s="22"/>
      <c r="P19" s="22" t="str">
        <f>"107,5"</f>
        <v>107,5</v>
      </c>
      <c r="Q19" s="22" t="str">
        <f>"81,0174"</f>
        <v>81,0174</v>
      </c>
      <c r="R19" s="21" t="s">
        <v>1055</v>
      </c>
    </row>
    <row r="20" spans="1:18">
      <c r="B20" s="5" t="s">
        <v>9</v>
      </c>
    </row>
    <row r="21" spans="1:18" ht="16">
      <c r="A21" s="91" t="s">
        <v>176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1:18">
      <c r="A22" s="18" t="s">
        <v>66</v>
      </c>
      <c r="B22" s="17" t="s">
        <v>972</v>
      </c>
      <c r="C22" s="17" t="s">
        <v>973</v>
      </c>
      <c r="D22" s="17" t="s">
        <v>190</v>
      </c>
      <c r="E22" s="17" t="s">
        <v>1167</v>
      </c>
      <c r="F22" s="17" t="s">
        <v>602</v>
      </c>
      <c r="G22" s="17" t="s">
        <v>18</v>
      </c>
      <c r="H22" s="23" t="s">
        <v>88</v>
      </c>
      <c r="I22" s="23" t="s">
        <v>111</v>
      </c>
      <c r="J22" s="23" t="s">
        <v>119</v>
      </c>
      <c r="K22" s="18"/>
      <c r="L22" s="23" t="s">
        <v>149</v>
      </c>
      <c r="M22" s="23" t="s">
        <v>87</v>
      </c>
      <c r="N22" s="23" t="s">
        <v>331</v>
      </c>
      <c r="O22" s="18"/>
      <c r="P22" s="18" t="str">
        <f>"125,0"</f>
        <v>125,0</v>
      </c>
      <c r="Q22" s="18" t="str">
        <f>"87,6438"</f>
        <v>87,6438</v>
      </c>
      <c r="R22" s="17" t="s">
        <v>328</v>
      </c>
    </row>
    <row r="23" spans="1:18">
      <c r="A23" s="22" t="s">
        <v>312</v>
      </c>
      <c r="B23" s="21" t="s">
        <v>1002</v>
      </c>
      <c r="C23" s="21" t="s">
        <v>1003</v>
      </c>
      <c r="D23" s="21" t="s">
        <v>1004</v>
      </c>
      <c r="E23" s="21" t="s">
        <v>1167</v>
      </c>
      <c r="F23" s="21" t="s">
        <v>550</v>
      </c>
      <c r="G23" s="21" t="s">
        <v>18</v>
      </c>
      <c r="H23" s="27" t="s">
        <v>88</v>
      </c>
      <c r="I23" s="26" t="s">
        <v>118</v>
      </c>
      <c r="J23" s="26" t="s">
        <v>111</v>
      </c>
      <c r="K23" s="22"/>
      <c r="L23" s="26" t="s">
        <v>104</v>
      </c>
      <c r="M23" s="26" t="s">
        <v>117</v>
      </c>
      <c r="N23" s="27" t="s">
        <v>88</v>
      </c>
      <c r="O23" s="22"/>
      <c r="P23" s="22" t="str">
        <f>"117,5"</f>
        <v>117,5</v>
      </c>
      <c r="Q23" s="22" t="str">
        <f>"83,1312"</f>
        <v>83,1312</v>
      </c>
      <c r="R23" s="21"/>
    </row>
    <row r="24" spans="1:18">
      <c r="B24" s="5" t="s">
        <v>9</v>
      </c>
    </row>
    <row r="25" spans="1:18" ht="16">
      <c r="A25" s="91" t="s">
        <v>28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1:18">
      <c r="A26" s="18" t="s">
        <v>66</v>
      </c>
      <c r="B26" s="17" t="s">
        <v>974</v>
      </c>
      <c r="C26" s="17" t="s">
        <v>975</v>
      </c>
      <c r="D26" s="17" t="s">
        <v>976</v>
      </c>
      <c r="E26" s="17" t="s">
        <v>1167</v>
      </c>
      <c r="F26" s="17" t="s">
        <v>110</v>
      </c>
      <c r="G26" s="17" t="s">
        <v>1039</v>
      </c>
      <c r="H26" s="23" t="s">
        <v>93</v>
      </c>
      <c r="I26" s="24" t="s">
        <v>164</v>
      </c>
      <c r="J26" s="24" t="s">
        <v>164</v>
      </c>
      <c r="K26" s="18"/>
      <c r="L26" s="23" t="s">
        <v>111</v>
      </c>
      <c r="M26" s="23" t="s">
        <v>91</v>
      </c>
      <c r="N26" s="23" t="s">
        <v>93</v>
      </c>
      <c r="O26" s="18"/>
      <c r="P26" s="18" t="str">
        <f>"150,0"</f>
        <v>150,0</v>
      </c>
      <c r="Q26" s="18" t="str">
        <f>"96,9600"</f>
        <v>96,9600</v>
      </c>
      <c r="R26" s="17" t="s">
        <v>1055</v>
      </c>
    </row>
    <row r="27" spans="1:18">
      <c r="A27" s="22" t="s">
        <v>312</v>
      </c>
      <c r="B27" s="21" t="s">
        <v>1005</v>
      </c>
      <c r="C27" s="21" t="s">
        <v>1006</v>
      </c>
      <c r="D27" s="21" t="s">
        <v>1007</v>
      </c>
      <c r="E27" s="21" t="s">
        <v>1167</v>
      </c>
      <c r="F27" s="21" t="s">
        <v>602</v>
      </c>
      <c r="G27" s="21" t="s">
        <v>18</v>
      </c>
      <c r="H27" s="26" t="s">
        <v>119</v>
      </c>
      <c r="I27" s="26" t="s">
        <v>92</v>
      </c>
      <c r="J27" s="27" t="s">
        <v>163</v>
      </c>
      <c r="K27" s="22"/>
      <c r="L27" s="26" t="s">
        <v>87</v>
      </c>
      <c r="M27" s="26" t="s">
        <v>88</v>
      </c>
      <c r="N27" s="27" t="s">
        <v>111</v>
      </c>
      <c r="O27" s="22"/>
      <c r="P27" s="22" t="str">
        <f>"132,5"</f>
        <v>132,5</v>
      </c>
      <c r="Q27" s="22" t="str">
        <f>"86,8339"</f>
        <v>86,8339</v>
      </c>
      <c r="R27" s="21" t="s">
        <v>1131</v>
      </c>
    </row>
    <row r="28" spans="1:18">
      <c r="B28" s="5" t="s">
        <v>9</v>
      </c>
    </row>
    <row r="29" spans="1:18" ht="16">
      <c r="A29" s="91" t="s">
        <v>40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1:18">
      <c r="A30" s="10" t="s">
        <v>66</v>
      </c>
      <c r="B30" s="9" t="s">
        <v>977</v>
      </c>
      <c r="C30" s="9" t="s">
        <v>978</v>
      </c>
      <c r="D30" s="9" t="s">
        <v>979</v>
      </c>
      <c r="E30" s="9" t="s">
        <v>1167</v>
      </c>
      <c r="F30" s="9" t="s">
        <v>110</v>
      </c>
      <c r="G30" s="9" t="s">
        <v>1039</v>
      </c>
      <c r="H30" s="15" t="s">
        <v>88</v>
      </c>
      <c r="I30" s="16" t="s">
        <v>119</v>
      </c>
      <c r="J30" s="15" t="s">
        <v>119</v>
      </c>
      <c r="K30" s="10"/>
      <c r="L30" s="15" t="s">
        <v>149</v>
      </c>
      <c r="M30" s="15" t="s">
        <v>87</v>
      </c>
      <c r="N30" s="15" t="s">
        <v>88</v>
      </c>
      <c r="O30" s="10"/>
      <c r="P30" s="10" t="str">
        <f>"127,5"</f>
        <v>127,5</v>
      </c>
      <c r="Q30" s="10" t="str">
        <f>"80,1465"</f>
        <v>80,1465</v>
      </c>
      <c r="R30" s="9" t="s">
        <v>1055</v>
      </c>
    </row>
    <row r="31" spans="1:18">
      <c r="B31" s="5" t="s">
        <v>9</v>
      </c>
    </row>
    <row r="32" spans="1:18" ht="16">
      <c r="A32" s="91" t="s">
        <v>49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1:18">
      <c r="A33" s="18" t="s">
        <v>66</v>
      </c>
      <c r="B33" s="17" t="s">
        <v>1008</v>
      </c>
      <c r="C33" s="17" t="s">
        <v>1009</v>
      </c>
      <c r="D33" s="17" t="s">
        <v>1010</v>
      </c>
      <c r="E33" s="17" t="s">
        <v>1167</v>
      </c>
      <c r="F33" s="17" t="s">
        <v>550</v>
      </c>
      <c r="G33" s="17" t="s">
        <v>1039</v>
      </c>
      <c r="H33" s="23" t="s">
        <v>22</v>
      </c>
      <c r="I33" s="23" t="s">
        <v>105</v>
      </c>
      <c r="J33" s="24" t="s">
        <v>153</v>
      </c>
      <c r="K33" s="18"/>
      <c r="L33" s="23" t="s">
        <v>118</v>
      </c>
      <c r="M33" s="23" t="s">
        <v>119</v>
      </c>
      <c r="N33" s="23" t="s">
        <v>91</v>
      </c>
      <c r="O33" s="18"/>
      <c r="P33" s="18" t="str">
        <f>"170,0"</f>
        <v>170,0</v>
      </c>
      <c r="Q33" s="18" t="str">
        <f>"101,2945"</f>
        <v>101,2945</v>
      </c>
      <c r="R33" s="17"/>
    </row>
    <row r="34" spans="1:18">
      <c r="A34" s="20" t="s">
        <v>312</v>
      </c>
      <c r="B34" s="19" t="s">
        <v>1011</v>
      </c>
      <c r="C34" s="19" t="s">
        <v>1012</v>
      </c>
      <c r="D34" s="19" t="s">
        <v>1013</v>
      </c>
      <c r="E34" s="19" t="s">
        <v>1167</v>
      </c>
      <c r="F34" s="19" t="s">
        <v>110</v>
      </c>
      <c r="G34" s="19" t="s">
        <v>1039</v>
      </c>
      <c r="H34" s="28" t="s">
        <v>118</v>
      </c>
      <c r="I34" s="28" t="s">
        <v>91</v>
      </c>
      <c r="J34" s="28" t="s">
        <v>93</v>
      </c>
      <c r="K34" s="20"/>
      <c r="L34" s="28" t="s">
        <v>104</v>
      </c>
      <c r="M34" s="28" t="s">
        <v>149</v>
      </c>
      <c r="N34" s="28" t="s">
        <v>87</v>
      </c>
      <c r="O34" s="20"/>
      <c r="P34" s="20" t="str">
        <f>"130,0"</f>
        <v>130,0</v>
      </c>
      <c r="Q34" s="20" t="str">
        <f>"75,7803"</f>
        <v>75,7803</v>
      </c>
      <c r="R34" s="19" t="s">
        <v>1055</v>
      </c>
    </row>
    <row r="35" spans="1:18">
      <c r="A35" s="22" t="s">
        <v>67</v>
      </c>
      <c r="B35" s="21" t="s">
        <v>1014</v>
      </c>
      <c r="C35" s="21" t="s">
        <v>1015</v>
      </c>
      <c r="D35" s="21" t="s">
        <v>1016</v>
      </c>
      <c r="E35" s="21" t="s">
        <v>1167</v>
      </c>
      <c r="F35" s="21" t="s">
        <v>110</v>
      </c>
      <c r="G35" s="21" t="s">
        <v>1039</v>
      </c>
      <c r="H35" s="27" t="s">
        <v>100</v>
      </c>
      <c r="I35" s="22"/>
      <c r="J35" s="22"/>
      <c r="K35" s="22"/>
      <c r="L35" s="27" t="s">
        <v>87</v>
      </c>
      <c r="M35" s="22"/>
      <c r="N35" s="22"/>
      <c r="O35" s="22"/>
      <c r="P35" s="22" t="str">
        <f>"0.00"</f>
        <v>0.00</v>
      </c>
      <c r="Q35" s="22" t="str">
        <f>"0,0000"</f>
        <v>0,0000</v>
      </c>
      <c r="R35" s="21" t="s">
        <v>1055</v>
      </c>
    </row>
    <row r="36" spans="1:18">
      <c r="B36" s="5" t="s">
        <v>9</v>
      </c>
    </row>
    <row r="37" spans="1:18" ht="16">
      <c r="B37" s="5" t="s">
        <v>9</v>
      </c>
      <c r="F37" s="7"/>
    </row>
    <row r="38" spans="1:18" ht="16">
      <c r="B38" s="5" t="s">
        <v>9</v>
      </c>
      <c r="F38" s="7"/>
    </row>
    <row r="39" spans="1:18" ht="18">
      <c r="B39" s="8" t="s">
        <v>8</v>
      </c>
      <c r="C39" s="8"/>
    </row>
    <row r="40" spans="1:18" ht="16">
      <c r="B40" s="29" t="s">
        <v>1130</v>
      </c>
    </row>
    <row r="41" spans="1:18" ht="14">
      <c r="B41" s="12"/>
      <c r="C41" s="13" t="s">
        <v>56</v>
      </c>
    </row>
    <row r="42" spans="1:18" ht="14">
      <c r="B42" s="14" t="s">
        <v>57</v>
      </c>
      <c r="C42" s="14" t="s">
        <v>58</v>
      </c>
      <c r="D42" s="14" t="s">
        <v>1041</v>
      </c>
      <c r="E42" s="14" t="s">
        <v>60</v>
      </c>
      <c r="F42" s="14" t="s">
        <v>491</v>
      </c>
    </row>
    <row r="43" spans="1:18">
      <c r="B43" s="5" t="s">
        <v>1008</v>
      </c>
      <c r="C43" s="5" t="s">
        <v>56</v>
      </c>
      <c r="D43" s="6" t="s">
        <v>79</v>
      </c>
      <c r="E43" s="6" t="s">
        <v>47</v>
      </c>
      <c r="F43" s="6" t="s">
        <v>1017</v>
      </c>
    </row>
    <row r="44" spans="1:18">
      <c r="B44" s="5" t="s">
        <v>969</v>
      </c>
      <c r="C44" s="5" t="s">
        <v>56</v>
      </c>
      <c r="D44" s="6" t="s">
        <v>291</v>
      </c>
      <c r="E44" s="6" t="s">
        <v>35</v>
      </c>
      <c r="F44" s="6" t="s">
        <v>1018</v>
      </c>
    </row>
    <row r="45" spans="1:18">
      <c r="B45" s="5" t="s">
        <v>974</v>
      </c>
      <c r="C45" s="5" t="s">
        <v>56</v>
      </c>
      <c r="D45" s="6" t="s">
        <v>65</v>
      </c>
      <c r="E45" s="6" t="s">
        <v>134</v>
      </c>
      <c r="F45" s="6" t="s">
        <v>1019</v>
      </c>
    </row>
    <row r="46" spans="1:18">
      <c r="B46" s="5" t="s">
        <v>9</v>
      </c>
    </row>
    <row r="47" spans="1:18">
      <c r="B47" s="5" t="s">
        <v>9</v>
      </c>
    </row>
    <row r="48" spans="1:18">
      <c r="B48" s="5" t="s">
        <v>9</v>
      </c>
    </row>
    <row r="49" spans="2:2">
      <c r="B49" s="5" t="s">
        <v>9</v>
      </c>
    </row>
    <row r="50" spans="2:2">
      <c r="B50" s="5" t="s">
        <v>9</v>
      </c>
    </row>
    <row r="51" spans="2:2">
      <c r="B51" s="5" t="s">
        <v>9</v>
      </c>
    </row>
    <row r="52" spans="2:2">
      <c r="B52" s="5" t="s">
        <v>9</v>
      </c>
    </row>
    <row r="53" spans="2:2">
      <c r="B53" s="5" t="s">
        <v>9</v>
      </c>
    </row>
    <row r="54" spans="2:2">
      <c r="B54" s="5" t="s">
        <v>9</v>
      </c>
    </row>
    <row r="55" spans="2:2">
      <c r="B55" s="5" t="s">
        <v>9</v>
      </c>
    </row>
    <row r="56" spans="2:2">
      <c r="B56" s="5" t="s">
        <v>9</v>
      </c>
    </row>
    <row r="57" spans="2:2">
      <c r="B57" s="5" t="s">
        <v>9</v>
      </c>
    </row>
    <row r="58" spans="2:2">
      <c r="B58" s="5" t="s">
        <v>9</v>
      </c>
    </row>
    <row r="59" spans="2:2">
      <c r="B59" s="5" t="s">
        <v>9</v>
      </c>
    </row>
    <row r="60" spans="2:2">
      <c r="B60" s="5" t="s">
        <v>9</v>
      </c>
    </row>
    <row r="61" spans="2:2">
      <c r="B61" s="5" t="s">
        <v>9</v>
      </c>
    </row>
    <row r="62" spans="2:2">
      <c r="B62" s="5" t="s">
        <v>9</v>
      </c>
    </row>
    <row r="63" spans="2:2">
      <c r="B63" s="5" t="s">
        <v>9</v>
      </c>
    </row>
    <row r="64" spans="2:2">
      <c r="B64" s="5" t="s">
        <v>9</v>
      </c>
    </row>
  </sheetData>
  <mergeCells count="21">
    <mergeCell ref="A32:O32"/>
    <mergeCell ref="B3:B4"/>
    <mergeCell ref="A9:O9"/>
    <mergeCell ref="A12:O12"/>
    <mergeCell ref="A15:O15"/>
    <mergeCell ref="A21:O21"/>
    <mergeCell ref="A25:O25"/>
    <mergeCell ref="A29:O29"/>
    <mergeCell ref="P3:P4"/>
    <mergeCell ref="Q3:Q4"/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4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5" width="5.5" style="6" customWidth="1"/>
    <col min="16" max="16" width="7.83203125" style="6" bestFit="1" customWidth="1"/>
    <col min="17" max="17" width="8.5" style="6" bestFit="1" customWidth="1"/>
    <col min="18" max="18" width="19.6640625" style="5" customWidth="1"/>
    <col min="19" max="16384" width="9.1640625" style="3"/>
  </cols>
  <sheetData>
    <row r="1" spans="1:18" s="2" customFormat="1" ht="29" customHeight="1">
      <c r="A1" s="80" t="s">
        <v>1153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7"/>
    </row>
    <row r="3" spans="1:18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1160</v>
      </c>
      <c r="M3" s="74"/>
      <c r="N3" s="74"/>
      <c r="O3" s="74"/>
      <c r="P3" s="74" t="s">
        <v>1</v>
      </c>
      <c r="Q3" s="74" t="s">
        <v>3</v>
      </c>
      <c r="R3" s="76" t="s">
        <v>2</v>
      </c>
    </row>
    <row r="4" spans="1:18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75"/>
      <c r="Q4" s="75"/>
      <c r="R4" s="77"/>
    </row>
    <row r="5" spans="1:18" ht="16">
      <c r="A5" s="78" t="s">
        <v>113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8">
      <c r="A6" s="10" t="s">
        <v>66</v>
      </c>
      <c r="B6" s="9" t="s">
        <v>980</v>
      </c>
      <c r="C6" s="9" t="s">
        <v>1026</v>
      </c>
      <c r="D6" s="9" t="s">
        <v>981</v>
      </c>
      <c r="E6" s="9" t="s">
        <v>1165</v>
      </c>
      <c r="F6" s="9" t="s">
        <v>1054</v>
      </c>
      <c r="G6" s="9" t="s">
        <v>18</v>
      </c>
      <c r="H6" s="15" t="s">
        <v>104</v>
      </c>
      <c r="I6" s="15" t="s">
        <v>149</v>
      </c>
      <c r="J6" s="16" t="s">
        <v>87</v>
      </c>
      <c r="K6" s="10"/>
      <c r="L6" s="15" t="s">
        <v>102</v>
      </c>
      <c r="M6" s="15" t="s">
        <v>104</v>
      </c>
      <c r="N6" s="16" t="s">
        <v>149</v>
      </c>
      <c r="O6" s="10"/>
      <c r="P6" s="10" t="str">
        <f>"95,0"</f>
        <v>95,0</v>
      </c>
      <c r="Q6" s="10" t="str">
        <f>"82,1655"</f>
        <v>82,1655</v>
      </c>
      <c r="R6" s="9"/>
    </row>
    <row r="7" spans="1:18">
      <c r="B7" s="5" t="s">
        <v>9</v>
      </c>
    </row>
    <row r="8" spans="1:18" ht="16">
      <c r="A8" s="91" t="s">
        <v>28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8">
      <c r="A9" s="18" t="s">
        <v>66</v>
      </c>
      <c r="B9" s="17" t="s">
        <v>943</v>
      </c>
      <c r="C9" s="17" t="s">
        <v>944</v>
      </c>
      <c r="D9" s="17" t="s">
        <v>945</v>
      </c>
      <c r="E9" s="17" t="s">
        <v>1167</v>
      </c>
      <c r="F9" s="17" t="s">
        <v>110</v>
      </c>
      <c r="G9" s="17" t="s">
        <v>1039</v>
      </c>
      <c r="H9" s="23" t="s">
        <v>23</v>
      </c>
      <c r="I9" s="23" t="s">
        <v>106</v>
      </c>
      <c r="J9" s="18"/>
      <c r="K9" s="18"/>
      <c r="L9" s="23" t="s">
        <v>163</v>
      </c>
      <c r="M9" s="24" t="s">
        <v>158</v>
      </c>
      <c r="N9" s="23" t="s">
        <v>158</v>
      </c>
      <c r="O9" s="18"/>
      <c r="P9" s="18" t="str">
        <f>"197,5"</f>
        <v>197,5</v>
      </c>
      <c r="Q9" s="18" t="str">
        <f>"127,4566"</f>
        <v>127,4566</v>
      </c>
      <c r="R9" s="17" t="s">
        <v>1055</v>
      </c>
    </row>
    <row r="10" spans="1:18">
      <c r="A10" s="20" t="s">
        <v>312</v>
      </c>
      <c r="B10" s="19" t="s">
        <v>890</v>
      </c>
      <c r="C10" s="19" t="s">
        <v>891</v>
      </c>
      <c r="D10" s="19" t="s">
        <v>982</v>
      </c>
      <c r="E10" s="19" t="s">
        <v>1167</v>
      </c>
      <c r="F10" s="19" t="s">
        <v>110</v>
      </c>
      <c r="G10" s="19" t="s">
        <v>1039</v>
      </c>
      <c r="H10" s="28" t="s">
        <v>119</v>
      </c>
      <c r="I10" s="28" t="s">
        <v>93</v>
      </c>
      <c r="J10" s="25" t="s">
        <v>164</v>
      </c>
      <c r="K10" s="20"/>
      <c r="L10" s="28" t="s">
        <v>111</v>
      </c>
      <c r="M10" s="28" t="s">
        <v>119</v>
      </c>
      <c r="N10" s="28" t="s">
        <v>92</v>
      </c>
      <c r="O10" s="20"/>
      <c r="P10" s="20" t="str">
        <f>"147,5"</f>
        <v>147,5</v>
      </c>
      <c r="Q10" s="20" t="str">
        <f>"96,1073"</f>
        <v>96,1073</v>
      </c>
      <c r="R10" s="19" t="s">
        <v>1055</v>
      </c>
    </row>
    <row r="11" spans="1:18">
      <c r="A11" s="22" t="s">
        <v>313</v>
      </c>
      <c r="B11" s="21" t="s">
        <v>878</v>
      </c>
      <c r="C11" s="21" t="s">
        <v>879</v>
      </c>
      <c r="D11" s="21" t="s">
        <v>228</v>
      </c>
      <c r="E11" s="21" t="s">
        <v>1167</v>
      </c>
      <c r="F11" s="21" t="s">
        <v>17</v>
      </c>
      <c r="G11" s="21" t="s">
        <v>18</v>
      </c>
      <c r="H11" s="26" t="s">
        <v>91</v>
      </c>
      <c r="I11" s="26" t="s">
        <v>93</v>
      </c>
      <c r="J11" s="26" t="s">
        <v>100</v>
      </c>
      <c r="K11" s="22"/>
      <c r="L11" s="26" t="s">
        <v>87</v>
      </c>
      <c r="M11" s="26" t="s">
        <v>88</v>
      </c>
      <c r="N11" s="26" t="s">
        <v>111</v>
      </c>
      <c r="O11" s="22"/>
      <c r="P11" s="22" t="str">
        <f>"145,0"</f>
        <v>145,0</v>
      </c>
      <c r="Q11" s="22" t="str">
        <f>"93,5395"</f>
        <v>93,5395</v>
      </c>
      <c r="R11" s="21" t="s">
        <v>27</v>
      </c>
    </row>
    <row r="12" spans="1:18">
      <c r="B12" s="5" t="s">
        <v>9</v>
      </c>
    </row>
    <row r="13" spans="1:18" ht="16">
      <c r="A13" s="91" t="s">
        <v>40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8">
      <c r="A14" s="18" t="s">
        <v>66</v>
      </c>
      <c r="B14" s="17" t="s">
        <v>584</v>
      </c>
      <c r="C14" s="17" t="s">
        <v>585</v>
      </c>
      <c r="D14" s="17" t="s">
        <v>261</v>
      </c>
      <c r="E14" s="17" t="s">
        <v>1167</v>
      </c>
      <c r="F14" s="17" t="s">
        <v>586</v>
      </c>
      <c r="G14" s="17" t="s">
        <v>18</v>
      </c>
      <c r="H14" s="23" t="s">
        <v>165</v>
      </c>
      <c r="I14" s="23" t="s">
        <v>127</v>
      </c>
      <c r="J14" s="23" t="s">
        <v>34</v>
      </c>
      <c r="K14" s="18"/>
      <c r="L14" s="23" t="s">
        <v>118</v>
      </c>
      <c r="M14" s="23" t="s">
        <v>93</v>
      </c>
      <c r="N14" s="24" t="s">
        <v>158</v>
      </c>
      <c r="O14" s="18"/>
      <c r="P14" s="18" t="str">
        <f>"200,0"</f>
        <v>200,0</v>
      </c>
      <c r="Q14" s="18" t="str">
        <f>"123,7700"</f>
        <v>123,7700</v>
      </c>
      <c r="R14" s="17" t="s">
        <v>1073</v>
      </c>
    </row>
    <row r="15" spans="1:18">
      <c r="A15" s="20" t="s">
        <v>312</v>
      </c>
      <c r="B15" s="19" t="s">
        <v>983</v>
      </c>
      <c r="C15" s="19" t="s">
        <v>984</v>
      </c>
      <c r="D15" s="19" t="s">
        <v>985</v>
      </c>
      <c r="E15" s="19" t="s">
        <v>1167</v>
      </c>
      <c r="F15" s="19" t="s">
        <v>110</v>
      </c>
      <c r="G15" s="19" t="s">
        <v>1039</v>
      </c>
      <c r="H15" s="28" t="s">
        <v>22</v>
      </c>
      <c r="I15" s="25" t="s">
        <v>153</v>
      </c>
      <c r="J15" s="25" t="s">
        <v>153</v>
      </c>
      <c r="K15" s="20"/>
      <c r="L15" s="25" t="s">
        <v>111</v>
      </c>
      <c r="M15" s="28" t="s">
        <v>111</v>
      </c>
      <c r="N15" s="25" t="s">
        <v>91</v>
      </c>
      <c r="O15" s="20"/>
      <c r="P15" s="20" t="str">
        <f>"160,0"</f>
        <v>160,0</v>
      </c>
      <c r="Q15" s="20" t="str">
        <f>"98,3560"</f>
        <v>98,3560</v>
      </c>
      <c r="R15" s="19" t="s">
        <v>1055</v>
      </c>
    </row>
    <row r="16" spans="1:18">
      <c r="A16" s="20" t="s">
        <v>313</v>
      </c>
      <c r="B16" s="19" t="s">
        <v>986</v>
      </c>
      <c r="C16" s="19" t="s">
        <v>987</v>
      </c>
      <c r="D16" s="19" t="s">
        <v>988</v>
      </c>
      <c r="E16" s="19" t="s">
        <v>1167</v>
      </c>
      <c r="F16" s="19" t="s">
        <v>110</v>
      </c>
      <c r="G16" s="19" t="s">
        <v>1039</v>
      </c>
      <c r="H16" s="28" t="s">
        <v>93</v>
      </c>
      <c r="I16" s="28" t="s">
        <v>164</v>
      </c>
      <c r="J16" s="28" t="s">
        <v>180</v>
      </c>
      <c r="K16" s="20"/>
      <c r="L16" s="28" t="s">
        <v>117</v>
      </c>
      <c r="M16" s="28" t="s">
        <v>118</v>
      </c>
      <c r="N16" s="25" t="s">
        <v>111</v>
      </c>
      <c r="O16" s="20"/>
      <c r="P16" s="20" t="str">
        <f>"150,0"</f>
        <v>150,0</v>
      </c>
      <c r="Q16" s="20" t="str">
        <f>"92,5950"</f>
        <v>92,5950</v>
      </c>
      <c r="R16" s="19" t="s">
        <v>1055</v>
      </c>
    </row>
    <row r="17" spans="1:18">
      <c r="A17" s="22" t="s">
        <v>66</v>
      </c>
      <c r="B17" s="21" t="s">
        <v>951</v>
      </c>
      <c r="C17" s="21" t="s">
        <v>1027</v>
      </c>
      <c r="D17" s="21" t="s">
        <v>243</v>
      </c>
      <c r="E17" s="21" t="s">
        <v>1168</v>
      </c>
      <c r="F17" s="21" t="s">
        <v>110</v>
      </c>
      <c r="G17" s="21" t="s">
        <v>18</v>
      </c>
      <c r="H17" s="26" t="s">
        <v>100</v>
      </c>
      <c r="I17" s="26" t="s">
        <v>101</v>
      </c>
      <c r="J17" s="26" t="s">
        <v>105</v>
      </c>
      <c r="K17" s="22"/>
      <c r="L17" s="26" t="s">
        <v>119</v>
      </c>
      <c r="M17" s="26" t="s">
        <v>93</v>
      </c>
      <c r="N17" s="27" t="s">
        <v>952</v>
      </c>
      <c r="O17" s="22"/>
      <c r="P17" s="22" t="str">
        <f>"175,0"</f>
        <v>175,0</v>
      </c>
      <c r="Q17" s="22" t="str">
        <f>"114,1813"</f>
        <v>114,1813</v>
      </c>
      <c r="R17" s="21" t="s">
        <v>1055</v>
      </c>
    </row>
    <row r="18" spans="1:18">
      <c r="B18" s="5" t="s">
        <v>9</v>
      </c>
    </row>
    <row r="19" spans="1:18" ht="16">
      <c r="A19" s="91" t="s">
        <v>49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</row>
    <row r="20" spans="1:18">
      <c r="A20" s="18" t="s">
        <v>66</v>
      </c>
      <c r="B20" s="17" t="s">
        <v>599</v>
      </c>
      <c r="C20" s="17" t="s">
        <v>600</v>
      </c>
      <c r="D20" s="17" t="s">
        <v>601</v>
      </c>
      <c r="E20" s="17" t="s">
        <v>1167</v>
      </c>
      <c r="F20" s="17" t="s">
        <v>602</v>
      </c>
      <c r="G20" s="17" t="s">
        <v>1039</v>
      </c>
      <c r="H20" s="23" t="s">
        <v>142</v>
      </c>
      <c r="I20" s="23" t="s">
        <v>187</v>
      </c>
      <c r="J20" s="23" t="s">
        <v>255</v>
      </c>
      <c r="K20" s="18"/>
      <c r="L20" s="23" t="s">
        <v>164</v>
      </c>
      <c r="M20" s="24" t="s">
        <v>180</v>
      </c>
      <c r="N20" s="18" t="s">
        <v>180</v>
      </c>
      <c r="O20" s="18"/>
      <c r="P20" s="18" t="str">
        <f>"235,0"</f>
        <v>235,0</v>
      </c>
      <c r="Q20" s="18" t="str">
        <f>"137,4280"</f>
        <v>137,4280</v>
      </c>
      <c r="R20" s="17"/>
    </row>
    <row r="21" spans="1:18">
      <c r="A21" s="20" t="s">
        <v>312</v>
      </c>
      <c r="B21" s="19" t="s">
        <v>610</v>
      </c>
      <c r="C21" s="19" t="s">
        <v>611</v>
      </c>
      <c r="D21" s="19" t="s">
        <v>485</v>
      </c>
      <c r="E21" s="19" t="s">
        <v>1167</v>
      </c>
      <c r="F21" s="19" t="s">
        <v>602</v>
      </c>
      <c r="G21" s="19" t="s">
        <v>1039</v>
      </c>
      <c r="H21" s="28" t="s">
        <v>105</v>
      </c>
      <c r="I21" s="28" t="s">
        <v>153</v>
      </c>
      <c r="J21" s="28" t="s">
        <v>165</v>
      </c>
      <c r="K21" s="20"/>
      <c r="L21" s="28" t="s">
        <v>91</v>
      </c>
      <c r="M21" s="28" t="s">
        <v>93</v>
      </c>
      <c r="N21" s="25" t="s">
        <v>100</v>
      </c>
      <c r="O21" s="20"/>
      <c r="P21" s="20" t="str">
        <f>"185,0"</f>
        <v>185,0</v>
      </c>
      <c r="Q21" s="20" t="str">
        <f>"107,7717"</f>
        <v>107,7717</v>
      </c>
      <c r="R21" s="19" t="s">
        <v>328</v>
      </c>
    </row>
    <row r="22" spans="1:18">
      <c r="A22" s="22" t="s">
        <v>313</v>
      </c>
      <c r="B22" s="21" t="s">
        <v>989</v>
      </c>
      <c r="C22" s="21" t="s">
        <v>990</v>
      </c>
      <c r="D22" s="21" t="s">
        <v>991</v>
      </c>
      <c r="E22" s="21" t="s">
        <v>1167</v>
      </c>
      <c r="F22" s="21" t="s">
        <v>110</v>
      </c>
      <c r="G22" s="21" t="s">
        <v>1039</v>
      </c>
      <c r="H22" s="26" t="s">
        <v>104</v>
      </c>
      <c r="I22" s="26" t="s">
        <v>149</v>
      </c>
      <c r="J22" s="27" t="s">
        <v>87</v>
      </c>
      <c r="K22" s="22"/>
      <c r="L22" s="26" t="s">
        <v>104</v>
      </c>
      <c r="M22" s="26" t="s">
        <v>149</v>
      </c>
      <c r="N22" s="27" t="s">
        <v>87</v>
      </c>
      <c r="O22" s="22"/>
      <c r="P22" s="22" t="str">
        <f>"100,0"</f>
        <v>100,0</v>
      </c>
      <c r="Q22" s="22" t="str">
        <f>"58,6650"</f>
        <v>58,6650</v>
      </c>
      <c r="R22" s="21" t="s">
        <v>1055</v>
      </c>
    </row>
    <row r="23" spans="1:18">
      <c r="B23" s="5" t="s">
        <v>9</v>
      </c>
    </row>
    <row r="24" spans="1:18" ht="16">
      <c r="A24" s="91" t="s">
        <v>278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1:18">
      <c r="A25" s="10" t="s">
        <v>66</v>
      </c>
      <c r="B25" s="9" t="s">
        <v>279</v>
      </c>
      <c r="C25" s="9" t="s">
        <v>1028</v>
      </c>
      <c r="D25" s="9" t="s">
        <v>281</v>
      </c>
      <c r="E25" s="9" t="s">
        <v>1171</v>
      </c>
      <c r="F25" s="9" t="s">
        <v>110</v>
      </c>
      <c r="G25" s="9" t="s">
        <v>1039</v>
      </c>
      <c r="H25" s="15" t="s">
        <v>87</v>
      </c>
      <c r="I25" s="15" t="s">
        <v>118</v>
      </c>
      <c r="J25" s="15" t="s">
        <v>119</v>
      </c>
      <c r="K25" s="10"/>
      <c r="L25" s="15" t="s">
        <v>102</v>
      </c>
      <c r="M25" s="15" t="s">
        <v>104</v>
      </c>
      <c r="N25" s="16" t="s">
        <v>149</v>
      </c>
      <c r="O25" s="10"/>
      <c r="P25" s="10" t="str">
        <f>"112,5"</f>
        <v>112,5</v>
      </c>
      <c r="Q25" s="10" t="str">
        <f>"62,3419"</f>
        <v>62,3419</v>
      </c>
      <c r="R25" s="9" t="s">
        <v>1055</v>
      </c>
    </row>
    <row r="26" spans="1:18">
      <c r="B26" s="5" t="s">
        <v>9</v>
      </c>
    </row>
    <row r="27" spans="1:18" ht="16">
      <c r="B27" s="5" t="s">
        <v>9</v>
      </c>
      <c r="F27" s="7"/>
    </row>
    <row r="28" spans="1:18" ht="16">
      <c r="B28" s="5" t="s">
        <v>9</v>
      </c>
      <c r="F28" s="7"/>
    </row>
    <row r="29" spans="1:18" ht="18">
      <c r="B29" s="8" t="s">
        <v>8</v>
      </c>
      <c r="C29" s="8"/>
    </row>
    <row r="30" spans="1:18" ht="16">
      <c r="B30" s="11" t="s">
        <v>63</v>
      </c>
      <c r="C30" s="11"/>
    </row>
    <row r="31" spans="1:18" ht="14">
      <c r="B31" s="12"/>
      <c r="C31" s="13" t="s">
        <v>56</v>
      </c>
    </row>
    <row r="32" spans="1:18" ht="14">
      <c r="B32" s="14" t="s">
        <v>57</v>
      </c>
      <c r="C32" s="14" t="s">
        <v>58</v>
      </c>
      <c r="D32" s="14" t="s">
        <v>1041</v>
      </c>
      <c r="E32" s="14" t="s">
        <v>60</v>
      </c>
      <c r="F32" s="14" t="s">
        <v>491</v>
      </c>
    </row>
    <row r="33" spans="2:18">
      <c r="B33" s="5" t="s">
        <v>599</v>
      </c>
      <c r="C33" s="5" t="s">
        <v>56</v>
      </c>
      <c r="D33" s="6" t="s">
        <v>79</v>
      </c>
      <c r="E33" s="6" t="s">
        <v>239</v>
      </c>
      <c r="F33" s="6" t="s">
        <v>992</v>
      </c>
    </row>
    <row r="34" spans="2:18">
      <c r="B34" s="5" t="s">
        <v>943</v>
      </c>
      <c r="C34" s="5" t="s">
        <v>56</v>
      </c>
      <c r="D34" s="6" t="s">
        <v>65</v>
      </c>
      <c r="E34" s="6" t="s">
        <v>445</v>
      </c>
      <c r="F34" s="6" t="s">
        <v>993</v>
      </c>
    </row>
    <row r="35" spans="2:18">
      <c r="B35" s="5" t="s">
        <v>584</v>
      </c>
      <c r="C35" s="5" t="s">
        <v>56</v>
      </c>
      <c r="D35" s="6" t="s">
        <v>64</v>
      </c>
      <c r="E35" s="6" t="s">
        <v>37</v>
      </c>
      <c r="F35" s="6" t="s">
        <v>994</v>
      </c>
    </row>
    <row r="36" spans="2:18">
      <c r="B36" s="5" t="s">
        <v>9</v>
      </c>
    </row>
    <row r="37" spans="2:18">
      <c r="B37" s="5" t="s">
        <v>9</v>
      </c>
      <c r="C37" s="3"/>
      <c r="D37" s="3"/>
      <c r="E37" s="3"/>
      <c r="F37" s="3"/>
      <c r="G37" s="3"/>
    </row>
    <row r="38" spans="2:18">
      <c r="B38" s="5" t="s">
        <v>9</v>
      </c>
      <c r="C38" s="3"/>
      <c r="D38" s="3"/>
      <c r="E38" s="3"/>
      <c r="F38" s="3"/>
      <c r="G38" s="3"/>
    </row>
    <row r="39" spans="2:18">
      <c r="B39" s="5" t="s">
        <v>9</v>
      </c>
      <c r="C39" s="3"/>
      <c r="D39" s="3"/>
      <c r="E39" s="3"/>
      <c r="F39" s="3"/>
      <c r="G39" s="3"/>
    </row>
    <row r="40" spans="2:18">
      <c r="B40" s="5" t="s">
        <v>9</v>
      </c>
      <c r="C40" s="3"/>
      <c r="D40" s="3"/>
      <c r="E40" s="3"/>
      <c r="F40" s="3"/>
      <c r="G40" s="3"/>
    </row>
    <row r="41" spans="2:18">
      <c r="B41" s="5" t="s">
        <v>9</v>
      </c>
      <c r="C41" s="3"/>
      <c r="D41" s="3"/>
      <c r="E41" s="3"/>
      <c r="F41" s="3"/>
      <c r="G41" s="3"/>
    </row>
    <row r="42" spans="2:18">
      <c r="B42" s="5" t="s">
        <v>9</v>
      </c>
    </row>
    <row r="43" spans="2:18">
      <c r="B43" s="5" t="s">
        <v>9</v>
      </c>
      <c r="C43" s="6"/>
      <c r="D43" s="6"/>
      <c r="E43" s="6"/>
      <c r="F43" s="6"/>
      <c r="G43" s="6"/>
      <c r="M43" s="5"/>
      <c r="N43" s="3"/>
      <c r="O43" s="3"/>
      <c r="P43" s="3"/>
      <c r="Q43" s="3"/>
      <c r="R43" s="3"/>
    </row>
    <row r="44" spans="2:18">
      <c r="B44" s="5" t="s">
        <v>9</v>
      </c>
      <c r="C44" s="6"/>
      <c r="D44" s="6"/>
      <c r="E44" s="6"/>
      <c r="F44" s="6"/>
      <c r="G44" s="6"/>
      <c r="M44" s="5"/>
      <c r="N44" s="3"/>
      <c r="O44" s="3"/>
      <c r="P44" s="3"/>
      <c r="Q44" s="3"/>
      <c r="R44" s="3"/>
    </row>
    <row r="45" spans="2:18">
      <c r="B45" s="5" t="s">
        <v>9</v>
      </c>
      <c r="C45" s="6"/>
      <c r="D45" s="6"/>
      <c r="E45" s="6"/>
      <c r="F45" s="6"/>
      <c r="G45" s="6"/>
      <c r="M45" s="5"/>
      <c r="N45" s="3"/>
      <c r="O45" s="3"/>
      <c r="P45" s="3"/>
      <c r="Q45" s="3"/>
      <c r="R45" s="3"/>
    </row>
    <row r="46" spans="2:18">
      <c r="B46" s="5" t="s">
        <v>9</v>
      </c>
      <c r="C46" s="6"/>
      <c r="D46" s="6"/>
      <c r="E46" s="6"/>
      <c r="F46" s="6"/>
      <c r="G46" s="6"/>
      <c r="M46" s="5"/>
      <c r="N46" s="3"/>
      <c r="O46" s="3"/>
      <c r="P46" s="3"/>
      <c r="Q46" s="3"/>
      <c r="R46" s="3"/>
    </row>
    <row r="47" spans="2:18">
      <c r="B47" s="5" t="s">
        <v>9</v>
      </c>
    </row>
    <row r="48" spans="2:18">
      <c r="B48" s="5" t="s">
        <v>9</v>
      </c>
    </row>
    <row r="49" spans="2:2">
      <c r="B49" s="5" t="s">
        <v>9</v>
      </c>
    </row>
    <row r="50" spans="2:2">
      <c r="B50" s="5" t="s">
        <v>9</v>
      </c>
    </row>
    <row r="51" spans="2:2">
      <c r="B51" s="5" t="s">
        <v>9</v>
      </c>
    </row>
    <row r="52" spans="2:2">
      <c r="B52" s="5" t="s">
        <v>9</v>
      </c>
    </row>
    <row r="53" spans="2:2">
      <c r="B53" s="5" t="s">
        <v>9</v>
      </c>
    </row>
  </sheetData>
  <mergeCells count="18">
    <mergeCell ref="A8:O8"/>
    <mergeCell ref="A13:O13"/>
    <mergeCell ref="A19:O19"/>
    <mergeCell ref="A24:O24"/>
    <mergeCell ref="B3:B4"/>
    <mergeCell ref="P3:P4"/>
    <mergeCell ref="Q3:Q4"/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2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1" width="5.5" style="6" customWidth="1"/>
    <col min="12" max="12" width="10.5" style="6" bestFit="1" customWidth="1"/>
    <col min="13" max="13" width="7.5" style="6" bestFit="1" customWidth="1"/>
    <col min="14" max="14" width="21" style="5" customWidth="1"/>
    <col min="15" max="16384" width="9.1640625" style="3"/>
  </cols>
  <sheetData>
    <row r="1" spans="1:14" s="2" customFormat="1" ht="29" customHeight="1">
      <c r="A1" s="80" t="s">
        <v>1154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113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957</v>
      </c>
      <c r="C6" s="9" t="s">
        <v>958</v>
      </c>
      <c r="D6" s="9" t="s">
        <v>959</v>
      </c>
      <c r="E6" s="9" t="s">
        <v>1167</v>
      </c>
      <c r="F6" s="9" t="s">
        <v>356</v>
      </c>
      <c r="G6" s="9" t="s">
        <v>1039</v>
      </c>
      <c r="H6" s="15" t="s">
        <v>705</v>
      </c>
      <c r="I6" s="15" t="s">
        <v>505</v>
      </c>
      <c r="J6" s="10"/>
      <c r="K6" s="10"/>
      <c r="L6" s="10" t="str">
        <f>"25,0"</f>
        <v>25,0</v>
      </c>
      <c r="M6" s="10" t="str">
        <f>"27,0100"</f>
        <v>27,0100</v>
      </c>
      <c r="N6" s="9" t="s">
        <v>1085</v>
      </c>
    </row>
    <row r="7" spans="1:14">
      <c r="B7" s="5" t="s">
        <v>9</v>
      </c>
    </row>
    <row r="8" spans="1:14" ht="16">
      <c r="A8" s="91" t="s">
        <v>176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0" t="s">
        <v>66</v>
      </c>
      <c r="B9" s="9" t="s">
        <v>960</v>
      </c>
      <c r="C9" s="9" t="s">
        <v>961</v>
      </c>
      <c r="D9" s="9" t="s">
        <v>962</v>
      </c>
      <c r="E9" s="9" t="s">
        <v>1167</v>
      </c>
      <c r="F9" s="9" t="s">
        <v>922</v>
      </c>
      <c r="G9" s="9" t="s">
        <v>1039</v>
      </c>
      <c r="H9" s="15" t="s">
        <v>87</v>
      </c>
      <c r="I9" s="16" t="s">
        <v>118</v>
      </c>
      <c r="J9" s="16" t="s">
        <v>118</v>
      </c>
      <c r="K9" s="10"/>
      <c r="L9" s="10" t="str">
        <f>"55,0"</f>
        <v>55,0</v>
      </c>
      <c r="M9" s="10" t="str">
        <f>"38,3075"</f>
        <v>38,3075</v>
      </c>
      <c r="N9" s="9" t="s">
        <v>1085</v>
      </c>
    </row>
    <row r="10" spans="1:14">
      <c r="B10" s="5" t="s">
        <v>9</v>
      </c>
    </row>
    <row r="11" spans="1:14" ht="16">
      <c r="A11" s="91" t="s">
        <v>28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4">
      <c r="A12" s="10" t="s">
        <v>66</v>
      </c>
      <c r="B12" s="9" t="s">
        <v>963</v>
      </c>
      <c r="C12" s="9" t="s">
        <v>964</v>
      </c>
      <c r="D12" s="9" t="s">
        <v>211</v>
      </c>
      <c r="E12" s="9" t="s">
        <v>1167</v>
      </c>
      <c r="F12" s="9" t="s">
        <v>1054</v>
      </c>
      <c r="G12" s="9" t="s">
        <v>1039</v>
      </c>
      <c r="H12" s="15" t="s">
        <v>149</v>
      </c>
      <c r="I12" s="15" t="s">
        <v>88</v>
      </c>
      <c r="J12" s="16" t="s">
        <v>92</v>
      </c>
      <c r="K12" s="10"/>
      <c r="L12" s="10" t="str">
        <f>"60,0"</f>
        <v>60,0</v>
      </c>
      <c r="M12" s="10" t="str">
        <f>"38,8290"</f>
        <v>38,8290</v>
      </c>
      <c r="N12" s="9" t="s">
        <v>1085</v>
      </c>
    </row>
    <row r="13" spans="1:14">
      <c r="B13" s="5" t="s">
        <v>9</v>
      </c>
    </row>
    <row r="14" spans="1:14" ht="16">
      <c r="A14" s="91" t="s">
        <v>49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4">
      <c r="A15" s="10" t="s">
        <v>66</v>
      </c>
      <c r="B15" s="9" t="s">
        <v>802</v>
      </c>
      <c r="C15" s="9" t="s">
        <v>803</v>
      </c>
      <c r="D15" s="9" t="s">
        <v>965</v>
      </c>
      <c r="E15" s="9" t="s">
        <v>1167</v>
      </c>
      <c r="F15" s="9" t="s">
        <v>356</v>
      </c>
      <c r="G15" s="9" t="s">
        <v>1039</v>
      </c>
      <c r="H15" s="15" t="s">
        <v>91</v>
      </c>
      <c r="I15" s="15" t="s">
        <v>93</v>
      </c>
      <c r="J15" s="15" t="s">
        <v>100</v>
      </c>
      <c r="K15" s="10"/>
      <c r="L15" s="10" t="str">
        <f>"80,0"</f>
        <v>80,0</v>
      </c>
      <c r="M15" s="10" t="str">
        <f>"47,8280"</f>
        <v>47,8280</v>
      </c>
      <c r="N15" s="9" t="s">
        <v>1085</v>
      </c>
    </row>
    <row r="16" spans="1:14">
      <c r="B16" s="5" t="s">
        <v>9</v>
      </c>
    </row>
    <row r="17" spans="2:14" ht="16">
      <c r="B17" s="5" t="s">
        <v>9</v>
      </c>
      <c r="F17" s="7"/>
    </row>
    <row r="18" spans="2:14" ht="16">
      <c r="B18" s="5" t="s">
        <v>9</v>
      </c>
      <c r="F18" s="7"/>
    </row>
    <row r="19" spans="2:14" ht="16">
      <c r="B19" s="5" t="s">
        <v>9</v>
      </c>
      <c r="F19" s="7"/>
    </row>
    <row r="20" spans="2:14" ht="16">
      <c r="B20" s="5" t="s">
        <v>9</v>
      </c>
      <c r="F20" s="7"/>
    </row>
    <row r="21" spans="2:14" ht="16">
      <c r="B21" s="5" t="s">
        <v>9</v>
      </c>
      <c r="F21" s="7"/>
    </row>
    <row r="22" spans="2:14" ht="16">
      <c r="B22" s="5" t="s">
        <v>9</v>
      </c>
      <c r="F22" s="7"/>
    </row>
    <row r="23" spans="2:14" ht="16">
      <c r="B23" s="5" t="s">
        <v>9</v>
      </c>
      <c r="F23" s="7"/>
    </row>
    <row r="24" spans="2:14">
      <c r="B24" s="5" t="s">
        <v>9</v>
      </c>
      <c r="C24" s="6"/>
      <c r="D24" s="6"/>
      <c r="E24" s="6"/>
      <c r="F24" s="6"/>
      <c r="G24" s="6"/>
      <c r="I24" s="5"/>
      <c r="J24" s="3"/>
      <c r="K24" s="3"/>
      <c r="L24" s="3"/>
      <c r="M24" s="3"/>
      <c r="N24" s="3"/>
    </row>
    <row r="25" spans="2:14">
      <c r="B25" s="5" t="s">
        <v>9</v>
      </c>
      <c r="C25" s="6"/>
      <c r="D25" s="6"/>
      <c r="E25" s="6"/>
      <c r="F25" s="6"/>
      <c r="G25" s="6"/>
      <c r="I25" s="5"/>
      <c r="J25" s="3"/>
      <c r="K25" s="3"/>
      <c r="L25" s="3"/>
      <c r="M25" s="3"/>
      <c r="N25" s="3"/>
    </row>
    <row r="26" spans="2:14">
      <c r="B26" s="5" t="s">
        <v>9</v>
      </c>
      <c r="C26" s="6"/>
      <c r="D26" s="6"/>
      <c r="E26" s="6"/>
      <c r="F26" s="6"/>
      <c r="G26" s="6"/>
      <c r="I26" s="5"/>
      <c r="J26" s="3"/>
      <c r="K26" s="3"/>
      <c r="L26" s="3"/>
      <c r="M26" s="3"/>
      <c r="N26" s="3"/>
    </row>
    <row r="27" spans="2:14">
      <c r="B27" s="5" t="s">
        <v>9</v>
      </c>
      <c r="C27" s="6"/>
      <c r="D27" s="6"/>
      <c r="E27" s="6"/>
      <c r="F27" s="6"/>
      <c r="G27" s="6"/>
      <c r="I27" s="5"/>
      <c r="J27" s="3"/>
      <c r="K27" s="3"/>
      <c r="L27" s="3"/>
      <c r="M27" s="3"/>
      <c r="N27" s="3"/>
    </row>
    <row r="28" spans="2:14">
      <c r="B28" s="5" t="s">
        <v>9</v>
      </c>
      <c r="C28" s="6"/>
      <c r="D28" s="6"/>
      <c r="E28" s="6"/>
      <c r="F28" s="6"/>
      <c r="G28" s="6"/>
      <c r="I28" s="5"/>
      <c r="J28" s="3"/>
      <c r="K28" s="3"/>
      <c r="L28" s="3"/>
      <c r="M28" s="3"/>
      <c r="N28" s="3"/>
    </row>
    <row r="29" spans="2:14">
      <c r="B29" s="5" t="s">
        <v>9</v>
      </c>
      <c r="C29" s="6"/>
      <c r="D29" s="6"/>
      <c r="E29" s="6"/>
      <c r="F29" s="6"/>
      <c r="G29" s="6"/>
      <c r="I29" s="5"/>
      <c r="J29" s="3"/>
      <c r="K29" s="3"/>
      <c r="L29" s="3"/>
      <c r="M29" s="3"/>
      <c r="N29" s="3"/>
    </row>
    <row r="30" spans="2:14">
      <c r="B30" s="5" t="s">
        <v>9</v>
      </c>
      <c r="C30" s="6"/>
      <c r="D30" s="6"/>
      <c r="E30" s="6"/>
      <c r="F30" s="6"/>
      <c r="G30" s="6"/>
      <c r="I30" s="5"/>
      <c r="J30" s="3"/>
      <c r="K30" s="3"/>
      <c r="L30" s="3"/>
      <c r="M30" s="3"/>
      <c r="N30" s="3"/>
    </row>
    <row r="31" spans="2:14">
      <c r="B31" s="5" t="s">
        <v>9</v>
      </c>
      <c r="C31" s="6"/>
      <c r="D31" s="6"/>
      <c r="E31" s="6"/>
      <c r="F31" s="6"/>
      <c r="G31" s="6"/>
      <c r="I31" s="5"/>
      <c r="J31" s="3"/>
      <c r="K31" s="3"/>
      <c r="L31" s="3"/>
      <c r="M31" s="3"/>
      <c r="N31" s="3"/>
    </row>
    <row r="32" spans="2:14">
      <c r="B32" s="5" t="s">
        <v>9</v>
      </c>
      <c r="C32" s="6"/>
      <c r="D32" s="6"/>
      <c r="E32" s="6"/>
      <c r="F32" s="6"/>
      <c r="G32" s="6"/>
      <c r="I32" s="5"/>
      <c r="J32" s="3"/>
      <c r="K32" s="3"/>
      <c r="L32" s="3"/>
      <c r="M32" s="3"/>
      <c r="N32" s="3"/>
    </row>
    <row r="33" spans="2:14">
      <c r="B33" s="5" t="s">
        <v>9</v>
      </c>
      <c r="C33" s="6"/>
      <c r="D33" s="6"/>
      <c r="E33" s="6"/>
      <c r="F33" s="6"/>
      <c r="G33" s="6"/>
      <c r="I33" s="5"/>
      <c r="J33" s="3"/>
      <c r="K33" s="3"/>
      <c r="L33" s="3"/>
      <c r="M33" s="3"/>
      <c r="N33" s="3"/>
    </row>
    <row r="34" spans="2:14">
      <c r="B34" s="5" t="s">
        <v>9</v>
      </c>
      <c r="C34" s="6"/>
      <c r="D34" s="6"/>
      <c r="E34" s="6"/>
      <c r="F34" s="6"/>
      <c r="G34" s="6"/>
      <c r="I34" s="5"/>
      <c r="J34" s="3"/>
      <c r="K34" s="3"/>
      <c r="L34" s="3"/>
      <c r="M34" s="3"/>
      <c r="N34" s="3"/>
    </row>
    <row r="35" spans="2:14">
      <c r="B35" s="5" t="s">
        <v>9</v>
      </c>
      <c r="C35" s="6"/>
      <c r="D35" s="6"/>
      <c r="E35" s="6"/>
      <c r="F35" s="6"/>
      <c r="G35" s="6"/>
      <c r="I35" s="5"/>
      <c r="J35" s="3"/>
      <c r="K35" s="3"/>
      <c r="L35" s="3"/>
      <c r="M35" s="3"/>
      <c r="N35" s="3"/>
    </row>
    <row r="36" spans="2:14">
      <c r="B36" s="5" t="s">
        <v>9</v>
      </c>
      <c r="C36" s="6"/>
      <c r="D36" s="6"/>
      <c r="E36" s="6"/>
      <c r="F36" s="6"/>
      <c r="G36" s="6"/>
      <c r="I36" s="5"/>
      <c r="J36" s="3"/>
      <c r="K36" s="3"/>
      <c r="L36" s="3"/>
      <c r="M36" s="3"/>
      <c r="N36" s="3"/>
    </row>
    <row r="37" spans="2:14">
      <c r="B37" s="5" t="s">
        <v>9</v>
      </c>
      <c r="C37" s="6"/>
      <c r="D37" s="6"/>
      <c r="E37" s="6"/>
      <c r="F37" s="6"/>
      <c r="G37" s="6"/>
      <c r="I37" s="5"/>
      <c r="J37" s="3"/>
      <c r="K37" s="3"/>
      <c r="L37" s="3"/>
      <c r="M37" s="3"/>
      <c r="N37" s="3"/>
    </row>
    <row r="38" spans="2:14">
      <c r="B38" s="5" t="s">
        <v>9</v>
      </c>
      <c r="C38" s="6"/>
      <c r="D38" s="6"/>
      <c r="E38" s="6"/>
      <c r="F38" s="6"/>
      <c r="G38" s="6"/>
      <c r="I38" s="5"/>
      <c r="J38" s="3"/>
      <c r="K38" s="3"/>
      <c r="L38" s="3"/>
      <c r="M38" s="3"/>
      <c r="N38" s="3"/>
    </row>
    <row r="39" spans="2:14">
      <c r="C39" s="6"/>
      <c r="D39" s="6"/>
      <c r="E39" s="6"/>
      <c r="F39" s="6"/>
      <c r="G39" s="6"/>
      <c r="I39" s="5"/>
      <c r="J39" s="3"/>
      <c r="K39" s="3"/>
      <c r="L39" s="3"/>
      <c r="M39" s="3"/>
      <c r="N39" s="3"/>
    </row>
    <row r="40" spans="2:14">
      <c r="C40" s="6"/>
      <c r="D40" s="6"/>
      <c r="E40" s="6"/>
      <c r="F40" s="6"/>
      <c r="G40" s="6"/>
      <c r="I40" s="5"/>
      <c r="J40" s="3"/>
      <c r="K40" s="3"/>
      <c r="L40" s="3"/>
      <c r="M40" s="3"/>
      <c r="N40" s="3"/>
    </row>
    <row r="41" spans="2:14">
      <c r="C41" s="6"/>
      <c r="D41" s="6"/>
      <c r="E41" s="6"/>
      <c r="F41" s="6"/>
      <c r="G41" s="6"/>
      <c r="I41" s="5"/>
      <c r="J41" s="3"/>
      <c r="K41" s="3"/>
      <c r="L41" s="3"/>
      <c r="M41" s="3"/>
      <c r="N41" s="3"/>
    </row>
    <row r="42" spans="2:14">
      <c r="C42" s="6"/>
      <c r="D42" s="6"/>
      <c r="E42" s="6"/>
      <c r="F42" s="6"/>
      <c r="G42" s="6"/>
      <c r="I42" s="5"/>
      <c r="J42" s="3"/>
      <c r="K42" s="3"/>
      <c r="L42" s="3"/>
      <c r="M42" s="3"/>
      <c r="N42" s="3"/>
    </row>
  </sheetData>
  <mergeCells count="16">
    <mergeCell ref="A8:K8"/>
    <mergeCell ref="A11:K11"/>
    <mergeCell ref="A14:K14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7.5" style="6" bestFit="1" customWidth="1"/>
    <col min="14" max="14" width="21.33203125" style="5" customWidth="1"/>
    <col min="15" max="16384" width="9.1640625" style="3"/>
  </cols>
  <sheetData>
    <row r="1" spans="1:14" s="2" customFormat="1" ht="29" customHeight="1">
      <c r="A1" s="80" t="s">
        <v>1155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40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584</v>
      </c>
      <c r="C6" s="9" t="s">
        <v>585</v>
      </c>
      <c r="D6" s="9" t="s">
        <v>261</v>
      </c>
      <c r="E6" s="9" t="s">
        <v>1167</v>
      </c>
      <c r="F6" s="9" t="s">
        <v>586</v>
      </c>
      <c r="G6" s="9" t="s">
        <v>18</v>
      </c>
      <c r="H6" s="15" t="s">
        <v>165</v>
      </c>
      <c r="I6" s="15" t="s">
        <v>127</v>
      </c>
      <c r="J6" s="15" t="s">
        <v>34</v>
      </c>
      <c r="K6" s="10"/>
      <c r="L6" s="10" t="str">
        <f>"125,0"</f>
        <v>125,0</v>
      </c>
      <c r="M6" s="10" t="str">
        <f>"77,3562"</f>
        <v>77,3562</v>
      </c>
      <c r="N6" s="9" t="s">
        <v>1073</v>
      </c>
    </row>
    <row r="7" spans="1:14">
      <c r="B7" s="5" t="s">
        <v>9</v>
      </c>
    </row>
    <row r="8" spans="1:14" ht="16">
      <c r="B8" s="5" t="s">
        <v>9</v>
      </c>
      <c r="F8" s="7"/>
    </row>
    <row r="9" spans="1:14" ht="16">
      <c r="B9" s="5" t="s">
        <v>9</v>
      </c>
      <c r="F9" s="7"/>
    </row>
    <row r="10" spans="1:14" ht="16">
      <c r="B10" s="5" t="s">
        <v>9</v>
      </c>
      <c r="F10" s="7"/>
    </row>
    <row r="11" spans="1:14" ht="16">
      <c r="B11" s="5" t="s">
        <v>9</v>
      </c>
      <c r="F11" s="7"/>
    </row>
    <row r="12" spans="1:14" ht="16">
      <c r="B12" s="5" t="s">
        <v>9</v>
      </c>
      <c r="F12" s="7"/>
    </row>
    <row r="13" spans="1:14" ht="16">
      <c r="B13" s="5" t="s">
        <v>9</v>
      </c>
      <c r="F13" s="7"/>
    </row>
    <row r="14" spans="1:14" ht="16">
      <c r="B14" s="5" t="s">
        <v>9</v>
      </c>
      <c r="F14" s="7"/>
    </row>
    <row r="15" spans="1:14">
      <c r="B15" s="5" t="s">
        <v>9</v>
      </c>
      <c r="C15" s="6"/>
      <c r="D15" s="6"/>
      <c r="E15" s="6"/>
      <c r="F15" s="6"/>
      <c r="G15" s="6"/>
      <c r="I15" s="5"/>
      <c r="J15" s="3"/>
      <c r="K15" s="3"/>
      <c r="L15" s="3"/>
      <c r="M15" s="3"/>
      <c r="N15" s="3"/>
    </row>
    <row r="16" spans="1:14">
      <c r="B16" s="5" t="s">
        <v>9</v>
      </c>
      <c r="C16" s="6"/>
      <c r="D16" s="6"/>
      <c r="E16" s="6"/>
      <c r="F16" s="6"/>
      <c r="G16" s="6"/>
      <c r="I16" s="5"/>
      <c r="J16" s="3"/>
      <c r="K16" s="3"/>
      <c r="L16" s="3"/>
      <c r="M16" s="3"/>
      <c r="N16" s="3"/>
    </row>
    <row r="17" spans="2:14">
      <c r="B17" s="5" t="s">
        <v>9</v>
      </c>
      <c r="C17" s="6"/>
      <c r="D17" s="6"/>
      <c r="E17" s="6"/>
      <c r="F17" s="6"/>
      <c r="G17" s="6"/>
      <c r="I17" s="5"/>
      <c r="J17" s="3"/>
      <c r="K17" s="3"/>
      <c r="L17" s="3"/>
      <c r="M17" s="3"/>
      <c r="N17" s="3"/>
    </row>
    <row r="18" spans="2:14">
      <c r="B18" s="5" t="s">
        <v>9</v>
      </c>
      <c r="C18" s="6"/>
      <c r="D18" s="6"/>
      <c r="E18" s="6"/>
      <c r="F18" s="6"/>
      <c r="G18" s="6"/>
      <c r="I18" s="5"/>
      <c r="J18" s="3"/>
      <c r="K18" s="3"/>
      <c r="L18" s="3"/>
      <c r="M18" s="3"/>
      <c r="N18" s="3"/>
    </row>
    <row r="19" spans="2:14">
      <c r="B19" s="5" t="s">
        <v>9</v>
      </c>
      <c r="C19" s="6"/>
      <c r="D19" s="6"/>
      <c r="E19" s="6"/>
      <c r="F19" s="6"/>
      <c r="G19" s="6"/>
      <c r="I19" s="5"/>
      <c r="J19" s="3"/>
      <c r="K19" s="3"/>
      <c r="L19" s="3"/>
      <c r="M19" s="3"/>
      <c r="N19" s="3"/>
    </row>
    <row r="20" spans="2:14">
      <c r="B20" s="5" t="s">
        <v>9</v>
      </c>
      <c r="C20" s="6"/>
      <c r="D20" s="6"/>
      <c r="E20" s="6"/>
      <c r="F20" s="6"/>
      <c r="G20" s="6"/>
      <c r="I20" s="5"/>
      <c r="J20" s="3"/>
      <c r="K20" s="3"/>
      <c r="L20" s="3"/>
      <c r="M20" s="3"/>
      <c r="N20" s="3"/>
    </row>
    <row r="21" spans="2:14">
      <c r="B21" s="5" t="s">
        <v>9</v>
      </c>
      <c r="C21" s="6"/>
      <c r="D21" s="6"/>
      <c r="E21" s="6"/>
      <c r="F21" s="6"/>
      <c r="G21" s="6"/>
      <c r="I21" s="5"/>
      <c r="J21" s="3"/>
      <c r="K21" s="3"/>
      <c r="L21" s="3"/>
      <c r="M21" s="3"/>
      <c r="N21" s="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1" width="5.5" style="6" customWidth="1"/>
    <col min="12" max="12" width="10.5" style="6" bestFit="1" customWidth="1"/>
    <col min="13" max="13" width="9.6640625" style="6" customWidth="1"/>
    <col min="14" max="14" width="23" style="5" customWidth="1"/>
    <col min="15" max="16384" width="9.1640625" style="3"/>
  </cols>
  <sheetData>
    <row r="1" spans="1:14" s="2" customFormat="1" ht="29" customHeight="1">
      <c r="A1" s="80" t="s">
        <v>1156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113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0" t="s">
        <v>66</v>
      </c>
      <c r="B6" s="9" t="s">
        <v>672</v>
      </c>
      <c r="C6" s="9" t="s">
        <v>673</v>
      </c>
      <c r="D6" s="9" t="s">
        <v>966</v>
      </c>
      <c r="E6" s="9" t="s">
        <v>1167</v>
      </c>
      <c r="F6" s="9" t="s">
        <v>17</v>
      </c>
      <c r="G6" s="9" t="s">
        <v>1039</v>
      </c>
      <c r="H6" s="15" t="s">
        <v>671</v>
      </c>
      <c r="I6" s="16" t="s">
        <v>89</v>
      </c>
      <c r="J6" s="15" t="s">
        <v>89</v>
      </c>
      <c r="K6" s="10"/>
      <c r="L6" s="10" t="str">
        <f>"30,0"</f>
        <v>30,0</v>
      </c>
      <c r="M6" s="10" t="str">
        <f>"31,3380"</f>
        <v>31,3380</v>
      </c>
      <c r="N6" s="9" t="s">
        <v>1069</v>
      </c>
    </row>
    <row r="7" spans="1:14">
      <c r="B7" s="5" t="s">
        <v>9</v>
      </c>
    </row>
    <row r="8" spans="1:14" ht="16">
      <c r="A8" s="91" t="s">
        <v>13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4">
      <c r="A9" s="10" t="s">
        <v>66</v>
      </c>
      <c r="B9" s="9" t="s">
        <v>373</v>
      </c>
      <c r="C9" s="9" t="s">
        <v>374</v>
      </c>
      <c r="D9" s="9" t="s">
        <v>967</v>
      </c>
      <c r="E9" s="9" t="s">
        <v>1167</v>
      </c>
      <c r="F9" s="9" t="s">
        <v>110</v>
      </c>
      <c r="G9" s="9" t="s">
        <v>1039</v>
      </c>
      <c r="H9" s="15" t="s">
        <v>104</v>
      </c>
      <c r="I9" s="16" t="s">
        <v>968</v>
      </c>
      <c r="J9" s="15" t="s">
        <v>968</v>
      </c>
      <c r="K9" s="10"/>
      <c r="L9" s="10" t="str">
        <f>"48,0"</f>
        <v>48,0</v>
      </c>
      <c r="M9" s="10" t="str">
        <f>"43,5322"</f>
        <v>43,5322</v>
      </c>
      <c r="N9" s="9" t="s">
        <v>1055</v>
      </c>
    </row>
    <row r="10" spans="1:14">
      <c r="B10" s="5" t="s">
        <v>9</v>
      </c>
    </row>
    <row r="11" spans="1:14" ht="16">
      <c r="A11" s="91" t="s">
        <v>121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4">
      <c r="A12" s="10" t="s">
        <v>66</v>
      </c>
      <c r="B12" s="9" t="s">
        <v>969</v>
      </c>
      <c r="C12" s="9" t="s">
        <v>970</v>
      </c>
      <c r="D12" s="9" t="s">
        <v>971</v>
      </c>
      <c r="E12" s="9" t="s">
        <v>1167</v>
      </c>
      <c r="F12" s="9" t="s">
        <v>110</v>
      </c>
      <c r="G12" s="9" t="s">
        <v>1039</v>
      </c>
      <c r="H12" s="15" t="s">
        <v>87</v>
      </c>
      <c r="I12" s="15" t="s">
        <v>331</v>
      </c>
      <c r="J12" s="16" t="s">
        <v>88</v>
      </c>
      <c r="K12" s="10"/>
      <c r="L12" s="10" t="str">
        <f>"57,5"</f>
        <v>57,5</v>
      </c>
      <c r="M12" s="10" t="str">
        <f>"43,2239"</f>
        <v>43,2239</v>
      </c>
      <c r="N12" s="9" t="s">
        <v>1055</v>
      </c>
    </row>
    <row r="13" spans="1:14">
      <c r="B13" s="5" t="s">
        <v>9</v>
      </c>
    </row>
    <row r="14" spans="1:14" ht="16">
      <c r="A14" s="91" t="s">
        <v>176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4">
      <c r="A15" s="10" t="s">
        <v>66</v>
      </c>
      <c r="B15" s="9" t="s">
        <v>972</v>
      </c>
      <c r="C15" s="9" t="s">
        <v>973</v>
      </c>
      <c r="D15" s="9" t="s">
        <v>190</v>
      </c>
      <c r="E15" s="9" t="s">
        <v>1167</v>
      </c>
      <c r="F15" s="9" t="s">
        <v>602</v>
      </c>
      <c r="G15" s="9" t="s">
        <v>18</v>
      </c>
      <c r="H15" s="15" t="s">
        <v>149</v>
      </c>
      <c r="I15" s="15" t="s">
        <v>87</v>
      </c>
      <c r="J15" s="15" t="s">
        <v>331</v>
      </c>
      <c r="K15" s="10"/>
      <c r="L15" s="10" t="str">
        <f>"57,5"</f>
        <v>57,5</v>
      </c>
      <c r="M15" s="10" t="str">
        <f>"40,3161"</f>
        <v>40,3161</v>
      </c>
      <c r="N15" s="9" t="s">
        <v>328</v>
      </c>
    </row>
    <row r="16" spans="1:14">
      <c r="B16" s="5" t="s">
        <v>9</v>
      </c>
    </row>
    <row r="17" spans="1:14" ht="16">
      <c r="A17" s="91" t="s">
        <v>28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4">
      <c r="A18" s="10" t="s">
        <v>66</v>
      </c>
      <c r="B18" s="9" t="s">
        <v>974</v>
      </c>
      <c r="C18" s="9" t="s">
        <v>975</v>
      </c>
      <c r="D18" s="9" t="s">
        <v>976</v>
      </c>
      <c r="E18" s="9" t="s">
        <v>1167</v>
      </c>
      <c r="F18" s="9" t="s">
        <v>110</v>
      </c>
      <c r="G18" s="9" t="s">
        <v>1039</v>
      </c>
      <c r="H18" s="15" t="s">
        <v>111</v>
      </c>
      <c r="I18" s="15" t="s">
        <v>91</v>
      </c>
      <c r="J18" s="15" t="s">
        <v>93</v>
      </c>
      <c r="K18" s="10"/>
      <c r="L18" s="10" t="str">
        <f>"75,0"</f>
        <v>75,0</v>
      </c>
      <c r="M18" s="10" t="str">
        <f>"48,4800"</f>
        <v>48,4800</v>
      </c>
      <c r="N18" s="9" t="s">
        <v>1055</v>
      </c>
    </row>
    <row r="19" spans="1:14">
      <c r="B19" s="5" t="s">
        <v>9</v>
      </c>
    </row>
    <row r="20" spans="1:14" ht="16">
      <c r="A20" s="91" t="s">
        <v>40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4">
      <c r="A21" s="18" t="s">
        <v>66</v>
      </c>
      <c r="B21" s="17" t="s">
        <v>790</v>
      </c>
      <c r="C21" s="17" t="s">
        <v>791</v>
      </c>
      <c r="D21" s="17" t="s">
        <v>950</v>
      </c>
      <c r="E21" s="17" t="s">
        <v>1167</v>
      </c>
      <c r="F21" s="17" t="s">
        <v>792</v>
      </c>
      <c r="G21" s="17" t="s">
        <v>1039</v>
      </c>
      <c r="H21" s="23" t="s">
        <v>111</v>
      </c>
      <c r="I21" s="23" t="s">
        <v>92</v>
      </c>
      <c r="J21" s="18"/>
      <c r="K21" s="18"/>
      <c r="L21" s="18" t="str">
        <f>"72,5"</f>
        <v>72,5</v>
      </c>
      <c r="M21" s="18" t="str">
        <f>"44,4280"</f>
        <v>44,4280</v>
      </c>
      <c r="N21" s="17" t="s">
        <v>1073</v>
      </c>
    </row>
    <row r="22" spans="1:14">
      <c r="A22" s="22" t="s">
        <v>312</v>
      </c>
      <c r="B22" s="21" t="s">
        <v>977</v>
      </c>
      <c r="C22" s="21" t="s">
        <v>978</v>
      </c>
      <c r="D22" s="21" t="s">
        <v>979</v>
      </c>
      <c r="E22" s="21" t="s">
        <v>1167</v>
      </c>
      <c r="F22" s="21" t="s">
        <v>110</v>
      </c>
      <c r="G22" s="21" t="s">
        <v>1039</v>
      </c>
      <c r="H22" s="26" t="s">
        <v>149</v>
      </c>
      <c r="I22" s="26" t="s">
        <v>87</v>
      </c>
      <c r="J22" s="26" t="s">
        <v>88</v>
      </c>
      <c r="K22" s="22"/>
      <c r="L22" s="22" t="str">
        <f>"60,0"</f>
        <v>60,0</v>
      </c>
      <c r="M22" s="22" t="str">
        <f>"37,7160"</f>
        <v>37,7160</v>
      </c>
      <c r="N22" s="21" t="s">
        <v>1055</v>
      </c>
    </row>
    <row r="23" spans="1:14">
      <c r="B23" s="5" t="s">
        <v>9</v>
      </c>
    </row>
    <row r="24" spans="1:14" ht="16">
      <c r="B24" s="5" t="s">
        <v>9</v>
      </c>
      <c r="F24" s="7"/>
    </row>
    <row r="25" spans="1:14" ht="16">
      <c r="B25" s="5" t="s">
        <v>9</v>
      </c>
      <c r="F25" s="7"/>
    </row>
    <row r="26" spans="1:14" ht="16">
      <c r="B26" s="5" t="s">
        <v>9</v>
      </c>
      <c r="F26" s="7"/>
    </row>
    <row r="27" spans="1:14" ht="16">
      <c r="B27" s="5" t="s">
        <v>9</v>
      </c>
      <c r="F27" s="7"/>
    </row>
    <row r="28" spans="1:14" ht="16">
      <c r="B28" s="5" t="s">
        <v>9</v>
      </c>
      <c r="F28" s="7"/>
    </row>
    <row r="29" spans="1:14" ht="16">
      <c r="B29" s="5" t="s">
        <v>9</v>
      </c>
      <c r="F29" s="7"/>
    </row>
    <row r="30" spans="1:14">
      <c r="B30" s="5" t="s">
        <v>9</v>
      </c>
      <c r="C30" s="6"/>
      <c r="D30" s="6"/>
      <c r="E30" s="6"/>
      <c r="F30" s="6"/>
      <c r="G30" s="6"/>
      <c r="I30" s="5"/>
      <c r="J30" s="3"/>
      <c r="K30" s="3"/>
      <c r="L30" s="3"/>
      <c r="M30" s="3"/>
      <c r="N30" s="3"/>
    </row>
    <row r="31" spans="1:14">
      <c r="B31" s="5" t="s">
        <v>9</v>
      </c>
      <c r="C31" s="6"/>
      <c r="D31" s="6"/>
      <c r="E31" s="6"/>
      <c r="F31" s="6"/>
      <c r="G31" s="6"/>
      <c r="I31" s="5"/>
      <c r="J31" s="3"/>
      <c r="K31" s="3"/>
      <c r="L31" s="3"/>
      <c r="M31" s="3"/>
      <c r="N31" s="3"/>
    </row>
    <row r="32" spans="1:14">
      <c r="B32" s="5" t="s">
        <v>9</v>
      </c>
      <c r="C32" s="6"/>
      <c r="D32" s="6"/>
      <c r="E32" s="6"/>
      <c r="F32" s="6"/>
      <c r="G32" s="6"/>
      <c r="I32" s="5"/>
      <c r="J32" s="3"/>
      <c r="K32" s="3"/>
      <c r="L32" s="3"/>
      <c r="M32" s="3"/>
      <c r="N32" s="3"/>
    </row>
    <row r="33" spans="2:14">
      <c r="B33" s="5" t="s">
        <v>9</v>
      </c>
      <c r="C33" s="6"/>
      <c r="D33" s="6"/>
      <c r="E33" s="6"/>
      <c r="F33" s="6"/>
      <c r="G33" s="6"/>
      <c r="I33" s="5"/>
      <c r="J33" s="3"/>
      <c r="K33" s="3"/>
      <c r="L33" s="3"/>
      <c r="M33" s="3"/>
      <c r="N33" s="3"/>
    </row>
    <row r="34" spans="2:14">
      <c r="B34" s="5" t="s">
        <v>9</v>
      </c>
      <c r="C34" s="6"/>
      <c r="D34" s="6"/>
      <c r="E34" s="6"/>
      <c r="F34" s="6"/>
      <c r="G34" s="6"/>
      <c r="I34" s="5"/>
      <c r="J34" s="3"/>
      <c r="K34" s="3"/>
      <c r="L34" s="3"/>
      <c r="M34" s="3"/>
      <c r="N34" s="3"/>
    </row>
    <row r="35" spans="2:14">
      <c r="B35" s="5" t="s">
        <v>9</v>
      </c>
      <c r="C35" s="6"/>
      <c r="D35" s="6"/>
      <c r="E35" s="6"/>
      <c r="F35" s="6"/>
      <c r="G35" s="6"/>
      <c r="I35" s="5"/>
      <c r="J35" s="3"/>
      <c r="K35" s="3"/>
      <c r="L35" s="3"/>
      <c r="M35" s="3"/>
      <c r="N35" s="3"/>
    </row>
    <row r="36" spans="2:14">
      <c r="B36" s="5" t="s">
        <v>9</v>
      </c>
      <c r="C36" s="6"/>
      <c r="D36" s="6"/>
      <c r="E36" s="6"/>
      <c r="F36" s="6"/>
      <c r="G36" s="6"/>
      <c r="I36" s="5"/>
      <c r="J36" s="3"/>
      <c r="K36" s="3"/>
      <c r="L36" s="3"/>
      <c r="M36" s="3"/>
      <c r="N36" s="3"/>
    </row>
    <row r="37" spans="2:14">
      <c r="B37" s="5" t="s">
        <v>9</v>
      </c>
      <c r="C37" s="6"/>
      <c r="D37" s="6"/>
      <c r="E37" s="6"/>
      <c r="F37" s="6"/>
      <c r="G37" s="6"/>
      <c r="I37" s="5"/>
      <c r="J37" s="3"/>
      <c r="K37" s="3"/>
      <c r="L37" s="3"/>
      <c r="M37" s="3"/>
      <c r="N37" s="3"/>
    </row>
    <row r="38" spans="2:14">
      <c r="B38" s="5" t="s">
        <v>9</v>
      </c>
      <c r="C38" s="6"/>
      <c r="D38" s="6"/>
      <c r="E38" s="6"/>
      <c r="F38" s="6"/>
      <c r="G38" s="6"/>
      <c r="I38" s="5"/>
      <c r="J38" s="3"/>
      <c r="K38" s="3"/>
      <c r="L38" s="3"/>
      <c r="M38" s="3"/>
      <c r="N38" s="3"/>
    </row>
    <row r="39" spans="2:14">
      <c r="B39" s="5" t="s">
        <v>9</v>
      </c>
      <c r="C39" s="6"/>
      <c r="D39" s="6"/>
      <c r="E39" s="6"/>
      <c r="F39" s="6"/>
      <c r="G39" s="6"/>
      <c r="I39" s="5"/>
      <c r="J39" s="3"/>
      <c r="K39" s="3"/>
      <c r="L39" s="3"/>
      <c r="M39" s="3"/>
      <c r="N39" s="3"/>
    </row>
    <row r="40" spans="2:14">
      <c r="B40" s="5" t="s">
        <v>9</v>
      </c>
      <c r="C40" s="6"/>
      <c r="D40" s="6"/>
      <c r="E40" s="6"/>
      <c r="F40" s="6"/>
      <c r="G40" s="6"/>
      <c r="I40" s="5"/>
      <c r="J40" s="3"/>
      <c r="K40" s="3"/>
      <c r="L40" s="3"/>
      <c r="M40" s="3"/>
      <c r="N40" s="3"/>
    </row>
    <row r="41" spans="2:14">
      <c r="B41" s="5" t="s">
        <v>9</v>
      </c>
      <c r="C41" s="6"/>
      <c r="D41" s="6"/>
      <c r="E41" s="6"/>
      <c r="F41" s="6"/>
      <c r="G41" s="6"/>
      <c r="I41" s="5"/>
      <c r="J41" s="3"/>
      <c r="K41" s="3"/>
      <c r="L41" s="3"/>
      <c r="M41" s="3"/>
      <c r="N41" s="3"/>
    </row>
    <row r="42" spans="2:14">
      <c r="B42" s="5" t="s">
        <v>9</v>
      </c>
      <c r="C42" s="6"/>
      <c r="D42" s="6"/>
      <c r="E42" s="6"/>
      <c r="F42" s="6"/>
      <c r="G42" s="6"/>
      <c r="I42" s="5"/>
      <c r="J42" s="3"/>
      <c r="K42" s="3"/>
      <c r="L42" s="3"/>
      <c r="M42" s="3"/>
      <c r="N42" s="3"/>
    </row>
    <row r="43" spans="2:14">
      <c r="B43" s="5" t="s">
        <v>9</v>
      </c>
      <c r="C43" s="6"/>
      <c r="D43" s="6"/>
      <c r="E43" s="6"/>
      <c r="F43" s="6"/>
      <c r="G43" s="6"/>
      <c r="I43" s="5"/>
      <c r="J43" s="3"/>
      <c r="K43" s="3"/>
      <c r="L43" s="3"/>
      <c r="M43" s="3"/>
      <c r="N43" s="3"/>
    </row>
    <row r="44" spans="2:14">
      <c r="B44" s="5" t="s">
        <v>9</v>
      </c>
      <c r="C44" s="6"/>
      <c r="D44" s="6"/>
      <c r="E44" s="6"/>
      <c r="F44" s="6"/>
      <c r="G44" s="6"/>
      <c r="I44" s="5"/>
      <c r="J44" s="3"/>
      <c r="K44" s="3"/>
      <c r="L44" s="3"/>
      <c r="M44" s="3"/>
      <c r="N44" s="3"/>
    </row>
    <row r="45" spans="2:14">
      <c r="B45" s="5" t="s">
        <v>9</v>
      </c>
      <c r="C45" s="6"/>
      <c r="D45" s="6"/>
      <c r="E45" s="6"/>
      <c r="F45" s="6"/>
      <c r="G45" s="6"/>
      <c r="I45" s="5"/>
      <c r="J45" s="3"/>
      <c r="K45" s="3"/>
      <c r="L45" s="3"/>
      <c r="M45" s="3"/>
      <c r="N45" s="3"/>
    </row>
    <row r="46" spans="2:14">
      <c r="C46" s="6"/>
      <c r="D46" s="6"/>
      <c r="E46" s="6"/>
      <c r="F46" s="6"/>
      <c r="G46" s="6"/>
      <c r="I46" s="5"/>
      <c r="J46" s="3"/>
      <c r="K46" s="3"/>
      <c r="L46" s="3"/>
      <c r="M46" s="3"/>
      <c r="N46" s="3"/>
    </row>
  </sheetData>
  <mergeCells count="18">
    <mergeCell ref="A20:K20"/>
    <mergeCell ref="A5:K5"/>
    <mergeCell ref="A8:K8"/>
    <mergeCell ref="A11:K11"/>
    <mergeCell ref="A14:K14"/>
    <mergeCell ref="A17:K17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1" width="5.5" style="6" customWidth="1"/>
    <col min="12" max="12" width="10.5" style="6" bestFit="1" customWidth="1"/>
    <col min="13" max="13" width="7.5" style="6" bestFit="1" customWidth="1"/>
    <col min="14" max="14" width="20.83203125" style="5" customWidth="1"/>
    <col min="15" max="16384" width="9.1640625" style="3"/>
  </cols>
  <sheetData>
    <row r="1" spans="1:14" s="2" customFormat="1" ht="29" customHeight="1">
      <c r="A1" s="80" t="s">
        <v>1157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28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8" t="s">
        <v>66</v>
      </c>
      <c r="B6" s="17" t="s">
        <v>943</v>
      </c>
      <c r="C6" s="17" t="s">
        <v>944</v>
      </c>
      <c r="D6" s="17" t="s">
        <v>945</v>
      </c>
      <c r="E6" s="17" t="s">
        <v>1167</v>
      </c>
      <c r="F6" s="17" t="s">
        <v>110</v>
      </c>
      <c r="G6" s="17" t="s">
        <v>1039</v>
      </c>
      <c r="H6" s="23" t="s">
        <v>163</v>
      </c>
      <c r="I6" s="24" t="s">
        <v>158</v>
      </c>
      <c r="J6" s="23" t="s">
        <v>158</v>
      </c>
      <c r="K6" s="18"/>
      <c r="L6" s="18" t="str">
        <f>"85,0"</f>
        <v>85,0</v>
      </c>
      <c r="M6" s="18" t="str">
        <f>"54,8547"</f>
        <v>54,8547</v>
      </c>
      <c r="N6" s="17" t="s">
        <v>1055</v>
      </c>
    </row>
    <row r="7" spans="1:14">
      <c r="A7" s="20" t="s">
        <v>312</v>
      </c>
      <c r="B7" s="19" t="s">
        <v>946</v>
      </c>
      <c r="C7" s="19" t="s">
        <v>947</v>
      </c>
      <c r="D7" s="19" t="s">
        <v>948</v>
      </c>
      <c r="E7" s="19" t="s">
        <v>1167</v>
      </c>
      <c r="F7" s="19" t="s">
        <v>110</v>
      </c>
      <c r="G7" s="19" t="s">
        <v>1039</v>
      </c>
      <c r="H7" s="28" t="s">
        <v>88</v>
      </c>
      <c r="I7" s="28" t="s">
        <v>118</v>
      </c>
      <c r="J7" s="28" t="s">
        <v>111</v>
      </c>
      <c r="K7" s="20"/>
      <c r="L7" s="20" t="str">
        <f>"65,0"</f>
        <v>65,0</v>
      </c>
      <c r="M7" s="20" t="str">
        <f>"42,6855"</f>
        <v>42,6855</v>
      </c>
      <c r="N7" s="19"/>
    </row>
    <row r="8" spans="1:14">
      <c r="A8" s="22" t="s">
        <v>313</v>
      </c>
      <c r="B8" s="21" t="s">
        <v>878</v>
      </c>
      <c r="C8" s="21" t="s">
        <v>879</v>
      </c>
      <c r="D8" s="21" t="s">
        <v>228</v>
      </c>
      <c r="E8" s="21" t="s">
        <v>1167</v>
      </c>
      <c r="F8" s="21" t="s">
        <v>17</v>
      </c>
      <c r="G8" s="21" t="s">
        <v>18</v>
      </c>
      <c r="H8" s="26" t="s">
        <v>87</v>
      </c>
      <c r="I8" s="26" t="s">
        <v>88</v>
      </c>
      <c r="J8" s="26" t="s">
        <v>111</v>
      </c>
      <c r="K8" s="22"/>
      <c r="L8" s="22" t="str">
        <f>"65,0"</f>
        <v>65,0</v>
      </c>
      <c r="M8" s="22" t="str">
        <f>"41,9315"</f>
        <v>41,9315</v>
      </c>
      <c r="N8" s="21" t="s">
        <v>27</v>
      </c>
    </row>
    <row r="9" spans="1:14">
      <c r="B9" s="5" t="s">
        <v>9</v>
      </c>
    </row>
    <row r="10" spans="1:14" ht="16">
      <c r="A10" s="91" t="s">
        <v>40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4">
      <c r="A11" s="10" t="s">
        <v>66</v>
      </c>
      <c r="B11" s="9" t="s">
        <v>951</v>
      </c>
      <c r="C11" s="9" t="s">
        <v>1027</v>
      </c>
      <c r="D11" s="9" t="s">
        <v>243</v>
      </c>
      <c r="E11" s="9" t="s">
        <v>1168</v>
      </c>
      <c r="F11" s="9" t="s">
        <v>110</v>
      </c>
      <c r="G11" s="9" t="s">
        <v>18</v>
      </c>
      <c r="H11" s="15" t="s">
        <v>119</v>
      </c>
      <c r="I11" s="15" t="s">
        <v>93</v>
      </c>
      <c r="J11" s="16" t="s">
        <v>952</v>
      </c>
      <c r="K11" s="10"/>
      <c r="L11" s="10" t="str">
        <f>"75,0"</f>
        <v>75,0</v>
      </c>
      <c r="M11" s="10" t="str">
        <f>"48,9349"</f>
        <v>48,9349</v>
      </c>
      <c r="N11" s="9" t="s">
        <v>1055</v>
      </c>
    </row>
    <row r="12" spans="1:14">
      <c r="B12" s="5" t="s">
        <v>9</v>
      </c>
    </row>
    <row r="13" spans="1:14" ht="16">
      <c r="B13" s="5" t="s">
        <v>9</v>
      </c>
      <c r="F13" s="7"/>
    </row>
    <row r="14" spans="1:14" ht="16">
      <c r="B14" s="5" t="s">
        <v>9</v>
      </c>
      <c r="F14" s="7"/>
    </row>
    <row r="15" spans="1:14" ht="16">
      <c r="B15" s="5" t="s">
        <v>9</v>
      </c>
      <c r="F15" s="7"/>
    </row>
    <row r="16" spans="1:14" ht="16">
      <c r="B16" s="5" t="s">
        <v>9</v>
      </c>
      <c r="F16" s="7"/>
    </row>
    <row r="17" spans="2:14" ht="16">
      <c r="B17" s="5" t="s">
        <v>9</v>
      </c>
      <c r="F17" s="7"/>
    </row>
    <row r="18" spans="2:14" ht="16">
      <c r="B18" s="5" t="s">
        <v>9</v>
      </c>
      <c r="F18" s="7"/>
    </row>
    <row r="19" spans="2:14">
      <c r="B19" s="5" t="s">
        <v>9</v>
      </c>
      <c r="C19" s="6"/>
      <c r="D19" s="6"/>
      <c r="E19" s="6"/>
      <c r="F19" s="6"/>
      <c r="G19" s="6"/>
      <c r="I19" s="5"/>
      <c r="J19" s="3"/>
      <c r="K19" s="3"/>
      <c r="L19" s="3"/>
      <c r="M19" s="3"/>
      <c r="N19" s="3"/>
    </row>
    <row r="20" spans="2:14">
      <c r="B20" s="5" t="s">
        <v>9</v>
      </c>
      <c r="C20" s="6"/>
      <c r="D20" s="6"/>
      <c r="E20" s="6"/>
      <c r="F20" s="6"/>
      <c r="G20" s="6"/>
      <c r="I20" s="5"/>
      <c r="J20" s="3"/>
      <c r="K20" s="3"/>
      <c r="L20" s="3"/>
      <c r="M20" s="3"/>
      <c r="N20" s="3"/>
    </row>
    <row r="21" spans="2:14">
      <c r="B21" s="5" t="s">
        <v>9</v>
      </c>
      <c r="C21" s="6"/>
      <c r="D21" s="6"/>
      <c r="E21" s="6"/>
      <c r="F21" s="6"/>
      <c r="G21" s="6"/>
      <c r="I21" s="5"/>
      <c r="J21" s="3"/>
      <c r="K21" s="3"/>
      <c r="L21" s="3"/>
      <c r="M21" s="3"/>
      <c r="N21" s="3"/>
    </row>
    <row r="22" spans="2:14">
      <c r="B22" s="5" t="s">
        <v>9</v>
      </c>
      <c r="C22" s="6"/>
      <c r="D22" s="6"/>
      <c r="E22" s="6"/>
      <c r="F22" s="6"/>
      <c r="G22" s="6"/>
      <c r="I22" s="5"/>
      <c r="J22" s="3"/>
      <c r="K22" s="3"/>
      <c r="L22" s="3"/>
      <c r="M22" s="3"/>
      <c r="N22" s="3"/>
    </row>
    <row r="23" spans="2:14">
      <c r="B23" s="5" t="s">
        <v>9</v>
      </c>
      <c r="C23" s="6"/>
      <c r="D23" s="6"/>
      <c r="E23" s="6"/>
      <c r="F23" s="6"/>
      <c r="G23" s="6"/>
      <c r="I23" s="5"/>
      <c r="J23" s="3"/>
      <c r="K23" s="3"/>
      <c r="L23" s="3"/>
      <c r="M23" s="3"/>
      <c r="N23" s="3"/>
    </row>
    <row r="24" spans="2:14">
      <c r="B24" s="5" t="s">
        <v>9</v>
      </c>
      <c r="C24" s="6"/>
      <c r="D24" s="6"/>
      <c r="E24" s="6"/>
      <c r="F24" s="6"/>
      <c r="G24" s="6"/>
      <c r="I24" s="5"/>
      <c r="J24" s="3"/>
      <c r="K24" s="3"/>
      <c r="L24" s="3"/>
      <c r="M24" s="3"/>
      <c r="N24" s="3"/>
    </row>
    <row r="25" spans="2:14">
      <c r="B25" s="5" t="s">
        <v>9</v>
      </c>
      <c r="C25" s="6"/>
      <c r="D25" s="6"/>
      <c r="E25" s="6"/>
      <c r="F25" s="6"/>
      <c r="G25" s="6"/>
      <c r="I25" s="5"/>
      <c r="J25" s="3"/>
      <c r="K25" s="3"/>
      <c r="L25" s="3"/>
      <c r="M25" s="3"/>
      <c r="N25" s="3"/>
    </row>
    <row r="26" spans="2:14">
      <c r="B26" s="5" t="s">
        <v>9</v>
      </c>
      <c r="C26" s="6"/>
      <c r="D26" s="6"/>
      <c r="E26" s="6"/>
      <c r="F26" s="6"/>
      <c r="G26" s="6"/>
      <c r="I26" s="5"/>
      <c r="J26" s="3"/>
      <c r="K26" s="3"/>
      <c r="L26" s="3"/>
      <c r="M26" s="3"/>
      <c r="N26" s="3"/>
    </row>
    <row r="27" spans="2:14">
      <c r="B27" s="5" t="s">
        <v>9</v>
      </c>
      <c r="C27" s="6"/>
      <c r="D27" s="6"/>
      <c r="E27" s="6"/>
      <c r="F27" s="6"/>
      <c r="G27" s="6"/>
      <c r="I27" s="5"/>
      <c r="J27" s="3"/>
      <c r="K27" s="3"/>
      <c r="L27" s="3"/>
      <c r="M27" s="3"/>
      <c r="N27" s="3"/>
    </row>
    <row r="28" spans="2:14">
      <c r="B28" s="5" t="s">
        <v>9</v>
      </c>
      <c r="C28" s="6"/>
      <c r="D28" s="6"/>
      <c r="E28" s="6"/>
      <c r="F28" s="6"/>
      <c r="G28" s="6"/>
      <c r="I28" s="5"/>
      <c r="J28" s="3"/>
      <c r="K28" s="3"/>
      <c r="L28" s="3"/>
      <c r="M28" s="3"/>
      <c r="N28" s="3"/>
    </row>
    <row r="29" spans="2:14">
      <c r="B29" s="5" t="s">
        <v>9</v>
      </c>
      <c r="C29" s="6"/>
      <c r="D29" s="6"/>
      <c r="E29" s="6"/>
      <c r="F29" s="6"/>
      <c r="G29" s="6"/>
      <c r="I29" s="5"/>
      <c r="J29" s="3"/>
      <c r="K29" s="3"/>
      <c r="L29" s="3"/>
      <c r="M29" s="3"/>
      <c r="N29" s="3"/>
    </row>
    <row r="30" spans="2:14">
      <c r="B30" s="5" t="s">
        <v>9</v>
      </c>
      <c r="C30" s="6"/>
      <c r="D30" s="6"/>
      <c r="E30" s="6"/>
      <c r="F30" s="6"/>
      <c r="G30" s="6"/>
      <c r="I30" s="5"/>
      <c r="J30" s="3"/>
      <c r="K30" s="3"/>
      <c r="L30" s="3"/>
      <c r="M30" s="3"/>
      <c r="N30" s="3"/>
    </row>
    <row r="31" spans="2:14">
      <c r="B31" s="5" t="s">
        <v>9</v>
      </c>
      <c r="C31" s="6"/>
      <c r="D31" s="6"/>
      <c r="E31" s="6"/>
      <c r="F31" s="6"/>
      <c r="G31" s="6"/>
      <c r="I31" s="5"/>
      <c r="J31" s="3"/>
      <c r="K31" s="3"/>
      <c r="L31" s="3"/>
      <c r="M31" s="3"/>
      <c r="N31" s="3"/>
    </row>
    <row r="32" spans="2:14">
      <c r="B32" s="5" t="s">
        <v>9</v>
      </c>
      <c r="C32" s="6"/>
      <c r="D32" s="6"/>
      <c r="E32" s="6"/>
      <c r="F32" s="6"/>
      <c r="G32" s="6"/>
      <c r="I32" s="5"/>
      <c r="J32" s="3"/>
      <c r="K32" s="3"/>
      <c r="L32" s="3"/>
      <c r="M32" s="3"/>
      <c r="N32" s="3"/>
    </row>
    <row r="33" spans="3:14">
      <c r="C33" s="6"/>
      <c r="D33" s="6"/>
      <c r="E33" s="6"/>
      <c r="F33" s="6"/>
      <c r="G33" s="6"/>
      <c r="I33" s="5"/>
      <c r="J33" s="3"/>
      <c r="K33" s="3"/>
      <c r="L33" s="3"/>
      <c r="M33" s="3"/>
      <c r="N33" s="3"/>
    </row>
  </sheetData>
  <mergeCells count="14">
    <mergeCell ref="A10:K10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7"/>
  <sheetViews>
    <sheetView tabSelected="1"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1" width="5.5" style="6" customWidth="1"/>
    <col min="12" max="12" width="10.5" style="6" bestFit="1" customWidth="1"/>
    <col min="13" max="13" width="7.5" style="6" bestFit="1" customWidth="1"/>
    <col min="14" max="14" width="26.6640625" style="5" bestFit="1" customWidth="1"/>
    <col min="15" max="16384" width="9.1640625" style="3"/>
  </cols>
  <sheetData>
    <row r="1" spans="1:14" s="2" customFormat="1" ht="29" customHeight="1">
      <c r="A1" s="80" t="s">
        <v>1158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1159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94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8" t="s">
        <v>66</v>
      </c>
      <c r="B6" s="17" t="s">
        <v>519</v>
      </c>
      <c r="C6" s="17" t="s">
        <v>1029</v>
      </c>
      <c r="D6" s="17" t="s">
        <v>521</v>
      </c>
      <c r="E6" s="17" t="s">
        <v>1171</v>
      </c>
      <c r="F6" s="17" t="s">
        <v>110</v>
      </c>
      <c r="G6" s="17" t="s">
        <v>1039</v>
      </c>
      <c r="H6" s="23" t="s">
        <v>504</v>
      </c>
      <c r="I6" s="23" t="s">
        <v>505</v>
      </c>
      <c r="J6" s="23" t="s">
        <v>89</v>
      </c>
      <c r="K6" s="18"/>
      <c r="L6" s="18" t="str">
        <f>"30,0"</f>
        <v>30,0</v>
      </c>
      <c r="M6" s="18" t="str">
        <f>"29,3670"</f>
        <v>29,3670</v>
      </c>
      <c r="N6" s="17" t="s">
        <v>1057</v>
      </c>
    </row>
    <row r="7" spans="1:14">
      <c r="A7" s="22" t="s">
        <v>312</v>
      </c>
      <c r="B7" s="21" t="s">
        <v>516</v>
      </c>
      <c r="C7" s="21" t="s">
        <v>1030</v>
      </c>
      <c r="D7" s="21" t="s">
        <v>518</v>
      </c>
      <c r="E7" s="21" t="s">
        <v>1171</v>
      </c>
      <c r="F7" s="21" t="s">
        <v>110</v>
      </c>
      <c r="G7" s="21" t="s">
        <v>1039</v>
      </c>
      <c r="H7" s="26" t="s">
        <v>704</v>
      </c>
      <c r="I7" s="26" t="s">
        <v>705</v>
      </c>
      <c r="J7" s="26" t="s">
        <v>671</v>
      </c>
      <c r="K7" s="22"/>
      <c r="L7" s="22" t="str">
        <f>"27,5"</f>
        <v>27,5</v>
      </c>
      <c r="M7" s="22" t="str">
        <f>"29,8801"</f>
        <v>29,8801</v>
      </c>
      <c r="N7" s="21" t="s">
        <v>1055</v>
      </c>
    </row>
    <row r="8" spans="1:14">
      <c r="B8" s="5" t="s">
        <v>9</v>
      </c>
    </row>
    <row r="9" spans="1:14" ht="16">
      <c r="A9" s="91" t="s">
        <v>176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>
      <c r="A10" s="18" t="s">
        <v>66</v>
      </c>
      <c r="B10" s="17" t="s">
        <v>541</v>
      </c>
      <c r="C10" s="17" t="s">
        <v>1031</v>
      </c>
      <c r="D10" s="17" t="s">
        <v>543</v>
      </c>
      <c r="E10" s="17" t="s">
        <v>1171</v>
      </c>
      <c r="F10" s="17" t="s">
        <v>110</v>
      </c>
      <c r="G10" s="17" t="s">
        <v>18</v>
      </c>
      <c r="H10" s="23" t="s">
        <v>120</v>
      </c>
      <c r="I10" s="23" t="s">
        <v>348</v>
      </c>
      <c r="J10" s="23" t="s">
        <v>149</v>
      </c>
      <c r="K10" s="18"/>
      <c r="L10" s="18" t="str">
        <f>"50,0"</f>
        <v>50,0</v>
      </c>
      <c r="M10" s="18" t="str">
        <f>"36,1850"</f>
        <v>36,1850</v>
      </c>
      <c r="N10" s="17" t="s">
        <v>1057</v>
      </c>
    </row>
    <row r="11" spans="1:14">
      <c r="A11" s="20" t="s">
        <v>312</v>
      </c>
      <c r="B11" s="19" t="s">
        <v>533</v>
      </c>
      <c r="C11" s="19" t="s">
        <v>1032</v>
      </c>
      <c r="D11" s="19" t="s">
        <v>535</v>
      </c>
      <c r="E11" s="19" t="s">
        <v>1171</v>
      </c>
      <c r="F11" s="19" t="s">
        <v>110</v>
      </c>
      <c r="G11" s="19" t="s">
        <v>1039</v>
      </c>
      <c r="H11" s="28" t="s">
        <v>89</v>
      </c>
      <c r="I11" s="28" t="s">
        <v>112</v>
      </c>
      <c r="J11" s="28" t="s">
        <v>103</v>
      </c>
      <c r="K11" s="20"/>
      <c r="L11" s="20" t="str">
        <f>"42,5"</f>
        <v>42,5</v>
      </c>
      <c r="M11" s="20" t="str">
        <f>"29,3781"</f>
        <v>29,3781</v>
      </c>
      <c r="N11" s="19" t="s">
        <v>1057</v>
      </c>
    </row>
    <row r="12" spans="1:14">
      <c r="A12" s="22" t="s">
        <v>313</v>
      </c>
      <c r="B12" s="21" t="s">
        <v>539</v>
      </c>
      <c r="C12" s="21" t="s">
        <v>1033</v>
      </c>
      <c r="D12" s="21" t="s">
        <v>186</v>
      </c>
      <c r="E12" s="21" t="s">
        <v>1171</v>
      </c>
      <c r="F12" s="21" t="s">
        <v>110</v>
      </c>
      <c r="G12" s="21" t="s">
        <v>1039</v>
      </c>
      <c r="H12" s="26" t="s">
        <v>504</v>
      </c>
      <c r="I12" s="26" t="s">
        <v>505</v>
      </c>
      <c r="J12" s="27" t="s">
        <v>89</v>
      </c>
      <c r="K12" s="22"/>
      <c r="L12" s="22" t="str">
        <f>"25,0"</f>
        <v>25,0</v>
      </c>
      <c r="M12" s="22" t="str">
        <f>"17,7162"</f>
        <v>17,7162</v>
      </c>
      <c r="N12" s="21" t="s">
        <v>1057</v>
      </c>
    </row>
    <row r="13" spans="1:14">
      <c r="B13" s="5" t="s">
        <v>9</v>
      </c>
    </row>
    <row r="14" spans="1:14" ht="16">
      <c r="A14" s="91" t="s">
        <v>28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4">
      <c r="A15" s="18" t="s">
        <v>66</v>
      </c>
      <c r="B15" s="17" t="s">
        <v>197</v>
      </c>
      <c r="C15" s="17" t="s">
        <v>1034</v>
      </c>
      <c r="D15" s="17" t="s">
        <v>199</v>
      </c>
      <c r="E15" s="17" t="s">
        <v>1171</v>
      </c>
      <c r="F15" s="17" t="s">
        <v>110</v>
      </c>
      <c r="G15" s="17" t="s">
        <v>1039</v>
      </c>
      <c r="H15" s="23" t="s">
        <v>348</v>
      </c>
      <c r="I15" s="23" t="s">
        <v>87</v>
      </c>
      <c r="J15" s="23" t="s">
        <v>331</v>
      </c>
      <c r="K15" s="18"/>
      <c r="L15" s="18" t="str">
        <f>"57,5"</f>
        <v>57,5</v>
      </c>
      <c r="M15" s="18" t="str">
        <f>"37,2399"</f>
        <v>37,2399</v>
      </c>
      <c r="N15" s="17" t="s">
        <v>1057</v>
      </c>
    </row>
    <row r="16" spans="1:14">
      <c r="A16" s="20" t="s">
        <v>312</v>
      </c>
      <c r="B16" s="19" t="s">
        <v>556</v>
      </c>
      <c r="C16" s="19" t="s">
        <v>1035</v>
      </c>
      <c r="D16" s="19" t="s">
        <v>925</v>
      </c>
      <c r="E16" s="19" t="s">
        <v>1171</v>
      </c>
      <c r="F16" s="19" t="s">
        <v>110</v>
      </c>
      <c r="G16" s="19" t="s">
        <v>1039</v>
      </c>
      <c r="H16" s="28" t="s">
        <v>89</v>
      </c>
      <c r="I16" s="28" t="s">
        <v>112</v>
      </c>
      <c r="J16" s="28" t="s">
        <v>103</v>
      </c>
      <c r="K16" s="20"/>
      <c r="L16" s="20" t="str">
        <f>"42,5"</f>
        <v>42,5</v>
      </c>
      <c r="M16" s="20" t="str">
        <f>"27,3955"</f>
        <v>27,3955</v>
      </c>
      <c r="N16" s="19" t="s">
        <v>1057</v>
      </c>
    </row>
    <row r="17" spans="1:14">
      <c r="A17" s="20" t="s">
        <v>313</v>
      </c>
      <c r="B17" s="19" t="s">
        <v>554</v>
      </c>
      <c r="C17" s="19" t="s">
        <v>1036</v>
      </c>
      <c r="D17" s="19" t="s">
        <v>418</v>
      </c>
      <c r="E17" s="19" t="s">
        <v>1171</v>
      </c>
      <c r="F17" s="19" t="s">
        <v>110</v>
      </c>
      <c r="G17" s="19" t="s">
        <v>1039</v>
      </c>
      <c r="H17" s="28" t="s">
        <v>112</v>
      </c>
      <c r="I17" s="28" t="s">
        <v>102</v>
      </c>
      <c r="J17" s="25" t="s">
        <v>103</v>
      </c>
      <c r="K17" s="20"/>
      <c r="L17" s="20" t="str">
        <f>"40,0"</f>
        <v>40,0</v>
      </c>
      <c r="M17" s="20" t="str">
        <f>"26,3120"</f>
        <v>26,3120</v>
      </c>
      <c r="N17" s="19" t="s">
        <v>1057</v>
      </c>
    </row>
    <row r="18" spans="1:14">
      <c r="A18" s="20" t="s">
        <v>66</v>
      </c>
      <c r="B18" s="19" t="s">
        <v>943</v>
      </c>
      <c r="C18" s="19" t="s">
        <v>944</v>
      </c>
      <c r="D18" s="19" t="s">
        <v>945</v>
      </c>
      <c r="E18" s="19" t="s">
        <v>1167</v>
      </c>
      <c r="F18" s="19" t="s">
        <v>110</v>
      </c>
      <c r="G18" s="19" t="s">
        <v>1039</v>
      </c>
      <c r="H18" s="28" t="s">
        <v>163</v>
      </c>
      <c r="I18" s="28" t="s">
        <v>164</v>
      </c>
      <c r="J18" s="25" t="s">
        <v>180</v>
      </c>
      <c r="K18" s="20"/>
      <c r="L18" s="20" t="str">
        <f>"82,5"</f>
        <v>82,5</v>
      </c>
      <c r="M18" s="20" t="str">
        <f>"53,2414"</f>
        <v>53,2414</v>
      </c>
      <c r="N18" s="19" t="s">
        <v>1055</v>
      </c>
    </row>
    <row r="19" spans="1:14">
      <c r="A19" s="22" t="s">
        <v>312</v>
      </c>
      <c r="B19" s="21" t="s">
        <v>946</v>
      </c>
      <c r="C19" s="21" t="s">
        <v>947</v>
      </c>
      <c r="D19" s="21" t="s">
        <v>948</v>
      </c>
      <c r="E19" s="21" t="s">
        <v>1167</v>
      </c>
      <c r="F19" s="21" t="s">
        <v>110</v>
      </c>
      <c r="G19" s="21" t="s">
        <v>1039</v>
      </c>
      <c r="H19" s="26" t="s">
        <v>88</v>
      </c>
      <c r="I19" s="26" t="s">
        <v>111</v>
      </c>
      <c r="J19" s="27" t="s">
        <v>91</v>
      </c>
      <c r="K19" s="22"/>
      <c r="L19" s="22" t="str">
        <f>"65,0"</f>
        <v>65,0</v>
      </c>
      <c r="M19" s="22" t="str">
        <f>"42,6855"</f>
        <v>42,6855</v>
      </c>
      <c r="N19" s="21"/>
    </row>
    <row r="20" spans="1:14">
      <c r="B20" s="5" t="s">
        <v>9</v>
      </c>
    </row>
    <row r="21" spans="1:14" ht="16">
      <c r="A21" s="91" t="s">
        <v>40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4">
      <c r="A22" s="18" t="s">
        <v>66</v>
      </c>
      <c r="B22" s="17" t="s">
        <v>571</v>
      </c>
      <c r="C22" s="17" t="s">
        <v>1037</v>
      </c>
      <c r="D22" s="17" t="s">
        <v>949</v>
      </c>
      <c r="E22" s="17" t="s">
        <v>1171</v>
      </c>
      <c r="F22" s="17" t="s">
        <v>550</v>
      </c>
      <c r="G22" s="17" t="s">
        <v>1039</v>
      </c>
      <c r="H22" s="23" t="s">
        <v>504</v>
      </c>
      <c r="I22" s="23" t="s">
        <v>89</v>
      </c>
      <c r="J22" s="23" t="s">
        <v>112</v>
      </c>
      <c r="K22" s="18"/>
      <c r="L22" s="18" t="str">
        <f>"35,0"</f>
        <v>35,0</v>
      </c>
      <c r="M22" s="18" t="str">
        <f>"22,4306"</f>
        <v>22,4306</v>
      </c>
      <c r="N22" s="17"/>
    </row>
    <row r="23" spans="1:14">
      <c r="A23" s="20" t="s">
        <v>66</v>
      </c>
      <c r="B23" s="19" t="s">
        <v>788</v>
      </c>
      <c r="C23" s="19" t="s">
        <v>789</v>
      </c>
      <c r="D23" s="19" t="s">
        <v>950</v>
      </c>
      <c r="E23" s="19" t="s">
        <v>1167</v>
      </c>
      <c r="F23" s="19" t="s">
        <v>110</v>
      </c>
      <c r="G23" s="19" t="s">
        <v>1039</v>
      </c>
      <c r="H23" s="28" t="s">
        <v>88</v>
      </c>
      <c r="I23" s="28" t="s">
        <v>119</v>
      </c>
      <c r="J23" s="25" t="s">
        <v>91</v>
      </c>
      <c r="K23" s="20"/>
      <c r="L23" s="20" t="str">
        <f>"67,5"</f>
        <v>67,5</v>
      </c>
      <c r="M23" s="20" t="str">
        <f>"41,3640"</f>
        <v>41,3640</v>
      </c>
      <c r="N23" s="19" t="s">
        <v>1055</v>
      </c>
    </row>
    <row r="24" spans="1:14">
      <c r="A24" s="22" t="s">
        <v>66</v>
      </c>
      <c r="B24" s="21" t="s">
        <v>951</v>
      </c>
      <c r="C24" s="21" t="s">
        <v>1027</v>
      </c>
      <c r="D24" s="21" t="s">
        <v>243</v>
      </c>
      <c r="E24" s="21" t="s">
        <v>1168</v>
      </c>
      <c r="F24" s="21" t="s">
        <v>110</v>
      </c>
      <c r="G24" s="21" t="s">
        <v>18</v>
      </c>
      <c r="H24" s="26" t="s">
        <v>119</v>
      </c>
      <c r="I24" s="26" t="s">
        <v>92</v>
      </c>
      <c r="J24" s="26" t="s">
        <v>93</v>
      </c>
      <c r="K24" s="26" t="s">
        <v>952</v>
      </c>
      <c r="L24" s="22" t="str">
        <f>"75,0"</f>
        <v>75,0</v>
      </c>
      <c r="M24" s="22" t="str">
        <f>"48,9349"</f>
        <v>48,9349</v>
      </c>
      <c r="N24" s="21" t="s">
        <v>1055</v>
      </c>
    </row>
    <row r="25" spans="1:14">
      <c r="B25" s="5" t="s">
        <v>9</v>
      </c>
    </row>
    <row r="26" spans="1:14" ht="16">
      <c r="A26" s="91" t="s">
        <v>49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4">
      <c r="A27" s="10" t="s">
        <v>66</v>
      </c>
      <c r="B27" s="9" t="s">
        <v>607</v>
      </c>
      <c r="C27" s="9" t="s">
        <v>608</v>
      </c>
      <c r="D27" s="9" t="s">
        <v>609</v>
      </c>
      <c r="E27" s="9" t="s">
        <v>1167</v>
      </c>
      <c r="F27" s="9" t="s">
        <v>17</v>
      </c>
      <c r="G27" s="9" t="s">
        <v>1039</v>
      </c>
      <c r="H27" s="15" t="s">
        <v>88</v>
      </c>
      <c r="I27" s="15" t="s">
        <v>91</v>
      </c>
      <c r="J27" s="15" t="s">
        <v>93</v>
      </c>
      <c r="K27" s="10"/>
      <c r="L27" s="10" t="str">
        <f>"75,0"</f>
        <v>75,0</v>
      </c>
      <c r="M27" s="10" t="str">
        <f>"43,6163"</f>
        <v>43,6163</v>
      </c>
      <c r="N27" s="9" t="s">
        <v>27</v>
      </c>
    </row>
    <row r="28" spans="1:14">
      <c r="B28" s="5" t="s">
        <v>9</v>
      </c>
    </row>
    <row r="29" spans="1:14" ht="16">
      <c r="B29" s="5" t="s">
        <v>9</v>
      </c>
      <c r="F29" s="7"/>
    </row>
    <row r="30" spans="1:14" ht="16">
      <c r="B30" s="5" t="s">
        <v>9</v>
      </c>
      <c r="F30" s="7"/>
    </row>
    <row r="31" spans="1:14" ht="18">
      <c r="B31" s="8" t="s">
        <v>8</v>
      </c>
      <c r="C31" s="8"/>
    </row>
    <row r="32" spans="1:14" ht="16">
      <c r="B32" s="11" t="s">
        <v>63</v>
      </c>
      <c r="C32" s="11"/>
    </row>
    <row r="33" spans="2:14" ht="14">
      <c r="B33" s="12"/>
      <c r="C33" s="13" t="s">
        <v>296</v>
      </c>
    </row>
    <row r="34" spans="2:14" ht="14">
      <c r="B34" s="14" t="s">
        <v>57</v>
      </c>
      <c r="C34" s="14" t="s">
        <v>58</v>
      </c>
      <c r="D34" s="14" t="s">
        <v>1041</v>
      </c>
      <c r="E34" s="14" t="s">
        <v>490</v>
      </c>
      <c r="F34" s="14" t="s">
        <v>491</v>
      </c>
    </row>
    <row r="35" spans="2:14">
      <c r="B35" s="5" t="s">
        <v>197</v>
      </c>
      <c r="C35" s="5" t="s">
        <v>1038</v>
      </c>
      <c r="D35" s="6" t="s">
        <v>65</v>
      </c>
      <c r="E35" s="6" t="s">
        <v>331</v>
      </c>
      <c r="F35" s="6" t="s">
        <v>953</v>
      </c>
    </row>
    <row r="36" spans="2:14">
      <c r="B36" s="5" t="s">
        <v>541</v>
      </c>
      <c r="C36" s="5" t="s">
        <v>1038</v>
      </c>
      <c r="D36" s="6" t="s">
        <v>302</v>
      </c>
      <c r="E36" s="6" t="s">
        <v>149</v>
      </c>
      <c r="F36" s="6" t="s">
        <v>954</v>
      </c>
    </row>
    <row r="37" spans="2:14">
      <c r="B37" s="5" t="s">
        <v>516</v>
      </c>
      <c r="C37" s="5" t="s">
        <v>1038</v>
      </c>
      <c r="D37" s="6" t="s">
        <v>287</v>
      </c>
      <c r="E37" s="6" t="s">
        <v>671</v>
      </c>
      <c r="F37" s="6" t="s">
        <v>955</v>
      </c>
    </row>
    <row r="38" spans="2:14">
      <c r="B38" s="5" t="s">
        <v>9</v>
      </c>
    </row>
    <row r="39" spans="2:14">
      <c r="B39" s="5" t="s">
        <v>9</v>
      </c>
    </row>
    <row r="40" spans="2:14">
      <c r="B40" s="5" t="s">
        <v>9</v>
      </c>
    </row>
    <row r="41" spans="2:14">
      <c r="B41" s="5" t="s">
        <v>9</v>
      </c>
    </row>
    <row r="42" spans="2:14">
      <c r="B42" s="5" t="s">
        <v>9</v>
      </c>
    </row>
    <row r="43" spans="2:14">
      <c r="B43" s="5" t="s">
        <v>9</v>
      </c>
    </row>
    <row r="44" spans="2:14">
      <c r="B44" s="5" t="s">
        <v>9</v>
      </c>
    </row>
    <row r="45" spans="2:14">
      <c r="B45" s="5" t="s">
        <v>9</v>
      </c>
      <c r="C45" s="6"/>
      <c r="D45" s="6"/>
      <c r="E45" s="6"/>
      <c r="F45" s="6"/>
      <c r="G45" s="6"/>
      <c r="I45" s="5"/>
      <c r="J45" s="3"/>
      <c r="K45" s="3"/>
      <c r="L45" s="3"/>
      <c r="M45" s="3"/>
      <c r="N45" s="3"/>
    </row>
    <row r="46" spans="2:14">
      <c r="B46" s="5" t="s">
        <v>9</v>
      </c>
      <c r="C46" s="6"/>
      <c r="D46" s="6"/>
      <c r="E46" s="6"/>
      <c r="F46" s="6"/>
      <c r="G46" s="6"/>
      <c r="I46" s="5"/>
      <c r="J46" s="3"/>
      <c r="K46" s="3"/>
      <c r="L46" s="3"/>
      <c r="M46" s="3"/>
      <c r="N46" s="3"/>
    </row>
    <row r="47" spans="2:14">
      <c r="B47" s="5" t="s">
        <v>9</v>
      </c>
      <c r="C47" s="6"/>
      <c r="D47" s="6"/>
      <c r="E47" s="6"/>
      <c r="F47" s="6"/>
      <c r="G47" s="6"/>
      <c r="I47" s="5"/>
      <c r="J47" s="3"/>
      <c r="K47" s="3"/>
      <c r="L47" s="3"/>
      <c r="M47" s="3"/>
      <c r="N47" s="3"/>
    </row>
    <row r="48" spans="2:14">
      <c r="B48" s="5" t="s">
        <v>9</v>
      </c>
      <c r="C48" s="6"/>
      <c r="D48" s="6"/>
      <c r="E48" s="6"/>
      <c r="F48" s="6"/>
      <c r="G48" s="6"/>
      <c r="I48" s="5"/>
      <c r="J48" s="3"/>
      <c r="K48" s="3"/>
      <c r="L48" s="3"/>
      <c r="M48" s="3"/>
      <c r="N48" s="3"/>
    </row>
    <row r="49" spans="2:14">
      <c r="B49" s="5" t="s">
        <v>9</v>
      </c>
      <c r="C49" s="6"/>
      <c r="D49" s="6"/>
      <c r="E49" s="6"/>
      <c r="F49" s="6"/>
      <c r="G49" s="6"/>
      <c r="I49" s="5"/>
      <c r="J49" s="3"/>
      <c r="K49" s="3"/>
      <c r="L49" s="3"/>
      <c r="M49" s="3"/>
      <c r="N49" s="3"/>
    </row>
    <row r="50" spans="2:14">
      <c r="B50" s="5" t="s">
        <v>9</v>
      </c>
      <c r="C50" s="6"/>
      <c r="D50" s="6"/>
      <c r="E50" s="6"/>
      <c r="F50" s="6"/>
      <c r="G50" s="6"/>
      <c r="I50" s="5"/>
      <c r="J50" s="3"/>
      <c r="K50" s="3"/>
      <c r="L50" s="3"/>
      <c r="M50" s="3"/>
      <c r="N50" s="3"/>
    </row>
    <row r="51" spans="2:14">
      <c r="B51" s="5" t="s">
        <v>9</v>
      </c>
      <c r="C51" s="6"/>
      <c r="D51" s="6"/>
      <c r="E51" s="6"/>
      <c r="F51" s="6"/>
      <c r="G51" s="6"/>
      <c r="I51" s="5"/>
      <c r="J51" s="3"/>
      <c r="K51" s="3"/>
      <c r="L51" s="3"/>
      <c r="M51" s="3"/>
      <c r="N51" s="3"/>
    </row>
    <row r="52" spans="2:14">
      <c r="B52" s="5" t="s">
        <v>9</v>
      </c>
      <c r="C52" s="6"/>
      <c r="D52" s="6"/>
      <c r="E52" s="6"/>
      <c r="F52" s="6"/>
      <c r="G52" s="6"/>
      <c r="I52" s="5"/>
      <c r="J52" s="3"/>
      <c r="K52" s="3"/>
      <c r="L52" s="3"/>
      <c r="M52" s="3"/>
      <c r="N52" s="3"/>
    </row>
    <row r="53" spans="2:14">
      <c r="B53" s="5" t="s">
        <v>9</v>
      </c>
      <c r="C53" s="6"/>
      <c r="D53" s="6"/>
      <c r="E53" s="6"/>
      <c r="F53" s="6"/>
      <c r="G53" s="6"/>
      <c r="I53" s="5"/>
      <c r="J53" s="3"/>
      <c r="K53" s="3"/>
      <c r="L53" s="3"/>
      <c r="M53" s="3"/>
      <c r="N53" s="3"/>
    </row>
    <row r="54" spans="2:14">
      <c r="B54" s="5" t="s">
        <v>9</v>
      </c>
      <c r="C54" s="6"/>
      <c r="D54" s="6"/>
      <c r="E54" s="6"/>
      <c r="F54" s="6"/>
      <c r="G54" s="6"/>
      <c r="I54" s="5"/>
      <c r="J54" s="3"/>
      <c r="K54" s="3"/>
      <c r="L54" s="3"/>
      <c r="M54" s="3"/>
      <c r="N54" s="3"/>
    </row>
    <row r="55" spans="2:14">
      <c r="C55" s="6"/>
      <c r="D55" s="6"/>
      <c r="E55" s="6"/>
      <c r="F55" s="6"/>
      <c r="G55" s="6"/>
      <c r="I55" s="5"/>
      <c r="J55" s="3"/>
      <c r="K55" s="3"/>
      <c r="L55" s="3"/>
      <c r="M55" s="3"/>
      <c r="N55" s="3"/>
    </row>
    <row r="56" spans="2:14">
      <c r="C56" s="6"/>
      <c r="D56" s="6"/>
      <c r="E56" s="6"/>
      <c r="F56" s="6"/>
      <c r="G56" s="6"/>
      <c r="I56" s="5"/>
      <c r="J56" s="3"/>
      <c r="K56" s="3"/>
      <c r="L56" s="3"/>
      <c r="M56" s="3"/>
      <c r="N56" s="3"/>
    </row>
    <row r="57" spans="2:14">
      <c r="C57" s="6"/>
      <c r="D57" s="6"/>
      <c r="E57" s="6"/>
      <c r="F57" s="6"/>
      <c r="G57" s="6"/>
      <c r="I57" s="5"/>
      <c r="J57" s="3"/>
      <c r="K57" s="3"/>
      <c r="L57" s="3"/>
      <c r="M57" s="3"/>
      <c r="N57" s="3"/>
    </row>
  </sheetData>
  <mergeCells count="17">
    <mergeCell ref="A9:K9"/>
    <mergeCell ref="A14:K14"/>
    <mergeCell ref="A21:K21"/>
    <mergeCell ref="A26:K26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V38"/>
  <sheetViews>
    <sheetView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0" bestFit="1" customWidth="1"/>
    <col min="21" max="21" width="8.5" style="6" bestFit="1" customWidth="1"/>
    <col min="22" max="22" width="20.33203125" style="5" customWidth="1"/>
    <col min="23" max="16384" width="9.1640625" style="3"/>
  </cols>
  <sheetData>
    <row r="1" spans="1:22" s="2" customFormat="1" ht="29" customHeight="1">
      <c r="A1" s="80" t="s">
        <v>1134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</row>
    <row r="2" spans="1:22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</row>
    <row r="3" spans="1:22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10</v>
      </c>
      <c r="I3" s="74"/>
      <c r="J3" s="74"/>
      <c r="K3" s="74"/>
      <c r="L3" s="74" t="s">
        <v>11</v>
      </c>
      <c r="M3" s="74"/>
      <c r="N3" s="74"/>
      <c r="O3" s="74"/>
      <c r="P3" s="74" t="s">
        <v>12</v>
      </c>
      <c r="Q3" s="74"/>
      <c r="R3" s="74"/>
      <c r="S3" s="74"/>
      <c r="T3" s="72" t="s">
        <v>1</v>
      </c>
      <c r="U3" s="74" t="s">
        <v>3</v>
      </c>
      <c r="V3" s="76" t="s">
        <v>2</v>
      </c>
    </row>
    <row r="4" spans="1:22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73"/>
      <c r="U4" s="75"/>
      <c r="V4" s="77"/>
    </row>
    <row r="5" spans="1:22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2">
      <c r="A6" s="10" t="s">
        <v>66</v>
      </c>
      <c r="B6" s="9" t="s">
        <v>14</v>
      </c>
      <c r="C6" s="9" t="s">
        <v>15</v>
      </c>
      <c r="D6" s="9" t="s">
        <v>16</v>
      </c>
      <c r="E6" s="9" t="s">
        <v>1167</v>
      </c>
      <c r="F6" s="9" t="s">
        <v>17</v>
      </c>
      <c r="G6" s="9" t="s">
        <v>18</v>
      </c>
      <c r="H6" s="15" t="s">
        <v>19</v>
      </c>
      <c r="I6" s="16" t="s">
        <v>20</v>
      </c>
      <c r="J6" s="16" t="s">
        <v>21</v>
      </c>
      <c r="K6" s="10"/>
      <c r="L6" s="15" t="s">
        <v>22</v>
      </c>
      <c r="M6" s="15" t="s">
        <v>23</v>
      </c>
      <c r="N6" s="15" t="s">
        <v>24</v>
      </c>
      <c r="O6" s="10"/>
      <c r="P6" s="15" t="s">
        <v>25</v>
      </c>
      <c r="Q6" s="15" t="s">
        <v>21</v>
      </c>
      <c r="R6" s="16" t="s">
        <v>26</v>
      </c>
      <c r="S6" s="10"/>
      <c r="T6" s="33" t="str">
        <f>"438,0"</f>
        <v>438,0</v>
      </c>
      <c r="U6" s="10" t="str">
        <f>"515,3508"</f>
        <v>515,3508</v>
      </c>
      <c r="V6" s="9" t="s">
        <v>27</v>
      </c>
    </row>
    <row r="7" spans="1:22">
      <c r="B7" s="5" t="s">
        <v>9</v>
      </c>
    </row>
    <row r="8" spans="1:22" ht="16">
      <c r="A8" s="91" t="s">
        <v>28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spans="1:22">
      <c r="A9" s="10" t="s">
        <v>66</v>
      </c>
      <c r="B9" s="9" t="s">
        <v>29</v>
      </c>
      <c r="C9" s="9" t="s">
        <v>30</v>
      </c>
      <c r="D9" s="9" t="s">
        <v>31</v>
      </c>
      <c r="E9" s="9" t="s">
        <v>1167</v>
      </c>
      <c r="F9" s="9" t="s">
        <v>1054</v>
      </c>
      <c r="G9" s="9" t="s">
        <v>1039</v>
      </c>
      <c r="H9" s="15" t="s">
        <v>32</v>
      </c>
      <c r="I9" s="15" t="s">
        <v>33</v>
      </c>
      <c r="J9" s="10"/>
      <c r="K9" s="10"/>
      <c r="L9" s="15" t="s">
        <v>34</v>
      </c>
      <c r="M9" s="15" t="s">
        <v>35</v>
      </c>
      <c r="N9" s="16" t="s">
        <v>36</v>
      </c>
      <c r="O9" s="10"/>
      <c r="P9" s="15" t="s">
        <v>37</v>
      </c>
      <c r="Q9" s="15" t="s">
        <v>38</v>
      </c>
      <c r="R9" s="15" t="s">
        <v>39</v>
      </c>
      <c r="S9" s="10"/>
      <c r="T9" s="33" t="str">
        <f>"540,0"</f>
        <v>540,0</v>
      </c>
      <c r="U9" s="10" t="str">
        <f>"369,5220"</f>
        <v>369,5220</v>
      </c>
      <c r="V9" s="9"/>
    </row>
    <row r="10" spans="1:22">
      <c r="B10" s="5" t="s">
        <v>9</v>
      </c>
    </row>
    <row r="11" spans="1:22" ht="16">
      <c r="A11" s="91" t="s">
        <v>40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pans="1:22">
      <c r="A12" s="10" t="s">
        <v>66</v>
      </c>
      <c r="B12" s="9" t="s">
        <v>41</v>
      </c>
      <c r="C12" s="9" t="s">
        <v>42</v>
      </c>
      <c r="D12" s="9" t="s">
        <v>43</v>
      </c>
      <c r="E12" s="9" t="s">
        <v>1167</v>
      </c>
      <c r="F12" s="9" t="s">
        <v>44</v>
      </c>
      <c r="G12" s="9" t="s">
        <v>18</v>
      </c>
      <c r="H12" s="15" t="s">
        <v>39</v>
      </c>
      <c r="I12" s="15" t="s">
        <v>45</v>
      </c>
      <c r="J12" s="10"/>
      <c r="K12" s="10"/>
      <c r="L12" s="15" t="s">
        <v>46</v>
      </c>
      <c r="M12" s="15" t="s">
        <v>47</v>
      </c>
      <c r="N12" s="10"/>
      <c r="O12" s="10"/>
      <c r="P12" s="15" t="s">
        <v>39</v>
      </c>
      <c r="Q12" s="15" t="s">
        <v>45</v>
      </c>
      <c r="R12" s="15" t="s">
        <v>48</v>
      </c>
      <c r="S12" s="10"/>
      <c r="T12" s="33" t="str">
        <f>"660,0"</f>
        <v>660,0</v>
      </c>
      <c r="U12" s="10" t="str">
        <f>"432,4980"</f>
        <v>432,4980</v>
      </c>
      <c r="V12" s="9" t="s">
        <v>1050</v>
      </c>
    </row>
    <row r="13" spans="1:22">
      <c r="B13" s="5" t="s">
        <v>9</v>
      </c>
    </row>
    <row r="14" spans="1:22" ht="16">
      <c r="A14" s="91" t="s">
        <v>49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</row>
    <row r="15" spans="1:22">
      <c r="A15" s="10" t="s">
        <v>67</v>
      </c>
      <c r="B15" s="9" t="s">
        <v>50</v>
      </c>
      <c r="C15" s="9" t="s">
        <v>51</v>
      </c>
      <c r="D15" s="9" t="s">
        <v>52</v>
      </c>
      <c r="E15" s="9" t="s">
        <v>1167</v>
      </c>
      <c r="F15" s="9" t="s">
        <v>17</v>
      </c>
      <c r="G15" s="9" t="s">
        <v>18</v>
      </c>
      <c r="H15" s="16" t="s">
        <v>53</v>
      </c>
      <c r="I15" s="16" t="s">
        <v>53</v>
      </c>
      <c r="J15" s="16" t="s">
        <v>53</v>
      </c>
      <c r="K15" s="10"/>
      <c r="L15" s="16"/>
      <c r="M15" s="10"/>
      <c r="N15" s="10"/>
      <c r="O15" s="10"/>
      <c r="P15" s="16"/>
      <c r="Q15" s="10"/>
      <c r="R15" s="10"/>
      <c r="S15" s="10"/>
      <c r="T15" s="33">
        <v>0</v>
      </c>
      <c r="U15" s="10" t="str">
        <f>"0,0000"</f>
        <v>0,0000</v>
      </c>
      <c r="V15" s="9" t="s">
        <v>27</v>
      </c>
    </row>
    <row r="16" spans="1:22">
      <c r="B16" s="5" t="s">
        <v>9</v>
      </c>
    </row>
    <row r="17" spans="2:22" ht="16">
      <c r="B17" s="5" t="s">
        <v>9</v>
      </c>
      <c r="F17" s="7"/>
    </row>
    <row r="18" spans="2:22" ht="16">
      <c r="B18" s="5" t="s">
        <v>9</v>
      </c>
      <c r="F18" s="7"/>
    </row>
    <row r="19" spans="2:22" ht="16">
      <c r="B19" s="5" t="s">
        <v>9</v>
      </c>
      <c r="F19" s="7"/>
    </row>
    <row r="20" spans="2:22" ht="16">
      <c r="B20" s="5" t="s">
        <v>9</v>
      </c>
      <c r="F20" s="7"/>
    </row>
    <row r="21" spans="2:22" ht="16">
      <c r="B21" s="5" t="s">
        <v>9</v>
      </c>
      <c r="F21" s="7"/>
    </row>
    <row r="22" spans="2:22" ht="16">
      <c r="B22" s="5" t="s">
        <v>9</v>
      </c>
      <c r="F22" s="7"/>
    </row>
    <row r="23" spans="2:22">
      <c r="B23" s="5" t="s">
        <v>9</v>
      </c>
      <c r="C23" s="6"/>
      <c r="D23" s="6"/>
      <c r="E23" s="6"/>
      <c r="F23" s="6"/>
      <c r="G23" s="6"/>
      <c r="Q23" s="5"/>
      <c r="R23" s="3"/>
      <c r="S23" s="3"/>
      <c r="T23" s="35"/>
      <c r="U23" s="3"/>
      <c r="V23" s="3"/>
    </row>
    <row r="24" spans="2:22">
      <c r="B24" s="5" t="s">
        <v>9</v>
      </c>
      <c r="C24" s="6"/>
      <c r="D24" s="6"/>
      <c r="E24" s="6"/>
      <c r="F24" s="6"/>
      <c r="G24" s="6"/>
      <c r="Q24" s="5"/>
      <c r="R24" s="3"/>
      <c r="S24" s="3"/>
      <c r="T24" s="35"/>
      <c r="U24" s="3"/>
      <c r="V24" s="3"/>
    </row>
    <row r="25" spans="2:22">
      <c r="B25" s="5" t="s">
        <v>9</v>
      </c>
      <c r="C25" s="6"/>
      <c r="D25" s="6"/>
      <c r="E25" s="6"/>
      <c r="F25" s="6"/>
      <c r="G25" s="6"/>
      <c r="Q25" s="5"/>
      <c r="R25" s="3"/>
      <c r="S25" s="3"/>
      <c r="T25" s="35"/>
      <c r="U25" s="3"/>
      <c r="V25" s="3"/>
    </row>
    <row r="26" spans="2:22">
      <c r="B26" s="5" t="s">
        <v>9</v>
      </c>
      <c r="C26" s="6"/>
      <c r="D26" s="6"/>
      <c r="E26" s="6"/>
      <c r="F26" s="6"/>
      <c r="G26" s="6"/>
      <c r="Q26" s="5"/>
      <c r="R26" s="3"/>
      <c r="S26" s="3"/>
      <c r="T26" s="35"/>
      <c r="U26" s="3"/>
      <c r="V26" s="3"/>
    </row>
    <row r="27" spans="2:22">
      <c r="B27" s="5" t="s">
        <v>9</v>
      </c>
      <c r="C27" s="6"/>
      <c r="D27" s="6"/>
      <c r="E27" s="6"/>
      <c r="F27" s="6"/>
      <c r="G27" s="6"/>
      <c r="Q27" s="5"/>
      <c r="R27" s="3"/>
      <c r="S27" s="3"/>
      <c r="T27" s="35"/>
      <c r="U27" s="3"/>
      <c r="V27" s="3"/>
    </row>
    <row r="28" spans="2:22">
      <c r="B28" s="5" t="s">
        <v>9</v>
      </c>
      <c r="C28" s="6"/>
      <c r="D28" s="6"/>
      <c r="E28" s="6"/>
      <c r="F28" s="6"/>
      <c r="G28" s="6"/>
      <c r="Q28" s="5"/>
      <c r="R28" s="3"/>
      <c r="S28" s="3"/>
      <c r="T28" s="35"/>
      <c r="U28" s="3"/>
      <c r="V28" s="3"/>
    </row>
    <row r="29" spans="2:22">
      <c r="B29" s="5" t="s">
        <v>9</v>
      </c>
      <c r="C29" s="6"/>
      <c r="D29" s="6"/>
      <c r="E29" s="6"/>
      <c r="F29" s="6"/>
      <c r="G29" s="6"/>
      <c r="Q29" s="5"/>
      <c r="R29" s="3"/>
      <c r="S29" s="3"/>
      <c r="T29" s="35"/>
      <c r="U29" s="3"/>
      <c r="V29" s="3"/>
    </row>
    <row r="30" spans="2:22">
      <c r="B30" s="5" t="s">
        <v>9</v>
      </c>
      <c r="C30" s="6"/>
      <c r="D30" s="6"/>
      <c r="E30" s="6"/>
      <c r="F30" s="6"/>
      <c r="G30" s="6"/>
      <c r="Q30" s="5"/>
      <c r="R30" s="3"/>
      <c r="S30" s="3"/>
      <c r="T30" s="35"/>
      <c r="U30" s="3"/>
      <c r="V30" s="3"/>
    </row>
    <row r="31" spans="2:22">
      <c r="B31" s="5" t="s">
        <v>9</v>
      </c>
      <c r="C31" s="6"/>
      <c r="D31" s="6"/>
      <c r="E31" s="6"/>
      <c r="F31" s="6"/>
      <c r="G31" s="6"/>
      <c r="Q31" s="5"/>
      <c r="R31" s="3"/>
      <c r="S31" s="3"/>
      <c r="T31" s="35"/>
      <c r="U31" s="3"/>
      <c r="V31" s="3"/>
    </row>
    <row r="32" spans="2:22">
      <c r="B32" s="5" t="s">
        <v>9</v>
      </c>
      <c r="C32" s="6"/>
      <c r="D32" s="6"/>
      <c r="E32" s="6"/>
      <c r="F32" s="6"/>
      <c r="G32" s="6"/>
      <c r="Q32" s="5"/>
      <c r="R32" s="3"/>
      <c r="S32" s="3"/>
      <c r="T32" s="35"/>
      <c r="U32" s="3"/>
      <c r="V32" s="3"/>
    </row>
    <row r="33" spans="2:22">
      <c r="B33" s="5" t="s">
        <v>9</v>
      </c>
      <c r="C33" s="6"/>
      <c r="D33" s="6"/>
      <c r="E33" s="6"/>
      <c r="F33" s="6"/>
      <c r="G33" s="6"/>
      <c r="Q33" s="5"/>
      <c r="R33" s="3"/>
      <c r="S33" s="3"/>
      <c r="T33" s="35"/>
      <c r="U33" s="3"/>
      <c r="V33" s="3"/>
    </row>
    <row r="34" spans="2:22">
      <c r="B34" s="5" t="s">
        <v>9</v>
      </c>
      <c r="C34" s="6"/>
      <c r="D34" s="6"/>
      <c r="E34" s="6"/>
      <c r="F34" s="6"/>
      <c r="G34" s="6"/>
      <c r="Q34" s="5"/>
      <c r="R34" s="3"/>
      <c r="S34" s="3"/>
      <c r="T34" s="35"/>
      <c r="U34" s="3"/>
      <c r="V34" s="3"/>
    </row>
    <row r="35" spans="2:22">
      <c r="B35" s="5" t="s">
        <v>9</v>
      </c>
      <c r="C35" s="6"/>
      <c r="D35" s="6"/>
      <c r="E35" s="6"/>
      <c r="F35" s="6"/>
      <c r="G35" s="6"/>
      <c r="Q35" s="5"/>
      <c r="R35" s="3"/>
      <c r="S35" s="3"/>
      <c r="T35" s="35"/>
      <c r="U35" s="3"/>
      <c r="V35" s="3"/>
    </row>
    <row r="36" spans="2:22">
      <c r="B36" s="5" t="s">
        <v>9</v>
      </c>
      <c r="C36" s="6"/>
      <c r="D36" s="6"/>
      <c r="E36" s="6"/>
      <c r="F36" s="6"/>
      <c r="G36" s="6"/>
      <c r="Q36" s="5"/>
      <c r="R36" s="3"/>
      <c r="S36" s="3"/>
      <c r="T36" s="35"/>
      <c r="U36" s="3"/>
      <c r="V36" s="3"/>
    </row>
    <row r="37" spans="2:22">
      <c r="B37" s="5" t="s">
        <v>9</v>
      </c>
      <c r="C37" s="6"/>
      <c r="D37" s="6"/>
      <c r="E37" s="6"/>
      <c r="F37" s="6"/>
      <c r="G37" s="6"/>
      <c r="Q37" s="5"/>
      <c r="R37" s="3"/>
      <c r="S37" s="3"/>
      <c r="T37" s="35"/>
      <c r="U37" s="3"/>
      <c r="V37" s="3"/>
    </row>
    <row r="38" spans="2:22">
      <c r="C38" s="6"/>
      <c r="D38" s="6"/>
      <c r="E38" s="6"/>
      <c r="F38" s="6"/>
      <c r="G38" s="6"/>
      <c r="Q38" s="5"/>
      <c r="R38" s="3"/>
      <c r="S38" s="3"/>
      <c r="T38" s="35"/>
      <c r="U38" s="3"/>
      <c r="V38" s="3"/>
    </row>
  </sheetData>
  <mergeCells count="18">
    <mergeCell ref="A8:S8"/>
    <mergeCell ref="A11:S11"/>
    <mergeCell ref="A14:S14"/>
    <mergeCell ref="B3:B4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29"/>
  <sheetViews>
    <sheetView workbookViewId="0">
      <selection activeCell="E9" sqref="E9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7.5" style="5" bestFit="1" customWidth="1"/>
    <col min="4" max="4" width="17.5" style="5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30" bestFit="1" customWidth="1"/>
    <col min="21" max="21" width="8.5" style="6" bestFit="1" customWidth="1"/>
    <col min="22" max="22" width="16.33203125" style="5" bestFit="1" customWidth="1"/>
    <col min="23" max="16384" width="9.1640625" style="3"/>
  </cols>
  <sheetData>
    <row r="1" spans="1:22" s="2" customFormat="1" ht="29" customHeight="1">
      <c r="A1" s="80" t="s">
        <v>1135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</row>
    <row r="2" spans="1:22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</row>
    <row r="3" spans="1:22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10</v>
      </c>
      <c r="I3" s="74"/>
      <c r="J3" s="74"/>
      <c r="K3" s="74"/>
      <c r="L3" s="74" t="s">
        <v>11</v>
      </c>
      <c r="M3" s="74"/>
      <c r="N3" s="74"/>
      <c r="O3" s="74"/>
      <c r="P3" s="74" t="s">
        <v>12</v>
      </c>
      <c r="Q3" s="74"/>
      <c r="R3" s="74"/>
      <c r="S3" s="74"/>
      <c r="T3" s="72" t="s">
        <v>1</v>
      </c>
      <c r="U3" s="74" t="s">
        <v>3</v>
      </c>
      <c r="V3" s="76" t="s">
        <v>2</v>
      </c>
    </row>
    <row r="4" spans="1:22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73"/>
      <c r="U4" s="75"/>
      <c r="V4" s="77"/>
    </row>
    <row r="5" spans="1:22" ht="16">
      <c r="A5" s="78" t="s">
        <v>49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2">
      <c r="A6" s="18" t="s">
        <v>66</v>
      </c>
      <c r="B6" s="17" t="s">
        <v>68</v>
      </c>
      <c r="C6" s="17" t="s">
        <v>69</v>
      </c>
      <c r="D6" s="17" t="s">
        <v>70</v>
      </c>
      <c r="E6" s="17" t="s">
        <v>1167</v>
      </c>
      <c r="F6" s="17" t="s">
        <v>17</v>
      </c>
      <c r="G6" s="17" t="s">
        <v>1039</v>
      </c>
      <c r="H6" s="23" t="s">
        <v>71</v>
      </c>
      <c r="I6" s="23" t="s">
        <v>72</v>
      </c>
      <c r="J6" s="24" t="s">
        <v>73</v>
      </c>
      <c r="K6" s="18"/>
      <c r="L6" s="23" t="s">
        <v>25</v>
      </c>
      <c r="M6" s="23" t="s">
        <v>74</v>
      </c>
      <c r="N6" s="24" t="s">
        <v>32</v>
      </c>
      <c r="O6" s="18"/>
      <c r="P6" s="24" t="s">
        <v>48</v>
      </c>
      <c r="Q6" s="23" t="s">
        <v>48</v>
      </c>
      <c r="R6" s="18"/>
      <c r="S6" s="18"/>
      <c r="T6" s="31" t="str">
        <f>"732,5"</f>
        <v>732,5</v>
      </c>
      <c r="U6" s="18" t="str">
        <f>"448,1435"</f>
        <v>448,1435</v>
      </c>
      <c r="V6" s="17" t="s">
        <v>1064</v>
      </c>
    </row>
    <row r="7" spans="1:22">
      <c r="A7" s="20" t="s">
        <v>67</v>
      </c>
      <c r="B7" s="19" t="s">
        <v>75</v>
      </c>
      <c r="C7" s="19" t="s">
        <v>76</v>
      </c>
      <c r="D7" s="19" t="s">
        <v>70</v>
      </c>
      <c r="E7" s="19" t="s">
        <v>1167</v>
      </c>
      <c r="F7" s="19" t="s">
        <v>17</v>
      </c>
      <c r="G7" s="19" t="s">
        <v>1039</v>
      </c>
      <c r="H7" s="25" t="s">
        <v>77</v>
      </c>
      <c r="I7" s="25" t="s">
        <v>77</v>
      </c>
      <c r="J7" s="25" t="s">
        <v>72</v>
      </c>
      <c r="K7" s="20"/>
      <c r="L7" s="20"/>
      <c r="M7" s="20"/>
      <c r="N7" s="20"/>
      <c r="O7" s="20"/>
      <c r="P7" s="20"/>
      <c r="Q7" s="20"/>
      <c r="R7" s="20"/>
      <c r="S7" s="20"/>
      <c r="T7" s="34">
        <v>0</v>
      </c>
      <c r="U7" s="20" t="str">
        <f>"0,0000"</f>
        <v>0,0000</v>
      </c>
      <c r="V7" s="19" t="s">
        <v>27</v>
      </c>
    </row>
    <row r="8" spans="1:22">
      <c r="A8" s="22" t="s">
        <v>66</v>
      </c>
      <c r="B8" s="21" t="s">
        <v>68</v>
      </c>
      <c r="C8" s="21" t="s">
        <v>78</v>
      </c>
      <c r="D8" s="21" t="s">
        <v>70</v>
      </c>
      <c r="E8" s="21" t="s">
        <v>1169</v>
      </c>
      <c r="F8" s="21" t="s">
        <v>17</v>
      </c>
      <c r="G8" s="21" t="s">
        <v>1039</v>
      </c>
      <c r="H8" s="26" t="s">
        <v>71</v>
      </c>
      <c r="I8" s="26" t="s">
        <v>72</v>
      </c>
      <c r="J8" s="27" t="s">
        <v>73</v>
      </c>
      <c r="K8" s="22"/>
      <c r="L8" s="26" t="s">
        <v>25</v>
      </c>
      <c r="M8" s="26" t="s">
        <v>74</v>
      </c>
      <c r="N8" s="27" t="s">
        <v>32</v>
      </c>
      <c r="O8" s="22"/>
      <c r="P8" s="27" t="s">
        <v>48</v>
      </c>
      <c r="Q8" s="26" t="s">
        <v>48</v>
      </c>
      <c r="R8" s="22"/>
      <c r="S8" s="22"/>
      <c r="T8" s="32" t="str">
        <f>"732,5"</f>
        <v>732,5</v>
      </c>
      <c r="U8" s="22" t="str">
        <f>"523,4316"</f>
        <v>523,4316</v>
      </c>
      <c r="V8" s="21" t="s">
        <v>1064</v>
      </c>
    </row>
    <row r="9" spans="1:22">
      <c r="B9" s="5" t="s">
        <v>9</v>
      </c>
    </row>
    <row r="10" spans="1:22" ht="16">
      <c r="B10" s="5" t="s">
        <v>9</v>
      </c>
      <c r="F10" s="7"/>
    </row>
    <row r="11" spans="1:22" ht="16">
      <c r="B11" s="5" t="s">
        <v>9</v>
      </c>
      <c r="F11" s="7"/>
    </row>
    <row r="12" spans="1:22" ht="16">
      <c r="B12" s="5" t="s">
        <v>9</v>
      </c>
      <c r="F12" s="7"/>
    </row>
    <row r="13" spans="1:22" ht="16">
      <c r="B13" s="5" t="s">
        <v>9</v>
      </c>
      <c r="F13" s="7"/>
    </row>
    <row r="14" spans="1:22" ht="16">
      <c r="B14" s="5" t="s">
        <v>9</v>
      </c>
      <c r="F14" s="7"/>
    </row>
    <row r="15" spans="1:22" ht="16">
      <c r="B15" s="5" t="s">
        <v>9</v>
      </c>
      <c r="F15" s="7"/>
    </row>
    <row r="16" spans="1:22">
      <c r="B16" s="5" t="s">
        <v>9</v>
      </c>
      <c r="C16" s="6"/>
      <c r="D16" s="6"/>
      <c r="E16" s="6"/>
      <c r="F16" s="6"/>
      <c r="G16" s="6"/>
      <c r="Q16" s="5"/>
      <c r="R16" s="3"/>
      <c r="S16" s="3"/>
      <c r="T16" s="35"/>
      <c r="U16" s="3"/>
      <c r="V16" s="3"/>
    </row>
    <row r="17" spans="2:22">
      <c r="B17" s="5" t="s">
        <v>9</v>
      </c>
      <c r="C17" s="6"/>
      <c r="D17" s="6"/>
      <c r="E17" s="6"/>
      <c r="F17" s="6"/>
      <c r="G17" s="6"/>
      <c r="Q17" s="5"/>
      <c r="R17" s="3"/>
      <c r="S17" s="3"/>
      <c r="T17" s="35"/>
      <c r="U17" s="3"/>
      <c r="V17" s="3"/>
    </row>
    <row r="18" spans="2:22">
      <c r="B18" s="5" t="s">
        <v>9</v>
      </c>
      <c r="C18" s="6"/>
      <c r="D18" s="6"/>
      <c r="E18" s="6"/>
      <c r="F18" s="6"/>
      <c r="G18" s="6"/>
      <c r="Q18" s="5"/>
      <c r="R18" s="3"/>
      <c r="S18" s="3"/>
      <c r="T18" s="35"/>
      <c r="U18" s="3"/>
      <c r="V18" s="3"/>
    </row>
    <row r="19" spans="2:22">
      <c r="B19" s="5" t="s">
        <v>9</v>
      </c>
      <c r="C19" s="6"/>
      <c r="D19" s="6"/>
      <c r="E19" s="6"/>
      <c r="F19" s="6"/>
      <c r="G19" s="6"/>
      <c r="Q19" s="5"/>
      <c r="R19" s="3"/>
      <c r="S19" s="3"/>
      <c r="T19" s="35"/>
      <c r="U19" s="3"/>
      <c r="V19" s="3"/>
    </row>
    <row r="20" spans="2:22">
      <c r="B20" s="5" t="s">
        <v>9</v>
      </c>
      <c r="C20" s="6"/>
      <c r="D20" s="6"/>
      <c r="E20" s="6"/>
      <c r="F20" s="6"/>
      <c r="G20" s="6"/>
      <c r="Q20" s="5"/>
      <c r="R20" s="3"/>
      <c r="S20" s="3"/>
      <c r="T20" s="35"/>
      <c r="U20" s="3"/>
      <c r="V20" s="3"/>
    </row>
    <row r="21" spans="2:22">
      <c r="B21" s="5" t="s">
        <v>9</v>
      </c>
      <c r="C21" s="6"/>
      <c r="D21" s="6"/>
      <c r="E21" s="6"/>
      <c r="F21" s="6"/>
      <c r="G21" s="6"/>
      <c r="Q21" s="5"/>
      <c r="R21" s="3"/>
      <c r="S21" s="3"/>
      <c r="T21" s="35"/>
      <c r="U21" s="3"/>
      <c r="V21" s="3"/>
    </row>
    <row r="22" spans="2:22">
      <c r="B22" s="5" t="s">
        <v>9</v>
      </c>
      <c r="C22" s="6"/>
      <c r="D22" s="6"/>
      <c r="E22" s="6"/>
      <c r="F22" s="6"/>
      <c r="G22" s="6"/>
      <c r="Q22" s="5"/>
      <c r="R22" s="3"/>
      <c r="S22" s="3"/>
      <c r="T22" s="35"/>
      <c r="U22" s="3"/>
      <c r="V22" s="3"/>
    </row>
    <row r="23" spans="2:22">
      <c r="B23" s="5" t="s">
        <v>9</v>
      </c>
      <c r="C23" s="6"/>
      <c r="D23" s="6"/>
      <c r="E23" s="6"/>
      <c r="F23" s="6"/>
      <c r="G23" s="6"/>
      <c r="Q23" s="5"/>
      <c r="R23" s="3"/>
      <c r="S23" s="3"/>
      <c r="T23" s="35"/>
      <c r="U23" s="3"/>
      <c r="V23" s="3"/>
    </row>
    <row r="24" spans="2:22">
      <c r="B24" s="5" t="s">
        <v>9</v>
      </c>
      <c r="C24" s="6"/>
      <c r="D24" s="6"/>
      <c r="E24" s="6"/>
      <c r="F24" s="6"/>
      <c r="G24" s="6"/>
      <c r="Q24" s="5"/>
      <c r="R24" s="3"/>
      <c r="S24" s="3"/>
      <c r="T24" s="35"/>
      <c r="U24" s="3"/>
      <c r="V24" s="3"/>
    </row>
    <row r="25" spans="2:22">
      <c r="B25" s="5" t="s">
        <v>9</v>
      </c>
      <c r="C25" s="6"/>
      <c r="D25" s="6"/>
      <c r="E25" s="6"/>
      <c r="F25" s="6"/>
      <c r="G25" s="6"/>
      <c r="Q25" s="5"/>
      <c r="R25" s="3"/>
      <c r="S25" s="3"/>
      <c r="T25" s="35"/>
      <c r="U25" s="3"/>
      <c r="V25" s="3"/>
    </row>
    <row r="26" spans="2:22">
      <c r="B26" s="5" t="s">
        <v>9</v>
      </c>
      <c r="C26" s="6"/>
      <c r="D26" s="6"/>
      <c r="E26" s="6"/>
      <c r="F26" s="6"/>
      <c r="G26" s="6"/>
      <c r="Q26" s="5"/>
      <c r="R26" s="3"/>
      <c r="S26" s="3"/>
      <c r="T26" s="35"/>
      <c r="U26" s="3"/>
      <c r="V26" s="3"/>
    </row>
    <row r="27" spans="2:22">
      <c r="B27" s="5" t="s">
        <v>9</v>
      </c>
      <c r="C27" s="6"/>
      <c r="D27" s="6"/>
      <c r="E27" s="6"/>
      <c r="F27" s="6"/>
      <c r="G27" s="6"/>
      <c r="Q27" s="5"/>
      <c r="R27" s="3"/>
      <c r="S27" s="3"/>
      <c r="T27" s="35"/>
      <c r="U27" s="3"/>
      <c r="V27" s="3"/>
    </row>
    <row r="28" spans="2:22">
      <c r="C28" s="6"/>
      <c r="D28" s="6"/>
      <c r="E28" s="6"/>
      <c r="F28" s="6"/>
      <c r="G28" s="6"/>
      <c r="Q28" s="5"/>
      <c r="R28" s="3"/>
      <c r="S28" s="3"/>
      <c r="T28" s="35"/>
      <c r="U28" s="3"/>
      <c r="V28" s="3"/>
    </row>
    <row r="29" spans="2:22">
      <c r="C29" s="6"/>
      <c r="D29" s="6"/>
      <c r="E29" s="6"/>
      <c r="F29" s="6"/>
      <c r="G29" s="6"/>
      <c r="Q29" s="5"/>
      <c r="R29" s="3"/>
      <c r="S29" s="3"/>
      <c r="T29" s="35"/>
      <c r="U29" s="3"/>
      <c r="V29" s="3"/>
    </row>
  </sheetData>
  <mergeCells count="15">
    <mergeCell ref="A5:S5"/>
    <mergeCell ref="B3:B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23"/>
  <sheetViews>
    <sheetView workbookViewId="0">
      <selection sqref="A1:V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16.83203125" style="5" customWidth="1"/>
    <col min="5" max="5" width="10.5" style="5" bestFit="1" customWidth="1"/>
    <col min="6" max="6" width="22.6640625" style="5" bestFit="1" customWidth="1"/>
    <col min="7" max="7" width="31.6640625" style="5" bestFit="1" customWidth="1"/>
    <col min="8" max="10" width="5.5" style="6" customWidth="1"/>
    <col min="11" max="11" width="4.83203125" style="6" customWidth="1"/>
    <col min="12" max="13" width="4.5" style="6" customWidth="1"/>
    <col min="14" max="14" width="5.5" style="6" customWidth="1"/>
    <col min="15" max="15" width="4.83203125" style="6" customWidth="1"/>
    <col min="16" max="18" width="5.5" style="6" customWidth="1"/>
    <col min="19" max="19" width="4.83203125" style="6" customWidth="1"/>
    <col min="20" max="20" width="7.83203125" style="6" bestFit="1" customWidth="1"/>
    <col min="21" max="21" width="8.5" style="6" bestFit="1" customWidth="1"/>
    <col min="22" max="22" width="18.1640625" style="5" bestFit="1" customWidth="1"/>
    <col min="23" max="16384" width="9.1640625" style="3"/>
  </cols>
  <sheetData>
    <row r="1" spans="1:22" s="2" customFormat="1" ht="29" customHeight="1">
      <c r="A1" s="80" t="s">
        <v>1136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</row>
    <row r="2" spans="1:22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</row>
    <row r="3" spans="1:22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10</v>
      </c>
      <c r="I3" s="74"/>
      <c r="J3" s="74"/>
      <c r="K3" s="74"/>
      <c r="L3" s="74" t="s">
        <v>11</v>
      </c>
      <c r="M3" s="74"/>
      <c r="N3" s="74"/>
      <c r="O3" s="74"/>
      <c r="P3" s="74" t="s">
        <v>12</v>
      </c>
      <c r="Q3" s="74"/>
      <c r="R3" s="74"/>
      <c r="S3" s="74"/>
      <c r="T3" s="74" t="s">
        <v>1</v>
      </c>
      <c r="U3" s="74" t="s">
        <v>3</v>
      </c>
      <c r="V3" s="76" t="s">
        <v>2</v>
      </c>
    </row>
    <row r="4" spans="1:22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75"/>
      <c r="U4" s="75"/>
      <c r="V4" s="77"/>
    </row>
    <row r="5" spans="1:22" ht="16">
      <c r="A5" s="78" t="s">
        <v>121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2">
      <c r="A6" s="10" t="s">
        <v>66</v>
      </c>
      <c r="B6" s="9" t="s">
        <v>469</v>
      </c>
      <c r="C6" s="9" t="s">
        <v>470</v>
      </c>
      <c r="D6" s="9" t="s">
        <v>385</v>
      </c>
      <c r="E6" s="9" t="s">
        <v>1165</v>
      </c>
      <c r="F6" s="9" t="s">
        <v>235</v>
      </c>
      <c r="G6" s="9" t="s">
        <v>1039</v>
      </c>
      <c r="H6" s="15" t="s">
        <v>223</v>
      </c>
      <c r="I6" s="15" t="s">
        <v>206</v>
      </c>
      <c r="J6" s="15" t="s">
        <v>207</v>
      </c>
      <c r="K6" s="10"/>
      <c r="L6" s="15" t="s">
        <v>136</v>
      </c>
      <c r="M6" s="15" t="s">
        <v>137</v>
      </c>
      <c r="N6" s="15" t="s">
        <v>23</v>
      </c>
      <c r="O6" s="10"/>
      <c r="P6" s="15" t="s">
        <v>47</v>
      </c>
      <c r="Q6" s="15" t="s">
        <v>26</v>
      </c>
      <c r="R6" s="15" t="s">
        <v>205</v>
      </c>
      <c r="S6" s="10"/>
      <c r="T6" s="10" t="str">
        <f>"510,0"</f>
        <v>510,0</v>
      </c>
      <c r="U6" s="10" t="str">
        <f>"527,9010"</f>
        <v>527,9010</v>
      </c>
      <c r="V6" s="9" t="s">
        <v>412</v>
      </c>
    </row>
    <row r="7" spans="1:22">
      <c r="B7" s="5" t="s">
        <v>9</v>
      </c>
    </row>
    <row r="8" spans="1:22" ht="16">
      <c r="B8" s="5" t="s">
        <v>9</v>
      </c>
      <c r="F8" s="7"/>
    </row>
    <row r="9" spans="1:22" ht="16">
      <c r="B9" s="5" t="s">
        <v>9</v>
      </c>
      <c r="F9" s="7"/>
    </row>
    <row r="10" spans="1:22" ht="16">
      <c r="B10" s="5" t="s">
        <v>9</v>
      </c>
      <c r="F10" s="7"/>
    </row>
    <row r="11" spans="1:22" ht="16">
      <c r="B11" s="5" t="s">
        <v>9</v>
      </c>
      <c r="F11" s="7"/>
    </row>
    <row r="12" spans="1:22" ht="16">
      <c r="B12" s="5" t="s">
        <v>9</v>
      </c>
      <c r="F12" s="7"/>
    </row>
    <row r="13" spans="1:22" ht="16">
      <c r="B13" s="5" t="s">
        <v>9</v>
      </c>
      <c r="F13" s="7"/>
    </row>
    <row r="14" spans="1:22">
      <c r="B14" s="5" t="s">
        <v>9</v>
      </c>
      <c r="C14" s="6"/>
      <c r="D14" s="6"/>
      <c r="E14" s="6"/>
      <c r="F14" s="6"/>
      <c r="G14" s="6"/>
      <c r="Q14" s="5"/>
      <c r="R14" s="3"/>
      <c r="S14" s="3"/>
      <c r="T14" s="3"/>
      <c r="U14" s="3"/>
      <c r="V14" s="3"/>
    </row>
    <row r="15" spans="1:22">
      <c r="B15" s="5" t="s">
        <v>9</v>
      </c>
      <c r="C15" s="6"/>
      <c r="D15" s="6"/>
      <c r="E15" s="6"/>
      <c r="F15" s="6"/>
      <c r="G15" s="6"/>
      <c r="Q15" s="5"/>
      <c r="R15" s="3"/>
      <c r="S15" s="3"/>
      <c r="T15" s="3"/>
      <c r="U15" s="3"/>
      <c r="V15" s="3"/>
    </row>
    <row r="16" spans="1:22">
      <c r="B16" s="5" t="s">
        <v>9</v>
      </c>
      <c r="C16" s="6"/>
      <c r="D16" s="6"/>
      <c r="E16" s="6"/>
      <c r="F16" s="6"/>
      <c r="G16" s="6"/>
      <c r="Q16" s="5"/>
      <c r="R16" s="3"/>
      <c r="S16" s="3"/>
      <c r="T16" s="3"/>
      <c r="U16" s="3"/>
      <c r="V16" s="3"/>
    </row>
    <row r="17" spans="2:22">
      <c r="B17" s="5" t="s">
        <v>9</v>
      </c>
      <c r="C17" s="6"/>
      <c r="D17" s="6"/>
      <c r="E17" s="6"/>
      <c r="F17" s="6"/>
      <c r="G17" s="6"/>
      <c r="Q17" s="5"/>
      <c r="R17" s="3"/>
      <c r="S17" s="3"/>
      <c r="T17" s="3"/>
      <c r="U17" s="3"/>
      <c r="V17" s="3"/>
    </row>
    <row r="18" spans="2:22">
      <c r="B18" s="5" t="s">
        <v>9</v>
      </c>
      <c r="C18" s="6"/>
      <c r="D18" s="6"/>
      <c r="E18" s="6"/>
      <c r="F18" s="6"/>
      <c r="G18" s="6"/>
      <c r="Q18" s="5"/>
      <c r="R18" s="3"/>
      <c r="S18" s="3"/>
      <c r="T18" s="3"/>
      <c r="U18" s="3"/>
      <c r="V18" s="3"/>
    </row>
    <row r="19" spans="2:22">
      <c r="B19" s="5" t="s">
        <v>9</v>
      </c>
      <c r="C19" s="6"/>
      <c r="D19" s="6"/>
      <c r="E19" s="6"/>
      <c r="F19" s="6"/>
      <c r="G19" s="6"/>
      <c r="Q19" s="5"/>
      <c r="R19" s="3"/>
      <c r="S19" s="3"/>
      <c r="T19" s="3"/>
      <c r="U19" s="3"/>
      <c r="V19" s="3"/>
    </row>
    <row r="20" spans="2:22">
      <c r="B20" s="5" t="s">
        <v>9</v>
      </c>
      <c r="C20" s="6"/>
      <c r="D20" s="6"/>
      <c r="E20" s="6"/>
      <c r="F20" s="6"/>
      <c r="G20" s="6"/>
      <c r="Q20" s="5"/>
      <c r="R20" s="3"/>
      <c r="S20" s="3"/>
      <c r="T20" s="3"/>
      <c r="U20" s="3"/>
      <c r="V20" s="3"/>
    </row>
    <row r="21" spans="2:22">
      <c r="B21" s="5" t="s">
        <v>9</v>
      </c>
      <c r="C21" s="6"/>
      <c r="D21" s="6"/>
      <c r="E21" s="6"/>
      <c r="F21" s="6"/>
      <c r="G21" s="6"/>
      <c r="Q21" s="5"/>
      <c r="R21" s="3"/>
      <c r="S21" s="3"/>
      <c r="T21" s="3"/>
      <c r="U21" s="3"/>
      <c r="V21" s="3"/>
    </row>
    <row r="22" spans="2:22">
      <c r="C22" s="6"/>
      <c r="D22" s="6"/>
      <c r="E22" s="6"/>
      <c r="F22" s="6"/>
      <c r="G22" s="6"/>
      <c r="Q22" s="5"/>
      <c r="R22" s="3"/>
      <c r="S22" s="3"/>
      <c r="T22" s="3"/>
      <c r="U22" s="3"/>
      <c r="V22" s="3"/>
    </row>
    <row r="23" spans="2:22">
      <c r="C23" s="6"/>
      <c r="D23" s="6"/>
      <c r="E23" s="6"/>
      <c r="F23" s="6"/>
      <c r="G23" s="6"/>
      <c r="Q23" s="5"/>
      <c r="R23" s="3"/>
      <c r="S23" s="3"/>
      <c r="T23" s="3"/>
      <c r="U23" s="3"/>
      <c r="V23" s="3"/>
    </row>
  </sheetData>
  <mergeCells count="15">
    <mergeCell ref="A5:S5"/>
    <mergeCell ref="B3:B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6" width="7.83203125" style="6" bestFit="1" customWidth="1"/>
    <col min="17" max="17" width="8.5" style="6" bestFit="1" customWidth="1"/>
    <col min="18" max="18" width="26.6640625" style="5" bestFit="1" customWidth="1"/>
    <col min="19" max="16384" width="9.1640625" style="3"/>
  </cols>
  <sheetData>
    <row r="1" spans="1:18" s="2" customFormat="1" ht="29" customHeight="1">
      <c r="A1" s="80" t="s">
        <v>1137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7"/>
    </row>
    <row r="3" spans="1:18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12</v>
      </c>
      <c r="M3" s="74"/>
      <c r="N3" s="74"/>
      <c r="O3" s="74"/>
      <c r="P3" s="74" t="s">
        <v>1</v>
      </c>
      <c r="Q3" s="74" t="s">
        <v>3</v>
      </c>
      <c r="R3" s="76" t="s">
        <v>2</v>
      </c>
    </row>
    <row r="4" spans="1:18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75"/>
      <c r="Q4" s="75"/>
      <c r="R4" s="77"/>
    </row>
    <row r="5" spans="1:18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8">
      <c r="A6" s="10" t="s">
        <v>66</v>
      </c>
      <c r="B6" s="9" t="s">
        <v>337</v>
      </c>
      <c r="C6" s="9" t="s">
        <v>338</v>
      </c>
      <c r="D6" s="9" t="s">
        <v>339</v>
      </c>
      <c r="E6" s="9" t="s">
        <v>1167</v>
      </c>
      <c r="F6" s="9" t="s">
        <v>1054</v>
      </c>
      <c r="G6" s="9" t="s">
        <v>18</v>
      </c>
      <c r="H6" s="15" t="s">
        <v>104</v>
      </c>
      <c r="I6" s="15" t="s">
        <v>149</v>
      </c>
      <c r="J6" s="15" t="s">
        <v>87</v>
      </c>
      <c r="K6" s="10"/>
      <c r="L6" s="15" t="s">
        <v>22</v>
      </c>
      <c r="M6" s="15" t="s">
        <v>165</v>
      </c>
      <c r="N6" s="16" t="s">
        <v>200</v>
      </c>
      <c r="O6" s="10"/>
      <c r="P6" s="10" t="str">
        <f>"165,0"</f>
        <v>165,0</v>
      </c>
      <c r="Q6" s="10" t="str">
        <f>"197,1750"</f>
        <v>197,1750</v>
      </c>
      <c r="R6" s="9" t="s">
        <v>1044</v>
      </c>
    </row>
    <row r="7" spans="1:18">
      <c r="B7" s="5" t="s">
        <v>9</v>
      </c>
    </row>
    <row r="8" spans="1:18" ht="16">
      <c r="A8" s="91" t="s">
        <v>121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8">
      <c r="A9" s="18" t="s">
        <v>66</v>
      </c>
      <c r="B9" s="17" t="s">
        <v>361</v>
      </c>
      <c r="C9" s="17" t="s">
        <v>362</v>
      </c>
      <c r="D9" s="17" t="s">
        <v>172</v>
      </c>
      <c r="E9" s="17" t="s">
        <v>1167</v>
      </c>
      <c r="F9" s="17" t="s">
        <v>17</v>
      </c>
      <c r="G9" s="17" t="s">
        <v>18</v>
      </c>
      <c r="H9" s="23" t="s">
        <v>149</v>
      </c>
      <c r="I9" s="23" t="s">
        <v>87</v>
      </c>
      <c r="J9" s="24" t="s">
        <v>88</v>
      </c>
      <c r="K9" s="18"/>
      <c r="L9" s="23" t="s">
        <v>34</v>
      </c>
      <c r="M9" s="23" t="s">
        <v>130</v>
      </c>
      <c r="N9" s="24" t="s">
        <v>244</v>
      </c>
      <c r="O9" s="18"/>
      <c r="P9" s="18" t="str">
        <f>"190,0"</f>
        <v>190,0</v>
      </c>
      <c r="Q9" s="18" t="str">
        <f>"193,9140"</f>
        <v>193,9140</v>
      </c>
      <c r="R9" s="17" t="s">
        <v>27</v>
      </c>
    </row>
    <row r="10" spans="1:18">
      <c r="A10" s="22" t="s">
        <v>66</v>
      </c>
      <c r="B10" s="21" t="s">
        <v>361</v>
      </c>
      <c r="C10" s="21" t="s">
        <v>366</v>
      </c>
      <c r="D10" s="21" t="s">
        <v>172</v>
      </c>
      <c r="E10" s="21" t="s">
        <v>1168</v>
      </c>
      <c r="F10" s="21" t="s">
        <v>17</v>
      </c>
      <c r="G10" s="21" t="s">
        <v>18</v>
      </c>
      <c r="H10" s="26" t="s">
        <v>149</v>
      </c>
      <c r="I10" s="26" t="s">
        <v>87</v>
      </c>
      <c r="J10" s="27" t="s">
        <v>88</v>
      </c>
      <c r="K10" s="22"/>
      <c r="L10" s="26" t="s">
        <v>34</v>
      </c>
      <c r="M10" s="26" t="s">
        <v>130</v>
      </c>
      <c r="N10" s="27" t="s">
        <v>244</v>
      </c>
      <c r="O10" s="22"/>
      <c r="P10" s="22" t="str">
        <f>"190,0"</f>
        <v>190,0</v>
      </c>
      <c r="Q10" s="22" t="str">
        <f>"202,4462"</f>
        <v>202,4462</v>
      </c>
      <c r="R10" s="21" t="s">
        <v>27</v>
      </c>
    </row>
    <row r="11" spans="1:18">
      <c r="B11" s="5" t="s">
        <v>9</v>
      </c>
    </row>
    <row r="12" spans="1:18" ht="16">
      <c r="A12" s="91" t="s">
        <v>121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8">
      <c r="A13" s="10" t="s">
        <v>66</v>
      </c>
      <c r="B13" s="9" t="s">
        <v>389</v>
      </c>
      <c r="C13" s="9" t="s">
        <v>390</v>
      </c>
      <c r="D13" s="9" t="s">
        <v>161</v>
      </c>
      <c r="E13" s="9" t="s">
        <v>1167</v>
      </c>
      <c r="F13" s="9" t="s">
        <v>17</v>
      </c>
      <c r="G13" s="9" t="s">
        <v>1039</v>
      </c>
      <c r="H13" s="15" t="s">
        <v>105</v>
      </c>
      <c r="I13" s="15" t="s">
        <v>153</v>
      </c>
      <c r="J13" s="16" t="s">
        <v>165</v>
      </c>
      <c r="K13" s="10"/>
      <c r="L13" s="15" t="s">
        <v>47</v>
      </c>
      <c r="M13" s="15" t="s">
        <v>32</v>
      </c>
      <c r="N13" s="10"/>
      <c r="O13" s="10"/>
      <c r="P13" s="10" t="str">
        <f>"285,0"</f>
        <v>285,0</v>
      </c>
      <c r="Q13" s="10" t="str">
        <f>"221,5875"</f>
        <v>221,5875</v>
      </c>
      <c r="R13" s="9" t="s">
        <v>27</v>
      </c>
    </row>
    <row r="14" spans="1:18">
      <c r="B14" s="5" t="s">
        <v>9</v>
      </c>
    </row>
    <row r="15" spans="1:18" ht="16">
      <c r="A15" s="91" t="s">
        <v>28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8">
      <c r="A16" s="10" t="s">
        <v>66</v>
      </c>
      <c r="B16" s="9" t="s">
        <v>416</v>
      </c>
      <c r="C16" s="9" t="s">
        <v>417</v>
      </c>
      <c r="D16" s="9" t="s">
        <v>418</v>
      </c>
      <c r="E16" s="9" t="s">
        <v>1164</v>
      </c>
      <c r="F16" s="9" t="s">
        <v>17</v>
      </c>
      <c r="G16" s="9" t="s">
        <v>18</v>
      </c>
      <c r="H16" s="15" t="s">
        <v>165</v>
      </c>
      <c r="I16" s="15" t="s">
        <v>162</v>
      </c>
      <c r="J16" s="16" t="s">
        <v>166</v>
      </c>
      <c r="K16" s="10"/>
      <c r="L16" s="15" t="s">
        <v>419</v>
      </c>
      <c r="M16" s="16" t="s">
        <v>48</v>
      </c>
      <c r="N16" s="16" t="s">
        <v>48</v>
      </c>
      <c r="O16" s="10"/>
      <c r="P16" s="10" t="str">
        <f>"340,0"</f>
        <v>340,0</v>
      </c>
      <c r="Q16" s="10" t="str">
        <f>"232,1180"</f>
        <v>232,1180</v>
      </c>
      <c r="R16" s="9" t="s">
        <v>27</v>
      </c>
    </row>
    <row r="17" spans="2:18">
      <c r="B17" s="5" t="s">
        <v>9</v>
      </c>
    </row>
    <row r="18" spans="2:18" ht="16">
      <c r="B18" s="5" t="s">
        <v>9</v>
      </c>
      <c r="F18" s="7"/>
    </row>
    <row r="19" spans="2:18" ht="16">
      <c r="B19" s="5" t="s">
        <v>9</v>
      </c>
      <c r="F19" s="7"/>
    </row>
    <row r="20" spans="2:18" ht="16">
      <c r="B20" s="5" t="s">
        <v>9</v>
      </c>
      <c r="F20" s="7"/>
    </row>
    <row r="21" spans="2:18" ht="16">
      <c r="B21" s="5" t="s">
        <v>9</v>
      </c>
      <c r="F21" s="7"/>
    </row>
    <row r="22" spans="2:18" ht="16">
      <c r="B22" s="5" t="s">
        <v>9</v>
      </c>
      <c r="F22" s="7"/>
    </row>
    <row r="23" spans="2:18">
      <c r="C23" s="6"/>
      <c r="D23" s="6"/>
      <c r="E23" s="6"/>
      <c r="F23" s="6"/>
      <c r="G23" s="6"/>
      <c r="M23" s="5"/>
      <c r="N23" s="3"/>
      <c r="O23" s="3"/>
      <c r="P23" s="3"/>
      <c r="Q23" s="3"/>
      <c r="R23" s="3"/>
    </row>
    <row r="24" spans="2:18">
      <c r="C24" s="6"/>
      <c r="D24" s="6"/>
      <c r="E24" s="6"/>
      <c r="F24" s="6"/>
      <c r="G24" s="6"/>
      <c r="M24" s="5"/>
      <c r="N24" s="3"/>
      <c r="O24" s="3"/>
      <c r="P24" s="3"/>
      <c r="Q24" s="3"/>
      <c r="R24" s="3"/>
    </row>
    <row r="25" spans="2:18">
      <c r="B25" s="6"/>
      <c r="C25" s="6"/>
      <c r="D25" s="6"/>
      <c r="E25" s="6"/>
      <c r="F25" s="6"/>
      <c r="G25" s="6"/>
      <c r="I25" s="5"/>
      <c r="J25" s="3"/>
      <c r="K25" s="3"/>
      <c r="L25" s="3"/>
      <c r="M25" s="3"/>
      <c r="N25" s="3"/>
      <c r="O25" s="3"/>
      <c r="P25" s="3"/>
      <c r="Q25" s="3"/>
      <c r="R25" s="3"/>
    </row>
    <row r="26" spans="2:18">
      <c r="B26" s="6"/>
      <c r="C26" s="6"/>
      <c r="D26" s="6"/>
      <c r="E26" s="6"/>
      <c r="F26" s="6"/>
      <c r="G26" s="6"/>
      <c r="I26" s="5"/>
      <c r="J26" s="3"/>
      <c r="K26" s="3"/>
      <c r="L26" s="3"/>
      <c r="M26" s="3"/>
      <c r="N26" s="3"/>
      <c r="O26" s="3"/>
      <c r="P26" s="3"/>
      <c r="Q26" s="3"/>
      <c r="R26" s="3"/>
    </row>
    <row r="27" spans="2:18">
      <c r="B27" s="6"/>
      <c r="C27" s="6"/>
      <c r="D27" s="6"/>
      <c r="E27" s="6"/>
      <c r="F27" s="6"/>
      <c r="G27" s="6"/>
      <c r="I27" s="5"/>
      <c r="J27" s="3"/>
      <c r="K27" s="3"/>
      <c r="L27" s="3"/>
      <c r="M27" s="3"/>
      <c r="N27" s="3"/>
      <c r="O27" s="3"/>
      <c r="P27" s="3"/>
      <c r="Q27" s="3"/>
      <c r="R27" s="3"/>
    </row>
    <row r="28" spans="2:18">
      <c r="B28" s="6"/>
      <c r="C28" s="6"/>
      <c r="D28" s="6"/>
      <c r="E28" s="6"/>
      <c r="F28" s="6"/>
      <c r="G28" s="6"/>
      <c r="I28" s="5"/>
      <c r="J28" s="3"/>
      <c r="K28" s="3"/>
      <c r="L28" s="3"/>
      <c r="M28" s="3"/>
      <c r="N28" s="3"/>
      <c r="O28" s="3"/>
      <c r="P28" s="3"/>
      <c r="Q28" s="3"/>
      <c r="R28" s="3"/>
    </row>
    <row r="29" spans="2:18">
      <c r="B29" s="6"/>
      <c r="C29" s="6"/>
      <c r="D29" s="6"/>
      <c r="E29" s="6"/>
      <c r="F29" s="6"/>
      <c r="G29" s="6"/>
      <c r="I29" s="5"/>
      <c r="J29" s="3"/>
      <c r="K29" s="3"/>
      <c r="L29" s="3"/>
      <c r="M29" s="3"/>
      <c r="N29" s="3"/>
      <c r="O29" s="3"/>
      <c r="P29" s="3"/>
      <c r="Q29" s="3"/>
      <c r="R29" s="3"/>
    </row>
    <row r="30" spans="2:18">
      <c r="B30" s="6"/>
      <c r="C30" s="6"/>
      <c r="D30" s="6"/>
      <c r="E30" s="6"/>
      <c r="F30" s="6"/>
      <c r="G30" s="6"/>
      <c r="I30" s="5"/>
      <c r="J30" s="3"/>
      <c r="K30" s="3"/>
      <c r="L30" s="3"/>
      <c r="M30" s="3"/>
      <c r="N30" s="3"/>
      <c r="O30" s="3"/>
      <c r="P30" s="3"/>
      <c r="Q30" s="3"/>
      <c r="R30" s="3"/>
    </row>
    <row r="31" spans="2:18">
      <c r="B31" s="6"/>
      <c r="C31" s="6"/>
      <c r="D31" s="6"/>
      <c r="E31" s="6"/>
      <c r="F31" s="6"/>
      <c r="G31" s="6"/>
      <c r="I31" s="5"/>
      <c r="J31" s="3"/>
      <c r="K31" s="3"/>
      <c r="L31" s="3"/>
      <c r="M31" s="3"/>
      <c r="N31" s="3"/>
      <c r="O31" s="3"/>
      <c r="P31" s="3"/>
      <c r="Q31" s="3"/>
      <c r="R31" s="3"/>
    </row>
    <row r="32" spans="2:18">
      <c r="B32" s="6"/>
      <c r="C32" s="6"/>
      <c r="D32" s="6"/>
      <c r="E32" s="6"/>
      <c r="F32" s="6"/>
      <c r="G32" s="6"/>
      <c r="I32" s="5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6"/>
      <c r="C33" s="6"/>
      <c r="D33" s="6"/>
      <c r="E33" s="6"/>
      <c r="F33" s="6"/>
      <c r="G33" s="6"/>
      <c r="I33" s="5"/>
      <c r="J33" s="3"/>
      <c r="K33" s="3"/>
      <c r="L33" s="3"/>
      <c r="M33" s="3"/>
      <c r="N33" s="3"/>
      <c r="O33" s="3"/>
      <c r="P33" s="3"/>
      <c r="Q33" s="3"/>
      <c r="R33" s="3"/>
    </row>
    <row r="34" spans="2:18">
      <c r="B34" s="6"/>
      <c r="C34" s="6"/>
      <c r="D34" s="6"/>
      <c r="E34" s="6"/>
      <c r="F34" s="6"/>
      <c r="G34" s="6"/>
      <c r="I34" s="5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6"/>
      <c r="C35" s="6"/>
      <c r="D35" s="6"/>
      <c r="E35" s="6"/>
      <c r="F35" s="6"/>
      <c r="G35" s="6"/>
      <c r="I35" s="5"/>
      <c r="J35" s="3"/>
      <c r="K35" s="3"/>
      <c r="L35" s="3"/>
      <c r="M35" s="3"/>
      <c r="N35" s="3"/>
      <c r="O35" s="3"/>
      <c r="P35" s="3"/>
      <c r="Q35" s="3"/>
      <c r="R35" s="3"/>
    </row>
    <row r="36" spans="2:18">
      <c r="B36" s="6"/>
      <c r="C36" s="6"/>
      <c r="D36" s="6"/>
      <c r="E36" s="6"/>
      <c r="F36" s="6"/>
      <c r="G36" s="6"/>
      <c r="I36" s="5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6"/>
      <c r="C37" s="6"/>
      <c r="D37" s="6"/>
      <c r="E37" s="6"/>
      <c r="F37" s="6"/>
      <c r="G37" s="6"/>
      <c r="I37" s="5"/>
      <c r="J37" s="3"/>
      <c r="K37" s="3"/>
      <c r="L37" s="3"/>
      <c r="M37" s="3"/>
      <c r="N37" s="3"/>
      <c r="O37" s="3"/>
      <c r="P37" s="3"/>
      <c r="Q37" s="3"/>
      <c r="R37" s="3"/>
    </row>
    <row r="38" spans="2:18">
      <c r="B38" s="6"/>
      <c r="C38" s="6"/>
      <c r="D38" s="6"/>
      <c r="E38" s="6"/>
      <c r="F38" s="6"/>
      <c r="G38" s="6"/>
      <c r="I38" s="5"/>
      <c r="J38" s="3"/>
      <c r="K38" s="3"/>
      <c r="L38" s="3"/>
      <c r="M38" s="3"/>
      <c r="N38" s="3"/>
      <c r="O38" s="3"/>
      <c r="P38" s="3"/>
      <c r="Q38" s="3"/>
      <c r="R38" s="3"/>
    </row>
    <row r="39" spans="2:18">
      <c r="B39" s="6"/>
      <c r="C39" s="6"/>
      <c r="D39" s="6"/>
      <c r="E39" s="6"/>
      <c r="F39" s="6"/>
      <c r="G39" s="6"/>
      <c r="I39" s="5"/>
      <c r="J39" s="3"/>
      <c r="K39" s="3"/>
      <c r="L39" s="3"/>
      <c r="M39" s="3"/>
      <c r="N39" s="3"/>
      <c r="O39" s="3"/>
      <c r="P39" s="3"/>
      <c r="Q39" s="3"/>
      <c r="R39" s="3"/>
    </row>
    <row r="40" spans="2:18">
      <c r="B40" s="6"/>
      <c r="C40" s="6"/>
      <c r="D40" s="6"/>
      <c r="E40" s="6"/>
      <c r="F40" s="6"/>
      <c r="G40" s="6"/>
      <c r="I40" s="5"/>
      <c r="J40" s="3"/>
      <c r="K40" s="3"/>
      <c r="L40" s="3"/>
      <c r="M40" s="3"/>
      <c r="N40" s="3"/>
      <c r="O40" s="3"/>
      <c r="P40" s="3"/>
      <c r="Q40" s="3"/>
      <c r="R40" s="3"/>
    </row>
    <row r="41" spans="2:18">
      <c r="B41" s="6"/>
      <c r="C41" s="6"/>
      <c r="D41" s="6"/>
      <c r="E41" s="6"/>
      <c r="F41" s="6"/>
      <c r="G41" s="6"/>
      <c r="I41" s="5"/>
      <c r="J41" s="3"/>
      <c r="K41" s="3"/>
      <c r="L41" s="3"/>
      <c r="M41" s="3"/>
      <c r="N41" s="3"/>
      <c r="O41" s="3"/>
      <c r="P41" s="3"/>
      <c r="Q41" s="3"/>
      <c r="R41" s="3"/>
    </row>
    <row r="42" spans="2:18">
      <c r="B42" s="6"/>
      <c r="C42" s="6"/>
      <c r="D42" s="6"/>
      <c r="E42" s="6"/>
      <c r="F42" s="6"/>
      <c r="G42" s="6"/>
      <c r="I42" s="5"/>
      <c r="J42" s="3"/>
      <c r="K42" s="3"/>
      <c r="L42" s="3"/>
      <c r="M42" s="3"/>
      <c r="N42" s="3"/>
      <c r="O42" s="3"/>
      <c r="P42" s="3"/>
      <c r="Q42" s="3"/>
      <c r="R42" s="3"/>
    </row>
    <row r="43" spans="2:18">
      <c r="B43" s="6"/>
      <c r="C43" s="6"/>
      <c r="D43" s="6"/>
      <c r="E43" s="6"/>
      <c r="F43" s="6"/>
      <c r="G43" s="6"/>
      <c r="I43" s="5"/>
      <c r="J43" s="3"/>
      <c r="K43" s="3"/>
      <c r="L43" s="3"/>
      <c r="M43" s="3"/>
      <c r="N43" s="3"/>
      <c r="O43" s="3"/>
      <c r="P43" s="3"/>
      <c r="Q43" s="3"/>
      <c r="R43" s="3"/>
    </row>
    <row r="44" spans="2:18">
      <c r="B44" s="6"/>
      <c r="C44" s="6"/>
      <c r="D44" s="6"/>
      <c r="E44" s="6"/>
      <c r="F44" s="6"/>
      <c r="G44" s="6"/>
      <c r="I44" s="5"/>
      <c r="J44" s="3"/>
      <c r="K44" s="3"/>
      <c r="L44" s="3"/>
      <c r="M44" s="3"/>
      <c r="N44" s="3"/>
      <c r="O44" s="3"/>
      <c r="P44" s="3"/>
      <c r="Q44" s="3"/>
      <c r="R44" s="3"/>
    </row>
    <row r="45" spans="2:18">
      <c r="B45" s="6"/>
      <c r="C45" s="6"/>
      <c r="D45" s="6"/>
      <c r="E45" s="6"/>
      <c r="F45" s="6"/>
      <c r="G45" s="6"/>
      <c r="I45" s="5"/>
      <c r="J45" s="3"/>
      <c r="K45" s="3"/>
      <c r="L45" s="3"/>
      <c r="M45" s="3"/>
      <c r="N45" s="3"/>
      <c r="O45" s="3"/>
      <c r="P45" s="3"/>
      <c r="Q45" s="3"/>
      <c r="R45" s="3"/>
    </row>
    <row r="46" spans="2:18">
      <c r="B46" s="6"/>
      <c r="C46" s="6"/>
      <c r="D46" s="6"/>
      <c r="E46" s="6"/>
      <c r="F46" s="6"/>
      <c r="G46" s="6"/>
      <c r="I46" s="5"/>
      <c r="J46" s="3"/>
      <c r="K46" s="3"/>
      <c r="L46" s="3"/>
      <c r="M46" s="3"/>
      <c r="N46" s="3"/>
      <c r="O46" s="3"/>
      <c r="P46" s="3"/>
      <c r="Q46" s="3"/>
      <c r="R46" s="3"/>
    </row>
    <row r="47" spans="2:18">
      <c r="C47" s="6"/>
      <c r="D47" s="6"/>
      <c r="E47" s="6"/>
      <c r="F47" s="6"/>
      <c r="G47" s="6"/>
      <c r="M47" s="5"/>
      <c r="N47" s="3"/>
      <c r="O47" s="3"/>
      <c r="P47" s="3"/>
      <c r="Q47" s="3"/>
      <c r="R47" s="3"/>
    </row>
  </sheetData>
  <mergeCells count="17">
    <mergeCell ref="A8:O8"/>
    <mergeCell ref="A12:O12"/>
    <mergeCell ref="A15:O15"/>
    <mergeCell ref="B3:B4"/>
    <mergeCell ref="P3:P4"/>
    <mergeCell ref="Q3:Q4"/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9"/>
  <sheetViews>
    <sheetView workbookViewId="0">
      <selection sqref="A1:R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4" width="5.5" style="6" customWidth="1"/>
    <col min="15" max="15" width="4.83203125" style="6" customWidth="1"/>
    <col min="16" max="16" width="7.83203125" style="6" bestFit="1" customWidth="1"/>
    <col min="17" max="17" width="8.5" style="6" bestFit="1" customWidth="1"/>
    <col min="18" max="18" width="21.33203125" style="5" customWidth="1"/>
    <col min="19" max="16384" width="9.1640625" style="3"/>
  </cols>
  <sheetData>
    <row r="1" spans="1:18" s="2" customFormat="1" ht="29" customHeight="1">
      <c r="A1" s="80" t="s">
        <v>1138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18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7"/>
    </row>
    <row r="3" spans="1:18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12</v>
      </c>
      <c r="M3" s="74"/>
      <c r="N3" s="74"/>
      <c r="O3" s="74"/>
      <c r="P3" s="74" t="s">
        <v>1</v>
      </c>
      <c r="Q3" s="74" t="s">
        <v>3</v>
      </c>
      <c r="R3" s="76" t="s">
        <v>2</v>
      </c>
    </row>
    <row r="4" spans="1:18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75"/>
      <c r="Q4" s="75"/>
      <c r="R4" s="77"/>
    </row>
    <row r="5" spans="1:18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8">
      <c r="A6" s="10" t="s">
        <v>66</v>
      </c>
      <c r="B6" s="9" t="s">
        <v>14</v>
      </c>
      <c r="C6" s="9" t="s">
        <v>15</v>
      </c>
      <c r="D6" s="9" t="s">
        <v>16</v>
      </c>
      <c r="E6" s="9" t="s">
        <v>1167</v>
      </c>
      <c r="F6" s="9" t="s">
        <v>17</v>
      </c>
      <c r="G6" s="9" t="s">
        <v>18</v>
      </c>
      <c r="H6" s="15" t="s">
        <v>22</v>
      </c>
      <c r="I6" s="15" t="s">
        <v>23</v>
      </c>
      <c r="J6" s="15" t="s">
        <v>24</v>
      </c>
      <c r="K6" s="10"/>
      <c r="L6" s="15" t="s">
        <v>25</v>
      </c>
      <c r="M6" s="15" t="s">
        <v>21</v>
      </c>
      <c r="N6" s="16" t="s">
        <v>26</v>
      </c>
      <c r="O6" s="10"/>
      <c r="P6" s="10" t="str">
        <f>"283,0"</f>
        <v>283,0</v>
      </c>
      <c r="Q6" s="10" t="str">
        <f>"332,9778"</f>
        <v>332,9778</v>
      </c>
      <c r="R6" s="9" t="s">
        <v>27</v>
      </c>
    </row>
    <row r="7" spans="1:18">
      <c r="B7" s="5" t="s">
        <v>9</v>
      </c>
    </row>
    <row r="8" spans="1:18" ht="16">
      <c r="A8" s="91" t="s">
        <v>28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8">
      <c r="A9" s="18" t="s">
        <v>66</v>
      </c>
      <c r="B9" s="17" t="s">
        <v>559</v>
      </c>
      <c r="C9" s="17" t="s">
        <v>560</v>
      </c>
      <c r="D9" s="17" t="s">
        <v>561</v>
      </c>
      <c r="E9" s="17" t="s">
        <v>1166</v>
      </c>
      <c r="F9" s="17" t="s">
        <v>85</v>
      </c>
      <c r="G9" s="17" t="s">
        <v>86</v>
      </c>
      <c r="H9" s="23" t="s">
        <v>88</v>
      </c>
      <c r="I9" s="23" t="s">
        <v>118</v>
      </c>
      <c r="J9" s="23" t="s">
        <v>111</v>
      </c>
      <c r="K9" s="18"/>
      <c r="L9" s="23" t="s">
        <v>165</v>
      </c>
      <c r="M9" s="23" t="s">
        <v>162</v>
      </c>
      <c r="N9" s="23" t="s">
        <v>166</v>
      </c>
      <c r="O9" s="18"/>
      <c r="P9" s="18" t="str">
        <f>"185,0"</f>
        <v>185,0</v>
      </c>
      <c r="Q9" s="18" t="str">
        <f>"128,4825"</f>
        <v>128,4825</v>
      </c>
      <c r="R9" s="17"/>
    </row>
    <row r="10" spans="1:18">
      <c r="A10" s="22" t="s">
        <v>66</v>
      </c>
      <c r="B10" s="21" t="s">
        <v>209</v>
      </c>
      <c r="C10" s="21" t="s">
        <v>210</v>
      </c>
      <c r="D10" s="21" t="s">
        <v>211</v>
      </c>
      <c r="E10" s="21" t="s">
        <v>1167</v>
      </c>
      <c r="F10" s="21" t="s">
        <v>110</v>
      </c>
      <c r="G10" s="21" t="s">
        <v>1039</v>
      </c>
      <c r="H10" s="26" t="s">
        <v>205</v>
      </c>
      <c r="I10" s="22"/>
      <c r="J10" s="22"/>
      <c r="K10" s="22"/>
      <c r="L10" s="26" t="s">
        <v>217</v>
      </c>
      <c r="M10" s="22"/>
      <c r="N10" s="22"/>
      <c r="O10" s="22"/>
      <c r="P10" s="22" t="str">
        <f>"465,0"</f>
        <v>465,0</v>
      </c>
      <c r="Q10" s="22" t="str">
        <f>"312,6660"</f>
        <v>312,6660</v>
      </c>
      <c r="R10" s="21" t="s">
        <v>1043</v>
      </c>
    </row>
    <row r="11" spans="1:18">
      <c r="B11" s="5" t="s">
        <v>9</v>
      </c>
    </row>
    <row r="12" spans="1:18" ht="16">
      <c r="A12" s="91" t="s">
        <v>40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8">
      <c r="A13" s="10" t="s">
        <v>66</v>
      </c>
      <c r="B13" s="9" t="s">
        <v>245</v>
      </c>
      <c r="C13" s="9" t="s">
        <v>246</v>
      </c>
      <c r="D13" s="9" t="s">
        <v>247</v>
      </c>
      <c r="E13" s="9" t="s">
        <v>1167</v>
      </c>
      <c r="F13" s="9" t="s">
        <v>110</v>
      </c>
      <c r="G13" s="9" t="s">
        <v>1039</v>
      </c>
      <c r="H13" s="15" t="s">
        <v>47</v>
      </c>
      <c r="I13" s="15" t="s">
        <v>32</v>
      </c>
      <c r="J13" s="16" t="s">
        <v>26</v>
      </c>
      <c r="K13" s="10"/>
      <c r="L13" s="15" t="s">
        <v>249</v>
      </c>
      <c r="M13" s="16" t="s">
        <v>250</v>
      </c>
      <c r="N13" s="16" t="s">
        <v>250</v>
      </c>
      <c r="O13" s="10"/>
      <c r="P13" s="10" t="str">
        <f>"510,0"</f>
        <v>510,0</v>
      </c>
      <c r="Q13" s="10" t="str">
        <f>"325,5840"</f>
        <v>325,5840</v>
      </c>
      <c r="R13" s="9" t="s">
        <v>1043</v>
      </c>
    </row>
    <row r="14" spans="1:18">
      <c r="B14" s="5" t="s">
        <v>9</v>
      </c>
    </row>
    <row r="15" spans="1:18" ht="16">
      <c r="A15" s="91" t="s">
        <v>49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8">
      <c r="A16" s="10" t="s">
        <v>66</v>
      </c>
      <c r="B16" s="9" t="s">
        <v>599</v>
      </c>
      <c r="C16" s="9" t="s">
        <v>600</v>
      </c>
      <c r="D16" s="9" t="s">
        <v>601</v>
      </c>
      <c r="E16" s="9" t="s">
        <v>1167</v>
      </c>
      <c r="F16" s="9" t="s">
        <v>602</v>
      </c>
      <c r="G16" s="9" t="s">
        <v>1039</v>
      </c>
      <c r="H16" s="15" t="s">
        <v>39</v>
      </c>
      <c r="I16" s="15" t="s">
        <v>446</v>
      </c>
      <c r="J16" s="16" t="s">
        <v>208</v>
      </c>
      <c r="K16" s="10"/>
      <c r="L16" s="15" t="s">
        <v>71</v>
      </c>
      <c r="M16" s="16" t="s">
        <v>72</v>
      </c>
      <c r="N16" s="15" t="s">
        <v>72</v>
      </c>
      <c r="O16" s="10"/>
      <c r="P16" s="10" t="str">
        <f>"537,5"</f>
        <v>537,5</v>
      </c>
      <c r="Q16" s="10" t="str">
        <f>"329,0038"</f>
        <v>329,0038</v>
      </c>
      <c r="R16" s="9"/>
    </row>
    <row r="17" spans="1:18">
      <c r="B17" s="5" t="s">
        <v>9</v>
      </c>
    </row>
    <row r="18" spans="1:18" ht="16">
      <c r="A18" s="91" t="s">
        <v>278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pans="1:18">
      <c r="A19" s="10" t="s">
        <v>66</v>
      </c>
      <c r="B19" s="9" t="s">
        <v>939</v>
      </c>
      <c r="C19" s="9" t="s">
        <v>940</v>
      </c>
      <c r="D19" s="9" t="s">
        <v>941</v>
      </c>
      <c r="E19" s="9" t="s">
        <v>1167</v>
      </c>
      <c r="F19" s="9" t="s">
        <v>602</v>
      </c>
      <c r="G19" s="9" t="s">
        <v>1065</v>
      </c>
      <c r="H19" s="15" t="s">
        <v>25</v>
      </c>
      <c r="I19" s="16" t="s">
        <v>231</v>
      </c>
      <c r="J19" s="16" t="s">
        <v>231</v>
      </c>
      <c r="K19" s="10"/>
      <c r="L19" s="15" t="s">
        <v>45</v>
      </c>
      <c r="M19" s="15" t="s">
        <v>48</v>
      </c>
      <c r="N19" s="15" t="s">
        <v>942</v>
      </c>
      <c r="O19" s="10"/>
      <c r="P19" s="10" t="str">
        <f>"417,5"</f>
        <v>417,5</v>
      </c>
      <c r="Q19" s="10" t="str">
        <f>"238,9770"</f>
        <v>238,9770</v>
      </c>
      <c r="R19" s="9" t="s">
        <v>1058</v>
      </c>
    </row>
    <row r="20" spans="1:18">
      <c r="B20" s="5" t="s">
        <v>9</v>
      </c>
    </row>
    <row r="21" spans="1:18" ht="16">
      <c r="B21" s="5" t="s">
        <v>9</v>
      </c>
      <c r="F21" s="7"/>
    </row>
    <row r="22" spans="1:18" ht="16">
      <c r="B22" s="5" t="s">
        <v>9</v>
      </c>
      <c r="F22" s="7"/>
    </row>
    <row r="23" spans="1:18" ht="16">
      <c r="B23" s="5" t="s">
        <v>9</v>
      </c>
      <c r="F23" s="7"/>
    </row>
    <row r="24" spans="1:18" ht="16">
      <c r="B24" s="5" t="s">
        <v>9</v>
      </c>
      <c r="F24" s="7"/>
    </row>
    <row r="25" spans="1:18">
      <c r="B25" s="5" t="s">
        <v>9</v>
      </c>
      <c r="C25" s="6"/>
      <c r="D25" s="6"/>
      <c r="E25" s="6"/>
      <c r="F25" s="6"/>
      <c r="G25" s="6"/>
      <c r="M25" s="5"/>
      <c r="N25" s="3"/>
      <c r="O25" s="3"/>
      <c r="P25" s="3"/>
      <c r="Q25" s="3"/>
      <c r="R25" s="3"/>
    </row>
    <row r="26" spans="1:18">
      <c r="B26" s="5" t="s">
        <v>9</v>
      </c>
      <c r="C26" s="6"/>
      <c r="D26" s="6"/>
      <c r="E26" s="6"/>
      <c r="F26" s="6"/>
      <c r="G26" s="6"/>
      <c r="M26" s="5"/>
      <c r="N26" s="3"/>
      <c r="O26" s="3"/>
      <c r="P26" s="3"/>
      <c r="Q26" s="3"/>
      <c r="R26" s="3"/>
    </row>
    <row r="27" spans="1:18">
      <c r="B27" s="5" t="s">
        <v>9</v>
      </c>
      <c r="C27" s="6"/>
      <c r="D27" s="6"/>
      <c r="E27" s="6"/>
      <c r="F27" s="6"/>
      <c r="G27" s="6"/>
      <c r="M27" s="5"/>
      <c r="N27" s="3"/>
      <c r="O27" s="3"/>
      <c r="P27" s="3"/>
      <c r="Q27" s="3"/>
      <c r="R27" s="3"/>
    </row>
    <row r="28" spans="1:18">
      <c r="B28" s="5" t="s">
        <v>9</v>
      </c>
      <c r="C28" s="6"/>
      <c r="D28" s="6"/>
      <c r="E28" s="6"/>
      <c r="F28" s="6"/>
      <c r="G28" s="6"/>
      <c r="M28" s="5"/>
      <c r="N28" s="3"/>
      <c r="O28" s="3"/>
      <c r="P28" s="3"/>
      <c r="Q28" s="3"/>
      <c r="R28" s="3"/>
    </row>
    <row r="29" spans="1:18">
      <c r="B29" s="5" t="s">
        <v>9</v>
      </c>
      <c r="C29" s="6"/>
      <c r="D29" s="6"/>
      <c r="E29" s="6"/>
      <c r="F29" s="6"/>
      <c r="G29" s="6"/>
      <c r="M29" s="5"/>
      <c r="N29" s="3"/>
      <c r="O29" s="3"/>
      <c r="P29" s="3"/>
      <c r="Q29" s="3"/>
      <c r="R29" s="3"/>
    </row>
    <row r="30" spans="1:18">
      <c r="B30" s="5" t="s">
        <v>9</v>
      </c>
      <c r="C30" s="6"/>
      <c r="D30" s="6"/>
      <c r="E30" s="6"/>
      <c r="F30" s="6"/>
      <c r="G30" s="6"/>
      <c r="M30" s="5"/>
      <c r="N30" s="3"/>
      <c r="O30" s="3"/>
      <c r="P30" s="3"/>
      <c r="Q30" s="3"/>
      <c r="R30" s="3"/>
    </row>
    <row r="31" spans="1:18">
      <c r="B31" s="5" t="s">
        <v>9</v>
      </c>
      <c r="C31" s="6"/>
      <c r="D31" s="6"/>
      <c r="E31" s="6"/>
      <c r="F31" s="6"/>
      <c r="G31" s="6"/>
      <c r="M31" s="5"/>
      <c r="N31" s="3"/>
      <c r="O31" s="3"/>
      <c r="P31" s="3"/>
      <c r="Q31" s="3"/>
      <c r="R31" s="3"/>
    </row>
    <row r="32" spans="1:18">
      <c r="B32" s="5" t="s">
        <v>9</v>
      </c>
      <c r="C32" s="6"/>
      <c r="D32" s="6"/>
      <c r="E32" s="6"/>
      <c r="F32" s="6"/>
      <c r="G32" s="6"/>
      <c r="M32" s="5"/>
      <c r="N32" s="3"/>
      <c r="O32" s="3"/>
      <c r="P32" s="3"/>
      <c r="Q32" s="3"/>
      <c r="R32" s="3"/>
    </row>
    <row r="33" spans="2:18">
      <c r="B33" s="5" t="s">
        <v>9</v>
      </c>
      <c r="C33" s="6"/>
      <c r="D33" s="6"/>
      <c r="E33" s="6"/>
      <c r="F33" s="6"/>
      <c r="G33" s="6"/>
      <c r="M33" s="5"/>
      <c r="N33" s="3"/>
      <c r="O33" s="3"/>
      <c r="P33" s="3"/>
      <c r="Q33" s="3"/>
      <c r="R33" s="3"/>
    </row>
    <row r="34" spans="2:18">
      <c r="B34" s="5" t="s">
        <v>9</v>
      </c>
      <c r="C34" s="6"/>
      <c r="D34" s="6"/>
      <c r="E34" s="6"/>
      <c r="F34" s="6"/>
      <c r="G34" s="6"/>
      <c r="M34" s="5"/>
      <c r="N34" s="3"/>
      <c r="O34" s="3"/>
      <c r="P34" s="3"/>
      <c r="Q34" s="3"/>
      <c r="R34" s="3"/>
    </row>
    <row r="35" spans="2:18">
      <c r="B35" s="5" t="s">
        <v>9</v>
      </c>
      <c r="C35" s="6"/>
      <c r="D35" s="6"/>
      <c r="E35" s="6"/>
      <c r="F35" s="6"/>
      <c r="G35" s="6"/>
      <c r="M35" s="5"/>
      <c r="N35" s="3"/>
      <c r="O35" s="3"/>
      <c r="P35" s="3"/>
      <c r="Q35" s="3"/>
      <c r="R35" s="3"/>
    </row>
    <row r="36" spans="2:18">
      <c r="B36" s="5" t="s">
        <v>9</v>
      </c>
      <c r="C36" s="6"/>
      <c r="D36" s="6"/>
      <c r="E36" s="6"/>
      <c r="F36" s="6"/>
      <c r="G36" s="6"/>
      <c r="M36" s="5"/>
      <c r="N36" s="3"/>
      <c r="O36" s="3"/>
      <c r="P36" s="3"/>
      <c r="Q36" s="3"/>
      <c r="R36" s="3"/>
    </row>
    <row r="37" spans="2:18">
      <c r="B37" s="5" t="s">
        <v>9</v>
      </c>
      <c r="C37" s="6"/>
      <c r="D37" s="6"/>
      <c r="E37" s="6"/>
      <c r="F37" s="6"/>
      <c r="G37" s="6"/>
      <c r="M37" s="5"/>
      <c r="N37" s="3"/>
      <c r="O37" s="3"/>
      <c r="P37" s="3"/>
      <c r="Q37" s="3"/>
      <c r="R37" s="3"/>
    </row>
    <row r="38" spans="2:18">
      <c r="B38" s="5" t="s">
        <v>9</v>
      </c>
      <c r="C38" s="6"/>
      <c r="D38" s="6"/>
      <c r="E38" s="6"/>
      <c r="F38" s="6"/>
      <c r="G38" s="6"/>
      <c r="M38" s="5"/>
      <c r="N38" s="3"/>
      <c r="O38" s="3"/>
      <c r="P38" s="3"/>
      <c r="Q38" s="3"/>
      <c r="R38" s="3"/>
    </row>
    <row r="39" spans="2:18">
      <c r="B39" s="5" t="s">
        <v>9</v>
      </c>
      <c r="C39" s="6"/>
      <c r="D39" s="6"/>
      <c r="E39" s="6"/>
      <c r="F39" s="6"/>
      <c r="G39" s="6"/>
      <c r="M39" s="5"/>
      <c r="N39" s="3"/>
      <c r="O39" s="3"/>
      <c r="P39" s="3"/>
      <c r="Q39" s="3"/>
      <c r="R39" s="3"/>
    </row>
    <row r="40" spans="2:18">
      <c r="B40" s="5" t="s">
        <v>9</v>
      </c>
      <c r="C40" s="6"/>
      <c r="D40" s="6"/>
      <c r="E40" s="6"/>
      <c r="F40" s="6"/>
      <c r="G40" s="6"/>
      <c r="M40" s="5"/>
      <c r="N40" s="3"/>
      <c r="O40" s="3"/>
      <c r="P40" s="3"/>
      <c r="Q40" s="3"/>
      <c r="R40" s="3"/>
    </row>
    <row r="41" spans="2:18">
      <c r="B41" s="5" t="s">
        <v>9</v>
      </c>
      <c r="C41" s="6"/>
      <c r="D41" s="6"/>
      <c r="E41" s="6"/>
      <c r="F41" s="6"/>
      <c r="G41" s="6"/>
      <c r="M41" s="5"/>
      <c r="N41" s="3"/>
      <c r="O41" s="3"/>
      <c r="P41" s="3"/>
      <c r="Q41" s="3"/>
      <c r="R41" s="3"/>
    </row>
    <row r="42" spans="2:18">
      <c r="B42" s="5" t="s">
        <v>9</v>
      </c>
      <c r="C42" s="6"/>
      <c r="D42" s="6"/>
      <c r="E42" s="6"/>
      <c r="F42" s="6"/>
      <c r="G42" s="6"/>
      <c r="M42" s="5"/>
      <c r="N42" s="3"/>
      <c r="O42" s="3"/>
      <c r="P42" s="3"/>
      <c r="Q42" s="3"/>
      <c r="R42" s="3"/>
    </row>
    <row r="43" spans="2:18">
      <c r="B43" s="5" t="s">
        <v>9</v>
      </c>
      <c r="C43" s="6"/>
      <c r="D43" s="6"/>
      <c r="E43" s="6"/>
      <c r="F43" s="6"/>
      <c r="G43" s="6"/>
      <c r="M43" s="5"/>
      <c r="N43" s="3"/>
      <c r="O43" s="3"/>
      <c r="P43" s="3"/>
      <c r="Q43" s="3"/>
      <c r="R43" s="3"/>
    </row>
    <row r="44" spans="2:18">
      <c r="B44" s="5" t="s">
        <v>9</v>
      </c>
      <c r="C44" s="6"/>
      <c r="D44" s="6"/>
      <c r="E44" s="6"/>
      <c r="F44" s="6"/>
      <c r="G44" s="6"/>
      <c r="M44" s="5"/>
      <c r="N44" s="3"/>
      <c r="O44" s="3"/>
      <c r="P44" s="3"/>
      <c r="Q44" s="3"/>
      <c r="R44" s="3"/>
    </row>
    <row r="45" spans="2:18">
      <c r="B45" s="5" t="s">
        <v>9</v>
      </c>
      <c r="C45" s="6"/>
      <c r="D45" s="6"/>
      <c r="E45" s="6"/>
      <c r="F45" s="6"/>
      <c r="G45" s="6"/>
      <c r="M45" s="5"/>
      <c r="N45" s="3"/>
      <c r="O45" s="3"/>
      <c r="P45" s="3"/>
      <c r="Q45" s="3"/>
      <c r="R45" s="3"/>
    </row>
    <row r="46" spans="2:18">
      <c r="B46" s="5" t="s">
        <v>9</v>
      </c>
      <c r="C46" s="6"/>
      <c r="D46" s="6"/>
      <c r="E46" s="6"/>
      <c r="F46" s="6"/>
      <c r="G46" s="6"/>
      <c r="M46" s="5"/>
      <c r="N46" s="3"/>
      <c r="O46" s="3"/>
      <c r="P46" s="3"/>
      <c r="Q46" s="3"/>
      <c r="R46" s="3"/>
    </row>
    <row r="47" spans="2:18">
      <c r="C47" s="6"/>
      <c r="D47" s="6"/>
      <c r="E47" s="6"/>
      <c r="F47" s="6"/>
      <c r="G47" s="6"/>
      <c r="M47" s="5"/>
      <c r="N47" s="3"/>
      <c r="O47" s="3"/>
      <c r="P47" s="3"/>
      <c r="Q47" s="3"/>
      <c r="R47" s="3"/>
    </row>
    <row r="48" spans="2:18">
      <c r="C48" s="6"/>
      <c r="D48" s="6"/>
      <c r="E48" s="6"/>
      <c r="F48" s="6"/>
      <c r="G48" s="6"/>
      <c r="M48" s="5"/>
      <c r="N48" s="3"/>
      <c r="O48" s="3"/>
      <c r="P48" s="3"/>
      <c r="Q48" s="3"/>
      <c r="R48" s="3"/>
    </row>
    <row r="49" spans="3:18">
      <c r="C49" s="6"/>
      <c r="D49" s="6"/>
      <c r="E49" s="6"/>
      <c r="F49" s="6"/>
      <c r="G49" s="6"/>
      <c r="M49" s="5"/>
      <c r="N49" s="3"/>
      <c r="O49" s="3"/>
      <c r="P49" s="3"/>
      <c r="Q49" s="3"/>
      <c r="R49" s="3"/>
    </row>
    <row r="50" spans="3:18">
      <c r="C50" s="6"/>
      <c r="D50" s="6"/>
      <c r="E50" s="6"/>
      <c r="F50" s="6"/>
      <c r="G50" s="6"/>
      <c r="M50" s="5"/>
      <c r="N50" s="3"/>
      <c r="O50" s="3"/>
      <c r="P50" s="3"/>
      <c r="Q50" s="3"/>
      <c r="R50" s="3"/>
    </row>
    <row r="51" spans="3:18">
      <c r="C51" s="6"/>
      <c r="D51" s="6"/>
      <c r="E51" s="6"/>
      <c r="F51" s="6"/>
      <c r="G51" s="6"/>
      <c r="M51" s="5"/>
      <c r="N51" s="3"/>
      <c r="O51" s="3"/>
      <c r="P51" s="3"/>
      <c r="Q51" s="3"/>
      <c r="R51" s="3"/>
    </row>
    <row r="52" spans="3:18">
      <c r="C52" s="6"/>
      <c r="D52" s="6"/>
      <c r="E52" s="6"/>
      <c r="F52" s="6"/>
      <c r="G52" s="6"/>
      <c r="M52" s="5"/>
      <c r="N52" s="3"/>
      <c r="O52" s="3"/>
      <c r="P52" s="3"/>
      <c r="Q52" s="3"/>
      <c r="R52" s="3"/>
    </row>
    <row r="53" spans="3:18">
      <c r="C53" s="6"/>
      <c r="D53" s="6"/>
      <c r="E53" s="6"/>
      <c r="F53" s="6"/>
      <c r="G53" s="6"/>
      <c r="M53" s="5"/>
      <c r="N53" s="3"/>
      <c r="O53" s="3"/>
      <c r="P53" s="3"/>
      <c r="Q53" s="3"/>
      <c r="R53" s="3"/>
    </row>
    <row r="54" spans="3:18">
      <c r="C54" s="6"/>
      <c r="D54" s="6"/>
      <c r="E54" s="6"/>
      <c r="F54" s="6"/>
      <c r="G54" s="6"/>
      <c r="M54" s="5"/>
      <c r="N54" s="3"/>
      <c r="O54" s="3"/>
      <c r="P54" s="3"/>
      <c r="Q54" s="3"/>
      <c r="R54" s="3"/>
    </row>
    <row r="55" spans="3:18">
      <c r="C55" s="6"/>
      <c r="D55" s="6"/>
      <c r="E55" s="6"/>
      <c r="F55" s="6"/>
      <c r="G55" s="6"/>
      <c r="M55" s="5"/>
      <c r="N55" s="3"/>
      <c r="O55" s="3"/>
      <c r="P55" s="3"/>
      <c r="Q55" s="3"/>
      <c r="R55" s="3"/>
    </row>
    <row r="56" spans="3:18">
      <c r="C56" s="6"/>
      <c r="D56" s="6"/>
      <c r="E56" s="6"/>
      <c r="F56" s="6"/>
      <c r="G56" s="6"/>
      <c r="M56" s="5"/>
      <c r="N56" s="3"/>
      <c r="O56" s="3"/>
      <c r="P56" s="3"/>
      <c r="Q56" s="3"/>
      <c r="R56" s="3"/>
    </row>
    <row r="57" spans="3:18">
      <c r="C57" s="6"/>
      <c r="D57" s="6"/>
      <c r="E57" s="6"/>
      <c r="F57" s="6"/>
      <c r="G57" s="6"/>
      <c r="M57" s="5"/>
      <c r="N57" s="3"/>
      <c r="O57" s="3"/>
      <c r="P57" s="3"/>
      <c r="Q57" s="3"/>
      <c r="R57" s="3"/>
    </row>
    <row r="58" spans="3:18">
      <c r="C58" s="6"/>
      <c r="D58" s="6"/>
      <c r="E58" s="6"/>
      <c r="F58" s="6"/>
      <c r="G58" s="6"/>
      <c r="M58" s="5"/>
      <c r="N58" s="3"/>
      <c r="O58" s="3"/>
      <c r="P58" s="3"/>
      <c r="Q58" s="3"/>
      <c r="R58" s="3"/>
    </row>
    <row r="59" spans="3:18">
      <c r="C59" s="6"/>
      <c r="D59" s="6"/>
      <c r="E59" s="6"/>
      <c r="F59" s="6"/>
      <c r="G59" s="6"/>
      <c r="M59" s="5"/>
      <c r="N59" s="3"/>
      <c r="O59" s="3"/>
      <c r="P59" s="3"/>
      <c r="Q59" s="3"/>
      <c r="R59" s="3"/>
    </row>
  </sheetData>
  <mergeCells count="18">
    <mergeCell ref="A8:O8"/>
    <mergeCell ref="A12:O12"/>
    <mergeCell ref="A15:O15"/>
    <mergeCell ref="A18:O18"/>
    <mergeCell ref="B3:B4"/>
    <mergeCell ref="P3:P4"/>
    <mergeCell ref="Q3:Q4"/>
    <mergeCell ref="R3:R4"/>
    <mergeCell ref="A5:O5"/>
    <mergeCell ref="A1:R2"/>
    <mergeCell ref="A3:A4"/>
    <mergeCell ref="C3:C4"/>
    <mergeCell ref="D3:D4"/>
    <mergeCell ref="E3:E4"/>
    <mergeCell ref="F3:F4"/>
    <mergeCell ref="G3:G4"/>
    <mergeCell ref="H3:K3"/>
    <mergeCell ref="L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59"/>
  <sheetViews>
    <sheetView topLeftCell="A77" workbookViewId="0">
      <selection activeCell="E113" sqref="E113"/>
    </sheetView>
  </sheetViews>
  <sheetFormatPr baseColWidth="10" defaultColWidth="9.1640625" defaultRowHeight="13"/>
  <cols>
    <col min="1" max="1" width="7.5" style="5" bestFit="1" customWidth="1"/>
    <col min="2" max="2" width="22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30" bestFit="1" customWidth="1"/>
    <col min="13" max="13" width="8.5" style="6" bestFit="1" customWidth="1"/>
    <col min="14" max="14" width="28.5" style="5" bestFit="1" customWidth="1"/>
    <col min="15" max="16384" width="9.1640625" style="3"/>
  </cols>
  <sheetData>
    <row r="1" spans="1:14" s="2" customFormat="1" ht="29" customHeight="1">
      <c r="A1" s="80" t="s">
        <v>1139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2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3"/>
      <c r="M4" s="75"/>
      <c r="N4" s="77"/>
    </row>
    <row r="5" spans="1:14" ht="16">
      <c r="A5" s="78" t="s">
        <v>81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8" t="s">
        <v>66</v>
      </c>
      <c r="B6" s="17" t="s">
        <v>650</v>
      </c>
      <c r="C6" s="17" t="s">
        <v>651</v>
      </c>
      <c r="D6" s="17" t="s">
        <v>652</v>
      </c>
      <c r="E6" s="17" t="s">
        <v>1165</v>
      </c>
      <c r="F6" s="17" t="s">
        <v>1054</v>
      </c>
      <c r="G6" s="17" t="s">
        <v>1039</v>
      </c>
      <c r="H6" s="23" t="s">
        <v>102</v>
      </c>
      <c r="I6" s="24" t="s">
        <v>104</v>
      </c>
      <c r="J6" s="23" t="s">
        <v>104</v>
      </c>
      <c r="K6" s="18"/>
      <c r="L6" s="31" t="str">
        <f>"45,0"</f>
        <v>45,0</v>
      </c>
      <c r="M6" s="18" t="str">
        <f>"67,2120"</f>
        <v>67,2120</v>
      </c>
      <c r="N6" s="17"/>
    </row>
    <row r="7" spans="1:14">
      <c r="A7" s="20" t="s">
        <v>66</v>
      </c>
      <c r="B7" s="19" t="s">
        <v>653</v>
      </c>
      <c r="C7" s="19" t="s">
        <v>654</v>
      </c>
      <c r="D7" s="19" t="s">
        <v>655</v>
      </c>
      <c r="E7" s="19" t="s">
        <v>1167</v>
      </c>
      <c r="F7" s="19" t="s">
        <v>1054</v>
      </c>
      <c r="G7" s="19" t="s">
        <v>1039</v>
      </c>
      <c r="H7" s="28" t="s">
        <v>331</v>
      </c>
      <c r="I7" s="28" t="s">
        <v>88</v>
      </c>
      <c r="J7" s="25" t="s">
        <v>118</v>
      </c>
      <c r="K7" s="20"/>
      <c r="L7" s="34" t="str">
        <f>"60,0"</f>
        <v>60,0</v>
      </c>
      <c r="M7" s="20" t="str">
        <f>"80,3220"</f>
        <v>80,3220</v>
      </c>
      <c r="N7" s="19" t="s">
        <v>656</v>
      </c>
    </row>
    <row r="8" spans="1:14">
      <c r="A8" s="20" t="s">
        <v>312</v>
      </c>
      <c r="B8" s="19" t="s">
        <v>657</v>
      </c>
      <c r="C8" s="19" t="s">
        <v>658</v>
      </c>
      <c r="D8" s="19" t="s">
        <v>324</v>
      </c>
      <c r="E8" s="19" t="s">
        <v>1167</v>
      </c>
      <c r="F8" s="19" t="s">
        <v>204</v>
      </c>
      <c r="G8" s="19" t="s">
        <v>1039</v>
      </c>
      <c r="H8" s="28" t="s">
        <v>348</v>
      </c>
      <c r="I8" s="25" t="s">
        <v>117</v>
      </c>
      <c r="J8" s="28" t="s">
        <v>117</v>
      </c>
      <c r="K8" s="20"/>
      <c r="L8" s="34" t="str">
        <f>"52,5"</f>
        <v>52,5</v>
      </c>
      <c r="M8" s="20" t="str">
        <f>"71,2583"</f>
        <v>71,2583</v>
      </c>
      <c r="N8" s="19" t="s">
        <v>1066</v>
      </c>
    </row>
    <row r="9" spans="1:14">
      <c r="A9" s="20" t="s">
        <v>313</v>
      </c>
      <c r="B9" s="19" t="s">
        <v>659</v>
      </c>
      <c r="C9" s="19" t="s">
        <v>660</v>
      </c>
      <c r="D9" s="19" t="s">
        <v>661</v>
      </c>
      <c r="E9" s="19" t="s">
        <v>1167</v>
      </c>
      <c r="F9" s="19" t="s">
        <v>125</v>
      </c>
      <c r="G9" s="19" t="s">
        <v>1053</v>
      </c>
      <c r="H9" s="28" t="s">
        <v>348</v>
      </c>
      <c r="I9" s="25" t="s">
        <v>117</v>
      </c>
      <c r="J9" s="25" t="s">
        <v>117</v>
      </c>
      <c r="K9" s="20"/>
      <c r="L9" s="34" t="str">
        <f>"47,5"</f>
        <v>47,5</v>
      </c>
      <c r="M9" s="20" t="str">
        <f>"62,9090"</f>
        <v>62,9090</v>
      </c>
      <c r="N9" s="19" t="s">
        <v>1067</v>
      </c>
    </row>
    <row r="10" spans="1:14">
      <c r="A10" s="22" t="s">
        <v>314</v>
      </c>
      <c r="B10" s="21" t="s">
        <v>662</v>
      </c>
      <c r="C10" s="21" t="s">
        <v>663</v>
      </c>
      <c r="D10" s="21" t="s">
        <v>661</v>
      </c>
      <c r="E10" s="21" t="s">
        <v>1167</v>
      </c>
      <c r="F10" s="21" t="s">
        <v>125</v>
      </c>
      <c r="G10" s="21" t="s">
        <v>1053</v>
      </c>
      <c r="H10" s="26" t="s">
        <v>348</v>
      </c>
      <c r="I10" s="27" t="s">
        <v>117</v>
      </c>
      <c r="J10" s="27" t="s">
        <v>117</v>
      </c>
      <c r="K10" s="22"/>
      <c r="L10" s="32" t="str">
        <f>"47,5"</f>
        <v>47,5</v>
      </c>
      <c r="M10" s="22" t="str">
        <f>"62,9090"</f>
        <v>62,9090</v>
      </c>
      <c r="N10" s="21" t="s">
        <v>1067</v>
      </c>
    </row>
    <row r="11" spans="1:14">
      <c r="B11" s="5" t="s">
        <v>9</v>
      </c>
    </row>
    <row r="12" spans="1:14" ht="16">
      <c r="A12" s="91" t="s">
        <v>94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4">
      <c r="A13" s="18" t="s">
        <v>66</v>
      </c>
      <c r="B13" s="17" t="s">
        <v>664</v>
      </c>
      <c r="C13" s="17" t="s">
        <v>665</v>
      </c>
      <c r="D13" s="17" t="s">
        <v>327</v>
      </c>
      <c r="E13" s="17" t="s">
        <v>1167</v>
      </c>
      <c r="F13" s="17" t="s">
        <v>110</v>
      </c>
      <c r="G13" s="17" t="s">
        <v>1039</v>
      </c>
      <c r="H13" s="23" t="s">
        <v>87</v>
      </c>
      <c r="I13" s="23" t="s">
        <v>118</v>
      </c>
      <c r="J13" s="24" t="s">
        <v>111</v>
      </c>
      <c r="K13" s="18"/>
      <c r="L13" s="31" t="str">
        <f>"62,5"</f>
        <v>62,5</v>
      </c>
      <c r="M13" s="18" t="str">
        <f>"77,9125"</f>
        <v>77,9125</v>
      </c>
      <c r="N13" s="17" t="s">
        <v>1055</v>
      </c>
    </row>
    <row r="14" spans="1:14">
      <c r="A14" s="22" t="s">
        <v>312</v>
      </c>
      <c r="B14" s="21" t="s">
        <v>666</v>
      </c>
      <c r="C14" s="21" t="s">
        <v>667</v>
      </c>
      <c r="D14" s="21" t="s">
        <v>97</v>
      </c>
      <c r="E14" s="21" t="s">
        <v>1167</v>
      </c>
      <c r="F14" s="21" t="s">
        <v>1054</v>
      </c>
      <c r="G14" s="21" t="s">
        <v>18</v>
      </c>
      <c r="H14" s="26" t="s">
        <v>104</v>
      </c>
      <c r="I14" s="27" t="s">
        <v>149</v>
      </c>
      <c r="J14" s="27" t="s">
        <v>331</v>
      </c>
      <c r="K14" s="22"/>
      <c r="L14" s="32" t="str">
        <f>"45,0"</f>
        <v>45,0</v>
      </c>
      <c r="M14" s="22" t="str">
        <f>"56,2680"</f>
        <v>56,2680</v>
      </c>
      <c r="N14" s="21" t="s">
        <v>1068</v>
      </c>
    </row>
    <row r="15" spans="1:14">
      <c r="B15" s="5" t="s">
        <v>9</v>
      </c>
    </row>
    <row r="16" spans="1:14" ht="16">
      <c r="A16" s="91" t="s">
        <v>13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4">
      <c r="A17" s="18" t="s">
        <v>66</v>
      </c>
      <c r="B17" s="17" t="s">
        <v>668</v>
      </c>
      <c r="C17" s="17" t="s">
        <v>669</v>
      </c>
      <c r="D17" s="17" t="s">
        <v>670</v>
      </c>
      <c r="E17" s="17" t="s">
        <v>1165</v>
      </c>
      <c r="F17" s="17" t="s">
        <v>110</v>
      </c>
      <c r="G17" s="17" t="s">
        <v>1039</v>
      </c>
      <c r="H17" s="23" t="s">
        <v>671</v>
      </c>
      <c r="I17" s="23" t="s">
        <v>90</v>
      </c>
      <c r="J17" s="23" t="s">
        <v>112</v>
      </c>
      <c r="K17" s="18"/>
      <c r="L17" s="31" t="str">
        <f>"35,0"</f>
        <v>35,0</v>
      </c>
      <c r="M17" s="18" t="str">
        <f>"42,2485"</f>
        <v>42,2485</v>
      </c>
      <c r="N17" s="17" t="s">
        <v>1055</v>
      </c>
    </row>
    <row r="18" spans="1:14">
      <c r="A18" s="20" t="s">
        <v>66</v>
      </c>
      <c r="B18" s="19" t="s">
        <v>672</v>
      </c>
      <c r="C18" s="19" t="s">
        <v>673</v>
      </c>
      <c r="D18" s="19" t="s">
        <v>16</v>
      </c>
      <c r="E18" s="19" t="s">
        <v>1167</v>
      </c>
      <c r="F18" s="19" t="s">
        <v>17</v>
      </c>
      <c r="G18" s="19" t="s">
        <v>1039</v>
      </c>
      <c r="H18" s="28" t="s">
        <v>331</v>
      </c>
      <c r="I18" s="28" t="s">
        <v>88</v>
      </c>
      <c r="J18" s="28" t="s">
        <v>118</v>
      </c>
      <c r="K18" s="20"/>
      <c r="L18" s="34" t="str">
        <f>"62,5"</f>
        <v>62,5</v>
      </c>
      <c r="M18" s="20" t="str">
        <f>"73,5375"</f>
        <v>73,5375</v>
      </c>
      <c r="N18" s="19" t="s">
        <v>1069</v>
      </c>
    </row>
    <row r="19" spans="1:14">
      <c r="A19" s="20" t="s">
        <v>312</v>
      </c>
      <c r="B19" s="19" t="s">
        <v>674</v>
      </c>
      <c r="C19" s="19" t="s">
        <v>675</v>
      </c>
      <c r="D19" s="19" t="s">
        <v>16</v>
      </c>
      <c r="E19" s="19" t="s">
        <v>1167</v>
      </c>
      <c r="F19" s="19" t="s">
        <v>110</v>
      </c>
      <c r="G19" s="19" t="s">
        <v>1039</v>
      </c>
      <c r="H19" s="28" t="s">
        <v>87</v>
      </c>
      <c r="I19" s="25" t="s">
        <v>118</v>
      </c>
      <c r="J19" s="25" t="s">
        <v>118</v>
      </c>
      <c r="K19" s="20"/>
      <c r="L19" s="34" t="str">
        <f>"55,0"</f>
        <v>55,0</v>
      </c>
      <c r="M19" s="20" t="str">
        <f>"64,7130"</f>
        <v>64,7130</v>
      </c>
      <c r="N19" s="19" t="s">
        <v>1070</v>
      </c>
    </row>
    <row r="20" spans="1:14">
      <c r="A20" s="20" t="s">
        <v>313</v>
      </c>
      <c r="B20" s="19" t="s">
        <v>676</v>
      </c>
      <c r="C20" s="19" t="s">
        <v>677</v>
      </c>
      <c r="D20" s="19" t="s">
        <v>678</v>
      </c>
      <c r="E20" s="19" t="s">
        <v>1167</v>
      </c>
      <c r="F20" s="19" t="s">
        <v>204</v>
      </c>
      <c r="G20" s="19" t="s">
        <v>1039</v>
      </c>
      <c r="H20" s="28" t="s">
        <v>120</v>
      </c>
      <c r="I20" s="28" t="s">
        <v>103</v>
      </c>
      <c r="J20" s="25" t="s">
        <v>104</v>
      </c>
      <c r="K20" s="20"/>
      <c r="L20" s="34" t="str">
        <f>"42,5"</f>
        <v>42,5</v>
      </c>
      <c r="M20" s="20" t="str">
        <f>"51,3740"</f>
        <v>51,3740</v>
      </c>
      <c r="N20" s="19" t="s">
        <v>1071</v>
      </c>
    </row>
    <row r="21" spans="1:14">
      <c r="A21" s="22" t="s">
        <v>66</v>
      </c>
      <c r="B21" s="21" t="s">
        <v>679</v>
      </c>
      <c r="C21" s="21" t="s">
        <v>680</v>
      </c>
      <c r="D21" s="21" t="s">
        <v>498</v>
      </c>
      <c r="E21" s="21" t="s">
        <v>1168</v>
      </c>
      <c r="F21" s="21" t="s">
        <v>110</v>
      </c>
      <c r="G21" s="21" t="s">
        <v>1039</v>
      </c>
      <c r="H21" s="26" t="s">
        <v>102</v>
      </c>
      <c r="I21" s="27" t="s">
        <v>104</v>
      </c>
      <c r="J21" s="26" t="s">
        <v>149</v>
      </c>
      <c r="K21" s="22"/>
      <c r="L21" s="32" t="str">
        <f>"50,0"</f>
        <v>50,0</v>
      </c>
      <c r="M21" s="22" t="str">
        <f>"59,6650"</f>
        <v>59,6650</v>
      </c>
      <c r="N21" s="21" t="s">
        <v>1055</v>
      </c>
    </row>
    <row r="22" spans="1:14">
      <c r="B22" s="5" t="s">
        <v>9</v>
      </c>
    </row>
    <row r="23" spans="1:14" ht="16">
      <c r="A23" s="91" t="s">
        <v>113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1:14">
      <c r="A24" s="18" t="s">
        <v>66</v>
      </c>
      <c r="B24" s="17" t="s">
        <v>681</v>
      </c>
      <c r="C24" s="17" t="s">
        <v>320</v>
      </c>
      <c r="D24" s="17" t="s">
        <v>503</v>
      </c>
      <c r="E24" s="17" t="s">
        <v>1165</v>
      </c>
      <c r="F24" s="17" t="s">
        <v>356</v>
      </c>
      <c r="G24" s="17" t="s">
        <v>18</v>
      </c>
      <c r="H24" s="23" t="s">
        <v>331</v>
      </c>
      <c r="I24" s="23" t="s">
        <v>88</v>
      </c>
      <c r="J24" s="23" t="s">
        <v>111</v>
      </c>
      <c r="K24" s="18"/>
      <c r="L24" s="31" t="str">
        <f>"65,0"</f>
        <v>65,0</v>
      </c>
      <c r="M24" s="18" t="str">
        <f>"73,9115"</f>
        <v>73,9115</v>
      </c>
      <c r="N24" s="17" t="s">
        <v>587</v>
      </c>
    </row>
    <row r="25" spans="1:14">
      <c r="A25" s="20" t="s">
        <v>66</v>
      </c>
      <c r="B25" s="19" t="s">
        <v>343</v>
      </c>
      <c r="C25" s="19" t="s">
        <v>344</v>
      </c>
      <c r="D25" s="19" t="s">
        <v>345</v>
      </c>
      <c r="E25" s="19" t="s">
        <v>1167</v>
      </c>
      <c r="F25" s="19" t="s">
        <v>17</v>
      </c>
      <c r="G25" s="19" t="s">
        <v>1039</v>
      </c>
      <c r="H25" s="28" t="s">
        <v>93</v>
      </c>
      <c r="I25" s="25" t="s">
        <v>100</v>
      </c>
      <c r="J25" s="28" t="s">
        <v>100</v>
      </c>
      <c r="K25" s="20"/>
      <c r="L25" s="34" t="str">
        <f>"80,0"</f>
        <v>80,0</v>
      </c>
      <c r="M25" s="20" t="str">
        <f>"89,4240"</f>
        <v>89,4240</v>
      </c>
      <c r="N25" s="19" t="s">
        <v>1072</v>
      </c>
    </row>
    <row r="26" spans="1:14">
      <c r="A26" s="20" t="s">
        <v>312</v>
      </c>
      <c r="B26" s="19" t="s">
        <v>682</v>
      </c>
      <c r="C26" s="19" t="s">
        <v>683</v>
      </c>
      <c r="D26" s="19" t="s">
        <v>684</v>
      </c>
      <c r="E26" s="19" t="s">
        <v>1167</v>
      </c>
      <c r="F26" s="19" t="s">
        <v>602</v>
      </c>
      <c r="G26" s="19" t="s">
        <v>1039</v>
      </c>
      <c r="H26" s="25" t="s">
        <v>117</v>
      </c>
      <c r="I26" s="28" t="s">
        <v>117</v>
      </c>
      <c r="J26" s="25" t="s">
        <v>331</v>
      </c>
      <c r="K26" s="20"/>
      <c r="L26" s="34" t="str">
        <f>"52,5"</f>
        <v>52,5</v>
      </c>
      <c r="M26" s="20" t="str">
        <f>"59,4563"</f>
        <v>59,4563</v>
      </c>
      <c r="N26" s="19" t="s">
        <v>328</v>
      </c>
    </row>
    <row r="27" spans="1:14">
      <c r="A27" s="22" t="s">
        <v>66</v>
      </c>
      <c r="B27" s="21" t="s">
        <v>685</v>
      </c>
      <c r="C27" s="21" t="s">
        <v>686</v>
      </c>
      <c r="D27" s="21" t="s">
        <v>687</v>
      </c>
      <c r="E27" s="21" t="s">
        <v>1168</v>
      </c>
      <c r="F27" s="21" t="s">
        <v>688</v>
      </c>
      <c r="G27" s="21" t="s">
        <v>18</v>
      </c>
      <c r="H27" s="27" t="s">
        <v>111</v>
      </c>
      <c r="I27" s="26" t="s">
        <v>111</v>
      </c>
      <c r="J27" s="26" t="s">
        <v>119</v>
      </c>
      <c r="K27" s="22"/>
      <c r="L27" s="32" t="str">
        <f>"67,5"</f>
        <v>67,5</v>
      </c>
      <c r="M27" s="22" t="str">
        <f>"77,3086"</f>
        <v>77,3086</v>
      </c>
      <c r="N27" s="21" t="s">
        <v>689</v>
      </c>
    </row>
    <row r="28" spans="1:14">
      <c r="B28" s="5" t="s">
        <v>9</v>
      </c>
    </row>
    <row r="29" spans="1:14" ht="16">
      <c r="A29" s="91" t="s">
        <v>121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4">
      <c r="A30" s="18" t="s">
        <v>66</v>
      </c>
      <c r="B30" s="17" t="s">
        <v>690</v>
      </c>
      <c r="C30" s="17" t="s">
        <v>691</v>
      </c>
      <c r="D30" s="17" t="s">
        <v>692</v>
      </c>
      <c r="E30" s="17" t="s">
        <v>1165</v>
      </c>
      <c r="F30" s="17" t="s">
        <v>356</v>
      </c>
      <c r="G30" s="17" t="s">
        <v>693</v>
      </c>
      <c r="H30" s="23" t="s">
        <v>112</v>
      </c>
      <c r="I30" s="23" t="s">
        <v>120</v>
      </c>
      <c r="J30" s="24" t="s">
        <v>102</v>
      </c>
      <c r="K30" s="18"/>
      <c r="L30" s="31" t="str">
        <f>"37,5"</f>
        <v>37,5</v>
      </c>
      <c r="M30" s="18" t="str">
        <f>"41,5425"</f>
        <v>41,5425</v>
      </c>
      <c r="N30" s="17" t="s">
        <v>1073</v>
      </c>
    </row>
    <row r="31" spans="1:14">
      <c r="A31" s="20" t="s">
        <v>66</v>
      </c>
      <c r="B31" s="19" t="s">
        <v>361</v>
      </c>
      <c r="C31" s="19" t="s">
        <v>362</v>
      </c>
      <c r="D31" s="19" t="s">
        <v>172</v>
      </c>
      <c r="E31" s="19" t="s">
        <v>1167</v>
      </c>
      <c r="F31" s="19" t="s">
        <v>17</v>
      </c>
      <c r="G31" s="19" t="s">
        <v>18</v>
      </c>
      <c r="H31" s="28" t="s">
        <v>149</v>
      </c>
      <c r="I31" s="28" t="s">
        <v>87</v>
      </c>
      <c r="J31" s="25" t="s">
        <v>88</v>
      </c>
      <c r="K31" s="20"/>
      <c r="L31" s="34" t="str">
        <f>"55,0"</f>
        <v>55,0</v>
      </c>
      <c r="M31" s="20" t="str">
        <f>"56,1330"</f>
        <v>56,1330</v>
      </c>
      <c r="N31" s="19" t="s">
        <v>27</v>
      </c>
    </row>
    <row r="32" spans="1:14">
      <c r="A32" s="22" t="s">
        <v>66</v>
      </c>
      <c r="B32" s="21" t="s">
        <v>361</v>
      </c>
      <c r="C32" s="21" t="s">
        <v>366</v>
      </c>
      <c r="D32" s="21" t="s">
        <v>172</v>
      </c>
      <c r="E32" s="21" t="s">
        <v>1168</v>
      </c>
      <c r="F32" s="21" t="s">
        <v>17</v>
      </c>
      <c r="G32" s="21" t="s">
        <v>18</v>
      </c>
      <c r="H32" s="26" t="s">
        <v>149</v>
      </c>
      <c r="I32" s="26" t="s">
        <v>87</v>
      </c>
      <c r="J32" s="27" t="s">
        <v>88</v>
      </c>
      <c r="K32" s="22"/>
      <c r="L32" s="32" t="str">
        <f>"55,0"</f>
        <v>55,0</v>
      </c>
      <c r="M32" s="22" t="str">
        <f>"58,6028"</f>
        <v>58,6028</v>
      </c>
      <c r="N32" s="21" t="s">
        <v>27</v>
      </c>
    </row>
    <row r="33" spans="1:14">
      <c r="B33" s="5" t="s">
        <v>9</v>
      </c>
    </row>
    <row r="34" spans="1:14" ht="16">
      <c r="A34" s="91" t="s">
        <v>176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4">
      <c r="A35" s="10" t="s">
        <v>66</v>
      </c>
      <c r="B35" s="9" t="s">
        <v>367</v>
      </c>
      <c r="C35" s="9" t="s">
        <v>368</v>
      </c>
      <c r="D35" s="9" t="s">
        <v>369</v>
      </c>
      <c r="E35" s="9" t="s">
        <v>1167</v>
      </c>
      <c r="F35" s="9" t="s">
        <v>17</v>
      </c>
      <c r="G35" s="9" t="s">
        <v>1039</v>
      </c>
      <c r="H35" s="15" t="s">
        <v>102</v>
      </c>
      <c r="I35" s="15" t="s">
        <v>104</v>
      </c>
      <c r="J35" s="15" t="s">
        <v>348</v>
      </c>
      <c r="K35" s="10"/>
      <c r="L35" s="33" t="str">
        <f>"47,5"</f>
        <v>47,5</v>
      </c>
      <c r="M35" s="10" t="str">
        <f>"45,5810"</f>
        <v>45,5810</v>
      </c>
      <c r="N35" s="9" t="s">
        <v>27</v>
      </c>
    </row>
    <row r="36" spans="1:14">
      <c r="B36" s="5" t="s">
        <v>9</v>
      </c>
    </row>
    <row r="37" spans="1:14" ht="16">
      <c r="A37" s="91" t="s">
        <v>94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</row>
    <row r="38" spans="1:14">
      <c r="A38" s="18" t="s">
        <v>66</v>
      </c>
      <c r="B38" s="17" t="s">
        <v>694</v>
      </c>
      <c r="C38" s="17" t="s">
        <v>695</v>
      </c>
      <c r="D38" s="17" t="s">
        <v>696</v>
      </c>
      <c r="E38" s="17" t="s">
        <v>1166</v>
      </c>
      <c r="F38" s="17" t="s">
        <v>157</v>
      </c>
      <c r="G38" s="17" t="s">
        <v>18</v>
      </c>
      <c r="H38" s="23" t="s">
        <v>87</v>
      </c>
      <c r="I38" s="23" t="s">
        <v>331</v>
      </c>
      <c r="J38" s="24" t="s">
        <v>88</v>
      </c>
      <c r="K38" s="18"/>
      <c r="L38" s="31" t="str">
        <f>"57,5"</f>
        <v>57,5</v>
      </c>
      <c r="M38" s="18" t="str">
        <f>"57,4712"</f>
        <v>57,4712</v>
      </c>
      <c r="N38" s="17" t="s">
        <v>1074</v>
      </c>
    </row>
    <row r="39" spans="1:14">
      <c r="A39" s="20" t="s">
        <v>312</v>
      </c>
      <c r="B39" s="19" t="s">
        <v>697</v>
      </c>
      <c r="C39" s="19" t="s">
        <v>698</v>
      </c>
      <c r="D39" s="19" t="s">
        <v>699</v>
      </c>
      <c r="E39" s="19" t="s">
        <v>1166</v>
      </c>
      <c r="F39" s="19" t="s">
        <v>17</v>
      </c>
      <c r="G39" s="19" t="s">
        <v>18</v>
      </c>
      <c r="H39" s="28" t="s">
        <v>120</v>
      </c>
      <c r="I39" s="28" t="s">
        <v>102</v>
      </c>
      <c r="J39" s="28" t="s">
        <v>103</v>
      </c>
      <c r="K39" s="20"/>
      <c r="L39" s="34" t="str">
        <f>"42,5"</f>
        <v>42,5</v>
      </c>
      <c r="M39" s="20" t="str">
        <f>"43,2055"</f>
        <v>43,2055</v>
      </c>
      <c r="N39" s="19" t="s">
        <v>1075</v>
      </c>
    </row>
    <row r="40" spans="1:14">
      <c r="A40" s="22" t="s">
        <v>313</v>
      </c>
      <c r="B40" s="21" t="s">
        <v>700</v>
      </c>
      <c r="C40" s="21" t="s">
        <v>701</v>
      </c>
      <c r="D40" s="21" t="s">
        <v>702</v>
      </c>
      <c r="E40" s="21" t="s">
        <v>1166</v>
      </c>
      <c r="F40" s="21" t="s">
        <v>235</v>
      </c>
      <c r="G40" s="21" t="s">
        <v>1039</v>
      </c>
      <c r="H40" s="26" t="s">
        <v>703</v>
      </c>
      <c r="I40" s="26" t="s">
        <v>704</v>
      </c>
      <c r="J40" s="27" t="s">
        <v>705</v>
      </c>
      <c r="K40" s="22"/>
      <c r="L40" s="32" t="str">
        <f>"17,5"</f>
        <v>17,5</v>
      </c>
      <c r="M40" s="22" t="str">
        <f>"23,3695"</f>
        <v>23,3695</v>
      </c>
      <c r="N40" s="21" t="s">
        <v>412</v>
      </c>
    </row>
    <row r="41" spans="1:14">
      <c r="B41" s="5" t="s">
        <v>9</v>
      </c>
    </row>
    <row r="42" spans="1:14" ht="16">
      <c r="A42" s="91" t="s">
        <v>13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4">
      <c r="A43" s="10" t="s">
        <v>66</v>
      </c>
      <c r="B43" s="9" t="s">
        <v>706</v>
      </c>
      <c r="C43" s="9" t="s">
        <v>707</v>
      </c>
      <c r="D43" s="9" t="s">
        <v>708</v>
      </c>
      <c r="E43" s="9" t="s">
        <v>1164</v>
      </c>
      <c r="F43" s="9" t="s">
        <v>110</v>
      </c>
      <c r="G43" s="9" t="s">
        <v>1039</v>
      </c>
      <c r="H43" s="16" t="s">
        <v>105</v>
      </c>
      <c r="I43" s="16" t="s">
        <v>105</v>
      </c>
      <c r="J43" s="15" t="s">
        <v>105</v>
      </c>
      <c r="K43" s="10"/>
      <c r="L43" s="33" t="str">
        <f>"100,0"</f>
        <v>100,0</v>
      </c>
      <c r="M43" s="10" t="str">
        <f>"93,5200"</f>
        <v>93,5200</v>
      </c>
      <c r="N43" s="9" t="s">
        <v>1076</v>
      </c>
    </row>
    <row r="44" spans="1:14">
      <c r="B44" s="5" t="s">
        <v>9</v>
      </c>
    </row>
    <row r="45" spans="1:14" ht="16">
      <c r="A45" s="91" t="s">
        <v>113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</row>
    <row r="46" spans="1:14">
      <c r="A46" s="18" t="s">
        <v>66</v>
      </c>
      <c r="B46" s="17" t="s">
        <v>709</v>
      </c>
      <c r="C46" s="17" t="s">
        <v>710</v>
      </c>
      <c r="D46" s="17" t="s">
        <v>711</v>
      </c>
      <c r="E46" s="17" t="s">
        <v>1166</v>
      </c>
      <c r="F46" s="17" t="s">
        <v>1054</v>
      </c>
      <c r="G46" s="17" t="s">
        <v>509</v>
      </c>
      <c r="H46" s="23" t="s">
        <v>87</v>
      </c>
      <c r="I46" s="23" t="s">
        <v>88</v>
      </c>
      <c r="J46" s="24" t="s">
        <v>111</v>
      </c>
      <c r="K46" s="18"/>
      <c r="L46" s="31" t="str">
        <f>"60,0"</f>
        <v>60,0</v>
      </c>
      <c r="M46" s="18" t="str">
        <f>"53,5140"</f>
        <v>53,5140</v>
      </c>
      <c r="N46" s="17" t="s">
        <v>1077</v>
      </c>
    </row>
    <row r="47" spans="1:14">
      <c r="A47" s="22" t="s">
        <v>66</v>
      </c>
      <c r="B47" s="21" t="s">
        <v>712</v>
      </c>
      <c r="C47" s="21" t="s">
        <v>713</v>
      </c>
      <c r="D47" s="21" t="s">
        <v>714</v>
      </c>
      <c r="E47" s="21" t="s">
        <v>1164</v>
      </c>
      <c r="F47" s="21" t="s">
        <v>110</v>
      </c>
      <c r="G47" s="21" t="s">
        <v>1039</v>
      </c>
      <c r="H47" s="26" t="s">
        <v>111</v>
      </c>
      <c r="I47" s="26" t="s">
        <v>93</v>
      </c>
      <c r="J47" s="26" t="s">
        <v>100</v>
      </c>
      <c r="K47" s="22"/>
      <c r="L47" s="32" t="str">
        <f>"80,0"</f>
        <v>80,0</v>
      </c>
      <c r="M47" s="22" t="str">
        <f>"70,4160"</f>
        <v>70,4160</v>
      </c>
      <c r="N47" s="21" t="s">
        <v>1078</v>
      </c>
    </row>
    <row r="48" spans="1:14">
      <c r="B48" s="5" t="s">
        <v>9</v>
      </c>
    </row>
    <row r="49" spans="1:14" ht="16">
      <c r="A49" s="91" t="s">
        <v>121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1:14">
      <c r="A50" s="18" t="s">
        <v>66</v>
      </c>
      <c r="B50" s="17" t="s">
        <v>715</v>
      </c>
      <c r="C50" s="17" t="s">
        <v>716</v>
      </c>
      <c r="D50" s="17" t="s">
        <v>717</v>
      </c>
      <c r="E50" s="17" t="s">
        <v>1166</v>
      </c>
      <c r="F50" s="17" t="s">
        <v>110</v>
      </c>
      <c r="G50" s="17" t="s">
        <v>718</v>
      </c>
      <c r="H50" s="23" t="s">
        <v>100</v>
      </c>
      <c r="I50" s="23" t="s">
        <v>158</v>
      </c>
      <c r="J50" s="23" t="s">
        <v>180</v>
      </c>
      <c r="K50" s="18"/>
      <c r="L50" s="31" t="str">
        <f>"87,5"</f>
        <v>87,5</v>
      </c>
      <c r="M50" s="18" t="str">
        <f>"72,3625"</f>
        <v>72,3625</v>
      </c>
      <c r="N50" s="17"/>
    </row>
    <row r="51" spans="1:14">
      <c r="A51" s="20" t="s">
        <v>312</v>
      </c>
      <c r="B51" s="19" t="s">
        <v>719</v>
      </c>
      <c r="C51" s="19" t="s">
        <v>720</v>
      </c>
      <c r="D51" s="19" t="s">
        <v>721</v>
      </c>
      <c r="E51" s="19" t="s">
        <v>1166</v>
      </c>
      <c r="F51" s="19" t="s">
        <v>110</v>
      </c>
      <c r="G51" s="19" t="s">
        <v>1039</v>
      </c>
      <c r="H51" s="28" t="s">
        <v>88</v>
      </c>
      <c r="I51" s="28" t="s">
        <v>91</v>
      </c>
      <c r="J51" s="28" t="s">
        <v>92</v>
      </c>
      <c r="K51" s="20"/>
      <c r="L51" s="34" t="str">
        <f>"72,5"</f>
        <v>72,5</v>
      </c>
      <c r="M51" s="20" t="str">
        <f>"57,9493"</f>
        <v>57,9493</v>
      </c>
      <c r="N51" s="19" t="s">
        <v>1078</v>
      </c>
    </row>
    <row r="52" spans="1:14">
      <c r="A52" s="20" t="s">
        <v>313</v>
      </c>
      <c r="B52" s="19" t="s">
        <v>722</v>
      </c>
      <c r="C52" s="19" t="s">
        <v>723</v>
      </c>
      <c r="D52" s="19" t="s">
        <v>724</v>
      </c>
      <c r="E52" s="19" t="s">
        <v>1166</v>
      </c>
      <c r="F52" s="19" t="s">
        <v>110</v>
      </c>
      <c r="G52" s="19" t="s">
        <v>1039</v>
      </c>
      <c r="H52" s="28" t="s">
        <v>111</v>
      </c>
      <c r="I52" s="28" t="s">
        <v>91</v>
      </c>
      <c r="J52" s="25" t="s">
        <v>93</v>
      </c>
      <c r="K52" s="20"/>
      <c r="L52" s="34" t="str">
        <f>"70,0"</f>
        <v>70,0</v>
      </c>
      <c r="M52" s="20" t="str">
        <f>"56,3990"</f>
        <v>56,3990</v>
      </c>
      <c r="N52" s="19" t="s">
        <v>1078</v>
      </c>
    </row>
    <row r="53" spans="1:14">
      <c r="A53" s="20" t="s">
        <v>314</v>
      </c>
      <c r="B53" s="19" t="s">
        <v>725</v>
      </c>
      <c r="C53" s="19" t="s">
        <v>726</v>
      </c>
      <c r="D53" s="19" t="s">
        <v>724</v>
      </c>
      <c r="E53" s="19" t="s">
        <v>1166</v>
      </c>
      <c r="F53" s="19" t="s">
        <v>110</v>
      </c>
      <c r="G53" s="19" t="s">
        <v>18</v>
      </c>
      <c r="H53" s="28" t="s">
        <v>88</v>
      </c>
      <c r="I53" s="28" t="s">
        <v>91</v>
      </c>
      <c r="J53" s="25" t="s">
        <v>93</v>
      </c>
      <c r="K53" s="20"/>
      <c r="L53" s="34" t="str">
        <f>"70,0"</f>
        <v>70,0</v>
      </c>
      <c r="M53" s="20" t="str">
        <f>"56,3990"</f>
        <v>56,3990</v>
      </c>
      <c r="N53" s="19" t="s">
        <v>1078</v>
      </c>
    </row>
    <row r="54" spans="1:14">
      <c r="A54" s="20" t="s">
        <v>66</v>
      </c>
      <c r="B54" s="19" t="s">
        <v>727</v>
      </c>
      <c r="C54" s="19" t="s">
        <v>728</v>
      </c>
      <c r="D54" s="19" t="s">
        <v>169</v>
      </c>
      <c r="E54" s="19" t="s">
        <v>1164</v>
      </c>
      <c r="F54" s="19" t="s">
        <v>110</v>
      </c>
      <c r="G54" s="19" t="s">
        <v>1039</v>
      </c>
      <c r="H54" s="28" t="s">
        <v>101</v>
      </c>
      <c r="I54" s="25" t="s">
        <v>105</v>
      </c>
      <c r="J54" s="28" t="s">
        <v>105</v>
      </c>
      <c r="K54" s="20"/>
      <c r="L54" s="34" t="str">
        <f>"100,0"</f>
        <v>100,0</v>
      </c>
      <c r="M54" s="20" t="str">
        <f>"79,0100"</f>
        <v>79,0100</v>
      </c>
      <c r="N54" s="19" t="s">
        <v>1055</v>
      </c>
    </row>
    <row r="55" spans="1:14">
      <c r="A55" s="20" t="s">
        <v>66</v>
      </c>
      <c r="B55" s="19" t="s">
        <v>729</v>
      </c>
      <c r="C55" s="19" t="s">
        <v>730</v>
      </c>
      <c r="D55" s="19" t="s">
        <v>378</v>
      </c>
      <c r="E55" s="19" t="s">
        <v>1167</v>
      </c>
      <c r="F55" s="19" t="s">
        <v>17</v>
      </c>
      <c r="G55" s="19" t="s">
        <v>18</v>
      </c>
      <c r="H55" s="25" t="s">
        <v>127</v>
      </c>
      <c r="I55" s="25" t="s">
        <v>127</v>
      </c>
      <c r="J55" s="28" t="s">
        <v>127</v>
      </c>
      <c r="K55" s="20"/>
      <c r="L55" s="34" t="str">
        <f>"117,5"</f>
        <v>117,5</v>
      </c>
      <c r="M55" s="20" t="str">
        <f>"91,2505"</f>
        <v>91,2505</v>
      </c>
      <c r="N55" s="19" t="s">
        <v>1075</v>
      </c>
    </row>
    <row r="56" spans="1:14">
      <c r="A56" s="20" t="s">
        <v>312</v>
      </c>
      <c r="B56" s="19" t="s">
        <v>731</v>
      </c>
      <c r="C56" s="19" t="s">
        <v>732</v>
      </c>
      <c r="D56" s="19" t="s">
        <v>733</v>
      </c>
      <c r="E56" s="19" t="s">
        <v>1167</v>
      </c>
      <c r="F56" s="19" t="s">
        <v>110</v>
      </c>
      <c r="G56" s="19" t="s">
        <v>1039</v>
      </c>
      <c r="H56" s="28" t="s">
        <v>24</v>
      </c>
      <c r="I56" s="28" t="s">
        <v>106</v>
      </c>
      <c r="J56" s="25" t="s">
        <v>162</v>
      </c>
      <c r="K56" s="20"/>
      <c r="L56" s="34" t="str">
        <f>"112,5"</f>
        <v>112,5</v>
      </c>
      <c r="M56" s="20" t="str">
        <f>"87,2550"</f>
        <v>87,2550</v>
      </c>
      <c r="N56" s="19" t="s">
        <v>1055</v>
      </c>
    </row>
    <row r="57" spans="1:14">
      <c r="A57" s="20" t="s">
        <v>313</v>
      </c>
      <c r="B57" s="19" t="s">
        <v>389</v>
      </c>
      <c r="C57" s="19" t="s">
        <v>390</v>
      </c>
      <c r="D57" s="19" t="s">
        <v>161</v>
      </c>
      <c r="E57" s="19" t="s">
        <v>1167</v>
      </c>
      <c r="F57" s="19" t="s">
        <v>17</v>
      </c>
      <c r="G57" s="19" t="s">
        <v>1039</v>
      </c>
      <c r="H57" s="28" t="s">
        <v>105</v>
      </c>
      <c r="I57" s="28" t="s">
        <v>153</v>
      </c>
      <c r="J57" s="25" t="s">
        <v>165</v>
      </c>
      <c r="K57" s="20"/>
      <c r="L57" s="34" t="str">
        <f>"105,0"</f>
        <v>105,0</v>
      </c>
      <c r="M57" s="20" t="str">
        <f>"81,6375"</f>
        <v>81,6375</v>
      </c>
      <c r="N57" s="19" t="s">
        <v>27</v>
      </c>
    </row>
    <row r="58" spans="1:14">
      <c r="A58" s="22" t="s">
        <v>314</v>
      </c>
      <c r="B58" s="21" t="s">
        <v>734</v>
      </c>
      <c r="C58" s="21" t="s">
        <v>735</v>
      </c>
      <c r="D58" s="21" t="s">
        <v>736</v>
      </c>
      <c r="E58" s="21" t="s">
        <v>1167</v>
      </c>
      <c r="F58" s="21" t="s">
        <v>1054</v>
      </c>
      <c r="G58" s="21" t="s">
        <v>1039</v>
      </c>
      <c r="H58" s="26" t="s">
        <v>23</v>
      </c>
      <c r="I58" s="27" t="s">
        <v>153</v>
      </c>
      <c r="J58" s="27" t="s">
        <v>153</v>
      </c>
      <c r="K58" s="22"/>
      <c r="L58" s="32" t="str">
        <f>"102,5"</f>
        <v>102,5</v>
      </c>
      <c r="M58" s="22" t="str">
        <f>"80,3805"</f>
        <v>80,3805</v>
      </c>
      <c r="N58" s="21" t="s">
        <v>1079</v>
      </c>
    </row>
    <row r="59" spans="1:14">
      <c r="B59" s="5" t="s">
        <v>9</v>
      </c>
    </row>
    <row r="60" spans="1:14" ht="16">
      <c r="A60" s="91" t="s">
        <v>176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</row>
    <row r="61" spans="1:14">
      <c r="A61" s="18" t="s">
        <v>66</v>
      </c>
      <c r="B61" s="17" t="s">
        <v>737</v>
      </c>
      <c r="C61" s="17" t="s">
        <v>738</v>
      </c>
      <c r="D61" s="17" t="s">
        <v>739</v>
      </c>
      <c r="E61" s="17" t="s">
        <v>1166</v>
      </c>
      <c r="F61" s="17" t="s">
        <v>110</v>
      </c>
      <c r="G61" s="17" t="s">
        <v>1039</v>
      </c>
      <c r="H61" s="24" t="s">
        <v>88</v>
      </c>
      <c r="I61" s="23" t="s">
        <v>88</v>
      </c>
      <c r="J61" s="24" t="s">
        <v>111</v>
      </c>
      <c r="K61" s="18"/>
      <c r="L61" s="31" t="str">
        <f>"60,0"</f>
        <v>60,0</v>
      </c>
      <c r="M61" s="18" t="str">
        <f>"45,0120"</f>
        <v>45,0120</v>
      </c>
      <c r="N61" s="17" t="s">
        <v>1078</v>
      </c>
    </row>
    <row r="62" spans="1:14">
      <c r="A62" s="20" t="s">
        <v>66</v>
      </c>
      <c r="B62" s="19" t="s">
        <v>740</v>
      </c>
      <c r="C62" s="19" t="s">
        <v>741</v>
      </c>
      <c r="D62" s="19" t="s">
        <v>553</v>
      </c>
      <c r="E62" s="19" t="s">
        <v>1167</v>
      </c>
      <c r="F62" s="19" t="s">
        <v>550</v>
      </c>
      <c r="G62" s="19" t="s">
        <v>1039</v>
      </c>
      <c r="H62" s="28" t="s">
        <v>129</v>
      </c>
      <c r="I62" s="28" t="s">
        <v>130</v>
      </c>
      <c r="J62" s="25" t="s">
        <v>54</v>
      </c>
      <c r="K62" s="20"/>
      <c r="L62" s="34" t="str">
        <f>"135,0"</f>
        <v>135,0</v>
      </c>
      <c r="M62" s="20" t="str">
        <f>"96,2010"</f>
        <v>96,2010</v>
      </c>
      <c r="N62" s="19"/>
    </row>
    <row r="63" spans="1:14">
      <c r="A63" s="22" t="s">
        <v>66</v>
      </c>
      <c r="B63" s="21" t="s">
        <v>742</v>
      </c>
      <c r="C63" s="21" t="s">
        <v>743</v>
      </c>
      <c r="D63" s="21" t="s">
        <v>744</v>
      </c>
      <c r="E63" s="21" t="s">
        <v>1168</v>
      </c>
      <c r="F63" s="21" t="s">
        <v>1054</v>
      </c>
      <c r="G63" s="21" t="s">
        <v>1039</v>
      </c>
      <c r="H63" s="27" t="s">
        <v>153</v>
      </c>
      <c r="I63" s="26" t="s">
        <v>153</v>
      </c>
      <c r="J63" s="26" t="s">
        <v>127</v>
      </c>
      <c r="K63" s="22"/>
      <c r="L63" s="32" t="str">
        <f>"117,5"</f>
        <v>117,5</v>
      </c>
      <c r="M63" s="22" t="str">
        <f>"93,4459"</f>
        <v>93,4459</v>
      </c>
      <c r="N63" s="21"/>
    </row>
    <row r="64" spans="1:14">
      <c r="B64" s="5" t="s">
        <v>9</v>
      </c>
    </row>
    <row r="65" spans="1:14" ht="16">
      <c r="A65" s="91" t="s">
        <v>28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1:14">
      <c r="A66" s="18" t="s">
        <v>66</v>
      </c>
      <c r="B66" s="17" t="s">
        <v>745</v>
      </c>
      <c r="C66" s="17" t="s">
        <v>746</v>
      </c>
      <c r="D66" s="17" t="s">
        <v>747</v>
      </c>
      <c r="E66" s="17" t="s">
        <v>1166</v>
      </c>
      <c r="F66" s="17" t="s">
        <v>110</v>
      </c>
      <c r="G66" s="17" t="s">
        <v>1039</v>
      </c>
      <c r="H66" s="24" t="s">
        <v>23</v>
      </c>
      <c r="I66" s="23" t="s">
        <v>23</v>
      </c>
      <c r="J66" s="24" t="s">
        <v>153</v>
      </c>
      <c r="K66" s="18"/>
      <c r="L66" s="31" t="str">
        <f>"102,5"</f>
        <v>102,5</v>
      </c>
      <c r="M66" s="18" t="str">
        <f>"69,4335"</f>
        <v>69,4335</v>
      </c>
      <c r="N66" s="17" t="s">
        <v>1076</v>
      </c>
    </row>
    <row r="67" spans="1:14">
      <c r="A67" s="20" t="s">
        <v>66</v>
      </c>
      <c r="B67" s="19" t="s">
        <v>748</v>
      </c>
      <c r="C67" s="19" t="s">
        <v>749</v>
      </c>
      <c r="D67" s="19" t="s">
        <v>561</v>
      </c>
      <c r="E67" s="19" t="s">
        <v>1164</v>
      </c>
      <c r="F67" s="19" t="s">
        <v>235</v>
      </c>
      <c r="G67" s="19" t="s">
        <v>1039</v>
      </c>
      <c r="H67" s="28" t="s">
        <v>24</v>
      </c>
      <c r="I67" s="28" t="s">
        <v>162</v>
      </c>
      <c r="J67" s="25" t="s">
        <v>128</v>
      </c>
      <c r="K67" s="20"/>
      <c r="L67" s="34" t="str">
        <f>"115,0"</f>
        <v>115,0</v>
      </c>
      <c r="M67" s="20" t="str">
        <f>"79,8675"</f>
        <v>79,8675</v>
      </c>
      <c r="N67" s="19" t="s">
        <v>412</v>
      </c>
    </row>
    <row r="68" spans="1:14">
      <c r="A68" s="20" t="s">
        <v>312</v>
      </c>
      <c r="B68" s="19" t="s">
        <v>750</v>
      </c>
      <c r="C68" s="19" t="s">
        <v>751</v>
      </c>
      <c r="D68" s="19" t="s">
        <v>747</v>
      </c>
      <c r="E68" s="19" t="s">
        <v>1164</v>
      </c>
      <c r="F68" s="19" t="s">
        <v>1054</v>
      </c>
      <c r="G68" s="19" t="s">
        <v>509</v>
      </c>
      <c r="H68" s="28" t="s">
        <v>100</v>
      </c>
      <c r="I68" s="25" t="s">
        <v>158</v>
      </c>
      <c r="J68" s="25" t="s">
        <v>158</v>
      </c>
      <c r="K68" s="20"/>
      <c r="L68" s="34" t="str">
        <f>"80,0"</f>
        <v>80,0</v>
      </c>
      <c r="M68" s="20" t="str">
        <f>"54,1920"</f>
        <v>54,1920</v>
      </c>
      <c r="N68" s="19" t="s">
        <v>1077</v>
      </c>
    </row>
    <row r="69" spans="1:14">
      <c r="A69" s="20" t="s">
        <v>66</v>
      </c>
      <c r="B69" s="19" t="s">
        <v>752</v>
      </c>
      <c r="C69" s="19" t="s">
        <v>753</v>
      </c>
      <c r="D69" s="19" t="s">
        <v>193</v>
      </c>
      <c r="E69" s="19" t="s">
        <v>1167</v>
      </c>
      <c r="F69" s="19" t="s">
        <v>17</v>
      </c>
      <c r="G69" s="19" t="s">
        <v>18</v>
      </c>
      <c r="H69" s="28" t="s">
        <v>25</v>
      </c>
      <c r="I69" s="25" t="s">
        <v>135</v>
      </c>
      <c r="J69" s="28" t="s">
        <v>135</v>
      </c>
      <c r="K69" s="20"/>
      <c r="L69" s="34" t="str">
        <f>"167,5"</f>
        <v>167,5</v>
      </c>
      <c r="M69" s="20" t="str">
        <f>"112,7945"</f>
        <v>112,7945</v>
      </c>
      <c r="N69" s="19" t="s">
        <v>1080</v>
      </c>
    </row>
    <row r="70" spans="1:14">
      <c r="A70" s="20" t="s">
        <v>312</v>
      </c>
      <c r="B70" s="19" t="s">
        <v>754</v>
      </c>
      <c r="C70" s="19" t="s">
        <v>755</v>
      </c>
      <c r="D70" s="19" t="s">
        <v>756</v>
      </c>
      <c r="E70" s="19" t="s">
        <v>1167</v>
      </c>
      <c r="F70" s="19" t="s">
        <v>125</v>
      </c>
      <c r="G70" s="19" t="s">
        <v>757</v>
      </c>
      <c r="H70" s="28" t="s">
        <v>36</v>
      </c>
      <c r="I70" s="28" t="s">
        <v>142</v>
      </c>
      <c r="J70" s="28" t="s">
        <v>244</v>
      </c>
      <c r="K70" s="20"/>
      <c r="L70" s="34" t="str">
        <f>"145,0"</f>
        <v>145,0</v>
      </c>
      <c r="M70" s="20" t="str">
        <f>"97,9330"</f>
        <v>97,9330</v>
      </c>
      <c r="N70" s="19"/>
    </row>
    <row r="71" spans="1:14">
      <c r="A71" s="20" t="s">
        <v>313</v>
      </c>
      <c r="B71" s="19" t="s">
        <v>758</v>
      </c>
      <c r="C71" s="19" t="s">
        <v>759</v>
      </c>
      <c r="D71" s="19" t="s">
        <v>760</v>
      </c>
      <c r="E71" s="19" t="s">
        <v>1167</v>
      </c>
      <c r="F71" s="19" t="s">
        <v>1054</v>
      </c>
      <c r="G71" s="19" t="s">
        <v>509</v>
      </c>
      <c r="H71" s="28" t="s">
        <v>153</v>
      </c>
      <c r="I71" s="28" t="s">
        <v>24</v>
      </c>
      <c r="J71" s="25" t="s">
        <v>165</v>
      </c>
      <c r="K71" s="20"/>
      <c r="L71" s="34" t="str">
        <f>"107,5"</f>
        <v>107,5</v>
      </c>
      <c r="M71" s="20" t="str">
        <f>"75,7015"</f>
        <v>75,7015</v>
      </c>
      <c r="N71" s="19" t="s">
        <v>1077</v>
      </c>
    </row>
    <row r="72" spans="1:14">
      <c r="A72" s="20" t="s">
        <v>67</v>
      </c>
      <c r="B72" s="19" t="s">
        <v>761</v>
      </c>
      <c r="C72" s="19" t="s">
        <v>762</v>
      </c>
      <c r="D72" s="19" t="s">
        <v>31</v>
      </c>
      <c r="E72" s="19" t="s">
        <v>1167</v>
      </c>
      <c r="F72" s="19" t="s">
        <v>17</v>
      </c>
      <c r="G72" s="19" t="s">
        <v>1039</v>
      </c>
      <c r="H72" s="25" t="s">
        <v>134</v>
      </c>
      <c r="I72" s="25" t="s">
        <v>201</v>
      </c>
      <c r="J72" s="25" t="s">
        <v>201</v>
      </c>
      <c r="K72" s="20"/>
      <c r="L72" s="34">
        <v>0</v>
      </c>
      <c r="M72" s="20" t="str">
        <f>"0,0000"</f>
        <v>0,0000</v>
      </c>
      <c r="N72" s="19" t="s">
        <v>27</v>
      </c>
    </row>
    <row r="73" spans="1:14">
      <c r="A73" s="20" t="s">
        <v>67</v>
      </c>
      <c r="B73" s="19" t="s">
        <v>763</v>
      </c>
      <c r="C73" s="19" t="s">
        <v>764</v>
      </c>
      <c r="D73" s="19" t="s">
        <v>211</v>
      </c>
      <c r="E73" s="19" t="s">
        <v>1167</v>
      </c>
      <c r="F73" s="19" t="s">
        <v>1054</v>
      </c>
      <c r="G73" s="19" t="s">
        <v>765</v>
      </c>
      <c r="H73" s="25" t="s">
        <v>129</v>
      </c>
      <c r="I73" s="25" t="s">
        <v>54</v>
      </c>
      <c r="J73" s="25" t="s">
        <v>54</v>
      </c>
      <c r="K73" s="20"/>
      <c r="L73" s="34">
        <v>0</v>
      </c>
      <c r="M73" s="20" t="str">
        <f>"0,0000"</f>
        <v>0,0000</v>
      </c>
      <c r="N73" s="19" t="s">
        <v>1081</v>
      </c>
    </row>
    <row r="74" spans="1:14">
      <c r="A74" s="22" t="s">
        <v>67</v>
      </c>
      <c r="B74" s="21" t="s">
        <v>761</v>
      </c>
      <c r="C74" s="21" t="s">
        <v>766</v>
      </c>
      <c r="D74" s="21" t="s">
        <v>31</v>
      </c>
      <c r="E74" s="21" t="s">
        <v>1169</v>
      </c>
      <c r="F74" s="21" t="s">
        <v>17</v>
      </c>
      <c r="G74" s="21" t="s">
        <v>1039</v>
      </c>
      <c r="H74" s="27" t="s">
        <v>134</v>
      </c>
      <c r="I74" s="27" t="s">
        <v>201</v>
      </c>
      <c r="J74" s="27" t="s">
        <v>201</v>
      </c>
      <c r="K74" s="22"/>
      <c r="L74" s="32">
        <v>0</v>
      </c>
      <c r="M74" s="22" t="str">
        <f>"0,0000"</f>
        <v>0,0000</v>
      </c>
      <c r="N74" s="21" t="s">
        <v>27</v>
      </c>
    </row>
    <row r="75" spans="1:14">
      <c r="B75" s="5" t="s">
        <v>9</v>
      </c>
    </row>
    <row r="76" spans="1:14" ht="16">
      <c r="A76" s="91" t="s">
        <v>40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</row>
    <row r="77" spans="1:14">
      <c r="A77" s="18" t="s">
        <v>66</v>
      </c>
      <c r="B77" s="17" t="s">
        <v>767</v>
      </c>
      <c r="C77" s="17" t="s">
        <v>768</v>
      </c>
      <c r="D77" s="17" t="s">
        <v>576</v>
      </c>
      <c r="E77" s="17" t="s">
        <v>1164</v>
      </c>
      <c r="F77" s="17" t="s">
        <v>1054</v>
      </c>
      <c r="G77" s="17" t="s">
        <v>1039</v>
      </c>
      <c r="H77" s="23" t="s">
        <v>54</v>
      </c>
      <c r="I77" s="23" t="s">
        <v>255</v>
      </c>
      <c r="J77" s="24" t="s">
        <v>19</v>
      </c>
      <c r="K77" s="18"/>
      <c r="L77" s="31" t="str">
        <f>"152,5"</f>
        <v>152,5</v>
      </c>
      <c r="M77" s="18" t="str">
        <f>"98,9878"</f>
        <v>98,9878</v>
      </c>
      <c r="N77" s="17"/>
    </row>
    <row r="78" spans="1:14">
      <c r="A78" s="20" t="s">
        <v>66</v>
      </c>
      <c r="B78" s="19" t="s">
        <v>769</v>
      </c>
      <c r="C78" s="19" t="s">
        <v>770</v>
      </c>
      <c r="D78" s="19" t="s">
        <v>771</v>
      </c>
      <c r="E78" s="19" t="s">
        <v>1167</v>
      </c>
      <c r="F78" s="19" t="s">
        <v>1054</v>
      </c>
      <c r="G78" s="19" t="s">
        <v>1039</v>
      </c>
      <c r="H78" s="28" t="s">
        <v>47</v>
      </c>
      <c r="I78" s="28" t="s">
        <v>616</v>
      </c>
      <c r="J78" s="25" t="s">
        <v>26</v>
      </c>
      <c r="K78" s="20"/>
      <c r="L78" s="34" t="str">
        <f>"177,5"</f>
        <v>177,5</v>
      </c>
      <c r="M78" s="20" t="str">
        <f>"113,9727"</f>
        <v>113,9727</v>
      </c>
      <c r="N78" s="19"/>
    </row>
    <row r="79" spans="1:14">
      <c r="A79" s="20" t="s">
        <v>312</v>
      </c>
      <c r="B79" s="19" t="s">
        <v>772</v>
      </c>
      <c r="C79" s="19" t="s">
        <v>773</v>
      </c>
      <c r="D79" s="19" t="s">
        <v>432</v>
      </c>
      <c r="E79" s="19" t="s">
        <v>1167</v>
      </c>
      <c r="F79" s="19" t="s">
        <v>356</v>
      </c>
      <c r="G79" s="19" t="s">
        <v>18</v>
      </c>
      <c r="H79" s="28" t="s">
        <v>47</v>
      </c>
      <c r="I79" s="28" t="s">
        <v>215</v>
      </c>
      <c r="J79" s="25" t="s">
        <v>26</v>
      </c>
      <c r="K79" s="20"/>
      <c r="L79" s="34" t="str">
        <f>"175,0"</f>
        <v>175,0</v>
      </c>
      <c r="M79" s="20" t="str">
        <f>"112,4200"</f>
        <v>112,4200</v>
      </c>
      <c r="N79" s="19"/>
    </row>
    <row r="80" spans="1:14">
      <c r="A80" s="20" t="s">
        <v>313</v>
      </c>
      <c r="B80" s="19" t="s">
        <v>774</v>
      </c>
      <c r="C80" s="19" t="s">
        <v>775</v>
      </c>
      <c r="D80" s="19" t="s">
        <v>776</v>
      </c>
      <c r="E80" s="19" t="s">
        <v>1167</v>
      </c>
      <c r="F80" s="19" t="s">
        <v>157</v>
      </c>
      <c r="G80" s="19" t="s">
        <v>1039</v>
      </c>
      <c r="H80" s="28" t="s">
        <v>135</v>
      </c>
      <c r="I80" s="25" t="s">
        <v>215</v>
      </c>
      <c r="J80" s="25" t="s">
        <v>215</v>
      </c>
      <c r="K80" s="20"/>
      <c r="L80" s="34" t="str">
        <f>"167,5"</f>
        <v>167,5</v>
      </c>
      <c r="M80" s="20" t="str">
        <f>"107,3005"</f>
        <v>107,3005</v>
      </c>
      <c r="N80" s="19" t="s">
        <v>1082</v>
      </c>
    </row>
    <row r="81" spans="1:14">
      <c r="A81" s="20" t="s">
        <v>314</v>
      </c>
      <c r="B81" s="19" t="s">
        <v>777</v>
      </c>
      <c r="C81" s="19" t="s">
        <v>778</v>
      </c>
      <c r="D81" s="19" t="s">
        <v>43</v>
      </c>
      <c r="E81" s="19" t="s">
        <v>1167</v>
      </c>
      <c r="F81" s="19" t="s">
        <v>157</v>
      </c>
      <c r="G81" s="19" t="s">
        <v>1039</v>
      </c>
      <c r="H81" s="28" t="s">
        <v>19</v>
      </c>
      <c r="I81" s="28" t="s">
        <v>231</v>
      </c>
      <c r="J81" s="25" t="s">
        <v>215</v>
      </c>
      <c r="K81" s="20"/>
      <c r="L81" s="34" t="str">
        <f>"165,0"</f>
        <v>165,0</v>
      </c>
      <c r="M81" s="20" t="str">
        <f>"108,1245"</f>
        <v>108,1245</v>
      </c>
      <c r="N81" s="19" t="s">
        <v>1083</v>
      </c>
    </row>
    <row r="82" spans="1:14">
      <c r="A82" s="20" t="s">
        <v>645</v>
      </c>
      <c r="B82" s="19" t="s">
        <v>779</v>
      </c>
      <c r="C82" s="19" t="s">
        <v>780</v>
      </c>
      <c r="D82" s="19" t="s">
        <v>776</v>
      </c>
      <c r="E82" s="19" t="s">
        <v>1167</v>
      </c>
      <c r="F82" s="19" t="s">
        <v>1054</v>
      </c>
      <c r="G82" s="19" t="s">
        <v>18</v>
      </c>
      <c r="H82" s="28" t="s">
        <v>54</v>
      </c>
      <c r="I82" s="28" t="s">
        <v>244</v>
      </c>
      <c r="J82" s="25" t="s">
        <v>134</v>
      </c>
      <c r="K82" s="20"/>
      <c r="L82" s="34" t="str">
        <f>"145,0"</f>
        <v>145,0</v>
      </c>
      <c r="M82" s="20" t="str">
        <f>"92,8870"</f>
        <v>92,8870</v>
      </c>
      <c r="N82" s="19" t="s">
        <v>1084</v>
      </c>
    </row>
    <row r="83" spans="1:14">
      <c r="A83" s="20" t="s">
        <v>646</v>
      </c>
      <c r="B83" s="19" t="s">
        <v>781</v>
      </c>
      <c r="C83" s="19" t="s">
        <v>782</v>
      </c>
      <c r="D83" s="19" t="s">
        <v>247</v>
      </c>
      <c r="E83" s="19" t="s">
        <v>1167</v>
      </c>
      <c r="F83" s="19" t="s">
        <v>1054</v>
      </c>
      <c r="G83" s="19" t="s">
        <v>1039</v>
      </c>
      <c r="H83" s="25" t="s">
        <v>244</v>
      </c>
      <c r="I83" s="25" t="s">
        <v>244</v>
      </c>
      <c r="J83" s="28" t="s">
        <v>244</v>
      </c>
      <c r="K83" s="20"/>
      <c r="L83" s="34" t="str">
        <f>"145,0"</f>
        <v>145,0</v>
      </c>
      <c r="M83" s="20" t="str">
        <f>"92,5680"</f>
        <v>92,5680</v>
      </c>
      <c r="N83" s="19"/>
    </row>
    <row r="84" spans="1:14">
      <c r="A84" s="20" t="s">
        <v>647</v>
      </c>
      <c r="B84" s="19" t="s">
        <v>783</v>
      </c>
      <c r="C84" s="19" t="s">
        <v>784</v>
      </c>
      <c r="D84" s="19" t="s">
        <v>261</v>
      </c>
      <c r="E84" s="19" t="s">
        <v>1167</v>
      </c>
      <c r="F84" s="19" t="s">
        <v>1054</v>
      </c>
      <c r="G84" s="19" t="s">
        <v>18</v>
      </c>
      <c r="H84" s="28" t="s">
        <v>54</v>
      </c>
      <c r="I84" s="25" t="s">
        <v>244</v>
      </c>
      <c r="J84" s="25" t="s">
        <v>244</v>
      </c>
      <c r="K84" s="20"/>
      <c r="L84" s="34" t="str">
        <f>"140,0"</f>
        <v>140,0</v>
      </c>
      <c r="M84" s="20" t="str">
        <f>"90,3140"</f>
        <v>90,3140</v>
      </c>
      <c r="N84" s="19" t="s">
        <v>1084</v>
      </c>
    </row>
    <row r="85" spans="1:14">
      <c r="A85" s="20" t="s">
        <v>648</v>
      </c>
      <c r="B85" s="19" t="s">
        <v>785</v>
      </c>
      <c r="C85" s="19" t="s">
        <v>344</v>
      </c>
      <c r="D85" s="19" t="s">
        <v>432</v>
      </c>
      <c r="E85" s="19" t="s">
        <v>1167</v>
      </c>
      <c r="F85" s="19" t="s">
        <v>110</v>
      </c>
      <c r="G85" s="19" t="s">
        <v>1039</v>
      </c>
      <c r="H85" s="28" t="s">
        <v>54</v>
      </c>
      <c r="I85" s="25" t="s">
        <v>255</v>
      </c>
      <c r="J85" s="25" t="s">
        <v>255</v>
      </c>
      <c r="K85" s="20"/>
      <c r="L85" s="34" t="str">
        <f>"140,0"</f>
        <v>140,0</v>
      </c>
      <c r="M85" s="20" t="str">
        <f>"89,9360"</f>
        <v>89,9360</v>
      </c>
      <c r="N85" s="19" t="s">
        <v>1070</v>
      </c>
    </row>
    <row r="86" spans="1:14">
      <c r="A86" s="20" t="s">
        <v>649</v>
      </c>
      <c r="B86" s="19" t="s">
        <v>786</v>
      </c>
      <c r="C86" s="19" t="s">
        <v>787</v>
      </c>
      <c r="D86" s="19" t="s">
        <v>598</v>
      </c>
      <c r="E86" s="19" t="s">
        <v>1167</v>
      </c>
      <c r="F86" s="19" t="s">
        <v>1054</v>
      </c>
      <c r="G86" s="19" t="s">
        <v>1039</v>
      </c>
      <c r="H86" s="28" t="s">
        <v>34</v>
      </c>
      <c r="I86" s="25" t="s">
        <v>35</v>
      </c>
      <c r="J86" s="28" t="s">
        <v>35</v>
      </c>
      <c r="K86" s="20"/>
      <c r="L86" s="34" t="str">
        <f>"132,5"</f>
        <v>132,5</v>
      </c>
      <c r="M86" s="20" t="str">
        <f>"85,1710"</f>
        <v>85,1710</v>
      </c>
      <c r="N86" s="19"/>
    </row>
    <row r="87" spans="1:14">
      <c r="A87" s="20" t="s">
        <v>848</v>
      </c>
      <c r="B87" s="19" t="s">
        <v>788</v>
      </c>
      <c r="C87" s="19" t="s">
        <v>789</v>
      </c>
      <c r="D87" s="19" t="s">
        <v>579</v>
      </c>
      <c r="E87" s="19" t="s">
        <v>1167</v>
      </c>
      <c r="F87" s="19" t="s">
        <v>110</v>
      </c>
      <c r="G87" s="19" t="s">
        <v>1039</v>
      </c>
      <c r="H87" s="28" t="s">
        <v>128</v>
      </c>
      <c r="I87" s="28" t="s">
        <v>35</v>
      </c>
      <c r="J87" s="25" t="s">
        <v>130</v>
      </c>
      <c r="K87" s="20"/>
      <c r="L87" s="34" t="str">
        <f>"132,5"</f>
        <v>132,5</v>
      </c>
      <c r="M87" s="20" t="str">
        <f>"84,7735"</f>
        <v>84,7735</v>
      </c>
      <c r="N87" s="19" t="s">
        <v>1043</v>
      </c>
    </row>
    <row r="88" spans="1:14">
      <c r="A88" s="20" t="s">
        <v>849</v>
      </c>
      <c r="B88" s="19" t="s">
        <v>790</v>
      </c>
      <c r="C88" s="19" t="s">
        <v>791</v>
      </c>
      <c r="D88" s="19" t="s">
        <v>141</v>
      </c>
      <c r="E88" s="19" t="s">
        <v>1167</v>
      </c>
      <c r="F88" s="19" t="s">
        <v>792</v>
      </c>
      <c r="G88" s="19" t="s">
        <v>1039</v>
      </c>
      <c r="H88" s="28" t="s">
        <v>35</v>
      </c>
      <c r="I88" s="25" t="s">
        <v>36</v>
      </c>
      <c r="J88" s="20"/>
      <c r="K88" s="20"/>
      <c r="L88" s="34" t="str">
        <f>"132,5"</f>
        <v>132,5</v>
      </c>
      <c r="M88" s="20" t="str">
        <f>"84,6808"</f>
        <v>84,6808</v>
      </c>
      <c r="N88" s="19" t="s">
        <v>1073</v>
      </c>
    </row>
    <row r="89" spans="1:14">
      <c r="A89" s="20" t="s">
        <v>66</v>
      </c>
      <c r="B89" s="19" t="s">
        <v>777</v>
      </c>
      <c r="C89" s="19" t="s">
        <v>793</v>
      </c>
      <c r="D89" s="19" t="s">
        <v>43</v>
      </c>
      <c r="E89" s="19" t="s">
        <v>1168</v>
      </c>
      <c r="F89" s="19" t="s">
        <v>157</v>
      </c>
      <c r="G89" s="19" t="s">
        <v>1039</v>
      </c>
      <c r="H89" s="28" t="s">
        <v>19</v>
      </c>
      <c r="I89" s="28" t="s">
        <v>231</v>
      </c>
      <c r="J89" s="25" t="s">
        <v>215</v>
      </c>
      <c r="K89" s="20"/>
      <c r="L89" s="34" t="str">
        <f>"165,0"</f>
        <v>165,0</v>
      </c>
      <c r="M89" s="20" t="str">
        <f>"108,1245"</f>
        <v>108,1245</v>
      </c>
      <c r="N89" s="19" t="s">
        <v>1083</v>
      </c>
    </row>
    <row r="90" spans="1:14">
      <c r="A90" s="20" t="s">
        <v>66</v>
      </c>
      <c r="B90" s="19" t="s">
        <v>794</v>
      </c>
      <c r="C90" s="19" t="s">
        <v>795</v>
      </c>
      <c r="D90" s="19" t="s">
        <v>796</v>
      </c>
      <c r="E90" s="19" t="s">
        <v>1169</v>
      </c>
      <c r="F90" s="19" t="s">
        <v>797</v>
      </c>
      <c r="G90" s="19" t="s">
        <v>1039</v>
      </c>
      <c r="H90" s="28" t="s">
        <v>129</v>
      </c>
      <c r="I90" s="28" t="s">
        <v>54</v>
      </c>
      <c r="J90" s="25" t="s">
        <v>142</v>
      </c>
      <c r="K90" s="20"/>
      <c r="L90" s="34" t="str">
        <f>"140,0"</f>
        <v>140,0</v>
      </c>
      <c r="M90" s="20" t="str">
        <f>"103,3137"</f>
        <v>103,3137</v>
      </c>
      <c r="N90" s="19"/>
    </row>
    <row r="91" spans="1:14">
      <c r="A91" s="22" t="s">
        <v>66</v>
      </c>
      <c r="B91" s="21" t="s">
        <v>798</v>
      </c>
      <c r="C91" s="21" t="s">
        <v>799</v>
      </c>
      <c r="D91" s="21" t="s">
        <v>247</v>
      </c>
      <c r="E91" s="21" t="s">
        <v>1170</v>
      </c>
      <c r="F91" s="21" t="s">
        <v>110</v>
      </c>
      <c r="G91" s="21" t="s">
        <v>1039</v>
      </c>
      <c r="H91" s="26" t="s">
        <v>165</v>
      </c>
      <c r="I91" s="27" t="s">
        <v>127</v>
      </c>
      <c r="J91" s="27" t="s">
        <v>166</v>
      </c>
      <c r="K91" s="22"/>
      <c r="L91" s="32" t="str">
        <f>"110,0"</f>
        <v>110,0</v>
      </c>
      <c r="M91" s="22" t="str">
        <f>"101,1226"</f>
        <v>101,1226</v>
      </c>
      <c r="N91" s="21" t="s">
        <v>1055</v>
      </c>
    </row>
    <row r="92" spans="1:14">
      <c r="B92" s="5" t="s">
        <v>9</v>
      </c>
    </row>
    <row r="93" spans="1:14" ht="16">
      <c r="A93" s="91" t="s">
        <v>49</v>
      </c>
      <c r="B93" s="91"/>
      <c r="C93" s="91"/>
      <c r="D93" s="91"/>
      <c r="E93" s="91"/>
      <c r="F93" s="91"/>
      <c r="G93" s="91"/>
      <c r="H93" s="91"/>
      <c r="I93" s="91"/>
      <c r="J93" s="91"/>
      <c r="K93" s="91"/>
    </row>
    <row r="94" spans="1:14">
      <c r="A94" s="18" t="s">
        <v>66</v>
      </c>
      <c r="B94" s="17" t="s">
        <v>800</v>
      </c>
      <c r="C94" s="17" t="s">
        <v>801</v>
      </c>
      <c r="D94" s="17" t="s">
        <v>601</v>
      </c>
      <c r="E94" s="17" t="s">
        <v>1167</v>
      </c>
      <c r="F94" s="17" t="s">
        <v>17</v>
      </c>
      <c r="G94" s="17" t="s">
        <v>1039</v>
      </c>
      <c r="H94" s="23" t="s">
        <v>255</v>
      </c>
      <c r="I94" s="24" t="s">
        <v>46</v>
      </c>
      <c r="J94" s="24" t="s">
        <v>46</v>
      </c>
      <c r="K94" s="18"/>
      <c r="L94" s="31" t="str">
        <f>"152,5"</f>
        <v>152,5</v>
      </c>
      <c r="M94" s="18" t="str">
        <f>"93,3453"</f>
        <v>93,3453</v>
      </c>
      <c r="N94" s="17"/>
    </row>
    <row r="95" spans="1:14">
      <c r="A95" s="20" t="s">
        <v>312</v>
      </c>
      <c r="B95" s="19" t="s">
        <v>802</v>
      </c>
      <c r="C95" s="19" t="s">
        <v>803</v>
      </c>
      <c r="D95" s="19" t="s">
        <v>804</v>
      </c>
      <c r="E95" s="19" t="s">
        <v>1167</v>
      </c>
      <c r="F95" s="19" t="s">
        <v>356</v>
      </c>
      <c r="G95" s="19" t="s">
        <v>1039</v>
      </c>
      <c r="H95" s="28" t="s">
        <v>129</v>
      </c>
      <c r="I95" s="28" t="s">
        <v>54</v>
      </c>
      <c r="J95" s="25" t="s">
        <v>244</v>
      </c>
      <c r="K95" s="20"/>
      <c r="L95" s="34" t="str">
        <f>"140,0"</f>
        <v>140,0</v>
      </c>
      <c r="M95" s="20" t="str">
        <f>"87,4580"</f>
        <v>87,4580</v>
      </c>
      <c r="N95" s="19" t="s">
        <v>1085</v>
      </c>
    </row>
    <row r="96" spans="1:14">
      <c r="A96" s="20" t="s">
        <v>313</v>
      </c>
      <c r="B96" s="19" t="s">
        <v>805</v>
      </c>
      <c r="C96" s="19" t="s">
        <v>806</v>
      </c>
      <c r="D96" s="19" t="s">
        <v>807</v>
      </c>
      <c r="E96" s="19" t="s">
        <v>1167</v>
      </c>
      <c r="F96" s="19" t="s">
        <v>808</v>
      </c>
      <c r="G96" s="19" t="s">
        <v>809</v>
      </c>
      <c r="H96" s="28" t="s">
        <v>130</v>
      </c>
      <c r="I96" s="25" t="s">
        <v>54</v>
      </c>
      <c r="J96" s="28" t="s">
        <v>54</v>
      </c>
      <c r="K96" s="20"/>
      <c r="L96" s="34" t="str">
        <f>"140,0"</f>
        <v>140,0</v>
      </c>
      <c r="M96" s="20" t="str">
        <f>"86,4780"</f>
        <v>86,4780</v>
      </c>
      <c r="N96" s="19" t="s">
        <v>689</v>
      </c>
    </row>
    <row r="97" spans="1:14">
      <c r="A97" s="20" t="s">
        <v>314</v>
      </c>
      <c r="B97" s="19" t="s">
        <v>810</v>
      </c>
      <c r="C97" s="19" t="s">
        <v>811</v>
      </c>
      <c r="D97" s="19" t="s">
        <v>812</v>
      </c>
      <c r="E97" s="19" t="s">
        <v>1167</v>
      </c>
      <c r="F97" s="19" t="s">
        <v>235</v>
      </c>
      <c r="G97" s="19" t="s">
        <v>1039</v>
      </c>
      <c r="H97" s="28" t="s">
        <v>106</v>
      </c>
      <c r="I97" s="28" t="s">
        <v>34</v>
      </c>
      <c r="J97" s="28" t="s">
        <v>35</v>
      </c>
      <c r="K97" s="20"/>
      <c r="L97" s="34" t="str">
        <f>"132,5"</f>
        <v>132,5</v>
      </c>
      <c r="M97" s="20" t="str">
        <f>"83,1040"</f>
        <v>83,1040</v>
      </c>
      <c r="N97" s="19" t="s">
        <v>412</v>
      </c>
    </row>
    <row r="98" spans="1:14">
      <c r="A98" s="22" t="s">
        <v>66</v>
      </c>
      <c r="B98" s="21" t="s">
        <v>813</v>
      </c>
      <c r="C98" s="21" t="s">
        <v>814</v>
      </c>
      <c r="D98" s="21" t="s">
        <v>815</v>
      </c>
      <c r="E98" s="21" t="s">
        <v>1168</v>
      </c>
      <c r="F98" s="21" t="s">
        <v>110</v>
      </c>
      <c r="G98" s="21" t="s">
        <v>1039</v>
      </c>
      <c r="H98" s="26" t="s">
        <v>165</v>
      </c>
      <c r="I98" s="26" t="s">
        <v>166</v>
      </c>
      <c r="J98" s="27" t="s">
        <v>34</v>
      </c>
      <c r="K98" s="22"/>
      <c r="L98" s="32" t="str">
        <f>"120,0"</f>
        <v>120,0</v>
      </c>
      <c r="M98" s="22" t="str">
        <f>"75,6690"</f>
        <v>75,6690</v>
      </c>
      <c r="N98" s="21" t="s">
        <v>1076</v>
      </c>
    </row>
    <row r="99" spans="1:14">
      <c r="B99" s="5" t="s">
        <v>9</v>
      </c>
    </row>
    <row r="100" spans="1:14" ht="16">
      <c r="A100" s="91" t="s">
        <v>270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</row>
    <row r="101" spans="1:14">
      <c r="A101" s="18" t="s">
        <v>66</v>
      </c>
      <c r="B101" s="17" t="s">
        <v>816</v>
      </c>
      <c r="C101" s="17" t="s">
        <v>817</v>
      </c>
      <c r="D101" s="17" t="s">
        <v>818</v>
      </c>
      <c r="E101" s="17" t="s">
        <v>1166</v>
      </c>
      <c r="F101" s="17" t="s">
        <v>110</v>
      </c>
      <c r="G101" s="17" t="s">
        <v>1039</v>
      </c>
      <c r="H101" s="23" t="s">
        <v>91</v>
      </c>
      <c r="I101" s="23" t="s">
        <v>158</v>
      </c>
      <c r="J101" s="23" t="s">
        <v>22</v>
      </c>
      <c r="K101" s="18"/>
      <c r="L101" s="31" t="str">
        <f>"95,0"</f>
        <v>95,0</v>
      </c>
      <c r="M101" s="18" t="str">
        <f>"56,6390"</f>
        <v>56,6390</v>
      </c>
      <c r="N101" s="17" t="s">
        <v>1055</v>
      </c>
    </row>
    <row r="102" spans="1:14">
      <c r="A102" s="20" t="s">
        <v>312</v>
      </c>
      <c r="B102" s="19" t="s">
        <v>819</v>
      </c>
      <c r="C102" s="19" t="s">
        <v>820</v>
      </c>
      <c r="D102" s="19" t="s">
        <v>821</v>
      </c>
      <c r="E102" s="19" t="s">
        <v>1166</v>
      </c>
      <c r="F102" s="19" t="s">
        <v>1054</v>
      </c>
      <c r="G102" s="19" t="s">
        <v>509</v>
      </c>
      <c r="H102" s="28" t="s">
        <v>111</v>
      </c>
      <c r="I102" s="28" t="s">
        <v>119</v>
      </c>
      <c r="J102" s="28" t="s">
        <v>91</v>
      </c>
      <c r="K102" s="20"/>
      <c r="L102" s="34" t="str">
        <f>"70,0"</f>
        <v>70,0</v>
      </c>
      <c r="M102" s="20" t="str">
        <f>"41,3140"</f>
        <v>41,3140</v>
      </c>
      <c r="N102" s="19" t="s">
        <v>1077</v>
      </c>
    </row>
    <row r="103" spans="1:14">
      <c r="A103" s="20" t="s">
        <v>66</v>
      </c>
      <c r="B103" s="19" t="s">
        <v>822</v>
      </c>
      <c r="C103" s="19" t="s">
        <v>823</v>
      </c>
      <c r="D103" s="19" t="s">
        <v>824</v>
      </c>
      <c r="E103" s="19" t="s">
        <v>1167</v>
      </c>
      <c r="F103" s="19" t="s">
        <v>110</v>
      </c>
      <c r="G103" s="19" t="s">
        <v>1039</v>
      </c>
      <c r="H103" s="25" t="s">
        <v>32</v>
      </c>
      <c r="I103" s="25" t="s">
        <v>32</v>
      </c>
      <c r="J103" s="28" t="s">
        <v>32</v>
      </c>
      <c r="K103" s="20"/>
      <c r="L103" s="34" t="str">
        <f>"180,0"</f>
        <v>180,0</v>
      </c>
      <c r="M103" s="20" t="str">
        <f>"107,4960"</f>
        <v>107,4960</v>
      </c>
      <c r="N103" s="19" t="s">
        <v>1076</v>
      </c>
    </row>
    <row r="104" spans="1:14">
      <c r="A104" s="20" t="s">
        <v>312</v>
      </c>
      <c r="B104" s="19" t="s">
        <v>825</v>
      </c>
      <c r="C104" s="19" t="s">
        <v>826</v>
      </c>
      <c r="D104" s="19" t="s">
        <v>827</v>
      </c>
      <c r="E104" s="19" t="s">
        <v>1167</v>
      </c>
      <c r="F104" s="19" t="s">
        <v>17</v>
      </c>
      <c r="G104" s="19" t="s">
        <v>1039</v>
      </c>
      <c r="H104" s="28" t="s">
        <v>231</v>
      </c>
      <c r="I104" s="25" t="s">
        <v>47</v>
      </c>
      <c r="J104" s="25" t="s">
        <v>47</v>
      </c>
      <c r="K104" s="20"/>
      <c r="L104" s="34" t="str">
        <f>"165,0"</f>
        <v>165,0</v>
      </c>
      <c r="M104" s="20" t="str">
        <f>"98,0925"</f>
        <v>98,0925</v>
      </c>
      <c r="N104" s="19" t="s">
        <v>1086</v>
      </c>
    </row>
    <row r="105" spans="1:14">
      <c r="A105" s="20" t="s">
        <v>313</v>
      </c>
      <c r="B105" s="19" t="s">
        <v>828</v>
      </c>
      <c r="C105" s="19" t="s">
        <v>829</v>
      </c>
      <c r="D105" s="19" t="s">
        <v>830</v>
      </c>
      <c r="E105" s="19" t="s">
        <v>1167</v>
      </c>
      <c r="F105" s="19" t="s">
        <v>1054</v>
      </c>
      <c r="G105" s="19" t="s">
        <v>1039</v>
      </c>
      <c r="H105" s="28" t="s">
        <v>255</v>
      </c>
      <c r="I105" s="28" t="s">
        <v>25</v>
      </c>
      <c r="J105" s="25" t="s">
        <v>46</v>
      </c>
      <c r="K105" s="20"/>
      <c r="L105" s="34" t="str">
        <f>"160,0"</f>
        <v>160,0</v>
      </c>
      <c r="M105" s="20" t="str">
        <f>"94,6240"</f>
        <v>94,6240</v>
      </c>
      <c r="N105" s="19" t="s">
        <v>1087</v>
      </c>
    </row>
    <row r="106" spans="1:14">
      <c r="A106" s="20" t="s">
        <v>314</v>
      </c>
      <c r="B106" s="19" t="s">
        <v>819</v>
      </c>
      <c r="C106" s="19" t="s">
        <v>831</v>
      </c>
      <c r="D106" s="19" t="s">
        <v>821</v>
      </c>
      <c r="E106" s="19" t="s">
        <v>1167</v>
      </c>
      <c r="F106" s="19" t="s">
        <v>1054</v>
      </c>
      <c r="G106" s="19" t="s">
        <v>509</v>
      </c>
      <c r="H106" s="28" t="s">
        <v>111</v>
      </c>
      <c r="I106" s="28" t="s">
        <v>119</v>
      </c>
      <c r="J106" s="28" t="s">
        <v>91</v>
      </c>
      <c r="K106" s="20"/>
      <c r="L106" s="34" t="str">
        <f>"70,0"</f>
        <v>70,0</v>
      </c>
      <c r="M106" s="20" t="str">
        <f>"41,3140"</f>
        <v>41,3140</v>
      </c>
      <c r="N106" s="19" t="s">
        <v>1077</v>
      </c>
    </row>
    <row r="107" spans="1:14">
      <c r="A107" s="22" t="s">
        <v>66</v>
      </c>
      <c r="B107" s="21" t="s">
        <v>832</v>
      </c>
      <c r="C107" s="21" t="s">
        <v>833</v>
      </c>
      <c r="D107" s="21" t="s">
        <v>834</v>
      </c>
      <c r="E107" s="21" t="s">
        <v>1168</v>
      </c>
      <c r="F107" s="21" t="s">
        <v>110</v>
      </c>
      <c r="G107" s="21" t="s">
        <v>18</v>
      </c>
      <c r="H107" s="27"/>
      <c r="I107" s="26" t="s">
        <v>134</v>
      </c>
      <c r="J107" s="27" t="s">
        <v>19</v>
      </c>
      <c r="K107" s="22"/>
      <c r="L107" s="32" t="str">
        <f>"150,0"</f>
        <v>150,0</v>
      </c>
      <c r="M107" s="22" t="str">
        <f>"89,9824"</f>
        <v>89,9824</v>
      </c>
      <c r="N107" s="21" t="s">
        <v>1078</v>
      </c>
    </row>
    <row r="108" spans="1:14">
      <c r="B108" s="5" t="s">
        <v>9</v>
      </c>
    </row>
    <row r="109" spans="1:14" ht="16">
      <c r="A109" s="91" t="s">
        <v>278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</row>
    <row r="110" spans="1:14">
      <c r="A110" s="18" t="s">
        <v>66</v>
      </c>
      <c r="B110" s="17" t="s">
        <v>835</v>
      </c>
      <c r="C110" s="17" t="s">
        <v>836</v>
      </c>
      <c r="D110" s="17" t="s">
        <v>837</v>
      </c>
      <c r="E110" s="17" t="s">
        <v>1167</v>
      </c>
      <c r="F110" s="17" t="s">
        <v>110</v>
      </c>
      <c r="G110" s="17" t="s">
        <v>1039</v>
      </c>
      <c r="H110" s="23" t="s">
        <v>224</v>
      </c>
      <c r="I110" s="23" t="s">
        <v>379</v>
      </c>
      <c r="J110" s="24" t="s">
        <v>38</v>
      </c>
      <c r="K110" s="18"/>
      <c r="L110" s="31" t="str">
        <f>"202,5"</f>
        <v>202,5</v>
      </c>
      <c r="M110" s="18" t="str">
        <f>"116,0933"</f>
        <v>116,0933</v>
      </c>
      <c r="N110" s="17" t="s">
        <v>1076</v>
      </c>
    </row>
    <row r="111" spans="1:14">
      <c r="A111" s="20" t="s">
        <v>312</v>
      </c>
      <c r="B111" s="19" t="s">
        <v>838</v>
      </c>
      <c r="C111" s="19" t="s">
        <v>839</v>
      </c>
      <c r="D111" s="19" t="s">
        <v>840</v>
      </c>
      <c r="E111" s="19" t="s">
        <v>1167</v>
      </c>
      <c r="F111" s="19" t="s">
        <v>157</v>
      </c>
      <c r="G111" s="19" t="s">
        <v>1039</v>
      </c>
      <c r="H111" s="28" t="s">
        <v>244</v>
      </c>
      <c r="I111" s="28" t="s">
        <v>255</v>
      </c>
      <c r="J111" s="28" t="s">
        <v>25</v>
      </c>
      <c r="K111" s="20"/>
      <c r="L111" s="34" t="str">
        <f>"160,0"</f>
        <v>160,0</v>
      </c>
      <c r="M111" s="20" t="str">
        <f>"92,2080"</f>
        <v>92,2080</v>
      </c>
      <c r="N111" s="19" t="s">
        <v>1088</v>
      </c>
    </row>
    <row r="112" spans="1:14">
      <c r="A112" s="22" t="s">
        <v>66</v>
      </c>
      <c r="B112" s="21" t="s">
        <v>835</v>
      </c>
      <c r="C112" s="21" t="s">
        <v>841</v>
      </c>
      <c r="D112" s="21" t="s">
        <v>837</v>
      </c>
      <c r="E112" s="21" t="s">
        <v>1168</v>
      </c>
      <c r="F112" s="21" t="s">
        <v>110</v>
      </c>
      <c r="G112" s="21" t="s">
        <v>1039</v>
      </c>
      <c r="H112" s="26" t="s">
        <v>224</v>
      </c>
      <c r="I112" s="26" t="s">
        <v>379</v>
      </c>
      <c r="J112" s="27" t="s">
        <v>38</v>
      </c>
      <c r="K112" s="22"/>
      <c r="L112" s="32" t="str">
        <f>"202,5"</f>
        <v>202,5</v>
      </c>
      <c r="M112" s="22" t="str">
        <f>"127,2382"</f>
        <v>127,2382</v>
      </c>
      <c r="N112" s="21" t="s">
        <v>1076</v>
      </c>
    </row>
    <row r="113" spans="2:6">
      <c r="B113" s="5" t="s">
        <v>9</v>
      </c>
    </row>
    <row r="114" spans="2:6" ht="16">
      <c r="B114" s="5" t="s">
        <v>9</v>
      </c>
      <c r="F114" s="7"/>
    </row>
    <row r="115" spans="2:6" ht="16">
      <c r="B115" s="5" t="s">
        <v>9</v>
      </c>
      <c r="F115" s="7"/>
    </row>
    <row r="116" spans="2:6" ht="18">
      <c r="B116" s="8" t="s">
        <v>8</v>
      </c>
      <c r="C116" s="8"/>
    </row>
    <row r="117" spans="2:6" ht="14">
      <c r="B117" s="12"/>
      <c r="C117" s="13" t="s">
        <v>56</v>
      </c>
    </row>
    <row r="118" spans="2:6" ht="14">
      <c r="B118" s="14" t="s">
        <v>57</v>
      </c>
      <c r="C118" s="14" t="s">
        <v>58</v>
      </c>
      <c r="D118" s="14" t="s">
        <v>1041</v>
      </c>
      <c r="E118" s="14" t="s">
        <v>490</v>
      </c>
      <c r="F118" s="14" t="s">
        <v>61</v>
      </c>
    </row>
    <row r="119" spans="2:6">
      <c r="B119" s="5" t="s">
        <v>343</v>
      </c>
      <c r="C119" s="5" t="s">
        <v>56</v>
      </c>
      <c r="D119" s="6" t="s">
        <v>453</v>
      </c>
      <c r="E119" s="6" t="s">
        <v>100</v>
      </c>
      <c r="F119" s="6" t="s">
        <v>842</v>
      </c>
    </row>
    <row r="120" spans="2:6">
      <c r="B120" s="5" t="s">
        <v>653</v>
      </c>
      <c r="C120" s="5" t="s">
        <v>56</v>
      </c>
      <c r="D120" s="6" t="s">
        <v>288</v>
      </c>
      <c r="E120" s="6" t="s">
        <v>88</v>
      </c>
      <c r="F120" s="6" t="s">
        <v>843</v>
      </c>
    </row>
    <row r="121" spans="2:6">
      <c r="B121" s="5" t="s">
        <v>664</v>
      </c>
      <c r="C121" s="5" t="s">
        <v>56</v>
      </c>
      <c r="D121" s="6" t="s">
        <v>287</v>
      </c>
      <c r="E121" s="6" t="s">
        <v>118</v>
      </c>
      <c r="F121" s="6" t="s">
        <v>844</v>
      </c>
    </row>
    <row r="123" spans="2:6" ht="16">
      <c r="B123" s="11" t="s">
        <v>63</v>
      </c>
      <c r="C123" s="11"/>
    </row>
    <row r="124" spans="2:6" ht="14">
      <c r="B124" s="12"/>
      <c r="C124" s="13" t="s">
        <v>56</v>
      </c>
    </row>
    <row r="125" spans="2:6" ht="14">
      <c r="B125" s="14" t="s">
        <v>57</v>
      </c>
      <c r="C125" s="14" t="s">
        <v>58</v>
      </c>
      <c r="D125" s="14" t="s">
        <v>1041</v>
      </c>
      <c r="E125" s="14" t="s">
        <v>490</v>
      </c>
      <c r="F125" s="14" t="s">
        <v>61</v>
      </c>
    </row>
    <row r="126" spans="2:6">
      <c r="B126" s="5" t="s">
        <v>835</v>
      </c>
      <c r="C126" s="5" t="s">
        <v>56</v>
      </c>
      <c r="D126" s="6" t="s">
        <v>306</v>
      </c>
      <c r="E126" s="6" t="s">
        <v>379</v>
      </c>
      <c r="F126" s="6" t="s">
        <v>845</v>
      </c>
    </row>
    <row r="127" spans="2:6">
      <c r="B127" s="5" t="s">
        <v>769</v>
      </c>
      <c r="C127" s="5" t="s">
        <v>56</v>
      </c>
      <c r="D127" s="6" t="s">
        <v>64</v>
      </c>
      <c r="E127" s="6" t="s">
        <v>616</v>
      </c>
      <c r="F127" s="6" t="s">
        <v>846</v>
      </c>
    </row>
    <row r="128" spans="2:6">
      <c r="B128" s="5" t="s">
        <v>752</v>
      </c>
      <c r="C128" s="5" t="s">
        <v>56</v>
      </c>
      <c r="D128" s="6" t="s">
        <v>65</v>
      </c>
      <c r="E128" s="6" t="s">
        <v>135</v>
      </c>
      <c r="F128" s="6" t="s">
        <v>847</v>
      </c>
    </row>
    <row r="129" spans="2:14">
      <c r="B129" s="5" t="s">
        <v>9</v>
      </c>
    </row>
    <row r="130" spans="2:14">
      <c r="B130" s="5" t="s">
        <v>9</v>
      </c>
    </row>
    <row r="131" spans="2:14">
      <c r="B131" s="5" t="s">
        <v>9</v>
      </c>
    </row>
    <row r="132" spans="2:14">
      <c r="B132" s="5" t="s">
        <v>9</v>
      </c>
    </row>
    <row r="133" spans="2:14">
      <c r="B133" s="5" t="s">
        <v>9</v>
      </c>
    </row>
    <row r="134" spans="2:14">
      <c r="B134" s="5" t="s">
        <v>9</v>
      </c>
    </row>
    <row r="135" spans="2:14">
      <c r="B135" s="5" t="s">
        <v>9</v>
      </c>
    </row>
    <row r="136" spans="2:14">
      <c r="B136" s="5" t="s">
        <v>9</v>
      </c>
      <c r="C136" s="6"/>
      <c r="D136" s="6"/>
      <c r="E136" s="6"/>
      <c r="F136" s="6"/>
      <c r="G136" s="6"/>
      <c r="I136" s="5"/>
      <c r="J136" s="3"/>
      <c r="K136" s="3"/>
      <c r="L136" s="35"/>
      <c r="M136" s="3"/>
      <c r="N136" s="3"/>
    </row>
    <row r="137" spans="2:14">
      <c r="B137" s="5" t="s">
        <v>9</v>
      </c>
      <c r="C137" s="6"/>
      <c r="D137" s="6"/>
      <c r="E137" s="6"/>
      <c r="F137" s="6"/>
      <c r="G137" s="6"/>
      <c r="I137" s="5"/>
      <c r="J137" s="3"/>
      <c r="K137" s="3"/>
      <c r="L137" s="35"/>
      <c r="M137" s="3"/>
      <c r="N137" s="3"/>
    </row>
    <row r="138" spans="2:14">
      <c r="B138" s="5" t="s">
        <v>9</v>
      </c>
      <c r="C138" s="6"/>
      <c r="D138" s="6"/>
      <c r="E138" s="6"/>
      <c r="F138" s="6"/>
      <c r="G138" s="6"/>
      <c r="I138" s="5"/>
      <c r="J138" s="3"/>
      <c r="K138" s="3"/>
      <c r="L138" s="35"/>
      <c r="M138" s="3"/>
      <c r="N138" s="3"/>
    </row>
    <row r="139" spans="2:14">
      <c r="B139" s="5" t="s">
        <v>9</v>
      </c>
      <c r="C139" s="6"/>
      <c r="D139" s="6"/>
      <c r="E139" s="6"/>
      <c r="F139" s="6"/>
      <c r="G139" s="6"/>
      <c r="I139" s="5"/>
      <c r="J139" s="3"/>
      <c r="K139" s="3"/>
      <c r="L139" s="35"/>
      <c r="M139" s="3"/>
      <c r="N139" s="3"/>
    </row>
    <row r="140" spans="2:14">
      <c r="B140" s="5" t="s">
        <v>9</v>
      </c>
      <c r="C140" s="6"/>
      <c r="D140" s="6"/>
      <c r="E140" s="6"/>
      <c r="F140" s="6"/>
      <c r="G140" s="6"/>
      <c r="I140" s="5"/>
      <c r="J140" s="3"/>
      <c r="K140" s="3"/>
      <c r="L140" s="35"/>
      <c r="M140" s="3"/>
      <c r="N140" s="3"/>
    </row>
    <row r="141" spans="2:14">
      <c r="B141" s="5" t="s">
        <v>9</v>
      </c>
      <c r="C141" s="6"/>
      <c r="D141" s="6"/>
      <c r="E141" s="6"/>
      <c r="F141" s="6"/>
      <c r="G141" s="6"/>
      <c r="I141" s="5"/>
      <c r="J141" s="3"/>
      <c r="K141" s="3"/>
      <c r="L141" s="35"/>
      <c r="M141" s="3"/>
      <c r="N141" s="3"/>
    </row>
    <row r="142" spans="2:14">
      <c r="B142" s="5" t="s">
        <v>9</v>
      </c>
      <c r="C142" s="6"/>
      <c r="D142" s="6"/>
      <c r="E142" s="6"/>
      <c r="F142" s="6"/>
      <c r="G142" s="6"/>
      <c r="I142" s="5"/>
      <c r="J142" s="3"/>
      <c r="K142" s="3"/>
      <c r="L142" s="35"/>
      <c r="M142" s="3"/>
      <c r="N142" s="3"/>
    </row>
    <row r="143" spans="2:14">
      <c r="B143" s="5" t="s">
        <v>9</v>
      </c>
    </row>
    <row r="144" spans="2:14">
      <c r="B144" s="5" t="s">
        <v>9</v>
      </c>
    </row>
    <row r="145" spans="2:2">
      <c r="B145" s="5" t="s">
        <v>9</v>
      </c>
    </row>
    <row r="146" spans="2:2">
      <c r="B146" s="5" t="s">
        <v>9</v>
      </c>
    </row>
    <row r="147" spans="2:2">
      <c r="B147" s="5" t="s">
        <v>9</v>
      </c>
    </row>
    <row r="148" spans="2:2">
      <c r="B148" s="5" t="s">
        <v>9</v>
      </c>
    </row>
    <row r="149" spans="2:2">
      <c r="B149" s="5" t="s">
        <v>9</v>
      </c>
    </row>
    <row r="150" spans="2:2">
      <c r="B150" s="5" t="s">
        <v>9</v>
      </c>
    </row>
    <row r="151" spans="2:2">
      <c r="B151" s="5" t="s">
        <v>9</v>
      </c>
    </row>
    <row r="152" spans="2:2">
      <c r="B152" s="5" t="s">
        <v>9</v>
      </c>
    </row>
    <row r="153" spans="2:2">
      <c r="B153" s="5" t="s">
        <v>9</v>
      </c>
    </row>
    <row r="154" spans="2:2">
      <c r="B154" s="5" t="s">
        <v>9</v>
      </c>
    </row>
    <row r="155" spans="2:2">
      <c r="B155" s="5" t="s">
        <v>9</v>
      </c>
    </row>
    <row r="156" spans="2:2">
      <c r="B156" s="5" t="s">
        <v>9</v>
      </c>
    </row>
    <row r="157" spans="2:2">
      <c r="B157" s="5" t="s">
        <v>9</v>
      </c>
    </row>
    <row r="158" spans="2:2">
      <c r="B158" s="5" t="s">
        <v>9</v>
      </c>
    </row>
    <row r="159" spans="2:2">
      <c r="B159" s="5" t="s">
        <v>9</v>
      </c>
    </row>
  </sheetData>
  <mergeCells count="28">
    <mergeCell ref="A93:K93"/>
    <mergeCell ref="A100:K100"/>
    <mergeCell ref="A109:K109"/>
    <mergeCell ref="B3:B4"/>
    <mergeCell ref="A42:K42"/>
    <mergeCell ref="A45:K45"/>
    <mergeCell ref="A49:K49"/>
    <mergeCell ref="A60:K60"/>
    <mergeCell ref="A65:K65"/>
    <mergeCell ref="A76:K76"/>
    <mergeCell ref="A12:K12"/>
    <mergeCell ref="A16:K16"/>
    <mergeCell ref="A23:K23"/>
    <mergeCell ref="A29:K29"/>
    <mergeCell ref="A34:K34"/>
    <mergeCell ref="A37:K37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40"/>
  <sheetViews>
    <sheetView topLeftCell="A54" workbookViewId="0">
      <selection activeCell="E90" sqref="E90"/>
    </sheetView>
  </sheetViews>
  <sheetFormatPr baseColWidth="10" defaultColWidth="9.1640625" defaultRowHeight="13"/>
  <cols>
    <col min="1" max="1" width="7.5" style="5" bestFit="1" customWidth="1"/>
    <col min="2" max="2" width="22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6640625" style="5" bestFit="1" customWidth="1"/>
    <col min="7" max="7" width="34.5" style="5" bestFit="1" customWidth="1"/>
    <col min="8" max="10" width="5.5" style="6" customWidth="1"/>
    <col min="11" max="11" width="4.83203125" style="6" customWidth="1"/>
    <col min="12" max="12" width="10.5" style="6" bestFit="1" customWidth="1"/>
    <col min="13" max="13" width="8.5" style="6" bestFit="1" customWidth="1"/>
    <col min="14" max="14" width="27.83203125" style="5" bestFit="1" customWidth="1"/>
    <col min="15" max="16384" width="9.1640625" style="3"/>
  </cols>
  <sheetData>
    <row r="1" spans="1:14" s="2" customFormat="1" ht="29" customHeight="1">
      <c r="A1" s="80" t="s">
        <v>1140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s="2" customFormat="1" ht="62" customHeight="1" thickBot="1">
      <c r="A2" s="84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s="1" customFormat="1" ht="12.75" customHeight="1">
      <c r="A3" s="88" t="s">
        <v>1161</v>
      </c>
      <c r="B3" s="92" t="s">
        <v>0</v>
      </c>
      <c r="C3" s="90" t="s">
        <v>1162</v>
      </c>
      <c r="D3" s="90" t="s">
        <v>7</v>
      </c>
      <c r="E3" s="74" t="s">
        <v>1163</v>
      </c>
      <c r="F3" s="74" t="s">
        <v>4</v>
      </c>
      <c r="G3" s="74" t="s">
        <v>6</v>
      </c>
      <c r="H3" s="74" t="s">
        <v>11</v>
      </c>
      <c r="I3" s="74"/>
      <c r="J3" s="74"/>
      <c r="K3" s="74"/>
      <c r="L3" s="74" t="s">
        <v>495</v>
      </c>
      <c r="M3" s="74" t="s">
        <v>3</v>
      </c>
      <c r="N3" s="76" t="s">
        <v>2</v>
      </c>
    </row>
    <row r="4" spans="1:14" s="1" customFormat="1" ht="21" customHeight="1" thickBot="1">
      <c r="A4" s="89"/>
      <c r="B4" s="93"/>
      <c r="C4" s="75"/>
      <c r="D4" s="75"/>
      <c r="E4" s="75"/>
      <c r="F4" s="75"/>
      <c r="G4" s="75"/>
      <c r="H4" s="4">
        <v>1</v>
      </c>
      <c r="I4" s="4">
        <v>2</v>
      </c>
      <c r="J4" s="4">
        <v>3</v>
      </c>
      <c r="K4" s="4" t="s">
        <v>5</v>
      </c>
      <c r="L4" s="75"/>
      <c r="M4" s="75"/>
      <c r="N4" s="77"/>
    </row>
    <row r="5" spans="1:14" ht="16">
      <c r="A5" s="78" t="s">
        <v>13</v>
      </c>
      <c r="B5" s="78"/>
      <c r="C5" s="79"/>
      <c r="D5" s="79"/>
      <c r="E5" s="79"/>
      <c r="F5" s="79"/>
      <c r="G5" s="79"/>
      <c r="H5" s="79"/>
      <c r="I5" s="79"/>
      <c r="J5" s="79"/>
      <c r="K5" s="79"/>
    </row>
    <row r="6" spans="1:14">
      <c r="A6" s="18" t="s">
        <v>66</v>
      </c>
      <c r="B6" s="17" t="s">
        <v>107</v>
      </c>
      <c r="C6" s="17" t="s">
        <v>108</v>
      </c>
      <c r="D6" s="17" t="s">
        <v>109</v>
      </c>
      <c r="E6" s="17" t="s">
        <v>1166</v>
      </c>
      <c r="F6" s="17" t="s">
        <v>110</v>
      </c>
      <c r="G6" s="17" t="s">
        <v>1039</v>
      </c>
      <c r="H6" s="23" t="s">
        <v>89</v>
      </c>
      <c r="I6" s="23" t="s">
        <v>112</v>
      </c>
      <c r="J6" s="24" t="s">
        <v>102</v>
      </c>
      <c r="K6" s="18"/>
      <c r="L6" s="18" t="str">
        <f>"35,0"</f>
        <v>35,0</v>
      </c>
      <c r="M6" s="18" t="str">
        <f>"41,9475"</f>
        <v>41,9475</v>
      </c>
      <c r="N6" s="17" t="s">
        <v>1055</v>
      </c>
    </row>
    <row r="7" spans="1:14">
      <c r="A7" s="20" t="s">
        <v>66</v>
      </c>
      <c r="B7" s="19" t="s">
        <v>496</v>
      </c>
      <c r="C7" s="19" t="s">
        <v>497</v>
      </c>
      <c r="D7" s="19" t="s">
        <v>498</v>
      </c>
      <c r="E7" s="19" t="s">
        <v>1165</v>
      </c>
      <c r="F7" s="19" t="s">
        <v>125</v>
      </c>
      <c r="G7" s="19" t="s">
        <v>126</v>
      </c>
      <c r="H7" s="28" t="s">
        <v>104</v>
      </c>
      <c r="I7" s="28" t="s">
        <v>149</v>
      </c>
      <c r="J7" s="25" t="s">
        <v>117</v>
      </c>
      <c r="K7" s="20"/>
      <c r="L7" s="20" t="str">
        <f>"50,0"</f>
        <v>50,0</v>
      </c>
      <c r="M7" s="20" t="str">
        <f>"59,6650"</f>
        <v>59,6650</v>
      </c>
      <c r="N7" s="19"/>
    </row>
    <row r="8" spans="1:14">
      <c r="A8" s="20" t="s">
        <v>66</v>
      </c>
      <c r="B8" s="19" t="s">
        <v>14</v>
      </c>
      <c r="C8" s="19" t="s">
        <v>15</v>
      </c>
      <c r="D8" s="19" t="s">
        <v>16</v>
      </c>
      <c r="E8" s="19" t="s">
        <v>1167</v>
      </c>
      <c r="F8" s="19" t="s">
        <v>17</v>
      </c>
      <c r="G8" s="19" t="s">
        <v>18</v>
      </c>
      <c r="H8" s="28" t="s">
        <v>22</v>
      </c>
      <c r="I8" s="28" t="s">
        <v>23</v>
      </c>
      <c r="J8" s="28" t="s">
        <v>24</v>
      </c>
      <c r="K8" s="20"/>
      <c r="L8" s="20" t="str">
        <f>"107,5"</f>
        <v>107,5</v>
      </c>
      <c r="M8" s="20" t="str">
        <f>"126,4845"</f>
        <v>126,4845</v>
      </c>
      <c r="N8" s="19" t="s">
        <v>27</v>
      </c>
    </row>
    <row r="9" spans="1:14">
      <c r="A9" s="22" t="s">
        <v>312</v>
      </c>
      <c r="B9" s="21" t="s">
        <v>499</v>
      </c>
      <c r="C9" s="21" t="s">
        <v>500</v>
      </c>
      <c r="D9" s="21" t="s">
        <v>16</v>
      </c>
      <c r="E9" s="21" t="s">
        <v>1167</v>
      </c>
      <c r="F9" s="21" t="s">
        <v>110</v>
      </c>
      <c r="G9" s="21" t="s">
        <v>1039</v>
      </c>
      <c r="H9" s="26" t="s">
        <v>112</v>
      </c>
      <c r="I9" s="26" t="s">
        <v>102</v>
      </c>
      <c r="J9" s="27" t="s">
        <v>103</v>
      </c>
      <c r="K9" s="22"/>
      <c r="L9" s="22" t="str">
        <f>"40,0"</f>
        <v>40,0</v>
      </c>
      <c r="M9" s="22" t="str">
        <f>"47,0640"</f>
        <v>47,0640</v>
      </c>
      <c r="N9" s="21" t="s">
        <v>1057</v>
      </c>
    </row>
    <row r="10" spans="1:14">
      <c r="B10" s="5" t="s">
        <v>9</v>
      </c>
    </row>
    <row r="11" spans="1:14" ht="16">
      <c r="A11" s="91" t="s">
        <v>113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4">
      <c r="A12" s="18" t="s">
        <v>66</v>
      </c>
      <c r="B12" s="17" t="s">
        <v>501</v>
      </c>
      <c r="C12" s="17" t="s">
        <v>502</v>
      </c>
      <c r="D12" s="17" t="s">
        <v>503</v>
      </c>
      <c r="E12" s="17" t="s">
        <v>1166</v>
      </c>
      <c r="F12" s="17" t="s">
        <v>1054</v>
      </c>
      <c r="G12" s="17" t="s">
        <v>18</v>
      </c>
      <c r="H12" s="23" t="s">
        <v>504</v>
      </c>
      <c r="I12" s="23" t="s">
        <v>505</v>
      </c>
      <c r="J12" s="24" t="s">
        <v>89</v>
      </c>
      <c r="K12" s="18"/>
      <c r="L12" s="18" t="str">
        <f>"25,0"</f>
        <v>25,0</v>
      </c>
      <c r="M12" s="18" t="str">
        <f>"28,4275"</f>
        <v>28,4275</v>
      </c>
      <c r="N12" s="17"/>
    </row>
    <row r="13" spans="1:14">
      <c r="A13" s="20" t="s">
        <v>66</v>
      </c>
      <c r="B13" s="19" t="s">
        <v>114</v>
      </c>
      <c r="C13" s="19" t="s">
        <v>115</v>
      </c>
      <c r="D13" s="19" t="s">
        <v>116</v>
      </c>
      <c r="E13" s="19" t="s">
        <v>1164</v>
      </c>
      <c r="F13" s="19" t="s">
        <v>110</v>
      </c>
      <c r="G13" s="19" t="s">
        <v>1039</v>
      </c>
      <c r="H13" s="28" t="s">
        <v>89</v>
      </c>
      <c r="I13" s="28" t="s">
        <v>120</v>
      </c>
      <c r="J13" s="25" t="s">
        <v>103</v>
      </c>
      <c r="K13" s="20"/>
      <c r="L13" s="20" t="str">
        <f>"37,5"</f>
        <v>37,5</v>
      </c>
      <c r="M13" s="20" t="str">
        <f>"42,3038"</f>
        <v>42,3038</v>
      </c>
      <c r="N13" s="19" t="s">
        <v>1055</v>
      </c>
    </row>
    <row r="14" spans="1:14">
      <c r="A14" s="22" t="s">
        <v>66</v>
      </c>
      <c r="B14" s="21" t="s">
        <v>506</v>
      </c>
      <c r="C14" s="21" t="s">
        <v>507</v>
      </c>
      <c r="D14" s="21" t="s">
        <v>508</v>
      </c>
      <c r="E14" s="21" t="s">
        <v>1167</v>
      </c>
      <c r="F14" s="21" t="s">
        <v>1054</v>
      </c>
      <c r="G14" s="21" t="s">
        <v>509</v>
      </c>
      <c r="H14" s="26" t="s">
        <v>112</v>
      </c>
      <c r="I14" s="26" t="s">
        <v>120</v>
      </c>
      <c r="J14" s="26" t="s">
        <v>102</v>
      </c>
      <c r="K14" s="22"/>
      <c r="L14" s="22" t="str">
        <f>"40,0"</f>
        <v>40,0</v>
      </c>
      <c r="M14" s="22" t="str">
        <f>"45,2400"</f>
        <v>45,2400</v>
      </c>
      <c r="N14" s="21"/>
    </row>
    <row r="15" spans="1:14">
      <c r="B15" s="5" t="s">
        <v>9</v>
      </c>
    </row>
    <row r="16" spans="1:14" ht="16">
      <c r="A16" s="91" t="s">
        <v>121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4">
      <c r="A17" s="10" t="s">
        <v>66</v>
      </c>
      <c r="B17" s="9" t="s">
        <v>510</v>
      </c>
      <c r="C17" s="9" t="s">
        <v>511</v>
      </c>
      <c r="D17" s="9" t="s">
        <v>385</v>
      </c>
      <c r="E17" s="9" t="s">
        <v>1167</v>
      </c>
      <c r="F17" s="9" t="s">
        <v>110</v>
      </c>
      <c r="G17" s="9" t="s">
        <v>1039</v>
      </c>
      <c r="H17" s="15" t="s">
        <v>103</v>
      </c>
      <c r="I17" s="15" t="s">
        <v>149</v>
      </c>
      <c r="J17" s="15" t="s">
        <v>117</v>
      </c>
      <c r="K17" s="10"/>
      <c r="L17" s="10" t="str">
        <f>"52,5"</f>
        <v>52,5</v>
      </c>
      <c r="M17" s="10" t="str">
        <f>"54,3427"</f>
        <v>54,3427</v>
      </c>
      <c r="N17" s="9" t="s">
        <v>1057</v>
      </c>
    </row>
    <row r="18" spans="1:14">
      <c r="B18" s="5" t="s">
        <v>9</v>
      </c>
    </row>
    <row r="19" spans="1:14" ht="16">
      <c r="A19" s="91" t="s">
        <v>512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4">
      <c r="A20" s="10" t="s">
        <v>66</v>
      </c>
      <c r="B20" s="9" t="s">
        <v>513</v>
      </c>
      <c r="C20" s="9" t="s">
        <v>514</v>
      </c>
      <c r="D20" s="9" t="s">
        <v>515</v>
      </c>
      <c r="E20" s="9" t="s">
        <v>1164</v>
      </c>
      <c r="F20" s="9" t="s">
        <v>110</v>
      </c>
      <c r="G20" s="9" t="s">
        <v>1039</v>
      </c>
      <c r="H20" s="15" t="s">
        <v>104</v>
      </c>
      <c r="I20" s="15" t="s">
        <v>149</v>
      </c>
      <c r="J20" s="15" t="s">
        <v>87</v>
      </c>
      <c r="K20" s="10"/>
      <c r="L20" s="10" t="str">
        <f>"55,0"</f>
        <v>55,0</v>
      </c>
      <c r="M20" s="10" t="str">
        <f>"44,6820"</f>
        <v>44,6820</v>
      </c>
      <c r="N20" s="9" t="s">
        <v>1055</v>
      </c>
    </row>
    <row r="21" spans="1:14">
      <c r="B21" s="5" t="s">
        <v>9</v>
      </c>
    </row>
    <row r="22" spans="1:14" ht="16">
      <c r="A22" s="91" t="s">
        <v>94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4">
      <c r="A23" s="18" t="s">
        <v>66</v>
      </c>
      <c r="B23" s="17" t="s">
        <v>516</v>
      </c>
      <c r="C23" s="17" t="s">
        <v>517</v>
      </c>
      <c r="D23" s="17" t="s">
        <v>518</v>
      </c>
      <c r="E23" s="17" t="s">
        <v>1166</v>
      </c>
      <c r="F23" s="17" t="s">
        <v>110</v>
      </c>
      <c r="G23" s="17" t="s">
        <v>1039</v>
      </c>
      <c r="H23" s="23" t="s">
        <v>120</v>
      </c>
      <c r="I23" s="23" t="s">
        <v>104</v>
      </c>
      <c r="J23" s="23" t="s">
        <v>348</v>
      </c>
      <c r="K23" s="18"/>
      <c r="L23" s="18" t="str">
        <f>"47,5"</f>
        <v>47,5</v>
      </c>
      <c r="M23" s="18" t="str">
        <f>"63,4315"</f>
        <v>63,4315</v>
      </c>
      <c r="N23" s="17" t="s">
        <v>1055</v>
      </c>
    </row>
    <row r="24" spans="1:14">
      <c r="A24" s="20" t="s">
        <v>312</v>
      </c>
      <c r="B24" s="19" t="s">
        <v>143</v>
      </c>
      <c r="C24" s="19" t="s">
        <v>144</v>
      </c>
      <c r="D24" s="19" t="s">
        <v>145</v>
      </c>
      <c r="E24" s="19" t="s">
        <v>1166</v>
      </c>
      <c r="F24" s="19" t="s">
        <v>110</v>
      </c>
      <c r="G24" s="19" t="s">
        <v>1039</v>
      </c>
      <c r="H24" s="28" t="s">
        <v>112</v>
      </c>
      <c r="I24" s="28" t="s">
        <v>102</v>
      </c>
      <c r="J24" s="28" t="s">
        <v>104</v>
      </c>
      <c r="K24" s="20"/>
      <c r="L24" s="20" t="str">
        <f>"45,0"</f>
        <v>45,0</v>
      </c>
      <c r="M24" s="20" t="str">
        <f>"53,4510"</f>
        <v>53,4510</v>
      </c>
      <c r="N24" s="19" t="s">
        <v>1055</v>
      </c>
    </row>
    <row r="25" spans="1:14">
      <c r="A25" s="20" t="s">
        <v>313</v>
      </c>
      <c r="B25" s="19" t="s">
        <v>519</v>
      </c>
      <c r="C25" s="19" t="s">
        <v>520</v>
      </c>
      <c r="D25" s="19" t="s">
        <v>521</v>
      </c>
      <c r="E25" s="19" t="s">
        <v>1166</v>
      </c>
      <c r="F25" s="19" t="s">
        <v>110</v>
      </c>
      <c r="G25" s="19" t="s">
        <v>1039</v>
      </c>
      <c r="H25" s="28" t="s">
        <v>120</v>
      </c>
      <c r="I25" s="28" t="s">
        <v>104</v>
      </c>
      <c r="J25" s="25" t="s">
        <v>149</v>
      </c>
      <c r="K25" s="20"/>
      <c r="L25" s="20" t="str">
        <f>"45,0"</f>
        <v>45,0</v>
      </c>
      <c r="M25" s="20" t="str">
        <f>"44,6985"</f>
        <v>44,6985</v>
      </c>
      <c r="N25" s="19" t="s">
        <v>1057</v>
      </c>
    </row>
    <row r="26" spans="1:14">
      <c r="A26" s="22" t="s">
        <v>314</v>
      </c>
      <c r="B26" s="21" t="s">
        <v>146</v>
      </c>
      <c r="C26" s="21" t="s">
        <v>147</v>
      </c>
      <c r="D26" s="21" t="s">
        <v>148</v>
      </c>
      <c r="E26" s="21" t="s">
        <v>1166</v>
      </c>
      <c r="F26" s="21" t="s">
        <v>110</v>
      </c>
      <c r="G26" s="21" t="s">
        <v>1039</v>
      </c>
      <c r="H26" s="27" t="s">
        <v>89</v>
      </c>
      <c r="I26" s="26" t="s">
        <v>89</v>
      </c>
      <c r="J26" s="26" t="s">
        <v>112</v>
      </c>
      <c r="K26" s="22"/>
      <c r="L26" s="22" t="str">
        <f>"35,0"</f>
        <v>35,0</v>
      </c>
      <c r="M26" s="22" t="str">
        <f>"39,1335"</f>
        <v>39,1335</v>
      </c>
      <c r="N26" s="21" t="s">
        <v>1055</v>
      </c>
    </row>
    <row r="27" spans="1:14">
      <c r="B27" s="5" t="s">
        <v>9</v>
      </c>
    </row>
    <row r="28" spans="1:14" ht="16">
      <c r="A28" s="91" t="s">
        <v>13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4">
      <c r="A29" s="18" t="s">
        <v>66</v>
      </c>
      <c r="B29" s="17" t="s">
        <v>522</v>
      </c>
      <c r="C29" s="17" t="s">
        <v>523</v>
      </c>
      <c r="D29" s="17" t="s">
        <v>524</v>
      </c>
      <c r="E29" s="17" t="s">
        <v>1166</v>
      </c>
      <c r="F29" s="17" t="s">
        <v>110</v>
      </c>
      <c r="G29" s="17" t="s">
        <v>1039</v>
      </c>
      <c r="H29" s="24" t="s">
        <v>89</v>
      </c>
      <c r="I29" s="23" t="s">
        <v>112</v>
      </c>
      <c r="J29" s="23" t="s">
        <v>102</v>
      </c>
      <c r="K29" s="18"/>
      <c r="L29" s="18" t="str">
        <f>"40,0"</f>
        <v>40,0</v>
      </c>
      <c r="M29" s="18" t="str">
        <f>"38,1120"</f>
        <v>38,1120</v>
      </c>
      <c r="N29" s="17" t="s">
        <v>1055</v>
      </c>
    </row>
    <row r="30" spans="1:14">
      <c r="A30" s="22" t="s">
        <v>312</v>
      </c>
      <c r="B30" s="21" t="s">
        <v>525</v>
      </c>
      <c r="C30" s="21" t="s">
        <v>526</v>
      </c>
      <c r="D30" s="21" t="s">
        <v>524</v>
      </c>
      <c r="E30" s="21" t="s">
        <v>1166</v>
      </c>
      <c r="F30" s="21" t="s">
        <v>110</v>
      </c>
      <c r="G30" s="21" t="s">
        <v>1039</v>
      </c>
      <c r="H30" s="27" t="s">
        <v>90</v>
      </c>
      <c r="I30" s="26" t="s">
        <v>90</v>
      </c>
      <c r="J30" s="27" t="s">
        <v>102</v>
      </c>
      <c r="K30" s="22"/>
      <c r="L30" s="22" t="str">
        <f>"32,5"</f>
        <v>32,5</v>
      </c>
      <c r="M30" s="22" t="str">
        <f>"30,9660"</f>
        <v>30,9660</v>
      </c>
      <c r="N30" s="21" t="s">
        <v>1055</v>
      </c>
    </row>
    <row r="31" spans="1:14">
      <c r="B31" s="5" t="s">
        <v>9</v>
      </c>
    </row>
    <row r="32" spans="1:14" ht="16">
      <c r="A32" s="91" t="s">
        <v>113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4">
      <c r="A33" s="10" t="s">
        <v>66</v>
      </c>
      <c r="B33" s="9" t="s">
        <v>527</v>
      </c>
      <c r="C33" s="9" t="s">
        <v>528</v>
      </c>
      <c r="D33" s="9" t="s">
        <v>529</v>
      </c>
      <c r="E33" s="9" t="s">
        <v>1166</v>
      </c>
      <c r="F33" s="9" t="s">
        <v>110</v>
      </c>
      <c r="G33" s="9" t="s">
        <v>18</v>
      </c>
      <c r="H33" s="15" t="s">
        <v>88</v>
      </c>
      <c r="I33" s="15" t="s">
        <v>91</v>
      </c>
      <c r="J33" s="15" t="s">
        <v>93</v>
      </c>
      <c r="K33" s="10"/>
      <c r="L33" s="10" t="str">
        <f>"75,0"</f>
        <v>75,0</v>
      </c>
      <c r="M33" s="10" t="str">
        <f>"67,4550"</f>
        <v>67,4550</v>
      </c>
      <c r="N33" s="9" t="s">
        <v>1057</v>
      </c>
    </row>
    <row r="34" spans="1:14">
      <c r="B34" s="5" t="s">
        <v>9</v>
      </c>
    </row>
    <row r="35" spans="1:14" ht="16">
      <c r="A35" s="91" t="s">
        <v>121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4">
      <c r="A36" s="18" t="s">
        <v>66</v>
      </c>
      <c r="B36" s="17" t="s">
        <v>167</v>
      </c>
      <c r="C36" s="17" t="s">
        <v>168</v>
      </c>
      <c r="D36" s="17" t="s">
        <v>169</v>
      </c>
      <c r="E36" s="17" t="s">
        <v>1166</v>
      </c>
      <c r="F36" s="17" t="s">
        <v>110</v>
      </c>
      <c r="G36" s="17" t="s">
        <v>18</v>
      </c>
      <c r="H36" s="23" t="s">
        <v>88</v>
      </c>
      <c r="I36" s="23" t="s">
        <v>91</v>
      </c>
      <c r="J36" s="23" t="s">
        <v>100</v>
      </c>
      <c r="K36" s="18"/>
      <c r="L36" s="18" t="str">
        <f>"80,0"</f>
        <v>80,0</v>
      </c>
      <c r="M36" s="18" t="str">
        <f>"63,2080"</f>
        <v>63,2080</v>
      </c>
      <c r="N36" s="17" t="s">
        <v>1055</v>
      </c>
    </row>
    <row r="37" spans="1:14">
      <c r="A37" s="20" t="s">
        <v>312</v>
      </c>
      <c r="B37" s="19" t="s">
        <v>159</v>
      </c>
      <c r="C37" s="19" t="s">
        <v>160</v>
      </c>
      <c r="D37" s="19" t="s">
        <v>161</v>
      </c>
      <c r="E37" s="19" t="s">
        <v>1166</v>
      </c>
      <c r="F37" s="19" t="s">
        <v>110</v>
      </c>
      <c r="G37" s="19" t="s">
        <v>1039</v>
      </c>
      <c r="H37" s="28" t="s">
        <v>91</v>
      </c>
      <c r="I37" s="28" t="s">
        <v>163</v>
      </c>
      <c r="J37" s="25" t="s">
        <v>164</v>
      </c>
      <c r="K37" s="20"/>
      <c r="L37" s="20" t="str">
        <f>"77,5"</f>
        <v>77,5</v>
      </c>
      <c r="M37" s="20" t="str">
        <f>"60,2562"</f>
        <v>60,2562</v>
      </c>
      <c r="N37" s="19" t="s">
        <v>1055</v>
      </c>
    </row>
    <row r="38" spans="1:14">
      <c r="A38" s="22" t="s">
        <v>313</v>
      </c>
      <c r="B38" s="21" t="s">
        <v>170</v>
      </c>
      <c r="C38" s="21" t="s">
        <v>171</v>
      </c>
      <c r="D38" s="21" t="s">
        <v>172</v>
      </c>
      <c r="E38" s="21" t="s">
        <v>1166</v>
      </c>
      <c r="F38" s="21" t="s">
        <v>110</v>
      </c>
      <c r="G38" s="21" t="s">
        <v>1039</v>
      </c>
      <c r="H38" s="26" t="s">
        <v>149</v>
      </c>
      <c r="I38" s="26" t="s">
        <v>87</v>
      </c>
      <c r="J38" s="27" t="s">
        <v>88</v>
      </c>
      <c r="K38" s="22"/>
      <c r="L38" s="22" t="str">
        <f>"55,0"</f>
        <v>55,0</v>
      </c>
      <c r="M38" s="22" t="str">
        <f>"42,4050"</f>
        <v>42,4050</v>
      </c>
      <c r="N38" s="21" t="s">
        <v>1055</v>
      </c>
    </row>
    <row r="39" spans="1:14">
      <c r="B39" s="5" t="s">
        <v>9</v>
      </c>
    </row>
    <row r="40" spans="1:14" ht="16">
      <c r="A40" s="91" t="s">
        <v>176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</row>
    <row r="41" spans="1:14">
      <c r="A41" s="18" t="s">
        <v>66</v>
      </c>
      <c r="B41" s="17" t="s">
        <v>530</v>
      </c>
      <c r="C41" s="17" t="s">
        <v>531</v>
      </c>
      <c r="D41" s="17" t="s">
        <v>532</v>
      </c>
      <c r="E41" s="17" t="s">
        <v>1166</v>
      </c>
      <c r="F41" s="17" t="s">
        <v>85</v>
      </c>
      <c r="G41" s="17" t="s">
        <v>86</v>
      </c>
      <c r="H41" s="23" t="s">
        <v>100</v>
      </c>
      <c r="I41" s="23" t="s">
        <v>158</v>
      </c>
      <c r="J41" s="23" t="s">
        <v>180</v>
      </c>
      <c r="K41" s="18"/>
      <c r="L41" s="18" t="str">
        <f>"87,5"</f>
        <v>87,5</v>
      </c>
      <c r="M41" s="18" t="str">
        <f>"63,3675"</f>
        <v>63,3675</v>
      </c>
      <c r="N41" s="17"/>
    </row>
    <row r="42" spans="1:14">
      <c r="A42" s="20" t="s">
        <v>312</v>
      </c>
      <c r="B42" s="19" t="s">
        <v>533</v>
      </c>
      <c r="C42" s="19" t="s">
        <v>534</v>
      </c>
      <c r="D42" s="19" t="s">
        <v>535</v>
      </c>
      <c r="E42" s="19" t="s">
        <v>1166</v>
      </c>
      <c r="F42" s="19" t="s">
        <v>110</v>
      </c>
      <c r="G42" s="19" t="s">
        <v>1039</v>
      </c>
      <c r="H42" s="28" t="s">
        <v>149</v>
      </c>
      <c r="I42" s="28" t="s">
        <v>88</v>
      </c>
      <c r="J42" s="28" t="s">
        <v>111</v>
      </c>
      <c r="K42" s="20"/>
      <c r="L42" s="20" t="str">
        <f>"65,0"</f>
        <v>65,0</v>
      </c>
      <c r="M42" s="20" t="str">
        <f>"46,4880"</f>
        <v>46,4880</v>
      </c>
      <c r="N42" s="19" t="s">
        <v>1057</v>
      </c>
    </row>
    <row r="43" spans="1:14">
      <c r="A43" s="20" t="s">
        <v>313</v>
      </c>
      <c r="B43" s="19" t="s">
        <v>536</v>
      </c>
      <c r="C43" s="19" t="s">
        <v>537</v>
      </c>
      <c r="D43" s="19" t="s">
        <v>538</v>
      </c>
      <c r="E43" s="19" t="s">
        <v>1166</v>
      </c>
      <c r="F43" s="19" t="s">
        <v>110</v>
      </c>
      <c r="G43" s="19" t="s">
        <v>1039</v>
      </c>
      <c r="H43" s="28" t="s">
        <v>102</v>
      </c>
      <c r="I43" s="28" t="s">
        <v>149</v>
      </c>
      <c r="J43" s="25" t="s">
        <v>117</v>
      </c>
      <c r="K43" s="20"/>
      <c r="L43" s="20" t="str">
        <f>"50,0"</f>
        <v>50,0</v>
      </c>
      <c r="M43" s="20" t="str">
        <f>"37,5950"</f>
        <v>37,5950</v>
      </c>
      <c r="N43" s="19" t="s">
        <v>1057</v>
      </c>
    </row>
    <row r="44" spans="1:14">
      <c r="A44" s="20" t="s">
        <v>314</v>
      </c>
      <c r="B44" s="19" t="s">
        <v>539</v>
      </c>
      <c r="C44" s="19" t="s">
        <v>540</v>
      </c>
      <c r="D44" s="19" t="s">
        <v>186</v>
      </c>
      <c r="E44" s="19" t="s">
        <v>1166</v>
      </c>
      <c r="F44" s="19" t="s">
        <v>110</v>
      </c>
      <c r="G44" s="19" t="s">
        <v>1039</v>
      </c>
      <c r="H44" s="28" t="s">
        <v>104</v>
      </c>
      <c r="I44" s="28" t="s">
        <v>149</v>
      </c>
      <c r="J44" s="25" t="s">
        <v>87</v>
      </c>
      <c r="K44" s="20"/>
      <c r="L44" s="20" t="str">
        <f>"50,0"</f>
        <v>50,0</v>
      </c>
      <c r="M44" s="20" t="str">
        <f>"36,6100"</f>
        <v>36,6100</v>
      </c>
      <c r="N44" s="19" t="s">
        <v>1057</v>
      </c>
    </row>
    <row r="45" spans="1:14">
      <c r="A45" s="20" t="s">
        <v>66</v>
      </c>
      <c r="B45" s="19" t="s">
        <v>541</v>
      </c>
      <c r="C45" s="19" t="s">
        <v>542</v>
      </c>
      <c r="D45" s="19" t="s">
        <v>543</v>
      </c>
      <c r="E45" s="19" t="s">
        <v>1164</v>
      </c>
      <c r="F45" s="19" t="s">
        <v>110</v>
      </c>
      <c r="G45" s="19" t="s">
        <v>18</v>
      </c>
      <c r="H45" s="28" t="s">
        <v>164</v>
      </c>
      <c r="I45" s="28" t="s">
        <v>136</v>
      </c>
      <c r="J45" s="25" t="s">
        <v>22</v>
      </c>
      <c r="K45" s="20"/>
      <c r="L45" s="20" t="str">
        <f>"92,5"</f>
        <v>92,5</v>
      </c>
      <c r="M45" s="20" t="str">
        <f>"69,0883"</f>
        <v>69,0883</v>
      </c>
      <c r="N45" s="19" t="s">
        <v>1057</v>
      </c>
    </row>
    <row r="46" spans="1:14">
      <c r="A46" s="20" t="s">
        <v>312</v>
      </c>
      <c r="B46" s="19" t="s">
        <v>544</v>
      </c>
      <c r="C46" s="19" t="s">
        <v>545</v>
      </c>
      <c r="D46" s="19" t="s">
        <v>546</v>
      </c>
      <c r="E46" s="19" t="s">
        <v>1164</v>
      </c>
      <c r="F46" s="19" t="s">
        <v>110</v>
      </c>
      <c r="G46" s="19" t="s">
        <v>1039</v>
      </c>
      <c r="H46" s="28" t="s">
        <v>93</v>
      </c>
      <c r="I46" s="28" t="s">
        <v>158</v>
      </c>
      <c r="J46" s="28" t="s">
        <v>136</v>
      </c>
      <c r="K46" s="20"/>
      <c r="L46" s="20" t="str">
        <f>"92,5"</f>
        <v>92,5</v>
      </c>
      <c r="M46" s="20" t="str">
        <f>"68,7923"</f>
        <v>68,7923</v>
      </c>
      <c r="N46" s="19" t="s">
        <v>1057</v>
      </c>
    </row>
    <row r="47" spans="1:14">
      <c r="A47" s="20" t="s">
        <v>66</v>
      </c>
      <c r="B47" s="19" t="s">
        <v>547</v>
      </c>
      <c r="C47" s="19" t="s">
        <v>548</v>
      </c>
      <c r="D47" s="19" t="s">
        <v>549</v>
      </c>
      <c r="E47" s="19" t="s">
        <v>1165</v>
      </c>
      <c r="F47" s="19" t="s">
        <v>550</v>
      </c>
      <c r="G47" s="19" t="s">
        <v>18</v>
      </c>
      <c r="H47" s="28" t="s">
        <v>100</v>
      </c>
      <c r="I47" s="28" t="s">
        <v>101</v>
      </c>
      <c r="J47" s="25" t="s">
        <v>22</v>
      </c>
      <c r="K47" s="20"/>
      <c r="L47" s="20" t="str">
        <f>"90,0"</f>
        <v>90,0</v>
      </c>
      <c r="M47" s="20" t="str">
        <f>"65,5020"</f>
        <v>65,5020</v>
      </c>
      <c r="N47" s="19"/>
    </row>
    <row r="48" spans="1:14">
      <c r="A48" s="22" t="s">
        <v>66</v>
      </c>
      <c r="B48" s="21" t="s">
        <v>551</v>
      </c>
      <c r="C48" s="21" t="s">
        <v>552</v>
      </c>
      <c r="D48" s="21" t="s">
        <v>553</v>
      </c>
      <c r="E48" s="21" t="s">
        <v>1168</v>
      </c>
      <c r="F48" s="21" t="s">
        <v>110</v>
      </c>
      <c r="G48" s="21" t="s">
        <v>1039</v>
      </c>
      <c r="H48" s="26" t="s">
        <v>165</v>
      </c>
      <c r="I48" s="26" t="s">
        <v>166</v>
      </c>
      <c r="J48" s="26" t="s">
        <v>34</v>
      </c>
      <c r="K48" s="22"/>
      <c r="L48" s="22" t="str">
        <f>"125,0"</f>
        <v>125,0</v>
      </c>
      <c r="M48" s="22" t="str">
        <f>"94,4195"</f>
        <v>94,4195</v>
      </c>
      <c r="N48" s="21" t="s">
        <v>1055</v>
      </c>
    </row>
    <row r="49" spans="1:14">
      <c r="B49" s="5" t="s">
        <v>9</v>
      </c>
    </row>
    <row r="50" spans="1:14" ht="16">
      <c r="A50" s="91" t="s">
        <v>28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</row>
    <row r="51" spans="1:14">
      <c r="A51" s="18" t="s">
        <v>66</v>
      </c>
      <c r="B51" s="17" t="s">
        <v>554</v>
      </c>
      <c r="C51" s="17" t="s">
        <v>555</v>
      </c>
      <c r="D51" s="17" t="s">
        <v>418</v>
      </c>
      <c r="E51" s="17" t="s">
        <v>1166</v>
      </c>
      <c r="F51" s="17" t="s">
        <v>110</v>
      </c>
      <c r="G51" s="65" t="s">
        <v>1039</v>
      </c>
      <c r="H51" s="23" t="s">
        <v>92</v>
      </c>
      <c r="I51" s="68" t="s">
        <v>164</v>
      </c>
      <c r="J51" s="24" t="s">
        <v>136</v>
      </c>
      <c r="K51" s="18"/>
      <c r="L51" s="18" t="str">
        <f>"82,5"</f>
        <v>82,5</v>
      </c>
      <c r="M51" s="18" t="str">
        <f>"56,3227"</f>
        <v>56,3227</v>
      </c>
      <c r="N51" s="17" t="s">
        <v>1057</v>
      </c>
    </row>
    <row r="52" spans="1:14">
      <c r="A52" s="20" t="s">
        <v>312</v>
      </c>
      <c r="B52" s="19" t="s">
        <v>556</v>
      </c>
      <c r="C52" s="19" t="s">
        <v>557</v>
      </c>
      <c r="D52" s="19" t="s">
        <v>558</v>
      </c>
      <c r="E52" s="19" t="s">
        <v>1166</v>
      </c>
      <c r="F52" s="19" t="s">
        <v>110</v>
      </c>
      <c r="G52" s="66" t="s">
        <v>1039</v>
      </c>
      <c r="H52" s="28" t="s">
        <v>87</v>
      </c>
      <c r="I52" s="69" t="s">
        <v>119</v>
      </c>
      <c r="J52" s="25" t="s">
        <v>92</v>
      </c>
      <c r="K52" s="20"/>
      <c r="L52" s="20" t="str">
        <f>"67,5"</f>
        <v>67,5</v>
      </c>
      <c r="M52" s="20" t="str">
        <f>"45,3532"</f>
        <v>45,3532</v>
      </c>
      <c r="N52" s="19" t="s">
        <v>1057</v>
      </c>
    </row>
    <row r="53" spans="1:14">
      <c r="A53" s="20" t="s">
        <v>313</v>
      </c>
      <c r="B53" s="19" t="s">
        <v>559</v>
      </c>
      <c r="C53" s="19" t="s">
        <v>560</v>
      </c>
      <c r="D53" s="19" t="s">
        <v>561</v>
      </c>
      <c r="E53" s="19" t="s">
        <v>1166</v>
      </c>
      <c r="F53" s="19" t="s">
        <v>85</v>
      </c>
      <c r="G53" s="66" t="s">
        <v>86</v>
      </c>
      <c r="H53" s="28" t="s">
        <v>88</v>
      </c>
      <c r="I53" s="69" t="s">
        <v>118</v>
      </c>
      <c r="J53" s="28" t="s">
        <v>111</v>
      </c>
      <c r="K53" s="20"/>
      <c r="L53" s="20" t="str">
        <f>"65,0"</f>
        <v>65,0</v>
      </c>
      <c r="M53" s="20" t="str">
        <f>"45,1425"</f>
        <v>45,1425</v>
      </c>
      <c r="N53" s="19"/>
    </row>
    <row r="54" spans="1:14">
      <c r="A54" s="20" t="s">
        <v>66</v>
      </c>
      <c r="B54" s="19" t="s">
        <v>209</v>
      </c>
      <c r="C54" s="19" t="s">
        <v>210</v>
      </c>
      <c r="D54" s="19" t="s">
        <v>211</v>
      </c>
      <c r="E54" s="19" t="s">
        <v>1167</v>
      </c>
      <c r="F54" s="19" t="s">
        <v>110</v>
      </c>
      <c r="G54" s="66" t="s">
        <v>1039</v>
      </c>
      <c r="H54" s="28" t="s">
        <v>215</v>
      </c>
      <c r="I54" s="69" t="s">
        <v>26</v>
      </c>
      <c r="J54" s="28" t="s">
        <v>205</v>
      </c>
      <c r="K54" s="20"/>
      <c r="L54" s="20" t="str">
        <f>"192,5"</f>
        <v>192,5</v>
      </c>
      <c r="M54" s="20" t="str">
        <f>"129,4370"</f>
        <v>129,4370</v>
      </c>
      <c r="N54" s="19" t="s">
        <v>1055</v>
      </c>
    </row>
    <row r="55" spans="1:14">
      <c r="A55" s="20" t="s">
        <v>312</v>
      </c>
      <c r="B55" s="19" t="s">
        <v>562</v>
      </c>
      <c r="C55" s="19" t="s">
        <v>563</v>
      </c>
      <c r="D55" s="19" t="s">
        <v>564</v>
      </c>
      <c r="E55" s="19" t="s">
        <v>1167</v>
      </c>
      <c r="F55" s="19" t="s">
        <v>157</v>
      </c>
      <c r="G55" s="66" t="s">
        <v>1039</v>
      </c>
      <c r="H55" s="25" t="s">
        <v>25</v>
      </c>
      <c r="I55" s="69" t="s">
        <v>231</v>
      </c>
      <c r="J55" s="28" t="s">
        <v>135</v>
      </c>
      <c r="K55" s="20"/>
      <c r="L55" s="20" t="str">
        <f>"167,5"</f>
        <v>167,5</v>
      </c>
      <c r="M55" s="20" t="str">
        <f>"114,0843"</f>
        <v>114,0843</v>
      </c>
      <c r="N55" s="19" t="s">
        <v>1113</v>
      </c>
    </row>
    <row r="56" spans="1:14">
      <c r="A56" s="20" t="s">
        <v>313</v>
      </c>
      <c r="B56" s="19" t="s">
        <v>565</v>
      </c>
      <c r="C56" s="19" t="s">
        <v>566</v>
      </c>
      <c r="D56" s="19" t="s">
        <v>567</v>
      </c>
      <c r="E56" s="19" t="s">
        <v>1167</v>
      </c>
      <c r="F56" s="19" t="s">
        <v>550</v>
      </c>
      <c r="G56" s="66" t="s">
        <v>18</v>
      </c>
      <c r="H56" s="28" t="s">
        <v>255</v>
      </c>
      <c r="I56" s="69" t="s">
        <v>25</v>
      </c>
      <c r="J56" s="25" t="s">
        <v>231</v>
      </c>
      <c r="K56" s="20"/>
      <c r="L56" s="20" t="str">
        <f>"160,0"</f>
        <v>160,0</v>
      </c>
      <c r="M56" s="20" t="str">
        <f>"109,8400"</f>
        <v>109,8400</v>
      </c>
      <c r="N56" s="19"/>
    </row>
    <row r="57" spans="1:14">
      <c r="A57" s="22" t="s">
        <v>66</v>
      </c>
      <c r="B57" s="21" t="s">
        <v>568</v>
      </c>
      <c r="C57" s="21" t="s">
        <v>569</v>
      </c>
      <c r="D57" s="21" t="s">
        <v>570</v>
      </c>
      <c r="E57" s="21" t="s">
        <v>1168</v>
      </c>
      <c r="F57" s="21" t="s">
        <v>110</v>
      </c>
      <c r="G57" s="67" t="s">
        <v>1039</v>
      </c>
      <c r="H57" s="71">
        <v>95</v>
      </c>
      <c r="I57" s="70" t="s">
        <v>22</v>
      </c>
      <c r="J57" s="26" t="s">
        <v>105</v>
      </c>
      <c r="K57" s="22"/>
      <c r="L57" s="22" t="str">
        <f>"100,0"</f>
        <v>100,0</v>
      </c>
      <c r="M57" s="22" t="str">
        <f>"76,7880"</f>
        <v>76,7880</v>
      </c>
      <c r="N57" s="21" t="s">
        <v>1057</v>
      </c>
    </row>
    <row r="58" spans="1:14">
      <c r="B58" s="5" t="s">
        <v>9</v>
      </c>
    </row>
    <row r="59" spans="1:14" ht="16">
      <c r="A59" s="91" t="s">
        <v>40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</row>
    <row r="60" spans="1:14">
      <c r="A60" s="18" t="s">
        <v>66</v>
      </c>
      <c r="B60" s="17" t="s">
        <v>571</v>
      </c>
      <c r="C60" s="17" t="s">
        <v>572</v>
      </c>
      <c r="D60" s="17" t="s">
        <v>573</v>
      </c>
      <c r="E60" s="17" t="s">
        <v>1166</v>
      </c>
      <c r="F60" s="17" t="s">
        <v>550</v>
      </c>
      <c r="G60" s="17" t="s">
        <v>1039</v>
      </c>
      <c r="H60" s="23" t="s">
        <v>102</v>
      </c>
      <c r="I60" s="24" t="s">
        <v>149</v>
      </c>
      <c r="J60" s="23" t="s">
        <v>149</v>
      </c>
      <c r="K60" s="18"/>
      <c r="L60" s="18" t="str">
        <f>"50,0"</f>
        <v>50,0</v>
      </c>
      <c r="M60" s="18" t="str">
        <f>"33,3050"</f>
        <v>33,3050</v>
      </c>
      <c r="N60" s="17"/>
    </row>
    <row r="61" spans="1:14">
      <c r="A61" s="20" t="s">
        <v>66</v>
      </c>
      <c r="B61" s="19" t="s">
        <v>574</v>
      </c>
      <c r="C61" s="19" t="s">
        <v>575</v>
      </c>
      <c r="D61" s="19" t="s">
        <v>576</v>
      </c>
      <c r="E61" s="19" t="s">
        <v>1164</v>
      </c>
      <c r="F61" s="19" t="s">
        <v>110</v>
      </c>
      <c r="G61" s="19" t="s">
        <v>1039</v>
      </c>
      <c r="H61" s="28" t="s">
        <v>163</v>
      </c>
      <c r="I61" s="25" t="s">
        <v>101</v>
      </c>
      <c r="J61" s="25" t="s">
        <v>101</v>
      </c>
      <c r="K61" s="20"/>
      <c r="L61" s="20" t="str">
        <f>"77,5"</f>
        <v>77,5</v>
      </c>
      <c r="M61" s="20" t="str">
        <f>"50,3053"</f>
        <v>50,3053</v>
      </c>
      <c r="N61" s="19" t="s">
        <v>1055</v>
      </c>
    </row>
    <row r="62" spans="1:14">
      <c r="A62" s="20" t="s">
        <v>66</v>
      </c>
      <c r="B62" s="19" t="s">
        <v>236</v>
      </c>
      <c r="C62" s="19" t="s">
        <v>237</v>
      </c>
      <c r="D62" s="19" t="s">
        <v>238</v>
      </c>
      <c r="E62" s="19" t="s">
        <v>1165</v>
      </c>
      <c r="F62" s="19" t="s">
        <v>1054</v>
      </c>
      <c r="G62" s="19" t="s">
        <v>1039</v>
      </c>
      <c r="H62" s="28" t="s">
        <v>19</v>
      </c>
      <c r="I62" s="28" t="s">
        <v>231</v>
      </c>
      <c r="J62" s="25" t="s">
        <v>47</v>
      </c>
      <c r="K62" s="20"/>
      <c r="L62" s="20" t="str">
        <f>"165,0"</f>
        <v>165,0</v>
      </c>
      <c r="M62" s="20" t="str">
        <f>"105,7650"</f>
        <v>105,7650</v>
      </c>
      <c r="N62" s="19" t="s">
        <v>1086</v>
      </c>
    </row>
    <row r="63" spans="1:14">
      <c r="A63" s="20" t="s">
        <v>312</v>
      </c>
      <c r="B63" s="19" t="s">
        <v>577</v>
      </c>
      <c r="C63" s="19" t="s">
        <v>578</v>
      </c>
      <c r="D63" s="19" t="s">
        <v>579</v>
      </c>
      <c r="E63" s="19" t="s">
        <v>1165</v>
      </c>
      <c r="F63" s="19" t="s">
        <v>110</v>
      </c>
      <c r="G63" s="19" t="s">
        <v>1039</v>
      </c>
      <c r="H63" s="28" t="s">
        <v>130</v>
      </c>
      <c r="I63" s="25" t="s">
        <v>244</v>
      </c>
      <c r="J63" s="28" t="s">
        <v>255</v>
      </c>
      <c r="K63" s="20"/>
      <c r="L63" s="20" t="str">
        <f>"152,5"</f>
        <v>152,5</v>
      </c>
      <c r="M63" s="20" t="str">
        <f>"97,5695"</f>
        <v>97,5695</v>
      </c>
      <c r="N63" s="19" t="s">
        <v>1057</v>
      </c>
    </row>
    <row r="64" spans="1:14">
      <c r="A64" s="20" t="s">
        <v>313</v>
      </c>
      <c r="B64" s="19" t="s">
        <v>580</v>
      </c>
      <c r="C64" s="19" t="s">
        <v>581</v>
      </c>
      <c r="D64" s="19" t="s">
        <v>582</v>
      </c>
      <c r="E64" s="19" t="s">
        <v>1165</v>
      </c>
      <c r="F64" s="19" t="s">
        <v>583</v>
      </c>
      <c r="G64" s="19" t="s">
        <v>18</v>
      </c>
      <c r="H64" s="25" t="s">
        <v>165</v>
      </c>
      <c r="I64" s="28" t="s">
        <v>127</v>
      </c>
      <c r="J64" s="28" t="s">
        <v>128</v>
      </c>
      <c r="K64" s="20"/>
      <c r="L64" s="20" t="str">
        <f>"122,5"</f>
        <v>122,5</v>
      </c>
      <c r="M64" s="20" t="str">
        <f>"80,4825"</f>
        <v>80,4825</v>
      </c>
      <c r="N64" s="19" t="s">
        <v>1057</v>
      </c>
    </row>
    <row r="65" spans="1:14">
      <c r="A65" s="20" t="s">
        <v>66</v>
      </c>
      <c r="B65" s="19" t="s">
        <v>584</v>
      </c>
      <c r="C65" s="19" t="s">
        <v>585</v>
      </c>
      <c r="D65" s="19" t="s">
        <v>261</v>
      </c>
      <c r="E65" s="19" t="s">
        <v>1167</v>
      </c>
      <c r="F65" s="19" t="s">
        <v>586</v>
      </c>
      <c r="G65" s="19" t="s">
        <v>18</v>
      </c>
      <c r="H65" s="28" t="s">
        <v>215</v>
      </c>
      <c r="I65" s="28" t="s">
        <v>26</v>
      </c>
      <c r="J65" s="28" t="s">
        <v>223</v>
      </c>
      <c r="K65" s="20"/>
      <c r="L65" s="20" t="str">
        <f>"190,0"</f>
        <v>190,0</v>
      </c>
      <c r="M65" s="20" t="str">
        <f>"122,5690"</f>
        <v>122,5690</v>
      </c>
      <c r="N65" s="19" t="s">
        <v>587</v>
      </c>
    </row>
    <row r="66" spans="1:14">
      <c r="A66" s="20" t="s">
        <v>312</v>
      </c>
      <c r="B66" s="19" t="s">
        <v>588</v>
      </c>
      <c r="C66" s="19" t="s">
        <v>589</v>
      </c>
      <c r="D66" s="19" t="s">
        <v>590</v>
      </c>
      <c r="E66" s="19" t="s">
        <v>1167</v>
      </c>
      <c r="F66" s="19" t="s">
        <v>110</v>
      </c>
      <c r="G66" s="19" t="s">
        <v>1039</v>
      </c>
      <c r="H66" s="28" t="s">
        <v>134</v>
      </c>
      <c r="I66" s="28" t="s">
        <v>25</v>
      </c>
      <c r="J66" s="28" t="s">
        <v>231</v>
      </c>
      <c r="K66" s="20"/>
      <c r="L66" s="20" t="str">
        <f>"165,0"</f>
        <v>165,0</v>
      </c>
      <c r="M66" s="20" t="str">
        <f>"106,1280"</f>
        <v>106,1280</v>
      </c>
      <c r="N66" s="19" t="s">
        <v>1078</v>
      </c>
    </row>
    <row r="67" spans="1:14">
      <c r="A67" s="20" t="s">
        <v>313</v>
      </c>
      <c r="B67" s="19" t="s">
        <v>591</v>
      </c>
      <c r="C67" s="19" t="s">
        <v>592</v>
      </c>
      <c r="D67" s="19" t="s">
        <v>141</v>
      </c>
      <c r="E67" s="19" t="s">
        <v>1167</v>
      </c>
      <c r="F67" s="19" t="s">
        <v>110</v>
      </c>
      <c r="G67" s="19" t="s">
        <v>1039</v>
      </c>
      <c r="H67" s="25" t="s">
        <v>54</v>
      </c>
      <c r="I67" s="28" t="s">
        <v>244</v>
      </c>
      <c r="J67" s="25" t="s">
        <v>19</v>
      </c>
      <c r="K67" s="20"/>
      <c r="L67" s="20" t="str">
        <f>"145,0"</f>
        <v>145,0</v>
      </c>
      <c r="M67" s="20" t="str">
        <f>"92,6695"</f>
        <v>92,6695</v>
      </c>
      <c r="N67" s="19" t="s">
        <v>1055</v>
      </c>
    </row>
    <row r="68" spans="1:14">
      <c r="A68" s="20" t="s">
        <v>66</v>
      </c>
      <c r="B68" s="19" t="s">
        <v>593</v>
      </c>
      <c r="C68" s="19" t="s">
        <v>594</v>
      </c>
      <c r="D68" s="19" t="s">
        <v>247</v>
      </c>
      <c r="E68" s="19" t="s">
        <v>1168</v>
      </c>
      <c r="F68" s="19" t="s">
        <v>1054</v>
      </c>
      <c r="G68" s="19" t="s">
        <v>18</v>
      </c>
      <c r="H68" s="28" t="s">
        <v>134</v>
      </c>
      <c r="I68" s="28" t="s">
        <v>25</v>
      </c>
      <c r="J68" s="28" t="s">
        <v>47</v>
      </c>
      <c r="K68" s="20"/>
      <c r="L68" s="20" t="str">
        <f>"170,0"</f>
        <v>170,0</v>
      </c>
      <c r="M68" s="20" t="str">
        <f>"115,0397"</f>
        <v>115,0397</v>
      </c>
      <c r="N68" s="19" t="s">
        <v>1055</v>
      </c>
    </row>
    <row r="69" spans="1:14">
      <c r="A69" s="20" t="s">
        <v>312</v>
      </c>
      <c r="B69" s="19" t="s">
        <v>588</v>
      </c>
      <c r="C69" s="19" t="s">
        <v>595</v>
      </c>
      <c r="D69" s="19" t="s">
        <v>590</v>
      </c>
      <c r="E69" s="19" t="s">
        <v>1168</v>
      </c>
      <c r="F69" s="19" t="s">
        <v>110</v>
      </c>
      <c r="G69" s="19" t="s">
        <v>1039</v>
      </c>
      <c r="H69" s="28" t="s">
        <v>134</v>
      </c>
      <c r="I69" s="28" t="s">
        <v>25</v>
      </c>
      <c r="J69" s="28" t="s">
        <v>231</v>
      </c>
      <c r="K69" s="20"/>
      <c r="L69" s="20" t="str">
        <f>"165,0"</f>
        <v>165,0</v>
      </c>
      <c r="M69" s="20" t="str">
        <f>"114,4060"</f>
        <v>114,4060</v>
      </c>
      <c r="N69" s="19" t="s">
        <v>1078</v>
      </c>
    </row>
    <row r="70" spans="1:14">
      <c r="A70" s="22" t="s">
        <v>313</v>
      </c>
      <c r="B70" s="21" t="s">
        <v>596</v>
      </c>
      <c r="C70" s="21" t="s">
        <v>597</v>
      </c>
      <c r="D70" s="21" t="s">
        <v>598</v>
      </c>
      <c r="E70" s="21" t="s">
        <v>1168</v>
      </c>
      <c r="F70" s="21" t="s">
        <v>110</v>
      </c>
      <c r="G70" s="21" t="s">
        <v>1039</v>
      </c>
      <c r="H70" s="26" t="s">
        <v>130</v>
      </c>
      <c r="I70" s="26" t="s">
        <v>244</v>
      </c>
      <c r="J70" s="26" t="s">
        <v>255</v>
      </c>
      <c r="K70" s="22"/>
      <c r="L70" s="22" t="str">
        <f>"152,5"</f>
        <v>152,5</v>
      </c>
      <c r="M70" s="22" t="str">
        <f>"102,3402"</f>
        <v>102,3402</v>
      </c>
      <c r="N70" s="21" t="s">
        <v>1070</v>
      </c>
    </row>
    <row r="71" spans="1:14">
      <c r="B71" s="5" t="s">
        <v>9</v>
      </c>
    </row>
    <row r="72" spans="1:14" ht="16">
      <c r="A72" s="91" t="s">
        <v>49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</row>
    <row r="73" spans="1:14">
      <c r="A73" s="18" t="s">
        <v>66</v>
      </c>
      <c r="B73" s="17" t="s">
        <v>599</v>
      </c>
      <c r="C73" s="17" t="s">
        <v>600</v>
      </c>
      <c r="D73" s="17" t="s">
        <v>601</v>
      </c>
      <c r="E73" s="17" t="s">
        <v>1167</v>
      </c>
      <c r="F73" s="17" t="s">
        <v>602</v>
      </c>
      <c r="G73" s="17" t="s">
        <v>1039</v>
      </c>
      <c r="H73" s="23" t="s">
        <v>39</v>
      </c>
      <c r="I73" s="23" t="s">
        <v>446</v>
      </c>
      <c r="J73" s="24" t="s">
        <v>208</v>
      </c>
      <c r="K73" s="18"/>
      <c r="L73" s="18" t="str">
        <f>"227,5"</f>
        <v>227,5</v>
      </c>
      <c r="M73" s="18" t="str">
        <f>"139,2528"</f>
        <v>139,2528</v>
      </c>
      <c r="N73" s="17"/>
    </row>
    <row r="74" spans="1:14">
      <c r="A74" s="20" t="s">
        <v>312</v>
      </c>
      <c r="B74" s="19" t="s">
        <v>603</v>
      </c>
      <c r="C74" s="19" t="s">
        <v>604</v>
      </c>
      <c r="D74" s="19" t="s">
        <v>605</v>
      </c>
      <c r="E74" s="17" t="s">
        <v>1167</v>
      </c>
      <c r="F74" s="19" t="s">
        <v>606</v>
      </c>
      <c r="G74" s="19" t="s">
        <v>1039</v>
      </c>
      <c r="H74" s="28" t="s">
        <v>138</v>
      </c>
      <c r="I74" s="28" t="s">
        <v>205</v>
      </c>
      <c r="J74" s="25" t="s">
        <v>37</v>
      </c>
      <c r="K74" s="20"/>
      <c r="L74" s="20" t="str">
        <f>"192,5"</f>
        <v>192,5</v>
      </c>
      <c r="M74" s="20" t="str">
        <f>"118,5415"</f>
        <v>118,5415</v>
      </c>
      <c r="N74" s="19" t="s">
        <v>1114</v>
      </c>
    </row>
    <row r="75" spans="1:14">
      <c r="A75" s="20" t="s">
        <v>313</v>
      </c>
      <c r="B75" s="19" t="s">
        <v>607</v>
      </c>
      <c r="C75" s="19" t="s">
        <v>608</v>
      </c>
      <c r="D75" s="19" t="s">
        <v>609</v>
      </c>
      <c r="E75" s="17" t="s">
        <v>1167</v>
      </c>
      <c r="F75" s="19" t="s">
        <v>17</v>
      </c>
      <c r="G75" s="19" t="s">
        <v>1039</v>
      </c>
      <c r="H75" s="28" t="s">
        <v>215</v>
      </c>
      <c r="I75" s="28" t="s">
        <v>138</v>
      </c>
      <c r="J75" s="25" t="s">
        <v>33</v>
      </c>
      <c r="K75" s="20"/>
      <c r="L75" s="20" t="str">
        <f>"185,0"</f>
        <v>185,0</v>
      </c>
      <c r="M75" s="20" t="str">
        <f>"112,6280"</f>
        <v>112,6280</v>
      </c>
      <c r="N75" s="19" t="s">
        <v>1115</v>
      </c>
    </row>
    <row r="76" spans="1:14">
      <c r="A76" s="20" t="s">
        <v>314</v>
      </c>
      <c r="B76" s="19" t="s">
        <v>610</v>
      </c>
      <c r="C76" s="19" t="s">
        <v>611</v>
      </c>
      <c r="D76" s="19" t="s">
        <v>485</v>
      </c>
      <c r="E76" s="17" t="s">
        <v>1167</v>
      </c>
      <c r="F76" s="19" t="s">
        <v>602</v>
      </c>
      <c r="G76" s="19" t="s">
        <v>1039</v>
      </c>
      <c r="H76" s="25" t="s">
        <v>26</v>
      </c>
      <c r="I76" s="28" t="s">
        <v>26</v>
      </c>
      <c r="J76" s="20"/>
      <c r="K76" s="20"/>
      <c r="L76" s="20" t="str">
        <f>"182,5"</f>
        <v>182,5</v>
      </c>
      <c r="M76" s="20" t="str">
        <f>"111,2885"</f>
        <v>111,2885</v>
      </c>
      <c r="N76" s="19" t="s">
        <v>328</v>
      </c>
    </row>
    <row r="77" spans="1:14">
      <c r="A77" s="20" t="s">
        <v>645</v>
      </c>
      <c r="B77" s="19" t="s">
        <v>612</v>
      </c>
      <c r="C77" s="19" t="s">
        <v>613</v>
      </c>
      <c r="D77" s="19" t="s">
        <v>614</v>
      </c>
      <c r="E77" s="17" t="s">
        <v>1167</v>
      </c>
      <c r="F77" s="19" t="s">
        <v>85</v>
      </c>
      <c r="G77" s="19" t="s">
        <v>615</v>
      </c>
      <c r="H77" s="25" t="s">
        <v>47</v>
      </c>
      <c r="I77" s="28" t="s">
        <v>616</v>
      </c>
      <c r="J77" s="25" t="s">
        <v>138</v>
      </c>
      <c r="K77" s="20"/>
      <c r="L77" s="20" t="str">
        <f>"177,5"</f>
        <v>177,5</v>
      </c>
      <c r="M77" s="20" t="str">
        <f>"108,2040"</f>
        <v>108,2040</v>
      </c>
      <c r="N77" s="19" t="s">
        <v>1116</v>
      </c>
    </row>
    <row r="78" spans="1:14">
      <c r="A78" s="20" t="s">
        <v>646</v>
      </c>
      <c r="B78" s="19" t="s">
        <v>617</v>
      </c>
      <c r="C78" s="19" t="s">
        <v>618</v>
      </c>
      <c r="D78" s="19" t="s">
        <v>619</v>
      </c>
      <c r="E78" s="17" t="s">
        <v>1167</v>
      </c>
      <c r="F78" s="19" t="s">
        <v>110</v>
      </c>
      <c r="G78" s="19" t="s">
        <v>1039</v>
      </c>
      <c r="H78" s="28" t="s">
        <v>47</v>
      </c>
      <c r="I78" s="25" t="s">
        <v>138</v>
      </c>
      <c r="J78" s="25" t="s">
        <v>138</v>
      </c>
      <c r="K78" s="20"/>
      <c r="L78" s="20" t="str">
        <f>"170,0"</f>
        <v>170,0</v>
      </c>
      <c r="M78" s="20" t="str">
        <f>"103,7170"</f>
        <v>103,7170</v>
      </c>
      <c r="N78" s="19" t="s">
        <v>1055</v>
      </c>
    </row>
    <row r="79" spans="1:14">
      <c r="A79" s="20" t="s">
        <v>647</v>
      </c>
      <c r="B79" s="19" t="s">
        <v>620</v>
      </c>
      <c r="C79" s="19" t="s">
        <v>621</v>
      </c>
      <c r="D79" s="19" t="s">
        <v>264</v>
      </c>
      <c r="E79" s="17" t="s">
        <v>1167</v>
      </c>
      <c r="F79" s="19" t="s">
        <v>1054</v>
      </c>
      <c r="G79" s="19" t="s">
        <v>18</v>
      </c>
      <c r="H79" s="25" t="s">
        <v>231</v>
      </c>
      <c r="I79" s="28" t="s">
        <v>231</v>
      </c>
      <c r="J79" s="25" t="s">
        <v>74</v>
      </c>
      <c r="K79" s="20"/>
      <c r="L79" s="20" t="str">
        <f>"165,0"</f>
        <v>165,0</v>
      </c>
      <c r="M79" s="20" t="str">
        <f>"100,4190"</f>
        <v>100,4190</v>
      </c>
      <c r="N79" s="19" t="s">
        <v>1117</v>
      </c>
    </row>
    <row r="80" spans="1:14">
      <c r="A80" s="20" t="s">
        <v>648</v>
      </c>
      <c r="B80" s="19" t="s">
        <v>622</v>
      </c>
      <c r="C80" s="19" t="s">
        <v>623</v>
      </c>
      <c r="D80" s="19" t="s">
        <v>624</v>
      </c>
      <c r="E80" s="17" t="s">
        <v>1167</v>
      </c>
      <c r="F80" s="19" t="s">
        <v>110</v>
      </c>
      <c r="G80" s="19" t="s">
        <v>1039</v>
      </c>
      <c r="H80" s="28" t="s">
        <v>129</v>
      </c>
      <c r="I80" s="28" t="s">
        <v>54</v>
      </c>
      <c r="J80" s="28" t="s">
        <v>244</v>
      </c>
      <c r="K80" s="20"/>
      <c r="L80" s="20" t="str">
        <f>"145,0"</f>
        <v>145,0</v>
      </c>
      <c r="M80" s="20" t="str">
        <f>"89,6535"</f>
        <v>89,6535</v>
      </c>
      <c r="N80" s="19" t="s">
        <v>1055</v>
      </c>
    </row>
    <row r="81" spans="1:14">
      <c r="A81" s="22" t="s">
        <v>649</v>
      </c>
      <c r="B81" s="21" t="s">
        <v>625</v>
      </c>
      <c r="C81" s="21" t="s">
        <v>626</v>
      </c>
      <c r="D81" s="21" t="s">
        <v>619</v>
      </c>
      <c r="E81" s="17" t="s">
        <v>1167</v>
      </c>
      <c r="F81" s="21" t="s">
        <v>157</v>
      </c>
      <c r="G81" s="21" t="s">
        <v>1039</v>
      </c>
      <c r="H81" s="26" t="s">
        <v>165</v>
      </c>
      <c r="I81" s="27" t="s">
        <v>166</v>
      </c>
      <c r="J81" s="27" t="s">
        <v>166</v>
      </c>
      <c r="K81" s="22"/>
      <c r="L81" s="22" t="str">
        <f>"110,0"</f>
        <v>110,0</v>
      </c>
      <c r="M81" s="22" t="str">
        <f>"67,1110"</f>
        <v>67,1110</v>
      </c>
      <c r="N81" s="21" t="s">
        <v>1056</v>
      </c>
    </row>
    <row r="82" spans="1:14">
      <c r="B82" s="5" t="s">
        <v>9</v>
      </c>
    </row>
    <row r="83" spans="1:14" ht="16">
      <c r="A83" s="91" t="s">
        <v>270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</row>
    <row r="84" spans="1:14">
      <c r="A84" s="18" t="s">
        <v>66</v>
      </c>
      <c r="B84" s="17" t="s">
        <v>627</v>
      </c>
      <c r="C84" s="17" t="s">
        <v>628</v>
      </c>
      <c r="D84" s="17" t="s">
        <v>629</v>
      </c>
      <c r="E84" s="17" t="s">
        <v>1167</v>
      </c>
      <c r="F84" s="17" t="s">
        <v>1054</v>
      </c>
      <c r="G84" s="17" t="s">
        <v>1039</v>
      </c>
      <c r="H84" s="23" t="s">
        <v>37</v>
      </c>
      <c r="I84" s="23" t="s">
        <v>206</v>
      </c>
      <c r="J84" s="24" t="s">
        <v>433</v>
      </c>
      <c r="K84" s="18"/>
      <c r="L84" s="18" t="str">
        <f>"205,0"</f>
        <v>205,0</v>
      </c>
      <c r="M84" s="18" t="str">
        <f>"120,8885"</f>
        <v>120,8885</v>
      </c>
      <c r="N84" s="17" t="s">
        <v>1118</v>
      </c>
    </row>
    <row r="85" spans="1:14">
      <c r="A85" s="20" t="s">
        <v>312</v>
      </c>
      <c r="B85" s="19" t="s">
        <v>630</v>
      </c>
      <c r="C85" s="19" t="s">
        <v>631</v>
      </c>
      <c r="D85" s="19" t="s">
        <v>276</v>
      </c>
      <c r="E85" s="17" t="s">
        <v>1167</v>
      </c>
      <c r="F85" s="19" t="s">
        <v>17</v>
      </c>
      <c r="G85" s="19" t="s">
        <v>1039</v>
      </c>
      <c r="H85" s="28" t="s">
        <v>224</v>
      </c>
      <c r="I85" s="28" t="s">
        <v>379</v>
      </c>
      <c r="J85" s="25" t="s">
        <v>206</v>
      </c>
      <c r="K85" s="20"/>
      <c r="L85" s="20" t="str">
        <f>"202,5"</f>
        <v>202,5</v>
      </c>
      <c r="M85" s="20" t="str">
        <f>"121,7633"</f>
        <v>121,7633</v>
      </c>
      <c r="N85" s="19"/>
    </row>
    <row r="86" spans="1:14">
      <c r="A86" s="22" t="s">
        <v>313</v>
      </c>
      <c r="B86" s="21" t="s">
        <v>632</v>
      </c>
      <c r="C86" s="21" t="s">
        <v>633</v>
      </c>
      <c r="D86" s="21" t="s">
        <v>634</v>
      </c>
      <c r="E86" s="17" t="s">
        <v>1167</v>
      </c>
      <c r="F86" s="21" t="s">
        <v>1054</v>
      </c>
      <c r="G86" s="21" t="s">
        <v>509</v>
      </c>
      <c r="H86" s="27" t="s">
        <v>93</v>
      </c>
      <c r="I86" s="26" t="s">
        <v>93</v>
      </c>
      <c r="J86" s="27" t="s">
        <v>22</v>
      </c>
      <c r="K86" s="22"/>
      <c r="L86" s="22" t="str">
        <f>"75,0"</f>
        <v>75,0</v>
      </c>
      <c r="M86" s="22" t="str">
        <f>"44,9700"</f>
        <v>44,9700</v>
      </c>
      <c r="N86" s="21" t="s">
        <v>1077</v>
      </c>
    </row>
    <row r="87" spans="1:14">
      <c r="B87" s="5" t="s">
        <v>9</v>
      </c>
    </row>
    <row r="88" spans="1:14" ht="16">
      <c r="A88" s="91" t="s">
        <v>635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</row>
    <row r="89" spans="1:14">
      <c r="A89" s="10" t="s">
        <v>66</v>
      </c>
      <c r="B89" s="9" t="s">
        <v>636</v>
      </c>
      <c r="C89" s="9" t="s">
        <v>637</v>
      </c>
      <c r="D89" s="9" t="s">
        <v>638</v>
      </c>
      <c r="E89" s="9" t="s">
        <v>1168</v>
      </c>
      <c r="F89" s="9" t="s">
        <v>222</v>
      </c>
      <c r="G89" s="9" t="s">
        <v>18</v>
      </c>
      <c r="H89" s="15" t="s">
        <v>223</v>
      </c>
      <c r="I89" s="16" t="s">
        <v>37</v>
      </c>
      <c r="J89" s="16" t="s">
        <v>37</v>
      </c>
      <c r="K89" s="10"/>
      <c r="L89" s="10" t="str">
        <f>"190,0"</f>
        <v>190,0</v>
      </c>
      <c r="M89" s="10" t="str">
        <f>"106,7529"</f>
        <v>106,7529</v>
      </c>
      <c r="N89" s="9"/>
    </row>
    <row r="90" spans="1:14">
      <c r="B90" s="5" t="s">
        <v>9</v>
      </c>
    </row>
    <row r="91" spans="1:14" ht="16">
      <c r="B91" s="5" t="s">
        <v>9</v>
      </c>
      <c r="F91" s="7"/>
    </row>
    <row r="92" spans="1:14" ht="16">
      <c r="B92" s="5" t="s">
        <v>9</v>
      </c>
      <c r="F92" s="7"/>
    </row>
    <row r="93" spans="1:14" ht="18">
      <c r="B93" s="8" t="s">
        <v>8</v>
      </c>
      <c r="C93" s="8"/>
    </row>
    <row r="94" spans="1:14" ht="16">
      <c r="B94" s="11" t="s">
        <v>63</v>
      </c>
      <c r="C94" s="11"/>
    </row>
    <row r="95" spans="1:14" ht="14">
      <c r="B95" s="12"/>
      <c r="C95" s="13" t="s">
        <v>296</v>
      </c>
    </row>
    <row r="96" spans="1:14" ht="14">
      <c r="B96" s="14" t="s">
        <v>57</v>
      </c>
      <c r="C96" s="14" t="s">
        <v>58</v>
      </c>
      <c r="D96" s="14" t="s">
        <v>1041</v>
      </c>
      <c r="E96" s="14" t="s">
        <v>490</v>
      </c>
      <c r="F96" s="14" t="s">
        <v>61</v>
      </c>
    </row>
    <row r="97" spans="2:6">
      <c r="B97" s="5" t="s">
        <v>541</v>
      </c>
      <c r="C97" s="5" t="s">
        <v>297</v>
      </c>
      <c r="D97" s="6" t="s">
        <v>302</v>
      </c>
      <c r="E97" s="6" t="s">
        <v>136</v>
      </c>
      <c r="F97" s="6" t="s">
        <v>639</v>
      </c>
    </row>
    <row r="98" spans="2:6">
      <c r="B98" s="5" t="s">
        <v>544</v>
      </c>
      <c r="C98" s="5" t="s">
        <v>297</v>
      </c>
      <c r="D98" s="6" t="s">
        <v>302</v>
      </c>
      <c r="E98" s="6" t="s">
        <v>136</v>
      </c>
      <c r="F98" s="6" t="s">
        <v>640</v>
      </c>
    </row>
    <row r="99" spans="2:6">
      <c r="B99" s="5" t="s">
        <v>527</v>
      </c>
      <c r="C99" s="5" t="s">
        <v>286</v>
      </c>
      <c r="D99" s="6" t="s">
        <v>453</v>
      </c>
      <c r="E99" s="6" t="s">
        <v>93</v>
      </c>
      <c r="F99" s="6" t="s">
        <v>641</v>
      </c>
    </row>
    <row r="101" spans="2:6" ht="14">
      <c r="B101" s="12"/>
      <c r="C101" s="13" t="s">
        <v>56</v>
      </c>
    </row>
    <row r="102" spans="2:6" ht="14">
      <c r="B102" s="14" t="s">
        <v>57</v>
      </c>
      <c r="C102" s="14" t="s">
        <v>58</v>
      </c>
      <c r="D102" s="14" t="s">
        <v>1041</v>
      </c>
      <c r="E102" s="14" t="s">
        <v>490</v>
      </c>
      <c r="F102" s="14" t="s">
        <v>61</v>
      </c>
    </row>
    <row r="103" spans="2:6">
      <c r="B103" s="5" t="s">
        <v>599</v>
      </c>
      <c r="C103" s="5" t="s">
        <v>56</v>
      </c>
      <c r="D103" s="6" t="s">
        <v>79</v>
      </c>
      <c r="E103" s="6" t="s">
        <v>446</v>
      </c>
      <c r="F103" s="6" t="s">
        <v>642</v>
      </c>
    </row>
    <row r="104" spans="2:6">
      <c r="B104" s="5" t="s">
        <v>209</v>
      </c>
      <c r="C104" s="5" t="s">
        <v>56</v>
      </c>
      <c r="D104" s="6" t="s">
        <v>65</v>
      </c>
      <c r="E104" s="6" t="s">
        <v>205</v>
      </c>
      <c r="F104" s="6" t="s">
        <v>643</v>
      </c>
    </row>
    <row r="105" spans="2:6">
      <c r="B105" s="5" t="s">
        <v>584</v>
      </c>
      <c r="C105" s="5" t="s">
        <v>56</v>
      </c>
      <c r="D105" s="6" t="s">
        <v>64</v>
      </c>
      <c r="E105" s="6" t="s">
        <v>223</v>
      </c>
      <c r="F105" s="6" t="s">
        <v>644</v>
      </c>
    </row>
    <row r="106" spans="2:6">
      <c r="B106" s="5" t="s">
        <v>9</v>
      </c>
    </row>
    <row r="107" spans="2:6">
      <c r="B107" s="5" t="s">
        <v>9</v>
      </c>
    </row>
    <row r="108" spans="2:6">
      <c r="B108" s="5" t="s">
        <v>9</v>
      </c>
    </row>
    <row r="109" spans="2:6">
      <c r="B109" s="5" t="s">
        <v>9</v>
      </c>
    </row>
    <row r="110" spans="2:6">
      <c r="B110" s="5" t="s">
        <v>9</v>
      </c>
    </row>
    <row r="111" spans="2:6">
      <c r="B111" s="5" t="s">
        <v>9</v>
      </c>
    </row>
    <row r="112" spans="2:6">
      <c r="B112" s="5" t="s">
        <v>9</v>
      </c>
    </row>
    <row r="113" spans="2:14">
      <c r="B113" s="5" t="s">
        <v>9</v>
      </c>
      <c r="C113" s="6"/>
      <c r="D113" s="6"/>
      <c r="E113" s="6"/>
      <c r="F113" s="6"/>
      <c r="G113" s="6"/>
    </row>
    <row r="114" spans="2:14">
      <c r="B114" s="5" t="s">
        <v>9</v>
      </c>
      <c r="C114" s="6"/>
      <c r="D114" s="6"/>
      <c r="E114" s="6"/>
      <c r="F114" s="6"/>
      <c r="G114" s="6"/>
    </row>
    <row r="115" spans="2:14">
      <c r="B115" s="5" t="s">
        <v>9</v>
      </c>
      <c r="C115" s="6"/>
      <c r="D115" s="6"/>
      <c r="E115" s="6"/>
      <c r="F115" s="6"/>
      <c r="G115" s="6"/>
    </row>
    <row r="116" spans="2:14">
      <c r="B116" s="5" t="s">
        <v>9</v>
      </c>
      <c r="C116" s="6"/>
      <c r="D116" s="6"/>
      <c r="E116" s="6"/>
      <c r="F116" s="6"/>
      <c r="G116" s="6"/>
    </row>
    <row r="117" spans="2:14">
      <c r="B117" s="5" t="s">
        <v>9</v>
      </c>
      <c r="C117" s="6"/>
      <c r="D117" s="6"/>
      <c r="E117" s="6"/>
      <c r="F117" s="6"/>
      <c r="G117" s="6"/>
    </row>
    <row r="118" spans="2:14">
      <c r="B118" s="5" t="s">
        <v>9</v>
      </c>
      <c r="C118" s="6"/>
      <c r="D118" s="6"/>
      <c r="E118" s="6"/>
      <c r="F118" s="6"/>
      <c r="G118" s="6"/>
      <c r="I118" s="5"/>
      <c r="J118" s="3"/>
      <c r="K118" s="3"/>
      <c r="L118" s="3"/>
      <c r="M118" s="3"/>
      <c r="N118" s="3"/>
    </row>
    <row r="119" spans="2:14">
      <c r="B119" s="5" t="s">
        <v>9</v>
      </c>
      <c r="I119" s="5"/>
      <c r="J119" s="3"/>
      <c r="K119" s="3"/>
      <c r="L119" s="3"/>
      <c r="M119" s="3"/>
      <c r="N119" s="3"/>
    </row>
    <row r="120" spans="2:14">
      <c r="B120" s="5" t="s">
        <v>9</v>
      </c>
      <c r="I120" s="5"/>
      <c r="J120" s="3"/>
      <c r="K120" s="3"/>
      <c r="L120" s="3"/>
      <c r="M120" s="3"/>
      <c r="N120" s="3"/>
    </row>
    <row r="121" spans="2:14">
      <c r="B121" s="5" t="s">
        <v>9</v>
      </c>
      <c r="I121" s="5"/>
      <c r="J121" s="3"/>
      <c r="K121" s="3"/>
      <c r="L121" s="3"/>
      <c r="M121" s="3"/>
      <c r="N121" s="3"/>
    </row>
    <row r="122" spans="2:14">
      <c r="B122" s="5" t="s">
        <v>9</v>
      </c>
      <c r="I122" s="5"/>
      <c r="J122" s="3"/>
      <c r="K122" s="3"/>
      <c r="L122" s="3"/>
      <c r="M122" s="3"/>
      <c r="N122" s="3"/>
    </row>
    <row r="123" spans="2:14">
      <c r="B123" s="5" t="s">
        <v>9</v>
      </c>
      <c r="I123" s="5"/>
      <c r="J123" s="3"/>
      <c r="K123" s="3"/>
      <c r="L123" s="3"/>
      <c r="M123" s="3"/>
      <c r="N123" s="3"/>
    </row>
    <row r="124" spans="2:14">
      <c r="B124" s="5" t="s">
        <v>9</v>
      </c>
    </row>
    <row r="125" spans="2:14">
      <c r="B125" s="5" t="s">
        <v>9</v>
      </c>
    </row>
    <row r="126" spans="2:14">
      <c r="B126" s="5" t="s">
        <v>9</v>
      </c>
    </row>
    <row r="127" spans="2:14">
      <c r="B127" s="5" t="s">
        <v>9</v>
      </c>
    </row>
    <row r="128" spans="2:14">
      <c r="B128" s="5" t="s">
        <v>9</v>
      </c>
    </row>
    <row r="129" spans="2:2">
      <c r="B129" s="5" t="s">
        <v>9</v>
      </c>
    </row>
    <row r="130" spans="2:2">
      <c r="B130" s="5" t="s">
        <v>9</v>
      </c>
    </row>
    <row r="131" spans="2:2">
      <c r="B131" s="5" t="s">
        <v>9</v>
      </c>
    </row>
    <row r="132" spans="2:2">
      <c r="B132" s="5" t="s">
        <v>9</v>
      </c>
    </row>
    <row r="133" spans="2:2">
      <c r="B133" s="5" t="s">
        <v>9</v>
      </c>
    </row>
    <row r="134" spans="2:2">
      <c r="B134" s="5" t="s">
        <v>9</v>
      </c>
    </row>
    <row r="135" spans="2:2">
      <c r="B135" s="5" t="s">
        <v>9</v>
      </c>
    </row>
    <row r="136" spans="2:2">
      <c r="B136" s="5" t="s">
        <v>9</v>
      </c>
    </row>
    <row r="137" spans="2:2">
      <c r="B137" s="5" t="s">
        <v>9</v>
      </c>
    </row>
    <row r="138" spans="2:2">
      <c r="B138" s="5" t="s">
        <v>9</v>
      </c>
    </row>
    <row r="139" spans="2:2">
      <c r="B139" s="5" t="s">
        <v>9</v>
      </c>
    </row>
    <row r="140" spans="2:2">
      <c r="B140" s="5" t="s">
        <v>9</v>
      </c>
    </row>
  </sheetData>
  <mergeCells count="26">
    <mergeCell ref="A88:K88"/>
    <mergeCell ref="B3:B4"/>
    <mergeCell ref="A35:K35"/>
    <mergeCell ref="A40:K40"/>
    <mergeCell ref="A50:K50"/>
    <mergeCell ref="A59:K59"/>
    <mergeCell ref="A72:K72"/>
    <mergeCell ref="A83:K83"/>
    <mergeCell ref="A11:K11"/>
    <mergeCell ref="A16:K16"/>
    <mergeCell ref="A19:K19"/>
    <mergeCell ref="A22:K22"/>
    <mergeCell ref="A28:K28"/>
    <mergeCell ref="A32:K32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WRPF ПЛ без экипировки ДК</vt:lpstr>
      <vt:lpstr>WRPF ПЛ без экипировки</vt:lpstr>
      <vt:lpstr>WRPF ПЛ в бинтах ДК</vt:lpstr>
      <vt:lpstr>WEPF ПЛ однослой</vt:lpstr>
      <vt:lpstr>WEPF ПЛ многослой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 ДК</vt:lpstr>
      <vt:lpstr>WEPF Жим однослой</vt:lpstr>
      <vt:lpstr>WEPF Жим многослой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WRPF PRO Тяга без экипировки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2021-11-17T11:46:25Z</dcterms:modified>
</cp:coreProperties>
</file>