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Ноябрь/"/>
    </mc:Choice>
  </mc:AlternateContent>
  <xr:revisionPtr revIDLastSave="0" documentId="13_ncr:1_{F898E8CC-3343-DC4F-9A80-18517064B933}" xr6:coauthVersionLast="45" xr6:coauthVersionMax="47" xr10:uidLastSave="{00000000-0000-0000-0000-000000000000}"/>
  <bookViews>
    <workbookView xWindow="0" yWindow="460" windowWidth="28800" windowHeight="16060" tabRatio="888" firstSheet="12" activeTab="18" xr2:uid="{00000000-000D-0000-FFFF-FFFF00000000}"/>
  </bookViews>
  <sheets>
    <sheet name="IPL ПЛ без экипировки ДК" sheetId="6" r:id="rId1"/>
    <sheet name="IPL ПЛ без экипировки" sheetId="5" r:id="rId2"/>
    <sheet name="IPL ПЛ в бинтах ДК" sheetId="8" r:id="rId3"/>
    <sheet name="IPL ПЛ в бинтах" sheetId="7" r:id="rId4"/>
    <sheet name="IPL Двоеборье без экип ДК" sheetId="21" r:id="rId5"/>
    <sheet name="IPL Двоеборье без экип" sheetId="20" r:id="rId6"/>
    <sheet name="IPL Присед в бинтах ДК" sheetId="19" r:id="rId7"/>
    <sheet name="IPL Жим без экипировки ДК" sheetId="10" r:id="rId8"/>
    <sheet name="IPL Жим без экипировки" sheetId="9" r:id="rId9"/>
    <sheet name="IPL Жим однослой ДК" sheetId="12" r:id="rId10"/>
    <sheet name="IPL Жим однослой" sheetId="11" r:id="rId11"/>
    <sheet name="СПР Жим софт однопетельная ДК" sheetId="26" r:id="rId12"/>
    <sheet name="СПР Жим софт однопетельная" sheetId="25" r:id="rId13"/>
    <sheet name="СПР Жим СФО" sheetId="33" r:id="rId14"/>
    <sheet name="IPL Тяга без экипировки ДК" sheetId="14" r:id="rId15"/>
    <sheet name="IPL Тяга без экипировки" sheetId="13" r:id="rId16"/>
    <sheet name="IPL Тяга многослой" sheetId="15" r:id="rId17"/>
    <sheet name="СПР Подъем на бицепс ДК" sheetId="31" r:id="rId18"/>
    <sheet name="СПР Подъем на бицепс" sheetId="32" r:id="rId19"/>
  </sheets>
  <definedNames>
    <definedName name="_FilterDatabase" localSheetId="12" hidden="1">'СПР Жим софт однопетельная'!$A$1:$K$3</definedName>
    <definedName name="_FilterDatabase" localSheetId="13" hidden="1">'СПР Жим СФО'!$A$1:$K$3</definedName>
    <definedName name="_FilterDatabase" localSheetId="18" hidden="1">'СПР Подъем на бицепс'!$A$1:$K$3</definedName>
    <definedName name="_FilterDatabase" localSheetId="1" hidden="1">'IPL ПЛ без экипировки'!$A$1:$S$3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" i="33" l="1"/>
  <c r="K6" i="33"/>
  <c r="L6" i="32"/>
  <c r="K6" i="32"/>
  <c r="L28" i="31"/>
  <c r="K28" i="31"/>
  <c r="L25" i="31"/>
  <c r="K25" i="31"/>
  <c r="L24" i="31"/>
  <c r="K24" i="31"/>
  <c r="L21" i="31"/>
  <c r="K21" i="31"/>
  <c r="L18" i="31"/>
  <c r="K18" i="31"/>
  <c r="L17" i="31"/>
  <c r="K17" i="31"/>
  <c r="L14" i="31"/>
  <c r="K14" i="31"/>
  <c r="L11" i="31"/>
  <c r="K11" i="31"/>
  <c r="L10" i="31"/>
  <c r="K10" i="31"/>
  <c r="L9" i="31"/>
  <c r="K9" i="31"/>
  <c r="L6" i="31"/>
  <c r="K6" i="31"/>
  <c r="L10" i="26"/>
  <c r="K10" i="26"/>
  <c r="L7" i="26"/>
  <c r="K7" i="26"/>
  <c r="L6" i="26"/>
  <c r="K6" i="26"/>
  <c r="L6" i="25"/>
  <c r="K6" i="25"/>
  <c r="P15" i="21"/>
  <c r="O15" i="21"/>
  <c r="P12" i="21"/>
  <c r="O12" i="21"/>
  <c r="P9" i="21"/>
  <c r="O9" i="21"/>
  <c r="P6" i="21"/>
  <c r="O6" i="21"/>
  <c r="P12" i="20"/>
  <c r="O12" i="20"/>
  <c r="P9" i="20"/>
  <c r="O9" i="20"/>
  <c r="P6" i="20"/>
  <c r="O6" i="20"/>
  <c r="L6" i="19"/>
  <c r="K6" i="19"/>
  <c r="L6" i="15"/>
  <c r="K6" i="15"/>
  <c r="L39" i="14"/>
  <c r="K39" i="14"/>
  <c r="L38" i="14"/>
  <c r="K38" i="14"/>
  <c r="L35" i="14"/>
  <c r="K35" i="14"/>
  <c r="L32" i="14"/>
  <c r="K32" i="14"/>
  <c r="L29" i="14"/>
  <c r="K29" i="14"/>
  <c r="L28" i="14"/>
  <c r="K28" i="14"/>
  <c r="L25" i="14"/>
  <c r="K25" i="14"/>
  <c r="L22" i="14"/>
  <c r="K22" i="14"/>
  <c r="L19" i="14"/>
  <c r="K19" i="14"/>
  <c r="L16" i="14"/>
  <c r="K16" i="14"/>
  <c r="L15" i="14"/>
  <c r="K15" i="14"/>
  <c r="L12" i="14"/>
  <c r="K12" i="14"/>
  <c r="L9" i="14"/>
  <c r="K9" i="14"/>
  <c r="L6" i="14"/>
  <c r="K6" i="14"/>
  <c r="L17" i="13"/>
  <c r="K17" i="13"/>
  <c r="L14" i="13"/>
  <c r="K14" i="13"/>
  <c r="L13" i="13"/>
  <c r="K13" i="13"/>
  <c r="L10" i="13"/>
  <c r="K10" i="13"/>
  <c r="L9" i="13"/>
  <c r="K9" i="13"/>
  <c r="L6" i="13"/>
  <c r="K6" i="13"/>
  <c r="L9" i="12"/>
  <c r="K9" i="12"/>
  <c r="L6" i="12"/>
  <c r="K6" i="12"/>
  <c r="L6" i="11"/>
  <c r="K6" i="11"/>
  <c r="L59" i="10"/>
  <c r="K59" i="10"/>
  <c r="L56" i="10"/>
  <c r="K56" i="10"/>
  <c r="L53" i="10"/>
  <c r="K53" i="10"/>
  <c r="L52" i="10"/>
  <c r="K52" i="10"/>
  <c r="L51" i="10"/>
  <c r="K51" i="10"/>
  <c r="L50" i="10"/>
  <c r="K50" i="10"/>
  <c r="L49" i="10"/>
  <c r="K49" i="10"/>
  <c r="L48" i="10"/>
  <c r="K48" i="10"/>
  <c r="L45" i="10"/>
  <c r="K45" i="10"/>
  <c r="L44" i="10"/>
  <c r="K44" i="10"/>
  <c r="L43" i="10"/>
  <c r="K43" i="10"/>
  <c r="L40" i="10"/>
  <c r="K40" i="10"/>
  <c r="L39" i="10"/>
  <c r="K39" i="10"/>
  <c r="L38" i="10"/>
  <c r="K38" i="10"/>
  <c r="L37" i="10"/>
  <c r="K37" i="10"/>
  <c r="L34" i="10"/>
  <c r="K34" i="10"/>
  <c r="L33" i="10"/>
  <c r="K33" i="10"/>
  <c r="L32" i="10"/>
  <c r="K32" i="10"/>
  <c r="L31" i="10"/>
  <c r="K31" i="10"/>
  <c r="L28" i="10"/>
  <c r="K28" i="10"/>
  <c r="L27" i="10"/>
  <c r="K27" i="10"/>
  <c r="L26" i="10"/>
  <c r="K26" i="10"/>
  <c r="L25" i="10"/>
  <c r="K25" i="10"/>
  <c r="L24" i="10"/>
  <c r="K24" i="10"/>
  <c r="L23" i="10"/>
  <c r="K23" i="10"/>
  <c r="L22" i="10"/>
  <c r="K22" i="10"/>
  <c r="L19" i="10"/>
  <c r="K19" i="10"/>
  <c r="L16" i="10"/>
  <c r="K16" i="10"/>
  <c r="L13" i="10"/>
  <c r="K13" i="10"/>
  <c r="L10" i="10"/>
  <c r="K10" i="10"/>
  <c r="L9" i="10"/>
  <c r="K9" i="10"/>
  <c r="L6" i="10"/>
  <c r="K6" i="10"/>
  <c r="L38" i="9"/>
  <c r="K38" i="9"/>
  <c r="L37" i="9"/>
  <c r="K37" i="9"/>
  <c r="L36" i="9"/>
  <c r="K36" i="9"/>
  <c r="L33" i="9"/>
  <c r="K33" i="9"/>
  <c r="L32" i="9"/>
  <c r="K32" i="9"/>
  <c r="L31" i="9"/>
  <c r="K31" i="9"/>
  <c r="L28" i="9"/>
  <c r="K28" i="9"/>
  <c r="L27" i="9"/>
  <c r="K27" i="9"/>
  <c r="L24" i="9"/>
  <c r="K24" i="9"/>
  <c r="L23" i="9"/>
  <c r="K23" i="9"/>
  <c r="L20" i="9"/>
  <c r="K20" i="9"/>
  <c r="L17" i="9"/>
  <c r="K17" i="9"/>
  <c r="L16" i="9"/>
  <c r="K16" i="9"/>
  <c r="L13" i="9"/>
  <c r="K13" i="9"/>
  <c r="L12" i="9"/>
  <c r="K12" i="9"/>
  <c r="L9" i="9"/>
  <c r="K9" i="9"/>
  <c r="L6" i="9"/>
  <c r="K6" i="9"/>
  <c r="T14" i="8"/>
  <c r="S14" i="8"/>
  <c r="T11" i="8"/>
  <c r="S11" i="8"/>
  <c r="T10" i="8"/>
  <c r="S10" i="8"/>
  <c r="T7" i="8"/>
  <c r="S7" i="8"/>
  <c r="T6" i="8"/>
  <c r="S6" i="8"/>
  <c r="T10" i="7"/>
  <c r="S10" i="7"/>
  <c r="T9" i="7"/>
  <c r="S9" i="7"/>
  <c r="T6" i="7"/>
  <c r="S6" i="7"/>
  <c r="T36" i="6"/>
  <c r="S36" i="6"/>
  <c r="T35" i="6"/>
  <c r="S35" i="6"/>
  <c r="T34" i="6"/>
  <c r="S34" i="6"/>
  <c r="T31" i="6"/>
  <c r="S31" i="6"/>
  <c r="T30" i="6"/>
  <c r="S30" i="6"/>
  <c r="T29" i="6"/>
  <c r="S29" i="6"/>
  <c r="T26" i="6"/>
  <c r="S26" i="6"/>
  <c r="T23" i="6"/>
  <c r="S23" i="6"/>
  <c r="T20" i="6"/>
  <c r="S20" i="6"/>
  <c r="T17" i="6"/>
  <c r="S17" i="6"/>
  <c r="T16" i="6"/>
  <c r="S16" i="6"/>
  <c r="T15" i="6"/>
  <c r="S15" i="6"/>
  <c r="T12" i="6"/>
  <c r="S12" i="6"/>
  <c r="T11" i="6"/>
  <c r="S11" i="6"/>
  <c r="T8" i="6"/>
  <c r="S8" i="6"/>
  <c r="T7" i="6"/>
  <c r="S7" i="6"/>
  <c r="T6" i="6"/>
  <c r="S6" i="6"/>
  <c r="T31" i="5"/>
  <c r="S31" i="5"/>
  <c r="T28" i="5"/>
  <c r="S28" i="5"/>
  <c r="T27" i="5"/>
  <c r="S27" i="5"/>
  <c r="T24" i="5"/>
  <c r="S24" i="5"/>
  <c r="T23" i="5"/>
  <c r="S23" i="5"/>
  <c r="T22" i="5"/>
  <c r="S22" i="5"/>
  <c r="T19" i="5"/>
  <c r="S19" i="5"/>
  <c r="T18" i="5"/>
  <c r="S18" i="5"/>
  <c r="T15" i="5"/>
  <c r="S15" i="5"/>
  <c r="T12" i="5"/>
  <c r="S12" i="5"/>
  <c r="T9" i="5"/>
  <c r="S9" i="5"/>
  <c r="T6" i="5"/>
  <c r="S6" i="5"/>
</calcChain>
</file>

<file path=xl/sharedStrings.xml><?xml version="1.0" encoding="utf-8"?>
<sst xmlns="http://schemas.openxmlformats.org/spreadsheetml/2006/main" count="2045" uniqueCount="602">
  <si>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</si>
  <si>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</si>
  <si>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</si>
  <si>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</si>
  <si>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</si>
  <si>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</si>
  <si>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</si>
  <si>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</si>
  <si>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</si>
  <si>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</si>
  <si>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44</t>
  </si>
  <si>
    <t>Шишкина Дарья</t>
  </si>
  <si>
    <t>43,90</t>
  </si>
  <si>
    <t xml:space="preserve">Арзамас/Нижегородская область </t>
  </si>
  <si>
    <t>82,5</t>
  </si>
  <si>
    <t>87,5</t>
  </si>
  <si>
    <t>92,5</t>
  </si>
  <si>
    <t>42,5</t>
  </si>
  <si>
    <t>47,5</t>
  </si>
  <si>
    <t>52,5</t>
  </si>
  <si>
    <t>72,5</t>
  </si>
  <si>
    <t>77,5</t>
  </si>
  <si>
    <t>ВЕСОВАЯ КАТЕГОРИЯ   52</t>
  </si>
  <si>
    <t>Ежова Ангелина</t>
  </si>
  <si>
    <t>Открытая (27.06.1985)/36</t>
  </si>
  <si>
    <t>49,70</t>
  </si>
  <si>
    <t>80,0</t>
  </si>
  <si>
    <t>85,0</t>
  </si>
  <si>
    <t>90,0</t>
  </si>
  <si>
    <t>57,5</t>
  </si>
  <si>
    <t>60,0</t>
  </si>
  <si>
    <t>95,0</t>
  </si>
  <si>
    <t>100,0</t>
  </si>
  <si>
    <t>105,0</t>
  </si>
  <si>
    <t xml:space="preserve">Новиков А. В. </t>
  </si>
  <si>
    <t>ВЕСОВАЯ КАТЕГОРИЯ   56</t>
  </si>
  <si>
    <t>Ремизова Юлия</t>
  </si>
  <si>
    <t>54,30</t>
  </si>
  <si>
    <t xml:space="preserve">Городец/Нижегородская область </t>
  </si>
  <si>
    <t>102,5</t>
  </si>
  <si>
    <t>50,0</t>
  </si>
  <si>
    <t>55,0</t>
  </si>
  <si>
    <t>110,0</t>
  </si>
  <si>
    <t>120,0</t>
  </si>
  <si>
    <t>ВЕСОВАЯ КАТЕГОРИЯ   90+</t>
  </si>
  <si>
    <t>Кузьмина Наталья</t>
  </si>
  <si>
    <t>92,80</t>
  </si>
  <si>
    <t>65,0</t>
  </si>
  <si>
    <t>30,0</t>
  </si>
  <si>
    <t>35,0</t>
  </si>
  <si>
    <t>37,5</t>
  </si>
  <si>
    <t>70,0</t>
  </si>
  <si>
    <t>ВЕСОВАЯ КАТЕГОРИЯ   90</t>
  </si>
  <si>
    <t>Костылев Андрей</t>
  </si>
  <si>
    <t>Открытая (06.08.1996)/25</t>
  </si>
  <si>
    <t>88,80</t>
  </si>
  <si>
    <t>210,0</t>
  </si>
  <si>
    <t>220,0</t>
  </si>
  <si>
    <t>230,0</t>
  </si>
  <si>
    <t>155,0</t>
  </si>
  <si>
    <t>162,5</t>
  </si>
  <si>
    <t>170,0</t>
  </si>
  <si>
    <t>235,0</t>
  </si>
  <si>
    <t>240,0</t>
  </si>
  <si>
    <t>Курнышов Максим</t>
  </si>
  <si>
    <t>Открытая (22.08.1990)/31</t>
  </si>
  <si>
    <t>86,60</t>
  </si>
  <si>
    <t>147,5</t>
  </si>
  <si>
    <t>125,0</t>
  </si>
  <si>
    <t>130,0</t>
  </si>
  <si>
    <t>135,0</t>
  </si>
  <si>
    <t>175,0</t>
  </si>
  <si>
    <t>185,0</t>
  </si>
  <si>
    <t>195,0</t>
  </si>
  <si>
    <t>ВЕСОВАЯ КАТЕГОРИЯ   100</t>
  </si>
  <si>
    <t>Миронов Илья</t>
  </si>
  <si>
    <t>Открытая (23.10.1992)/29</t>
  </si>
  <si>
    <t>93,30</t>
  </si>
  <si>
    <t>225,0</t>
  </si>
  <si>
    <t>242,5</t>
  </si>
  <si>
    <t>150,0</t>
  </si>
  <si>
    <t>160,0</t>
  </si>
  <si>
    <t>260,0</t>
  </si>
  <si>
    <t>275,0</t>
  </si>
  <si>
    <t>Соколов Дмитрий</t>
  </si>
  <si>
    <t>Открытая (18.07.1986)/35</t>
  </si>
  <si>
    <t>92,10</t>
  </si>
  <si>
    <t xml:space="preserve">Ковров/Владимирская область </t>
  </si>
  <si>
    <t>180,0</t>
  </si>
  <si>
    <t>115,0</t>
  </si>
  <si>
    <t>190,0</t>
  </si>
  <si>
    <t>200,0</t>
  </si>
  <si>
    <t>Абрамов Алексей</t>
  </si>
  <si>
    <t>95,20</t>
  </si>
  <si>
    <t>140,0</t>
  </si>
  <si>
    <t>145,0</t>
  </si>
  <si>
    <t>ВЕСОВАЯ КАТЕГОРИЯ   110</t>
  </si>
  <si>
    <t>Салахетдинов Эльдар</t>
  </si>
  <si>
    <t>107,00</t>
  </si>
  <si>
    <t>270,0</t>
  </si>
  <si>
    <t>197,5</t>
  </si>
  <si>
    <t>320,0</t>
  </si>
  <si>
    <t>335,0</t>
  </si>
  <si>
    <t>340,0</t>
  </si>
  <si>
    <t>Воронин Александр</t>
  </si>
  <si>
    <t>Открытая (26.03.1995)/26</t>
  </si>
  <si>
    <t>106,80</t>
  </si>
  <si>
    <t>167,5</t>
  </si>
  <si>
    <t>250,0</t>
  </si>
  <si>
    <t>ВЕСОВАЯ КАТЕГОРИЯ   125</t>
  </si>
  <si>
    <t>Смирнов Андрей</t>
  </si>
  <si>
    <t>Открытая (03.11.1987)/34</t>
  </si>
  <si>
    <t>121,80</t>
  </si>
  <si>
    <t>300,0</t>
  </si>
  <si>
    <t>165,0</t>
  </si>
  <si>
    <t>280,0</t>
  </si>
  <si>
    <t>310,0</t>
  </si>
  <si>
    <t xml:space="preserve">Абсолютный зачёт </t>
  </si>
  <si>
    <t xml:space="preserve">Женщины </t>
  </si>
  <si>
    <t xml:space="preserve">ФИО </t>
  </si>
  <si>
    <t xml:space="preserve">Возрастная группа </t>
  </si>
  <si>
    <t xml:space="preserve">Сумма </t>
  </si>
  <si>
    <t xml:space="preserve">Wilks </t>
  </si>
  <si>
    <t>217,5</t>
  </si>
  <si>
    <t xml:space="preserve">Открытая </t>
  </si>
  <si>
    <t>52</t>
  </si>
  <si>
    <t>56</t>
  </si>
  <si>
    <t xml:space="preserve">Мужчины </t>
  </si>
  <si>
    <t>110</t>
  </si>
  <si>
    <t>125</t>
  </si>
  <si>
    <t>745,0</t>
  </si>
  <si>
    <t>426,8850</t>
  </si>
  <si>
    <t>100</t>
  </si>
  <si>
    <t>657,5</t>
  </si>
  <si>
    <t>412,3840</t>
  </si>
  <si>
    <t>90</t>
  </si>
  <si>
    <t>622,5</t>
  </si>
  <si>
    <t>400,1430</t>
  </si>
  <si>
    <t>1</t>
  </si>
  <si>
    <t/>
  </si>
  <si>
    <t>2</t>
  </si>
  <si>
    <t>Петрушкина Виктория</t>
  </si>
  <si>
    <t>Девушки 15-19 (26.04.2006)/15</t>
  </si>
  <si>
    <t>50,50</t>
  </si>
  <si>
    <t>75,0</t>
  </si>
  <si>
    <t>Медникова Мария</t>
  </si>
  <si>
    <t>Открытая (13.04.1992)/29</t>
  </si>
  <si>
    <t>51,20</t>
  </si>
  <si>
    <t>Открытая (26.04.2006)/15</t>
  </si>
  <si>
    <t>ВЕСОВАЯ КАТЕГОРИЯ   60</t>
  </si>
  <si>
    <t>Морозова Анастасия</t>
  </si>
  <si>
    <t>Открытая (06.12.1995)/25</t>
  </si>
  <si>
    <t>58,40</t>
  </si>
  <si>
    <t xml:space="preserve">Балахна/Нижегородская область </t>
  </si>
  <si>
    <t>40,0</t>
  </si>
  <si>
    <t>45,0</t>
  </si>
  <si>
    <t>Синицкая Ольга</t>
  </si>
  <si>
    <t>56,70</t>
  </si>
  <si>
    <t>ВЕСОВАЯ КАТЕГОРИЯ   67.5</t>
  </si>
  <si>
    <t>Терехина Светлана</t>
  </si>
  <si>
    <t>Открытая (12.08.1986)/35</t>
  </si>
  <si>
    <t>63,30</t>
  </si>
  <si>
    <t xml:space="preserve">Бор/Нижегородская область </t>
  </si>
  <si>
    <t>Банышева Екатерина</t>
  </si>
  <si>
    <t>Открытая (01.10.1991)/30</t>
  </si>
  <si>
    <t>61,00</t>
  </si>
  <si>
    <t xml:space="preserve">Дзержинск/Нижегородская область </t>
  </si>
  <si>
    <t>107,5</t>
  </si>
  <si>
    <t>112,5</t>
  </si>
  <si>
    <t>Протас Мария</t>
  </si>
  <si>
    <t>Открытая (07.04.1997)/24</t>
  </si>
  <si>
    <t>66,60</t>
  </si>
  <si>
    <t xml:space="preserve">Нижний Новгород/Нижегородская область </t>
  </si>
  <si>
    <t>ВЕСОВАЯ КАТЕГОРИЯ   75</t>
  </si>
  <si>
    <t>Шекурова Юлия</t>
  </si>
  <si>
    <t>67,70</t>
  </si>
  <si>
    <t>Купрюшин Андрей</t>
  </si>
  <si>
    <t>Открытая (17.05.1997)/24</t>
  </si>
  <si>
    <t>55,10</t>
  </si>
  <si>
    <t>97,5</t>
  </si>
  <si>
    <t>Лашманов Дмитрий</t>
  </si>
  <si>
    <t>Открытая (05.01.1996)/25</t>
  </si>
  <si>
    <t>57,00</t>
  </si>
  <si>
    <t>Воробьев Николай</t>
  </si>
  <si>
    <t>Открытая (07.08.1984)/37</t>
  </si>
  <si>
    <t>88,60</t>
  </si>
  <si>
    <t>215,0</t>
  </si>
  <si>
    <t>232,5</t>
  </si>
  <si>
    <t>255,0</t>
  </si>
  <si>
    <t>Богдасаров Виталий</t>
  </si>
  <si>
    <t>Открытая (17.11.1992)/29</t>
  </si>
  <si>
    <t>89,30</t>
  </si>
  <si>
    <t>Киселев Евгений</t>
  </si>
  <si>
    <t>Открытая (23.08.1988)/33</t>
  </si>
  <si>
    <t>89,60</t>
  </si>
  <si>
    <t>Ляпин Евгений</t>
  </si>
  <si>
    <t>Открытая (03.06.1988)/33</t>
  </si>
  <si>
    <t>98,40</t>
  </si>
  <si>
    <t>285,0</t>
  </si>
  <si>
    <t>Дроботай Николай</t>
  </si>
  <si>
    <t>Открытая (31.08.1996)/25</t>
  </si>
  <si>
    <t>99,60</t>
  </si>
  <si>
    <t>Барва Сергей</t>
  </si>
  <si>
    <t>98,80</t>
  </si>
  <si>
    <t>205,0</t>
  </si>
  <si>
    <t>67.5</t>
  </si>
  <si>
    <t>725,0</t>
  </si>
  <si>
    <t>444,1350</t>
  </si>
  <si>
    <t>662,5</t>
  </si>
  <si>
    <t>426,3850</t>
  </si>
  <si>
    <t>602,5</t>
  </si>
  <si>
    <t>367,2840</t>
  </si>
  <si>
    <t>3</t>
  </si>
  <si>
    <t>ВЕСОВАЯ КАТЕГОРИЯ   82.5</t>
  </si>
  <si>
    <t>Белова Елена</t>
  </si>
  <si>
    <t>Открытая (28.06.1993)/28</t>
  </si>
  <si>
    <t>76,20</t>
  </si>
  <si>
    <t>62,5</t>
  </si>
  <si>
    <t>122,5</t>
  </si>
  <si>
    <t>Трошин Дмитрий</t>
  </si>
  <si>
    <t>Юноши 15-19 (01.04.2005)/16</t>
  </si>
  <si>
    <t>90,10</t>
  </si>
  <si>
    <t>Шишкин Александр</t>
  </si>
  <si>
    <t>Открытая (27.10.1975)/46</t>
  </si>
  <si>
    <t>100,00</t>
  </si>
  <si>
    <t>252,5</t>
  </si>
  <si>
    <t>315,0</t>
  </si>
  <si>
    <t>Ахматов Илья</t>
  </si>
  <si>
    <t>Юноши 15-19 (27.06.2004)/17</t>
  </si>
  <si>
    <t>80,10</t>
  </si>
  <si>
    <t>187,5</t>
  </si>
  <si>
    <t>Голявин Илья</t>
  </si>
  <si>
    <t>Открытая (14.08.1993)/28</t>
  </si>
  <si>
    <t>80,00</t>
  </si>
  <si>
    <t>132,5</t>
  </si>
  <si>
    <t>207,5</t>
  </si>
  <si>
    <t>Карев Сергей</t>
  </si>
  <si>
    <t>Открытая (24.06.1997)/24</t>
  </si>
  <si>
    <t>85,40</t>
  </si>
  <si>
    <t>Галактионов Дмитрий</t>
  </si>
  <si>
    <t>Открытая (10.01.1983)/38</t>
  </si>
  <si>
    <t>88,00</t>
  </si>
  <si>
    <t>202,5</t>
  </si>
  <si>
    <t>Тимин Сергей</t>
  </si>
  <si>
    <t>Открытая (19.05.1991)/30</t>
  </si>
  <si>
    <t>119,00</t>
  </si>
  <si>
    <t>305,0</t>
  </si>
  <si>
    <t>192,5</t>
  </si>
  <si>
    <t>265,0</t>
  </si>
  <si>
    <t>ВЕСОВАЯ КАТЕГОРИЯ   48</t>
  </si>
  <si>
    <t>Купрюшина Наталья</t>
  </si>
  <si>
    <t>46,30</t>
  </si>
  <si>
    <t>Сорокина Ульяна</t>
  </si>
  <si>
    <t>Девушки 15-19 (20.11.2003)/18</t>
  </si>
  <si>
    <t>51,10</t>
  </si>
  <si>
    <t xml:space="preserve">Чкаловск/Нижегородская область </t>
  </si>
  <si>
    <t>Жуков Виталий</t>
  </si>
  <si>
    <t>Юноши 15-19 (21.03.2006)/15</t>
  </si>
  <si>
    <t>Платонов Алексей</t>
  </si>
  <si>
    <t>Открытая (11.11.1983)/38</t>
  </si>
  <si>
    <t>66,80</t>
  </si>
  <si>
    <t xml:space="preserve">Павлово/Нижегородская область </t>
  </si>
  <si>
    <t>Байдуров Егор</t>
  </si>
  <si>
    <t>Открытая (13.01.1986)/35</t>
  </si>
  <si>
    <t>74,10</t>
  </si>
  <si>
    <t>Суртаев Александр</t>
  </si>
  <si>
    <t>74,00</t>
  </si>
  <si>
    <t>Кузьмин Александр</t>
  </si>
  <si>
    <t>Открытая (18.01.1996)/25</t>
  </si>
  <si>
    <t>81,50</t>
  </si>
  <si>
    <t>Комаров Максим</t>
  </si>
  <si>
    <t>88,50</t>
  </si>
  <si>
    <t>Мочалов Дмитрий</t>
  </si>
  <si>
    <t>Открытая (01.08.1989)/32</t>
  </si>
  <si>
    <t>88,10</t>
  </si>
  <si>
    <t>Петров Владислав</t>
  </si>
  <si>
    <t>96,20</t>
  </si>
  <si>
    <t xml:space="preserve">Лысково/Нижегородская область </t>
  </si>
  <si>
    <t>Сорокин Валерий</t>
  </si>
  <si>
    <t>Открытая (05.04.1986)/35</t>
  </si>
  <si>
    <t>96,00</t>
  </si>
  <si>
    <t>Тарасов Игорь</t>
  </si>
  <si>
    <t>Открытая (30.09.1992)/29</t>
  </si>
  <si>
    <t>Моисеев Александр</t>
  </si>
  <si>
    <t>Открытая (11.11.1972)/49</t>
  </si>
  <si>
    <t>108,20</t>
  </si>
  <si>
    <t>Покореев Даниил</t>
  </si>
  <si>
    <t>117,90</t>
  </si>
  <si>
    <t xml:space="preserve">Выкса/Нижегородская область </t>
  </si>
  <si>
    <t>157,5</t>
  </si>
  <si>
    <t>Решетников Артем</t>
  </si>
  <si>
    <t>Открытая (08.06.1989)/32</t>
  </si>
  <si>
    <t>114,90</t>
  </si>
  <si>
    <t>222,5</t>
  </si>
  <si>
    <t>Кустов Максим</t>
  </si>
  <si>
    <t>Открытая (25.03.1985)/36</t>
  </si>
  <si>
    <t>116,00</t>
  </si>
  <si>
    <t xml:space="preserve">Результат </t>
  </si>
  <si>
    <t>126,4110</t>
  </si>
  <si>
    <t>123,8200</t>
  </si>
  <si>
    <t>121,7085</t>
  </si>
  <si>
    <t>Результат</t>
  </si>
  <si>
    <t>Замцалина Ольга</t>
  </si>
  <si>
    <t>59,60</t>
  </si>
  <si>
    <t>67,5</t>
  </si>
  <si>
    <t>Фрайфельд Татьяна</t>
  </si>
  <si>
    <t>Открытая (08.01.1990)/31</t>
  </si>
  <si>
    <t>57,60</t>
  </si>
  <si>
    <t>Костина Елена</t>
  </si>
  <si>
    <t>Открытая (13.04.1984)/37</t>
  </si>
  <si>
    <t>72,60</t>
  </si>
  <si>
    <t>Савин Александр</t>
  </si>
  <si>
    <t>Открытая (04.08.1983)/38</t>
  </si>
  <si>
    <t>65,30</t>
  </si>
  <si>
    <t>Шишов Вячеслав</t>
  </si>
  <si>
    <t>Открытая (10.12.1984)/36</t>
  </si>
  <si>
    <t>74,30</t>
  </si>
  <si>
    <t>117,5</t>
  </si>
  <si>
    <t>127,5</t>
  </si>
  <si>
    <t>Ошков Александр</t>
  </si>
  <si>
    <t>Юноши 15-19 (26.11.2003)/18</t>
  </si>
  <si>
    <t>78,20</t>
  </si>
  <si>
    <t>Коротков Артем</t>
  </si>
  <si>
    <t>78,50</t>
  </si>
  <si>
    <t>Губченко Ярослав</t>
  </si>
  <si>
    <t>Открытая (20.11.1984)/37</t>
  </si>
  <si>
    <t>76,50</t>
  </si>
  <si>
    <t>137,5</t>
  </si>
  <si>
    <t>Пилосян Артем</t>
  </si>
  <si>
    <t>Открытая (01.01.1984)/37</t>
  </si>
  <si>
    <t>78,40</t>
  </si>
  <si>
    <t>Рябинин Максим</t>
  </si>
  <si>
    <t>Открытая (28.12.1986)/34</t>
  </si>
  <si>
    <t>Шамраев Григорий</t>
  </si>
  <si>
    <t>Открытая (12.09.1991)/30</t>
  </si>
  <si>
    <t>81,30</t>
  </si>
  <si>
    <t>Булычёв Вадим</t>
  </si>
  <si>
    <t>81,60</t>
  </si>
  <si>
    <t>Балясников Денис</t>
  </si>
  <si>
    <t>88,70</t>
  </si>
  <si>
    <t>Мурашов Роман</t>
  </si>
  <si>
    <t>Открытая (22.01.1989)/32</t>
  </si>
  <si>
    <t>86,80</t>
  </si>
  <si>
    <t>Гришин Вадим</t>
  </si>
  <si>
    <t>152,5</t>
  </si>
  <si>
    <t>Никулин Алексей</t>
  </si>
  <si>
    <t>89,00</t>
  </si>
  <si>
    <t>Майоров Олег</t>
  </si>
  <si>
    <t>Открытая (25.12.1987)/33</t>
  </si>
  <si>
    <t>92,00</t>
  </si>
  <si>
    <t xml:space="preserve">Саров/Нижегородская область </t>
  </si>
  <si>
    <t>Юров Роман</t>
  </si>
  <si>
    <t>Открытая (07.08.1985)/36</t>
  </si>
  <si>
    <t>97,70</t>
  </si>
  <si>
    <t>Дёмин Руслан</t>
  </si>
  <si>
    <t>Безруков Михаил</t>
  </si>
  <si>
    <t>95,80</t>
  </si>
  <si>
    <t>Песцов Алексей</t>
  </si>
  <si>
    <t>Открытая (11.07.1982)/39</t>
  </si>
  <si>
    <t>172,5</t>
  </si>
  <si>
    <t>Шалавин Андрей</t>
  </si>
  <si>
    <t>Открытая (22.09.1984)/37</t>
  </si>
  <si>
    <t>101,40</t>
  </si>
  <si>
    <t>Лябакин Олег</t>
  </si>
  <si>
    <t>Орляков Сергей</t>
  </si>
  <si>
    <t>Открытая (30.03.1983)/38</t>
  </si>
  <si>
    <t>122,20</t>
  </si>
  <si>
    <t>Полушкин Алексей</t>
  </si>
  <si>
    <t>Открытая (27.11.1982)/39</t>
  </si>
  <si>
    <t>114,40</t>
  </si>
  <si>
    <t>177,5</t>
  </si>
  <si>
    <t>Нефедов Андрей</t>
  </si>
  <si>
    <t>Открытая (28.01.1974)/47</t>
  </si>
  <si>
    <t>121,70</t>
  </si>
  <si>
    <t xml:space="preserve">Хрестин Ф. </t>
  </si>
  <si>
    <t>Шпагин Максим</t>
  </si>
  <si>
    <t>123,80</t>
  </si>
  <si>
    <t>ВЕСОВАЯ КАТЕГОРИЯ   140</t>
  </si>
  <si>
    <t>Открытая (04.06.1978)/43</t>
  </si>
  <si>
    <t>127,60</t>
  </si>
  <si>
    <t>182,5</t>
  </si>
  <si>
    <t>ВЕСОВАЯ КАТЕГОРИЯ   140+</t>
  </si>
  <si>
    <t>Генералов Олег</t>
  </si>
  <si>
    <t>140,20</t>
  </si>
  <si>
    <t>127,8788</t>
  </si>
  <si>
    <t>124,4160</t>
  </si>
  <si>
    <t>111,6570</t>
  </si>
  <si>
    <t>4</t>
  </si>
  <si>
    <t>Большаков Сергей</t>
  </si>
  <si>
    <t>Открытая (06.05.1991)/30</t>
  </si>
  <si>
    <t>116,50</t>
  </si>
  <si>
    <t>282,5</t>
  </si>
  <si>
    <t>Суртаева Оксана</t>
  </si>
  <si>
    <t>64,30</t>
  </si>
  <si>
    <t>Пирогов Иван</t>
  </si>
  <si>
    <t>Открытая (17.08.1996)/25</t>
  </si>
  <si>
    <t>72,80</t>
  </si>
  <si>
    <t>Стегачева Алина</t>
  </si>
  <si>
    <t>Девушки 15-19 (22.09.2004)/17</t>
  </si>
  <si>
    <t>53,20</t>
  </si>
  <si>
    <t>Козлова Юлия</t>
  </si>
  <si>
    <t>73,20</t>
  </si>
  <si>
    <t>Коныгина Татьяна</t>
  </si>
  <si>
    <t>74,50</t>
  </si>
  <si>
    <t>Эсаулов Владимир</t>
  </si>
  <si>
    <t>90,80</t>
  </si>
  <si>
    <t>Карпов Евгений</t>
  </si>
  <si>
    <t>90,70</t>
  </si>
  <si>
    <t>Марченко Владимир</t>
  </si>
  <si>
    <t>Открытая (19.10.1984)/37</t>
  </si>
  <si>
    <t>129,10</t>
  </si>
  <si>
    <t>360,0</t>
  </si>
  <si>
    <t>380,0</t>
  </si>
  <si>
    <t>Монова Анастасия</t>
  </si>
  <si>
    <t>Девушки 15-19 (22.04.2007)/14</t>
  </si>
  <si>
    <t>43,00</t>
  </si>
  <si>
    <t>Кокурина Юлия</t>
  </si>
  <si>
    <t>Открытая (29.04.1982)/39</t>
  </si>
  <si>
    <t>49,90</t>
  </si>
  <si>
    <t>Шахунц Евгения</t>
  </si>
  <si>
    <t>Открытая (14.04.1992)/29</t>
  </si>
  <si>
    <t>54,40</t>
  </si>
  <si>
    <t>Шигапова Антонина</t>
  </si>
  <si>
    <t>Открытая (05.04.1988)/33</t>
  </si>
  <si>
    <t>56,80</t>
  </si>
  <si>
    <t>Скуратова Наталья</t>
  </si>
  <si>
    <t>Открытая (24.09.1972)/49</t>
  </si>
  <si>
    <t>59,20</t>
  </si>
  <si>
    <t>Крайнова Светлана</t>
  </si>
  <si>
    <t>Открытая (30.03.1993)/28</t>
  </si>
  <si>
    <t>67,40</t>
  </si>
  <si>
    <t>Курочкина Елена</t>
  </si>
  <si>
    <t>65,20</t>
  </si>
  <si>
    <t>Назаров Егор</t>
  </si>
  <si>
    <t>73,40</t>
  </si>
  <si>
    <t>Ширшов Михаил</t>
  </si>
  <si>
    <t>Открытая (30.04.1987)/34</t>
  </si>
  <si>
    <t>101,10</t>
  </si>
  <si>
    <t>245,0</t>
  </si>
  <si>
    <t>Гаврилов Сергей</t>
  </si>
  <si>
    <t>Открытая (08.08.1979)/42</t>
  </si>
  <si>
    <t>123,10</t>
  </si>
  <si>
    <t>302,5</t>
  </si>
  <si>
    <t>167,2580</t>
  </si>
  <si>
    <t>162,4860</t>
  </si>
  <si>
    <t>143,0380</t>
  </si>
  <si>
    <t>Боровков Владимир</t>
  </si>
  <si>
    <t>Открытая (13.11.1992)/29</t>
  </si>
  <si>
    <t>71,10</t>
  </si>
  <si>
    <t xml:space="preserve">Кстово/Нижегородская область </t>
  </si>
  <si>
    <t>Коновалова Дарья</t>
  </si>
  <si>
    <t>Девушки 15-19 (22.08.2007)/14</t>
  </si>
  <si>
    <t>57,90</t>
  </si>
  <si>
    <t>Лебедев Павел</t>
  </si>
  <si>
    <t>Открытая (12.07.1996)/25</t>
  </si>
  <si>
    <t>76,90</t>
  </si>
  <si>
    <t>Григорьева Марина</t>
  </si>
  <si>
    <t>65,00</t>
  </si>
  <si>
    <t>Нидворягин Илья</t>
  </si>
  <si>
    <t>Юноши 15-19 (19.08.2002)/19</t>
  </si>
  <si>
    <t>52,60</t>
  </si>
  <si>
    <t>Шишкин А.</t>
  </si>
  <si>
    <t>Бугров Е.</t>
  </si>
  <si>
    <t>Петрушкин Р.</t>
  </si>
  <si>
    <t>Панкратов М.</t>
  </si>
  <si>
    <t>Нижний Новгород/Нижегородская область</t>
  </si>
  <si>
    <t>Балашов А.</t>
  </si>
  <si>
    <t>Поляков А.</t>
  </si>
  <si>
    <t>Ляпин Е.</t>
  </si>
  <si>
    <t xml:space="preserve">Хрестин Ф.  </t>
  </si>
  <si>
    <t xml:space="preserve">Бугров Е. </t>
  </si>
  <si>
    <t>Дзержинск/Нижегородская область</t>
  </si>
  <si>
    <t xml:space="preserve">Бобков. М. </t>
  </si>
  <si>
    <t>Коптелов И.</t>
  </si>
  <si>
    <t>Марченко В.</t>
  </si>
  <si>
    <t xml:space="preserve">Хомутов М. </t>
  </si>
  <si>
    <t>Шалаев Е.</t>
  </si>
  <si>
    <t>Сосновское/Нижегородская область</t>
  </si>
  <si>
    <t xml:space="preserve">Богородск/Нижегородская область </t>
  </si>
  <si>
    <t>Хрестин Ф.</t>
  </si>
  <si>
    <t>Тамамян Э.</t>
  </si>
  <si>
    <t>Ошков С.</t>
  </si>
  <si>
    <t>Салахетдинов Э.</t>
  </si>
  <si>
    <t>Лябакин О.</t>
  </si>
  <si>
    <t>Гусева Д.</t>
  </si>
  <si>
    <t xml:space="preserve">Новиков А. </t>
  </si>
  <si>
    <t>Сычев В.</t>
  </si>
  <si>
    <t>Волжский А.</t>
  </si>
  <si>
    <t>Романов В.</t>
  </si>
  <si>
    <t>Богдасаров В.</t>
  </si>
  <si>
    <t>Гаврилов С.</t>
  </si>
  <si>
    <t>Салахетдинов Э</t>
  </si>
  <si>
    <t>Самостоятельно</t>
  </si>
  <si>
    <t>Бабков М.</t>
  </si>
  <si>
    <t>Семенов В.</t>
  </si>
  <si>
    <t xml:space="preserve">Волжский А. </t>
  </si>
  <si>
    <t>Апрелова Надежда</t>
  </si>
  <si>
    <t>Открытая (24.07.1963)/58</t>
  </si>
  <si>
    <t>Коптелов Игорь</t>
  </si>
  <si>
    <t>87,85</t>
  </si>
  <si>
    <t>Открытая (10.10.1973)/48</t>
  </si>
  <si>
    <t>Ошков Сергей</t>
  </si>
  <si>
    <t>20,0</t>
  </si>
  <si>
    <t>Мажухин Андрей</t>
  </si>
  <si>
    <t>89,80</t>
  </si>
  <si>
    <t>25,0</t>
  </si>
  <si>
    <t>Вивтаненко Алексей</t>
  </si>
  <si>
    <t>65,90</t>
  </si>
  <si>
    <t xml:space="preserve">Оренбург/Оренбургская область </t>
  </si>
  <si>
    <t>Открытая (16.10.2003)/18</t>
  </si>
  <si>
    <t>Пеконин Никита</t>
  </si>
  <si>
    <t>71,50</t>
  </si>
  <si>
    <t>Россейкин А.</t>
  </si>
  <si>
    <t>Романов Валерий</t>
  </si>
  <si>
    <t>Мастера 60+ (15.02.1960)/61</t>
  </si>
  <si>
    <t>98,10</t>
  </si>
  <si>
    <t>Магомедов Али</t>
  </si>
  <si>
    <t>Открытая (21.10.1976)/45</t>
  </si>
  <si>
    <t>103,60</t>
  </si>
  <si>
    <t>45,30</t>
  </si>
  <si>
    <t>22,5</t>
  </si>
  <si>
    <t xml:space="preserve">Поляков А. </t>
  </si>
  <si>
    <t>Мирошников Артем</t>
  </si>
  <si>
    <t>Мастера 40-49 (05.11.1981)/40</t>
  </si>
  <si>
    <t>52,00</t>
  </si>
  <si>
    <t xml:space="preserve">Cамостоятельно </t>
  </si>
  <si>
    <t>Всероссийский мастерский турнир "Каспийский монстр III"
IPL Пауэрлифтинг без экипировки ДК
Чкаловск/Нижегородская область, 27-28 ноября 2021 года</t>
  </si>
  <si>
    <t>Всероссийский мастерский турнир "Каспийский монстр III"
IPL Пауэрлифтинг без экипировки
Чкаловск/Нижегородская область, 27-28 ноября 2021 года</t>
  </si>
  <si>
    <t>Всероссийский мастерский турнир "Каспийский монстр III"
IPL Пауэрлифтинг в бинтах ДК
Чкаловск/Нижегородская область, 27-28 ноября 2021 года</t>
  </si>
  <si>
    <t>Всероссийский мастерский турнир "Каспийский монстр III"
IPL Пауэрлифтинг в бинтах
Чкаловск/Нижегородская область, 27-28 ноября 2021 года</t>
  </si>
  <si>
    <t>Всероссийский мастерский турнир "Каспийский монстр III"
IPL Силовое двоеборье без экипировки ДК
Чкаловск/Нижегородская область, 27-28 ноября 2021 года</t>
  </si>
  <si>
    <t>Всероссийский мастерский турнир "Каспийский монстр III"
IPL Силовое двоеборье без экипировки
Чкаловск/Нижегородская область, 27-28 ноября 2021 года</t>
  </si>
  <si>
    <t>Всероссийский мастерский турнир "Каспийский монстр III"
IPL Присед в бинтах ДК
Чкаловск/Нижегородская область, 27-28 ноября 2021 года</t>
  </si>
  <si>
    <t>Всероссийский мастерский турнир "Каспийский монстр III"
IPL Жим лежа без экипировки ДК
Чкаловск/Нижегородская область, 27-28 ноября 2021 года</t>
  </si>
  <si>
    <t>Всероссийский мастерский турнир "Каспийский монстр III"
IPL Жим лежа без экипировки
Чкаловск/Нижегородская область, 27-28 ноября 2021 года</t>
  </si>
  <si>
    <t>Всероссийский мастерский турнир "Каспийский монстр III"
IPL Жим лежа в однослойной экипировке ДК
Чкаловск/Нижегородская область, 27-28 ноября 2021 года</t>
  </si>
  <si>
    <t>Всероссийский мастерский турнир "Каспийский монстр III"
IPL Жим лежа в однослойной экипировке
Чкаловск/Нижегородская область, 27-28 ноября 2021 года</t>
  </si>
  <si>
    <t>Всероссийский мастерский турнир "Каспийский монстр III"
СПР Жим лежа в однопетельной софт экипировке ДК
Чкаловск/Нижегородская область, 27-28 ноября 2021 года</t>
  </si>
  <si>
    <t>Всероссийский мастерский турнир "Каспийский монстр III"
СПР Жим лежа в однопетельной софт экипировке
Чкаловск/Нижегородская область, 27-28 ноября 2021 года</t>
  </si>
  <si>
    <t>Всероссийский мастерский турнир "Каспийский монстр III"
СПР Строгий подъем штанги на бицепс ДК
Чкаловск/Нижегородская область, 27-28 ноября 2021 года</t>
  </si>
  <si>
    <t>Всероссийский мастерский турнир "Каспийский монстр III"
IPL Становая тяга без экипировки ДК
Чкаловск/Нижегородская область, 27-28 ноября 2021 года</t>
  </si>
  <si>
    <t>Всероссийский мастерский турнир "Каспийский монстр III"
IPL Становая тяга без экипировки
Чкаловск/Нижегородская область, 27-28 ноября 2021 года</t>
  </si>
  <si>
    <t>Всероссийский мастерский турнир "Каспийский монстр III"
IPL Становая тяга в многослойной экипировке
Чкаловск/Нижегородская область, 27-28 ноября 2021 года</t>
  </si>
  <si>
    <t>Всероссийский мастерский турнир "Каспийский монстр III"
СПР Строгий подъем штанги на бицепс
Чкаловск/Нижегородская область, 27-28 ноября 2021 года</t>
  </si>
  <si>
    <t>Мастера 45-49 (29.06.1975)/46</t>
  </si>
  <si>
    <t>Юниорки 20-23 (17.09.1998)/23</t>
  </si>
  <si>
    <t>Мастера 45-49 (25.07.1976)/45</t>
  </si>
  <si>
    <t>Юниорки 20-23 (16.03.1998)/23</t>
  </si>
  <si>
    <t>Мастера 40-44 (22.10.1980)/41</t>
  </si>
  <si>
    <t>Мастера 55-59 (16.02.1964)/57</t>
  </si>
  <si>
    <t>Мастера 45-49 (07.02.1974)/47</t>
  </si>
  <si>
    <t>Юниоры 20-23 (22.08.1998)/23</t>
  </si>
  <si>
    <t>Мастера 40-44 (10.05.1981)/40</t>
  </si>
  <si>
    <t>Юниорки 20-23 (30.04.2001)/20</t>
  </si>
  <si>
    <t>Юниоры 20-23 (01.02.1998)/23</t>
  </si>
  <si>
    <t>Мастера 45-49 (10.10.1973)/48</t>
  </si>
  <si>
    <t>Юниоры 20-23 (18.06.2000)/21</t>
  </si>
  <si>
    <t>Мастера 45-49 (16.09.1973)/48</t>
  </si>
  <si>
    <t>Мастера 45-49 (22.01.1976)/45</t>
  </si>
  <si>
    <t>Мастера 45-49 (29.10.1973)/48</t>
  </si>
  <si>
    <t>Мастера 45-49 (02.11.1976)/45</t>
  </si>
  <si>
    <t>Мастера 55-59 (25.07.1964)/57</t>
  </si>
  <si>
    <t>Мастера 40-44 (04.01.1979)/42</t>
  </si>
  <si>
    <t>Мастера 45-49 (28.01.1974)/47</t>
  </si>
  <si>
    <t>Юниоры 20-23 (27.12.1999)/21</t>
  </si>
  <si>
    <t>Мастера 45-49 (15.05.1972)/49</t>
  </si>
  <si>
    <t>Мастера 50-54 (03.10.1969)/52</t>
  </si>
  <si>
    <t>Юниоры 20-23 (13.01.1998)/23</t>
  </si>
  <si>
    <t>Юниоры 20-23 (18.04.2000)/21</t>
  </si>
  <si>
    <t>Мастера 45-49 (11.11.1972)/49</t>
  </si>
  <si>
    <t>Юниоры 20-23 (12.08.1999)/22</t>
  </si>
  <si>
    <t>Мастера 40-44 (10.03.1977)/44</t>
  </si>
  <si>
    <t>Мастера 50-59 (24.07.1963)/58</t>
  </si>
  <si>
    <t>Мастера 40-49 (29.01.1973)/48</t>
  </si>
  <si>
    <t>Мастера 40-49 (10.08.1972)/49</t>
  </si>
  <si>
    <t>Мастера 50-59 (22.11.1968)/53</t>
  </si>
  <si>
    <t>Юноши 13-19 (19.08.2002)/19</t>
  </si>
  <si>
    <t>Юноши 13-19 (16.10.2003)/18</t>
  </si>
  <si>
    <t>Юноши 13-19 (10.02.2004)/17</t>
  </si>
  <si>
    <t>Мастера 50-54 (11.01.1968)/53</t>
  </si>
  <si>
    <t>Юниоры 20-23 (07.07.1998)/23</t>
  </si>
  <si>
    <t>Мастера 40-44 (08.08.1979)/42</t>
  </si>
  <si>
    <t>Мастера 45-49 (10.08.1974)/47</t>
  </si>
  <si>
    <t>Мастера 55-59 (01.12.1963)/57</t>
  </si>
  <si>
    <t>Мастера 60-64 (22.07.1960)/61</t>
  </si>
  <si>
    <t>Мастера 60-64 (18.07.1956)/65</t>
  </si>
  <si>
    <t>Мастера 40-49 (15.05.1972)/49</t>
  </si>
  <si>
    <t xml:space="preserve">Волжск/Республика Марий Эл </t>
  </si>
  <si>
    <t>Весовая категория</t>
  </si>
  <si>
    <t>Всероссийский мастерский турнир "Каспийский монстр III"
СПР Жим лежа СФО
Чкаловск/Нижегородская область, 27-28 ноября 2021 года</t>
  </si>
  <si>
    <t>№</t>
  </si>
  <si>
    <t>Жим</t>
  </si>
  <si>
    <t xml:space="preserve">
Дата рождения/Возраст</t>
  </si>
  <si>
    <t>Возрастная группа</t>
  </si>
  <si>
    <t>T</t>
  </si>
  <si>
    <t>O</t>
  </si>
  <si>
    <t>M2</t>
  </si>
  <si>
    <t>J</t>
  </si>
  <si>
    <t>M1</t>
  </si>
  <si>
    <t>M4</t>
  </si>
  <si>
    <t>M3</t>
  </si>
  <si>
    <t>M5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</si>
</sst>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/>
    </xf>
    <xf numFmtId="49" fontId="1" fillId="0" borderId="11" xfId="0" applyNumberFormat="1" applyFon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3AE8C-54B9-4F43-8747-A7EF5B33BDBD}">
  <sheetPr codeName="Лист1"/>
  <dimension ref="A1:U47"/>
  <sheetViews>
    <sheetView topLeftCell="A19" workbookViewId="0">
      <selection activeCell="E37" sqref="E37"/>
    </sheetView>
  </sheetViews>
  <sheetFormatPr baseColWidth="10" defaultColWidth="9.1640625" defaultRowHeight="13"/>
  <cols>
    <col min="1" max="1" width="7.1640625" style="5" bestFit="1" customWidth="1"/>
    <col min="2" max="2" width="20.1640625" style="5" bestFit="1" customWidth="1"/>
    <col min="3" max="3" width="28.83203125" style="5" bestFit="1" customWidth="1"/>
    <col min="4" max="4" width="20.83203125" style="5" bestFit="1" customWidth="1"/>
    <col min="5" max="5" width="10.1640625" style="5" bestFit="1" customWidth="1"/>
    <col min="6" max="6" width="38.5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6" bestFit="1" customWidth="1"/>
    <col min="20" max="20" width="8.5" style="6" bestFit="1" customWidth="1"/>
    <col min="21" max="21" width="29.1640625" style="5" bestFit="1" customWidth="1"/>
    <col min="22" max="16384" width="9.1640625" style="3"/>
  </cols>
  <sheetData>
    <row r="1" spans="1:21" s="2" customFormat="1" ht="29" customHeight="1">
      <c r="A1" s="55" t="s">
        <v>526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8"/>
    </row>
    <row r="2" spans="1:21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2"/>
    </row>
    <row r="3" spans="1:21" s="1" customFormat="1" ht="12.75" customHeight="1">
      <c r="A3" s="63" t="s">
        <v>590</v>
      </c>
      <c r="B3" s="47" t="s">
        <v>0</v>
      </c>
      <c r="C3" s="65" t="s">
        <v>592</v>
      </c>
      <c r="D3" s="65" t="s">
        <v>6</v>
      </c>
      <c r="E3" s="49" t="s">
        <v>593</v>
      </c>
      <c r="F3" s="49" t="s">
        <v>5</v>
      </c>
      <c r="G3" s="49" t="s">
        <v>7</v>
      </c>
      <c r="H3" s="49"/>
      <c r="I3" s="49"/>
      <c r="J3" s="49"/>
      <c r="K3" s="49" t="s">
        <v>8</v>
      </c>
      <c r="L3" s="49"/>
      <c r="M3" s="49"/>
      <c r="N3" s="49"/>
      <c r="O3" s="49" t="s">
        <v>9</v>
      </c>
      <c r="P3" s="49"/>
      <c r="Q3" s="49"/>
      <c r="R3" s="49"/>
      <c r="S3" s="49" t="s">
        <v>1</v>
      </c>
      <c r="T3" s="49" t="s">
        <v>3</v>
      </c>
      <c r="U3" s="51" t="s">
        <v>2</v>
      </c>
    </row>
    <row r="4" spans="1:21" s="1" customFormat="1" ht="21" customHeight="1" thickBot="1">
      <c r="A4" s="64"/>
      <c r="B4" s="4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0"/>
      <c r="T4" s="50"/>
      <c r="U4" s="52"/>
    </row>
    <row r="5" spans="1:21" ht="16">
      <c r="A5" s="53" t="s">
        <v>22</v>
      </c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21">
      <c r="A6" s="10" t="s">
        <v>138</v>
      </c>
      <c r="B6" s="9" t="s">
        <v>141</v>
      </c>
      <c r="C6" s="9" t="s">
        <v>142</v>
      </c>
      <c r="D6" s="9" t="s">
        <v>143</v>
      </c>
      <c r="E6" s="9" t="s">
        <v>594</v>
      </c>
      <c r="F6" s="9" t="s">
        <v>87</v>
      </c>
      <c r="G6" s="22" t="s">
        <v>51</v>
      </c>
      <c r="H6" s="23" t="s">
        <v>144</v>
      </c>
      <c r="I6" s="23" t="s">
        <v>144</v>
      </c>
      <c r="J6" s="10"/>
      <c r="K6" s="22" t="s">
        <v>18</v>
      </c>
      <c r="L6" s="22" t="s">
        <v>40</v>
      </c>
      <c r="M6" s="23" t="s">
        <v>19</v>
      </c>
      <c r="N6" s="10"/>
      <c r="O6" s="22" t="s">
        <v>26</v>
      </c>
      <c r="P6" s="23" t="s">
        <v>27</v>
      </c>
      <c r="Q6" s="10"/>
      <c r="R6" s="10"/>
      <c r="S6" s="10" t="str">
        <f>"200,0"</f>
        <v>200,0</v>
      </c>
      <c r="T6" s="10" t="str">
        <f>"255,0000"</f>
        <v>255,0000</v>
      </c>
      <c r="U6" s="9" t="s">
        <v>463</v>
      </c>
    </row>
    <row r="7" spans="1:21">
      <c r="A7" s="14" t="s">
        <v>138</v>
      </c>
      <c r="B7" s="13" t="s">
        <v>145</v>
      </c>
      <c r="C7" s="13" t="s">
        <v>146</v>
      </c>
      <c r="D7" s="13" t="s">
        <v>147</v>
      </c>
      <c r="E7" s="13" t="s">
        <v>595</v>
      </c>
      <c r="F7" s="13" t="s">
        <v>13</v>
      </c>
      <c r="G7" s="27" t="s">
        <v>47</v>
      </c>
      <c r="H7" s="26" t="s">
        <v>47</v>
      </c>
      <c r="I7" s="26" t="s">
        <v>51</v>
      </c>
      <c r="J7" s="14"/>
      <c r="K7" s="26" t="s">
        <v>40</v>
      </c>
      <c r="L7" s="27" t="s">
        <v>19</v>
      </c>
      <c r="M7" s="26" t="s">
        <v>19</v>
      </c>
      <c r="N7" s="14"/>
      <c r="O7" s="26" t="s">
        <v>27</v>
      </c>
      <c r="P7" s="26" t="s">
        <v>16</v>
      </c>
      <c r="Q7" s="26" t="s">
        <v>31</v>
      </c>
      <c r="R7" s="14"/>
      <c r="S7" s="14" t="str">
        <f>"217,5"</f>
        <v>217,5</v>
      </c>
      <c r="T7" s="14" t="str">
        <f>"274,3980"</f>
        <v>274,3980</v>
      </c>
      <c r="U7" s="13"/>
    </row>
    <row r="8" spans="1:21">
      <c r="A8" s="12" t="s">
        <v>140</v>
      </c>
      <c r="B8" s="11" t="s">
        <v>141</v>
      </c>
      <c r="C8" s="11" t="s">
        <v>148</v>
      </c>
      <c r="D8" s="11" t="s">
        <v>143</v>
      </c>
      <c r="E8" s="11" t="s">
        <v>595</v>
      </c>
      <c r="F8" s="11" t="s">
        <v>87</v>
      </c>
      <c r="G8" s="25" t="s">
        <v>51</v>
      </c>
      <c r="H8" s="24" t="s">
        <v>144</v>
      </c>
      <c r="I8" s="24" t="s">
        <v>144</v>
      </c>
      <c r="J8" s="12"/>
      <c r="K8" s="25" t="s">
        <v>18</v>
      </c>
      <c r="L8" s="25" t="s">
        <v>40</v>
      </c>
      <c r="M8" s="24" t="s">
        <v>19</v>
      </c>
      <c r="N8" s="12"/>
      <c r="O8" s="25" t="s">
        <v>26</v>
      </c>
      <c r="P8" s="24" t="s">
        <v>27</v>
      </c>
      <c r="Q8" s="12"/>
      <c r="R8" s="12"/>
      <c r="S8" s="12" t="str">
        <f>"200,0"</f>
        <v>200,0</v>
      </c>
      <c r="T8" s="12" t="str">
        <f>"255,0000"</f>
        <v>255,0000</v>
      </c>
      <c r="U8" s="11" t="s">
        <v>463</v>
      </c>
    </row>
    <row r="9" spans="1:21">
      <c r="B9" s="5" t="s">
        <v>139</v>
      </c>
    </row>
    <row r="10" spans="1:21" ht="16">
      <c r="A10" s="45" t="s">
        <v>149</v>
      </c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</row>
    <row r="11" spans="1:21">
      <c r="A11" s="10" t="s">
        <v>138</v>
      </c>
      <c r="B11" s="9" t="s">
        <v>150</v>
      </c>
      <c r="C11" s="9" t="s">
        <v>151</v>
      </c>
      <c r="D11" s="9" t="s">
        <v>152</v>
      </c>
      <c r="E11" s="9" t="s">
        <v>595</v>
      </c>
      <c r="F11" s="9" t="s">
        <v>153</v>
      </c>
      <c r="G11" s="22" t="s">
        <v>42</v>
      </c>
      <c r="H11" s="23" t="s">
        <v>43</v>
      </c>
      <c r="I11" s="23" t="s">
        <v>43</v>
      </c>
      <c r="J11" s="10"/>
      <c r="K11" s="22" t="s">
        <v>154</v>
      </c>
      <c r="L11" s="22" t="s">
        <v>155</v>
      </c>
      <c r="M11" s="23" t="s">
        <v>40</v>
      </c>
      <c r="N11" s="10"/>
      <c r="O11" s="22" t="s">
        <v>33</v>
      </c>
      <c r="P11" s="22" t="s">
        <v>42</v>
      </c>
      <c r="Q11" s="22" t="s">
        <v>89</v>
      </c>
      <c r="R11" s="10"/>
      <c r="S11" s="10" t="str">
        <f>"270,0"</f>
        <v>270,0</v>
      </c>
      <c r="T11" s="10" t="str">
        <f>"307,4220"</f>
        <v>307,4220</v>
      </c>
      <c r="U11" s="9" t="s">
        <v>466</v>
      </c>
    </row>
    <row r="12" spans="1:21">
      <c r="A12" s="12" t="s">
        <v>138</v>
      </c>
      <c r="B12" s="11" t="s">
        <v>156</v>
      </c>
      <c r="C12" s="11" t="s">
        <v>544</v>
      </c>
      <c r="D12" s="11" t="s">
        <v>157</v>
      </c>
      <c r="E12" s="11" t="s">
        <v>596</v>
      </c>
      <c r="F12" s="11" t="s">
        <v>166</v>
      </c>
      <c r="G12" s="25" t="s">
        <v>51</v>
      </c>
      <c r="H12" s="25" t="s">
        <v>144</v>
      </c>
      <c r="I12" s="25" t="s">
        <v>26</v>
      </c>
      <c r="J12" s="12"/>
      <c r="K12" s="25" t="s">
        <v>40</v>
      </c>
      <c r="L12" s="25" t="s">
        <v>41</v>
      </c>
      <c r="M12" s="24" t="s">
        <v>29</v>
      </c>
      <c r="N12" s="12"/>
      <c r="O12" s="25" t="s">
        <v>28</v>
      </c>
      <c r="P12" s="25" t="s">
        <v>31</v>
      </c>
      <c r="Q12" s="24" t="s">
        <v>32</v>
      </c>
      <c r="R12" s="12"/>
      <c r="S12" s="12" t="str">
        <f>"230,0"</f>
        <v>230,0</v>
      </c>
      <c r="T12" s="12" t="str">
        <f>"288,8997"</f>
        <v>288,8997</v>
      </c>
      <c r="U12" s="11" t="s">
        <v>464</v>
      </c>
    </row>
    <row r="13" spans="1:21">
      <c r="B13" s="5" t="s">
        <v>139</v>
      </c>
    </row>
    <row r="14" spans="1:21" ht="16">
      <c r="A14" s="45" t="s">
        <v>158</v>
      </c>
      <c r="B14" s="45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</row>
    <row r="15" spans="1:21">
      <c r="A15" s="10" t="s">
        <v>138</v>
      </c>
      <c r="B15" s="9" t="s">
        <v>159</v>
      </c>
      <c r="C15" s="9" t="s">
        <v>160</v>
      </c>
      <c r="D15" s="9" t="s">
        <v>161</v>
      </c>
      <c r="E15" s="9" t="s">
        <v>595</v>
      </c>
      <c r="F15" s="9" t="s">
        <v>162</v>
      </c>
      <c r="G15" s="22" t="s">
        <v>27</v>
      </c>
      <c r="H15" s="22" t="s">
        <v>16</v>
      </c>
      <c r="I15" s="22" t="s">
        <v>39</v>
      </c>
      <c r="J15" s="10"/>
      <c r="K15" s="22" t="s">
        <v>41</v>
      </c>
      <c r="L15" s="22" t="s">
        <v>30</v>
      </c>
      <c r="M15" s="23" t="s">
        <v>47</v>
      </c>
      <c r="N15" s="10"/>
      <c r="O15" s="22" t="s">
        <v>32</v>
      </c>
      <c r="P15" s="22" t="s">
        <v>42</v>
      </c>
      <c r="Q15" s="22" t="s">
        <v>89</v>
      </c>
      <c r="R15" s="10"/>
      <c r="S15" s="10" t="str">
        <f>"277,5"</f>
        <v>277,5</v>
      </c>
      <c r="T15" s="10" t="str">
        <f>"296,9527"</f>
        <v>296,9527</v>
      </c>
      <c r="U15" s="9"/>
    </row>
    <row r="16" spans="1:21">
      <c r="A16" s="14" t="s">
        <v>140</v>
      </c>
      <c r="B16" s="13" t="s">
        <v>163</v>
      </c>
      <c r="C16" s="13" t="s">
        <v>164</v>
      </c>
      <c r="D16" s="13" t="s">
        <v>165</v>
      </c>
      <c r="E16" s="13" t="s">
        <v>595</v>
      </c>
      <c r="F16" s="13" t="s">
        <v>166</v>
      </c>
      <c r="G16" s="26" t="s">
        <v>28</v>
      </c>
      <c r="H16" s="26" t="s">
        <v>31</v>
      </c>
      <c r="I16" s="27" t="s">
        <v>167</v>
      </c>
      <c r="J16" s="14"/>
      <c r="K16" s="26" t="s">
        <v>154</v>
      </c>
      <c r="L16" s="26" t="s">
        <v>17</v>
      </c>
      <c r="M16" s="26" t="s">
        <v>18</v>
      </c>
      <c r="N16" s="14"/>
      <c r="O16" s="26" t="s">
        <v>28</v>
      </c>
      <c r="P16" s="26" t="s">
        <v>32</v>
      </c>
      <c r="Q16" s="26" t="s">
        <v>168</v>
      </c>
      <c r="R16" s="14"/>
      <c r="S16" s="14" t="str">
        <f>"255,0"</f>
        <v>255,0</v>
      </c>
      <c r="T16" s="14" t="str">
        <f>"280,6785"</f>
        <v>280,6785</v>
      </c>
      <c r="U16" s="13"/>
    </row>
    <row r="17" spans="1:21">
      <c r="A17" s="12" t="s">
        <v>212</v>
      </c>
      <c r="B17" s="11" t="s">
        <v>169</v>
      </c>
      <c r="C17" s="11" t="s">
        <v>170</v>
      </c>
      <c r="D17" s="11" t="s">
        <v>171</v>
      </c>
      <c r="E17" s="11" t="s">
        <v>595</v>
      </c>
      <c r="F17" s="11" t="s">
        <v>172</v>
      </c>
      <c r="G17" s="25" t="s">
        <v>27</v>
      </c>
      <c r="H17" s="25" t="s">
        <v>28</v>
      </c>
      <c r="I17" s="24" t="s">
        <v>32</v>
      </c>
      <c r="J17" s="12"/>
      <c r="K17" s="25" t="s">
        <v>155</v>
      </c>
      <c r="L17" s="24" t="s">
        <v>40</v>
      </c>
      <c r="M17" s="24" t="s">
        <v>40</v>
      </c>
      <c r="N17" s="12"/>
      <c r="O17" s="25" t="s">
        <v>27</v>
      </c>
      <c r="P17" s="25" t="s">
        <v>31</v>
      </c>
      <c r="Q17" s="24" t="s">
        <v>89</v>
      </c>
      <c r="R17" s="12"/>
      <c r="S17" s="12" t="str">
        <f>"230,0"</f>
        <v>230,0</v>
      </c>
      <c r="T17" s="12" t="str">
        <f>"237,0380"</f>
        <v>237,0380</v>
      </c>
      <c r="U17" s="11"/>
    </row>
    <row r="18" spans="1:21">
      <c r="B18" s="5" t="s">
        <v>139</v>
      </c>
    </row>
    <row r="19" spans="1:21" ht="16">
      <c r="A19" s="45" t="s">
        <v>173</v>
      </c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</row>
    <row r="20" spans="1:21">
      <c r="A20" s="8" t="s">
        <v>138</v>
      </c>
      <c r="B20" s="7" t="s">
        <v>174</v>
      </c>
      <c r="C20" s="7" t="s">
        <v>545</v>
      </c>
      <c r="D20" s="7" t="s">
        <v>175</v>
      </c>
      <c r="E20" s="7" t="s">
        <v>597</v>
      </c>
      <c r="F20" s="7" t="s">
        <v>172</v>
      </c>
      <c r="G20" s="20" t="s">
        <v>30</v>
      </c>
      <c r="H20" s="20" t="s">
        <v>51</v>
      </c>
      <c r="I20" s="20" t="s">
        <v>26</v>
      </c>
      <c r="J20" s="8"/>
      <c r="K20" s="20" t="s">
        <v>41</v>
      </c>
      <c r="L20" s="20" t="s">
        <v>30</v>
      </c>
      <c r="M20" s="21" t="s">
        <v>47</v>
      </c>
      <c r="N20" s="8"/>
      <c r="O20" s="20" t="s">
        <v>31</v>
      </c>
      <c r="P20" s="20" t="s">
        <v>39</v>
      </c>
      <c r="Q20" s="20" t="s">
        <v>167</v>
      </c>
      <c r="R20" s="8"/>
      <c r="S20" s="8" t="str">
        <f>"247,5"</f>
        <v>247,5</v>
      </c>
      <c r="T20" s="8" t="str">
        <f>"252,0787"</f>
        <v>252,0787</v>
      </c>
      <c r="U20" s="7"/>
    </row>
    <row r="21" spans="1:21">
      <c r="B21" s="5" t="s">
        <v>139</v>
      </c>
    </row>
    <row r="22" spans="1:21" ht="16">
      <c r="A22" s="45" t="s">
        <v>35</v>
      </c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</row>
    <row r="23" spans="1:21">
      <c r="A23" s="8" t="s">
        <v>138</v>
      </c>
      <c r="B23" s="7" t="s">
        <v>176</v>
      </c>
      <c r="C23" s="7" t="s">
        <v>177</v>
      </c>
      <c r="D23" s="7" t="s">
        <v>178</v>
      </c>
      <c r="E23" s="7" t="s">
        <v>595</v>
      </c>
      <c r="F23" s="7" t="s">
        <v>166</v>
      </c>
      <c r="G23" s="20" t="s">
        <v>43</v>
      </c>
      <c r="H23" s="20" t="s">
        <v>68</v>
      </c>
      <c r="I23" s="20" t="s">
        <v>69</v>
      </c>
      <c r="J23" s="8"/>
      <c r="K23" s="20" t="s">
        <v>16</v>
      </c>
      <c r="L23" s="20" t="s">
        <v>31</v>
      </c>
      <c r="M23" s="20" t="s">
        <v>179</v>
      </c>
      <c r="N23" s="8"/>
      <c r="O23" s="20" t="s">
        <v>95</v>
      </c>
      <c r="P23" s="20" t="s">
        <v>80</v>
      </c>
      <c r="Q23" s="21" t="s">
        <v>59</v>
      </c>
      <c r="R23" s="8"/>
      <c r="S23" s="8" t="str">
        <f>"377,5"</f>
        <v>377,5</v>
      </c>
      <c r="T23" s="8" t="str">
        <f>"349,1875"</f>
        <v>349,1875</v>
      </c>
      <c r="U23" s="7" t="s">
        <v>467</v>
      </c>
    </row>
    <row r="24" spans="1:21">
      <c r="B24" s="5" t="s">
        <v>139</v>
      </c>
    </row>
    <row r="25" spans="1:21" ht="16">
      <c r="A25" s="45" t="s">
        <v>149</v>
      </c>
      <c r="B25" s="45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</row>
    <row r="26" spans="1:21">
      <c r="A26" s="8" t="s">
        <v>138</v>
      </c>
      <c r="B26" s="7" t="s">
        <v>180</v>
      </c>
      <c r="C26" s="7" t="s">
        <v>181</v>
      </c>
      <c r="D26" s="7" t="s">
        <v>182</v>
      </c>
      <c r="E26" s="7" t="s">
        <v>595</v>
      </c>
      <c r="F26" s="7" t="s">
        <v>172</v>
      </c>
      <c r="G26" s="20" t="s">
        <v>32</v>
      </c>
      <c r="H26" s="20" t="s">
        <v>43</v>
      </c>
      <c r="I26" s="20" t="s">
        <v>69</v>
      </c>
      <c r="J26" s="8"/>
      <c r="K26" s="20" t="s">
        <v>51</v>
      </c>
      <c r="L26" s="20" t="s">
        <v>27</v>
      </c>
      <c r="M26" s="21" t="s">
        <v>28</v>
      </c>
      <c r="N26" s="8"/>
      <c r="O26" s="20" t="s">
        <v>69</v>
      </c>
      <c r="P26" s="20" t="s">
        <v>80</v>
      </c>
      <c r="Q26" s="20" t="s">
        <v>81</v>
      </c>
      <c r="R26" s="8"/>
      <c r="S26" s="8" t="str">
        <f>"375,0"</f>
        <v>375,0</v>
      </c>
      <c r="T26" s="8" t="str">
        <f>"335,5875"</f>
        <v>335,5875</v>
      </c>
      <c r="U26" s="7"/>
    </row>
    <row r="27" spans="1:21">
      <c r="B27" s="5" t="s">
        <v>139</v>
      </c>
    </row>
    <row r="28" spans="1:21" ht="16">
      <c r="A28" s="45" t="s">
        <v>52</v>
      </c>
      <c r="B28" s="45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</row>
    <row r="29" spans="1:21">
      <c r="A29" s="10" t="s">
        <v>138</v>
      </c>
      <c r="B29" s="9" t="s">
        <v>183</v>
      </c>
      <c r="C29" s="9" t="s">
        <v>184</v>
      </c>
      <c r="D29" s="9" t="s">
        <v>185</v>
      </c>
      <c r="E29" s="9" t="s">
        <v>595</v>
      </c>
      <c r="F29" s="9" t="s">
        <v>162</v>
      </c>
      <c r="G29" s="22" t="s">
        <v>186</v>
      </c>
      <c r="H29" s="22" t="s">
        <v>58</v>
      </c>
      <c r="I29" s="22" t="s">
        <v>187</v>
      </c>
      <c r="J29" s="10"/>
      <c r="K29" s="22" t="s">
        <v>95</v>
      </c>
      <c r="L29" s="23" t="s">
        <v>80</v>
      </c>
      <c r="M29" s="22" t="s">
        <v>80</v>
      </c>
      <c r="N29" s="10"/>
      <c r="O29" s="22" t="s">
        <v>188</v>
      </c>
      <c r="P29" s="22" t="s">
        <v>83</v>
      </c>
      <c r="Q29" s="22" t="s">
        <v>115</v>
      </c>
      <c r="R29" s="10"/>
      <c r="S29" s="10" t="str">
        <f>"662,5"</f>
        <v>662,5</v>
      </c>
      <c r="T29" s="10" t="str">
        <f>"426,3850"</f>
        <v>426,3850</v>
      </c>
      <c r="U29" s="9"/>
    </row>
    <row r="30" spans="1:21">
      <c r="A30" s="14" t="s">
        <v>140</v>
      </c>
      <c r="B30" s="13" t="s">
        <v>189</v>
      </c>
      <c r="C30" s="13" t="s">
        <v>190</v>
      </c>
      <c r="D30" s="13" t="s">
        <v>191</v>
      </c>
      <c r="E30" s="13" t="s">
        <v>595</v>
      </c>
      <c r="F30" s="13" t="s">
        <v>172</v>
      </c>
      <c r="G30" s="26" t="s">
        <v>88</v>
      </c>
      <c r="H30" s="26" t="s">
        <v>90</v>
      </c>
      <c r="I30" s="27" t="s">
        <v>91</v>
      </c>
      <c r="J30" s="14"/>
      <c r="K30" s="26" t="s">
        <v>43</v>
      </c>
      <c r="L30" s="26" t="s">
        <v>68</v>
      </c>
      <c r="M30" s="27" t="s">
        <v>69</v>
      </c>
      <c r="N30" s="14"/>
      <c r="O30" s="26" t="s">
        <v>57</v>
      </c>
      <c r="P30" s="26" t="s">
        <v>58</v>
      </c>
      <c r="Q30" s="27" t="s">
        <v>63</v>
      </c>
      <c r="R30" s="14"/>
      <c r="S30" s="14" t="str">
        <f>"545,0"</f>
        <v>545,0</v>
      </c>
      <c r="T30" s="14" t="str">
        <f>"349,3450"</f>
        <v>349,3450</v>
      </c>
      <c r="U30" s="13"/>
    </row>
    <row r="31" spans="1:21">
      <c r="A31" s="12" t="s">
        <v>212</v>
      </c>
      <c r="B31" s="11" t="s">
        <v>192</v>
      </c>
      <c r="C31" s="11" t="s">
        <v>193</v>
      </c>
      <c r="D31" s="11" t="s">
        <v>194</v>
      </c>
      <c r="E31" s="11" t="s">
        <v>595</v>
      </c>
      <c r="F31" s="11" t="s">
        <v>172</v>
      </c>
      <c r="G31" s="25" t="s">
        <v>81</v>
      </c>
      <c r="H31" s="25" t="s">
        <v>61</v>
      </c>
      <c r="I31" s="25" t="s">
        <v>88</v>
      </c>
      <c r="J31" s="12"/>
      <c r="K31" s="25" t="s">
        <v>68</v>
      </c>
      <c r="L31" s="25" t="s">
        <v>69</v>
      </c>
      <c r="M31" s="24" t="s">
        <v>70</v>
      </c>
      <c r="N31" s="12"/>
      <c r="O31" s="25" t="s">
        <v>56</v>
      </c>
      <c r="P31" s="25" t="s">
        <v>58</v>
      </c>
      <c r="Q31" s="24" t="s">
        <v>62</v>
      </c>
      <c r="R31" s="12"/>
      <c r="S31" s="12" t="str">
        <f>"540,0"</f>
        <v>540,0</v>
      </c>
      <c r="T31" s="12" t="str">
        <f>"345,4920"</f>
        <v>345,4920</v>
      </c>
      <c r="U31" s="11" t="s">
        <v>468</v>
      </c>
    </row>
    <row r="32" spans="1:21">
      <c r="B32" s="5" t="s">
        <v>139</v>
      </c>
    </row>
    <row r="33" spans="1:21" ht="16">
      <c r="A33" s="45" t="s">
        <v>74</v>
      </c>
      <c r="B33" s="45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</row>
    <row r="34" spans="1:21">
      <c r="A34" s="10" t="s">
        <v>138</v>
      </c>
      <c r="B34" s="9" t="s">
        <v>195</v>
      </c>
      <c r="C34" s="9" t="s">
        <v>196</v>
      </c>
      <c r="D34" s="9" t="s">
        <v>197</v>
      </c>
      <c r="E34" s="9" t="s">
        <v>595</v>
      </c>
      <c r="F34" s="9" t="s">
        <v>172</v>
      </c>
      <c r="G34" s="22" t="s">
        <v>63</v>
      </c>
      <c r="H34" s="22" t="s">
        <v>108</v>
      </c>
      <c r="I34" s="22" t="s">
        <v>188</v>
      </c>
      <c r="J34" s="10"/>
      <c r="K34" s="22" t="s">
        <v>61</v>
      </c>
      <c r="L34" s="22" t="s">
        <v>88</v>
      </c>
      <c r="M34" s="22" t="s">
        <v>72</v>
      </c>
      <c r="N34" s="10"/>
      <c r="O34" s="22" t="s">
        <v>99</v>
      </c>
      <c r="P34" s="22" t="s">
        <v>115</v>
      </c>
      <c r="Q34" s="22" t="s">
        <v>198</v>
      </c>
      <c r="R34" s="10"/>
      <c r="S34" s="10" t="str">
        <f>"725,0"</f>
        <v>725,0</v>
      </c>
      <c r="T34" s="10" t="str">
        <f>"444,1350"</f>
        <v>444,1350</v>
      </c>
      <c r="U34" s="9"/>
    </row>
    <row r="35" spans="1:21">
      <c r="A35" s="14" t="s">
        <v>140</v>
      </c>
      <c r="B35" s="13" t="s">
        <v>199</v>
      </c>
      <c r="C35" s="13" t="s">
        <v>200</v>
      </c>
      <c r="D35" s="13" t="s">
        <v>201</v>
      </c>
      <c r="E35" s="13" t="s">
        <v>595</v>
      </c>
      <c r="F35" s="13" t="s">
        <v>172</v>
      </c>
      <c r="G35" s="26" t="s">
        <v>91</v>
      </c>
      <c r="H35" s="26" t="s">
        <v>56</v>
      </c>
      <c r="I35" s="26" t="s">
        <v>186</v>
      </c>
      <c r="J35" s="14"/>
      <c r="K35" s="26" t="s">
        <v>60</v>
      </c>
      <c r="L35" s="27" t="s">
        <v>114</v>
      </c>
      <c r="M35" s="27" t="s">
        <v>114</v>
      </c>
      <c r="N35" s="14"/>
      <c r="O35" s="26" t="s">
        <v>56</v>
      </c>
      <c r="P35" s="26" t="s">
        <v>57</v>
      </c>
      <c r="Q35" s="26" t="s">
        <v>78</v>
      </c>
      <c r="R35" s="14"/>
      <c r="S35" s="14" t="str">
        <f>"602,5"</f>
        <v>602,5</v>
      </c>
      <c r="T35" s="14" t="str">
        <f>"367,2840"</f>
        <v>367,2840</v>
      </c>
      <c r="U35" s="13" t="s">
        <v>469</v>
      </c>
    </row>
    <row r="36" spans="1:21">
      <c r="A36" s="12" t="s">
        <v>138</v>
      </c>
      <c r="B36" s="11" t="s">
        <v>202</v>
      </c>
      <c r="C36" s="11" t="s">
        <v>546</v>
      </c>
      <c r="D36" s="11" t="s">
        <v>203</v>
      </c>
      <c r="E36" s="11" t="s">
        <v>596</v>
      </c>
      <c r="F36" s="11" t="s">
        <v>172</v>
      </c>
      <c r="G36" s="25" t="s">
        <v>88</v>
      </c>
      <c r="H36" s="24" t="s">
        <v>90</v>
      </c>
      <c r="I36" s="24" t="s">
        <v>90</v>
      </c>
      <c r="J36" s="12"/>
      <c r="K36" s="25" t="s">
        <v>31</v>
      </c>
      <c r="L36" s="25" t="s">
        <v>39</v>
      </c>
      <c r="M36" s="24" t="s">
        <v>167</v>
      </c>
      <c r="N36" s="12"/>
      <c r="O36" s="25" t="s">
        <v>90</v>
      </c>
      <c r="P36" s="25" t="s">
        <v>204</v>
      </c>
      <c r="Q36" s="12"/>
      <c r="R36" s="12"/>
      <c r="S36" s="12" t="str">
        <f>"487,5"</f>
        <v>487,5</v>
      </c>
      <c r="T36" s="12" t="str">
        <f>"316,0443"</f>
        <v>316,0443</v>
      </c>
      <c r="U36" s="11"/>
    </row>
    <row r="37" spans="1:21">
      <c r="B37" s="5" t="s">
        <v>139</v>
      </c>
    </row>
    <row r="38" spans="1:21">
      <c r="B38" s="5" t="s">
        <v>139</v>
      </c>
    </row>
    <row r="39" spans="1:21">
      <c r="B39" s="5" t="s">
        <v>139</v>
      </c>
    </row>
    <row r="40" spans="1:21" ht="18">
      <c r="B40" s="15" t="s">
        <v>117</v>
      </c>
      <c r="C40" s="15"/>
    </row>
    <row r="41" spans="1:21" ht="16">
      <c r="B41" s="16" t="s">
        <v>127</v>
      </c>
      <c r="C41" s="16"/>
    </row>
    <row r="42" spans="1:21" ht="14">
      <c r="B42" s="17"/>
      <c r="C42" s="18" t="s">
        <v>124</v>
      </c>
    </row>
    <row r="43" spans="1:21" ht="14">
      <c r="B43" s="19" t="s">
        <v>119</v>
      </c>
      <c r="C43" s="19" t="s">
        <v>120</v>
      </c>
      <c r="D43" s="19" t="s">
        <v>588</v>
      </c>
      <c r="E43" s="19" t="s">
        <v>121</v>
      </c>
      <c r="F43" s="19" t="s">
        <v>122</v>
      </c>
    </row>
    <row r="44" spans="1:21">
      <c r="B44" s="5" t="s">
        <v>195</v>
      </c>
      <c r="C44" s="5" t="s">
        <v>124</v>
      </c>
      <c r="D44" s="6" t="s">
        <v>132</v>
      </c>
      <c r="E44" s="6" t="s">
        <v>206</v>
      </c>
      <c r="F44" s="6" t="s">
        <v>207</v>
      </c>
    </row>
    <row r="45" spans="1:21">
      <c r="B45" s="5" t="s">
        <v>183</v>
      </c>
      <c r="C45" s="5" t="s">
        <v>124</v>
      </c>
      <c r="D45" s="6" t="s">
        <v>135</v>
      </c>
      <c r="E45" s="6" t="s">
        <v>208</v>
      </c>
      <c r="F45" s="6" t="s">
        <v>209</v>
      </c>
    </row>
    <row r="46" spans="1:21">
      <c r="B46" s="5" t="s">
        <v>199</v>
      </c>
      <c r="C46" s="5" t="s">
        <v>124</v>
      </c>
      <c r="D46" s="6" t="s">
        <v>132</v>
      </c>
      <c r="E46" s="6" t="s">
        <v>210</v>
      </c>
      <c r="F46" s="6" t="s">
        <v>211</v>
      </c>
    </row>
    <row r="47" spans="1:21">
      <c r="B47" s="5" t="s">
        <v>139</v>
      </c>
    </row>
  </sheetData>
  <mergeCells count="21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33:R33"/>
    <mergeCell ref="B3:B4"/>
    <mergeCell ref="A10:R10"/>
    <mergeCell ref="A14:R14"/>
    <mergeCell ref="A19:R19"/>
    <mergeCell ref="A22:R22"/>
    <mergeCell ref="A25:R25"/>
    <mergeCell ref="A28:R2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119CA-BD6B-4390-81A2-03DED2778890}">
  <sheetPr codeName="Лист13"/>
  <dimension ref="A1:M10"/>
  <sheetViews>
    <sheetView workbookViewId="0">
      <selection activeCell="E10" sqref="E10"/>
    </sheetView>
  </sheetViews>
  <sheetFormatPr baseColWidth="10" defaultColWidth="9.1640625" defaultRowHeight="13"/>
  <cols>
    <col min="1" max="1" width="7.1640625" style="5" bestFit="1" customWidth="1"/>
    <col min="2" max="2" width="23.83203125" style="5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38.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7.5" style="6" bestFit="1" customWidth="1"/>
    <col min="13" max="13" width="22.83203125" style="5" customWidth="1"/>
    <col min="14" max="16384" width="9.1640625" style="3"/>
  </cols>
  <sheetData>
    <row r="1" spans="1:13" s="2" customFormat="1" ht="29" customHeight="1">
      <c r="A1" s="55" t="s">
        <v>535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590</v>
      </c>
      <c r="B3" s="47" t="s">
        <v>0</v>
      </c>
      <c r="C3" s="65" t="s">
        <v>592</v>
      </c>
      <c r="D3" s="65" t="s">
        <v>6</v>
      </c>
      <c r="E3" s="49" t="s">
        <v>593</v>
      </c>
      <c r="F3" s="49" t="s">
        <v>5</v>
      </c>
      <c r="G3" s="49" t="s">
        <v>8</v>
      </c>
      <c r="H3" s="49"/>
      <c r="I3" s="49"/>
      <c r="J3" s="49"/>
      <c r="K3" s="49" t="s">
        <v>301</v>
      </c>
      <c r="L3" s="49" t="s">
        <v>3</v>
      </c>
      <c r="M3" s="51" t="s">
        <v>2</v>
      </c>
    </row>
    <row r="4" spans="1:13" s="1" customFormat="1" ht="21" customHeight="1" thickBot="1">
      <c r="A4" s="64"/>
      <c r="B4" s="4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2"/>
    </row>
    <row r="5" spans="1:13" ht="16">
      <c r="A5" s="53" t="s">
        <v>158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8" t="s">
        <v>138</v>
      </c>
      <c r="B6" s="7" t="s">
        <v>392</v>
      </c>
      <c r="C6" s="7" t="s">
        <v>571</v>
      </c>
      <c r="D6" s="7" t="s">
        <v>393</v>
      </c>
      <c r="E6" s="7" t="s">
        <v>598</v>
      </c>
      <c r="F6" s="7" t="s">
        <v>38</v>
      </c>
      <c r="G6" s="20" t="s">
        <v>30</v>
      </c>
      <c r="H6" s="21" t="s">
        <v>20</v>
      </c>
      <c r="I6" s="20" t="s">
        <v>20</v>
      </c>
      <c r="J6" s="8"/>
      <c r="K6" s="8" t="str">
        <f>"72,5"</f>
        <v>72,5</v>
      </c>
      <c r="L6" s="8" t="str">
        <f>"80,0497"</f>
        <v>80,0497</v>
      </c>
      <c r="M6" s="7" t="s">
        <v>470</v>
      </c>
    </row>
    <row r="7" spans="1:13">
      <c r="B7" s="5" t="s">
        <v>139</v>
      </c>
    </row>
    <row r="8" spans="1:13" ht="16">
      <c r="A8" s="45" t="s">
        <v>173</v>
      </c>
      <c r="B8" s="45"/>
      <c r="C8" s="46"/>
      <c r="D8" s="46"/>
      <c r="E8" s="46"/>
      <c r="F8" s="46"/>
      <c r="G8" s="46"/>
      <c r="H8" s="46"/>
      <c r="I8" s="46"/>
      <c r="J8" s="46"/>
    </row>
    <row r="9" spans="1:13">
      <c r="A9" s="8" t="s">
        <v>138</v>
      </c>
      <c r="B9" s="7" t="s">
        <v>394</v>
      </c>
      <c r="C9" s="7" t="s">
        <v>395</v>
      </c>
      <c r="D9" s="7" t="s">
        <v>396</v>
      </c>
      <c r="E9" s="7" t="s">
        <v>595</v>
      </c>
      <c r="F9" s="7" t="s">
        <v>172</v>
      </c>
      <c r="G9" s="21" t="s">
        <v>70</v>
      </c>
      <c r="H9" s="21" t="s">
        <v>70</v>
      </c>
      <c r="I9" s="20" t="s">
        <v>70</v>
      </c>
      <c r="J9" s="8"/>
      <c r="K9" s="8" t="str">
        <f>"135,0"</f>
        <v>135,0</v>
      </c>
      <c r="L9" s="8" t="str">
        <f>"98,2530"</f>
        <v>98,2530</v>
      </c>
      <c r="M9" s="7" t="s">
        <v>487</v>
      </c>
    </row>
    <row r="10" spans="1:13">
      <c r="B10" s="5" t="s">
        <v>139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67A70-6F5F-42B8-85E7-ED0850A82582}">
  <sheetPr codeName="Лист14"/>
  <dimension ref="A1:M7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7.5" style="5" bestFit="1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34.83203125" style="5" bestFit="1" customWidth="1"/>
    <col min="7" max="9" width="5.5" style="6" customWidth="1"/>
    <col min="10" max="10" width="4.5" style="6" customWidth="1"/>
    <col min="11" max="11" width="11.83203125" style="6" customWidth="1"/>
    <col min="12" max="12" width="8.5" style="6" bestFit="1" customWidth="1"/>
    <col min="13" max="13" width="24.33203125" style="5" customWidth="1"/>
    <col min="14" max="16384" width="9.1640625" style="3"/>
  </cols>
  <sheetData>
    <row r="1" spans="1:13" s="2" customFormat="1" ht="29" customHeight="1">
      <c r="A1" s="55" t="s">
        <v>536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590</v>
      </c>
      <c r="B3" s="47" t="s">
        <v>0</v>
      </c>
      <c r="C3" s="65" t="s">
        <v>592</v>
      </c>
      <c r="D3" s="65" t="s">
        <v>6</v>
      </c>
      <c r="E3" s="49" t="s">
        <v>593</v>
      </c>
      <c r="F3" s="49" t="s">
        <v>5</v>
      </c>
      <c r="G3" s="49" t="s">
        <v>8</v>
      </c>
      <c r="H3" s="49"/>
      <c r="I3" s="49"/>
      <c r="J3" s="49"/>
      <c r="K3" s="49" t="s">
        <v>301</v>
      </c>
      <c r="L3" s="49" t="s">
        <v>3</v>
      </c>
      <c r="M3" s="51" t="s">
        <v>2</v>
      </c>
    </row>
    <row r="4" spans="1:13" s="1" customFormat="1" ht="21" customHeight="1" thickBot="1">
      <c r="A4" s="64"/>
      <c r="B4" s="4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2"/>
    </row>
    <row r="5" spans="1:13" ht="16">
      <c r="A5" s="53" t="s">
        <v>109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8" t="s">
        <v>138</v>
      </c>
      <c r="B6" s="7" t="s">
        <v>388</v>
      </c>
      <c r="C6" s="7" t="s">
        <v>389</v>
      </c>
      <c r="D6" s="7" t="s">
        <v>390</v>
      </c>
      <c r="E6" s="7" t="s">
        <v>595</v>
      </c>
      <c r="F6" s="7" t="s">
        <v>465</v>
      </c>
      <c r="G6" s="20" t="s">
        <v>99</v>
      </c>
      <c r="H6" s="21" t="s">
        <v>391</v>
      </c>
      <c r="I6" s="21" t="s">
        <v>391</v>
      </c>
      <c r="J6" s="8"/>
      <c r="K6" s="8" t="str">
        <f>"270,0"</f>
        <v>270,0</v>
      </c>
      <c r="L6" s="8" t="str">
        <f>"156,3570"</f>
        <v>156,3570</v>
      </c>
      <c r="M6" s="7"/>
    </row>
    <row r="7" spans="1:13">
      <c r="B7" s="5" t="s">
        <v>139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7C919-4BA3-45CE-92CC-5E88F126D1C5}">
  <sheetPr codeName="Лист15"/>
  <dimension ref="A1:M11"/>
  <sheetViews>
    <sheetView workbookViewId="0">
      <selection sqref="A1:M2"/>
    </sheetView>
  </sheetViews>
  <sheetFormatPr baseColWidth="10" defaultColWidth="9.1640625" defaultRowHeight="13"/>
  <cols>
    <col min="1" max="1" width="7.1640625" style="32" bestFit="1" customWidth="1"/>
    <col min="2" max="2" width="17.83203125" style="32" bestFit="1" customWidth="1"/>
    <col min="3" max="3" width="28.6640625" style="32" bestFit="1" customWidth="1"/>
    <col min="4" max="4" width="20.83203125" style="32" bestFit="1" customWidth="1"/>
    <col min="5" max="5" width="10.1640625" style="32" bestFit="1" customWidth="1"/>
    <col min="6" max="6" width="31" style="32" bestFit="1" customWidth="1"/>
    <col min="7" max="9" width="5.5" style="31" customWidth="1"/>
    <col min="10" max="10" width="4.5" style="31" customWidth="1"/>
    <col min="11" max="11" width="10.5" style="31" bestFit="1" customWidth="1"/>
    <col min="12" max="12" width="8.5" style="31" bestFit="1" customWidth="1"/>
    <col min="13" max="13" width="22.5" style="32" customWidth="1"/>
    <col min="14" max="16384" width="9.1640625" style="33"/>
  </cols>
  <sheetData>
    <row r="1" spans="1:13" s="28" customFormat="1" ht="29" customHeight="1">
      <c r="A1" s="70" t="s">
        <v>537</v>
      </c>
      <c r="B1" s="71"/>
      <c r="C1" s="72"/>
      <c r="D1" s="72"/>
      <c r="E1" s="72"/>
      <c r="F1" s="72"/>
      <c r="G1" s="72"/>
      <c r="H1" s="72"/>
      <c r="I1" s="72"/>
      <c r="J1" s="72"/>
      <c r="K1" s="72"/>
      <c r="L1" s="72"/>
      <c r="M1" s="73"/>
    </row>
    <row r="2" spans="1:13" s="28" customFormat="1" ht="62" customHeight="1" thickBot="1">
      <c r="A2" s="74"/>
      <c r="B2" s="75"/>
      <c r="C2" s="76"/>
      <c r="D2" s="76"/>
      <c r="E2" s="76"/>
      <c r="F2" s="76"/>
      <c r="G2" s="76"/>
      <c r="H2" s="76"/>
      <c r="I2" s="76"/>
      <c r="J2" s="76"/>
      <c r="K2" s="76"/>
      <c r="L2" s="76"/>
      <c r="M2" s="77"/>
    </row>
    <row r="3" spans="1:13" s="29" customFormat="1" ht="12.75" customHeight="1">
      <c r="A3" s="78" t="s">
        <v>590</v>
      </c>
      <c r="B3" s="80" t="s">
        <v>0</v>
      </c>
      <c r="C3" s="81" t="s">
        <v>592</v>
      </c>
      <c r="D3" s="81" t="s">
        <v>6</v>
      </c>
      <c r="E3" s="66" t="s">
        <v>593</v>
      </c>
      <c r="F3" s="66" t="s">
        <v>5</v>
      </c>
      <c r="G3" s="66" t="s">
        <v>8</v>
      </c>
      <c r="H3" s="66"/>
      <c r="I3" s="66"/>
      <c r="J3" s="66"/>
      <c r="K3" s="66" t="s">
        <v>301</v>
      </c>
      <c r="L3" s="66" t="s">
        <v>3</v>
      </c>
      <c r="M3" s="68" t="s">
        <v>2</v>
      </c>
    </row>
    <row r="4" spans="1:13" s="29" customFormat="1" ht="21" customHeight="1" thickBot="1">
      <c r="A4" s="79"/>
      <c r="B4" s="48"/>
      <c r="C4" s="67"/>
      <c r="D4" s="67"/>
      <c r="E4" s="67"/>
      <c r="F4" s="67"/>
      <c r="G4" s="30">
        <v>1</v>
      </c>
      <c r="H4" s="30">
        <v>2</v>
      </c>
      <c r="I4" s="30">
        <v>3</v>
      </c>
      <c r="J4" s="30" t="s">
        <v>4</v>
      </c>
      <c r="K4" s="67"/>
      <c r="L4" s="67"/>
      <c r="M4" s="69"/>
    </row>
    <row r="5" spans="1:13" ht="16">
      <c r="A5" s="54" t="s">
        <v>22</v>
      </c>
      <c r="B5" s="54"/>
      <c r="C5" s="54"/>
      <c r="D5" s="54"/>
      <c r="E5" s="54"/>
      <c r="F5" s="54"/>
      <c r="G5" s="54"/>
      <c r="H5" s="54"/>
      <c r="I5" s="54"/>
      <c r="J5" s="54"/>
    </row>
    <row r="6" spans="1:13">
      <c r="A6" s="37" t="s">
        <v>138</v>
      </c>
      <c r="B6" s="38" t="s">
        <v>496</v>
      </c>
      <c r="C6" s="38" t="s">
        <v>497</v>
      </c>
      <c r="D6" s="38" t="s">
        <v>418</v>
      </c>
      <c r="E6" s="38" t="s">
        <v>595</v>
      </c>
      <c r="F6" s="38" t="s">
        <v>255</v>
      </c>
      <c r="G6" s="22" t="s">
        <v>144</v>
      </c>
      <c r="H6" s="22" t="s">
        <v>26</v>
      </c>
      <c r="I6" s="22" t="s">
        <v>14</v>
      </c>
      <c r="J6" s="37"/>
      <c r="K6" s="37" t="str">
        <f>"82,5"</f>
        <v>82,5</v>
      </c>
      <c r="L6" s="37" t="str">
        <f>"94,3882"</f>
        <v>94,3882</v>
      </c>
      <c r="M6" s="38" t="s">
        <v>473</v>
      </c>
    </row>
    <row r="7" spans="1:13">
      <c r="A7" s="39" t="s">
        <v>138</v>
      </c>
      <c r="B7" s="40" t="s">
        <v>496</v>
      </c>
      <c r="C7" s="40" t="s">
        <v>572</v>
      </c>
      <c r="D7" s="40" t="s">
        <v>418</v>
      </c>
      <c r="E7" s="40" t="s">
        <v>596</v>
      </c>
      <c r="F7" s="40" t="s">
        <v>255</v>
      </c>
      <c r="G7" s="25" t="s">
        <v>144</v>
      </c>
      <c r="H7" s="25" t="s">
        <v>26</v>
      </c>
      <c r="I7" s="25" t="s">
        <v>14</v>
      </c>
      <c r="J7" s="39"/>
      <c r="K7" s="39" t="str">
        <f>"82,5"</f>
        <v>82,5</v>
      </c>
      <c r="L7" s="39" t="str">
        <f>"121,8552"</f>
        <v>121,8552</v>
      </c>
      <c r="M7" s="40" t="s">
        <v>473</v>
      </c>
    </row>
    <row r="8" spans="1:13">
      <c r="B8" s="32" t="s">
        <v>139</v>
      </c>
    </row>
    <row r="9" spans="1:13" ht="16">
      <c r="A9" s="46" t="s">
        <v>52</v>
      </c>
      <c r="B9" s="46"/>
      <c r="C9" s="46"/>
      <c r="D9" s="46"/>
      <c r="E9" s="46"/>
      <c r="F9" s="46"/>
      <c r="G9" s="46"/>
      <c r="H9" s="46"/>
      <c r="I9" s="46"/>
      <c r="J9" s="46"/>
    </row>
    <row r="10" spans="1:13">
      <c r="A10" s="34" t="s">
        <v>138</v>
      </c>
      <c r="B10" s="35" t="s">
        <v>498</v>
      </c>
      <c r="C10" s="35" t="s">
        <v>573</v>
      </c>
      <c r="D10" s="35" t="s">
        <v>499</v>
      </c>
      <c r="E10" s="35" t="s">
        <v>598</v>
      </c>
      <c r="F10" s="35" t="s">
        <v>255</v>
      </c>
      <c r="G10" s="20" t="s">
        <v>61</v>
      </c>
      <c r="H10" s="20" t="s">
        <v>88</v>
      </c>
      <c r="I10" s="20" t="s">
        <v>90</v>
      </c>
      <c r="J10" s="34"/>
      <c r="K10" s="34" t="str">
        <f>"190,0"</f>
        <v>190,0</v>
      </c>
      <c r="L10" s="34" t="str">
        <f>"129,2891"</f>
        <v>129,2891</v>
      </c>
      <c r="M10" s="35"/>
    </row>
    <row r="11" spans="1:13">
      <c r="B11" s="32" t="s">
        <v>139</v>
      </c>
    </row>
  </sheetData>
  <mergeCells count="13">
    <mergeCell ref="L3:L4"/>
    <mergeCell ref="M3:M4"/>
    <mergeCell ref="A5:J5"/>
    <mergeCell ref="A9:J9"/>
    <mergeCell ref="A1:M2"/>
    <mergeCell ref="A3:A4"/>
    <mergeCell ref="B3:B4"/>
    <mergeCell ref="C3:C4"/>
    <mergeCell ref="D3:D4"/>
    <mergeCell ref="E3:E4"/>
    <mergeCell ref="F3:F4"/>
    <mergeCell ref="G3:J3"/>
    <mergeCell ref="K3:K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658D3-35F1-452B-AC79-A78F2FCE777D}">
  <sheetPr codeName="Лист16">
    <pageSetUpPr fitToPage="1"/>
  </sheetPr>
  <dimension ref="A1:M7"/>
  <sheetViews>
    <sheetView workbookViewId="0">
      <selection sqref="A1:M2"/>
    </sheetView>
  </sheetViews>
  <sheetFormatPr baseColWidth="10" defaultColWidth="9.1640625" defaultRowHeight="13"/>
  <cols>
    <col min="1" max="1" width="7.1640625" style="32" bestFit="1" customWidth="1"/>
    <col min="2" max="2" width="23.83203125" style="32" customWidth="1"/>
    <col min="3" max="3" width="25.1640625" style="32" bestFit="1" customWidth="1"/>
    <col min="4" max="4" width="20.83203125" style="32" bestFit="1" customWidth="1"/>
    <col min="5" max="5" width="10.1640625" style="32" bestFit="1" customWidth="1"/>
    <col min="6" max="6" width="34.83203125" style="32" bestFit="1" customWidth="1"/>
    <col min="7" max="9" width="5.5" style="31" customWidth="1"/>
    <col min="10" max="10" width="4.5" style="31" customWidth="1"/>
    <col min="11" max="11" width="10.5" style="31" bestFit="1" customWidth="1"/>
    <col min="12" max="12" width="8.5" style="31" bestFit="1" customWidth="1"/>
    <col min="13" max="13" width="22" style="32" customWidth="1"/>
    <col min="14" max="16384" width="9.1640625" style="33"/>
  </cols>
  <sheetData>
    <row r="1" spans="1:13" s="28" customFormat="1" ht="29" customHeight="1">
      <c r="A1" s="70" t="s">
        <v>538</v>
      </c>
      <c r="B1" s="71"/>
      <c r="C1" s="72"/>
      <c r="D1" s="72"/>
      <c r="E1" s="72"/>
      <c r="F1" s="72"/>
      <c r="G1" s="72"/>
      <c r="H1" s="72"/>
      <c r="I1" s="72"/>
      <c r="J1" s="72"/>
      <c r="K1" s="72"/>
      <c r="L1" s="72"/>
      <c r="M1" s="73"/>
    </row>
    <row r="2" spans="1:13" s="28" customFormat="1" ht="62" customHeight="1" thickBot="1">
      <c r="A2" s="74"/>
      <c r="B2" s="75"/>
      <c r="C2" s="76"/>
      <c r="D2" s="76"/>
      <c r="E2" s="76"/>
      <c r="F2" s="76"/>
      <c r="G2" s="76"/>
      <c r="H2" s="76"/>
      <c r="I2" s="76"/>
      <c r="J2" s="76"/>
      <c r="K2" s="76"/>
      <c r="L2" s="76"/>
      <c r="M2" s="77"/>
    </row>
    <row r="3" spans="1:13" s="29" customFormat="1" ht="12.75" customHeight="1">
      <c r="A3" s="78" t="s">
        <v>590</v>
      </c>
      <c r="B3" s="80" t="s">
        <v>0</v>
      </c>
      <c r="C3" s="81" t="s">
        <v>592</v>
      </c>
      <c r="D3" s="81" t="s">
        <v>6</v>
      </c>
      <c r="E3" s="66" t="s">
        <v>593</v>
      </c>
      <c r="F3" s="66" t="s">
        <v>5</v>
      </c>
      <c r="G3" s="66" t="s">
        <v>8</v>
      </c>
      <c r="H3" s="66"/>
      <c r="I3" s="66"/>
      <c r="J3" s="66"/>
      <c r="K3" s="66" t="s">
        <v>301</v>
      </c>
      <c r="L3" s="66" t="s">
        <v>3</v>
      </c>
      <c r="M3" s="68" t="s">
        <v>2</v>
      </c>
    </row>
    <row r="4" spans="1:13" s="29" customFormat="1" ht="21" customHeight="1" thickBot="1">
      <c r="A4" s="79"/>
      <c r="B4" s="48"/>
      <c r="C4" s="67"/>
      <c r="D4" s="67"/>
      <c r="E4" s="67"/>
      <c r="F4" s="67"/>
      <c r="G4" s="30">
        <v>1</v>
      </c>
      <c r="H4" s="30">
        <v>2</v>
      </c>
      <c r="I4" s="30">
        <v>3</v>
      </c>
      <c r="J4" s="30" t="s">
        <v>4</v>
      </c>
      <c r="K4" s="67"/>
      <c r="L4" s="67"/>
      <c r="M4" s="69"/>
    </row>
    <row r="5" spans="1:13" ht="16">
      <c r="A5" s="54" t="s">
        <v>173</v>
      </c>
      <c r="B5" s="54"/>
      <c r="C5" s="54"/>
      <c r="D5" s="54"/>
      <c r="E5" s="54"/>
      <c r="F5" s="54"/>
      <c r="G5" s="54"/>
      <c r="H5" s="54"/>
      <c r="I5" s="54"/>
      <c r="J5" s="54"/>
    </row>
    <row r="6" spans="1:13">
      <c r="A6" s="34" t="s">
        <v>138</v>
      </c>
      <c r="B6" s="35" t="s">
        <v>262</v>
      </c>
      <c r="C6" s="35" t="s">
        <v>263</v>
      </c>
      <c r="D6" s="35" t="s">
        <v>264</v>
      </c>
      <c r="E6" s="35" t="s">
        <v>595</v>
      </c>
      <c r="F6" s="35" t="s">
        <v>465</v>
      </c>
      <c r="G6" s="36" t="s">
        <v>90</v>
      </c>
      <c r="H6" s="36" t="s">
        <v>90</v>
      </c>
      <c r="I6" s="20" t="s">
        <v>90</v>
      </c>
      <c r="J6" s="34"/>
      <c r="K6" s="34" t="str">
        <f>"190,0"</f>
        <v>190,0</v>
      </c>
      <c r="L6" s="34" t="str">
        <f>"131,9930"</f>
        <v>131,9930</v>
      </c>
      <c r="M6" s="35"/>
    </row>
    <row r="7" spans="1:13">
      <c r="B7" s="32" t="s">
        <v>139</v>
      </c>
    </row>
  </sheetData>
  <mergeCells count="12"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K3:K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29B74-D36B-44D9-AF67-C840CE9A6A39}">
  <sheetPr codeName="Лист23">
    <pageSetUpPr fitToPage="1"/>
  </sheetPr>
  <dimension ref="A1:M7"/>
  <sheetViews>
    <sheetView workbookViewId="0">
      <selection sqref="A1:M2"/>
    </sheetView>
  </sheetViews>
  <sheetFormatPr baseColWidth="10" defaultColWidth="9.1640625" defaultRowHeight="13"/>
  <cols>
    <col min="1" max="1" width="7.1640625" style="32" bestFit="1" customWidth="1"/>
    <col min="2" max="2" width="17.83203125" style="32" bestFit="1" customWidth="1"/>
    <col min="3" max="3" width="27.5" style="32" bestFit="1" customWidth="1"/>
    <col min="4" max="4" width="20.83203125" style="32" bestFit="1" customWidth="1"/>
    <col min="5" max="5" width="10.1640625" style="32" bestFit="1" customWidth="1"/>
    <col min="6" max="6" width="31.5" style="32" bestFit="1" customWidth="1"/>
    <col min="7" max="10" width="5.5" style="31" customWidth="1"/>
    <col min="11" max="11" width="10.5" style="31" bestFit="1" customWidth="1"/>
    <col min="12" max="12" width="7.5" style="31" bestFit="1" customWidth="1"/>
    <col min="13" max="13" width="22.5" style="32" customWidth="1"/>
    <col min="14" max="16384" width="9.1640625" style="33"/>
  </cols>
  <sheetData>
    <row r="1" spans="1:13" s="28" customFormat="1" ht="29" customHeight="1">
      <c r="A1" s="70" t="s">
        <v>589</v>
      </c>
      <c r="B1" s="71"/>
      <c r="C1" s="72"/>
      <c r="D1" s="72"/>
      <c r="E1" s="72"/>
      <c r="F1" s="72"/>
      <c r="G1" s="72"/>
      <c r="H1" s="72"/>
      <c r="I1" s="72"/>
      <c r="J1" s="72"/>
      <c r="K1" s="72"/>
      <c r="L1" s="72"/>
      <c r="M1" s="73"/>
    </row>
    <row r="2" spans="1:13" s="28" customFormat="1" ht="62" customHeight="1" thickBot="1">
      <c r="A2" s="74"/>
      <c r="B2" s="75"/>
      <c r="C2" s="76"/>
      <c r="D2" s="76"/>
      <c r="E2" s="76"/>
      <c r="F2" s="76"/>
      <c r="G2" s="76"/>
      <c r="H2" s="76"/>
      <c r="I2" s="76"/>
      <c r="J2" s="76"/>
      <c r="K2" s="76"/>
      <c r="L2" s="76"/>
      <c r="M2" s="77"/>
    </row>
    <row r="3" spans="1:13" s="29" customFormat="1" ht="12.75" customHeight="1">
      <c r="A3" s="78" t="s">
        <v>590</v>
      </c>
      <c r="B3" s="80" t="s">
        <v>0</v>
      </c>
      <c r="C3" s="81" t="s">
        <v>592</v>
      </c>
      <c r="D3" s="81" t="s">
        <v>6</v>
      </c>
      <c r="E3" s="66" t="s">
        <v>593</v>
      </c>
      <c r="F3" s="66" t="s">
        <v>5</v>
      </c>
      <c r="G3" s="66" t="s">
        <v>8</v>
      </c>
      <c r="H3" s="66"/>
      <c r="I3" s="66"/>
      <c r="J3" s="66"/>
      <c r="K3" s="66" t="s">
        <v>301</v>
      </c>
      <c r="L3" s="66" t="s">
        <v>3</v>
      </c>
      <c r="M3" s="68" t="s">
        <v>2</v>
      </c>
    </row>
    <row r="4" spans="1:13" s="29" customFormat="1" ht="21" customHeight="1" thickBot="1">
      <c r="A4" s="79"/>
      <c r="B4" s="48"/>
      <c r="C4" s="67"/>
      <c r="D4" s="67"/>
      <c r="E4" s="67"/>
      <c r="F4" s="67"/>
      <c r="G4" s="30">
        <v>1</v>
      </c>
      <c r="H4" s="30">
        <v>2</v>
      </c>
      <c r="I4" s="30">
        <v>3</v>
      </c>
      <c r="J4" s="30" t="s">
        <v>4</v>
      </c>
      <c r="K4" s="67"/>
      <c r="L4" s="67"/>
      <c r="M4" s="69"/>
    </row>
    <row r="5" spans="1:13" ht="16">
      <c r="A5" s="54" t="s">
        <v>22</v>
      </c>
      <c r="B5" s="54"/>
      <c r="C5" s="54"/>
      <c r="D5" s="54"/>
      <c r="E5" s="54"/>
      <c r="F5" s="54"/>
      <c r="G5" s="54"/>
      <c r="H5" s="54"/>
      <c r="I5" s="54"/>
      <c r="J5" s="54"/>
    </row>
    <row r="6" spans="1:13">
      <c r="A6" s="34" t="s">
        <v>138</v>
      </c>
      <c r="B6" s="35" t="s">
        <v>522</v>
      </c>
      <c r="C6" s="35" t="s">
        <v>523</v>
      </c>
      <c r="D6" s="35" t="s">
        <v>524</v>
      </c>
      <c r="E6" s="35" t="s">
        <v>598</v>
      </c>
      <c r="F6" s="35" t="s">
        <v>166</v>
      </c>
      <c r="G6" s="20" t="s">
        <v>144</v>
      </c>
      <c r="H6" s="20" t="s">
        <v>26</v>
      </c>
      <c r="I6" s="36" t="s">
        <v>28</v>
      </c>
      <c r="J6" s="34"/>
      <c r="K6" s="34" t="str">
        <f>"80,0"</f>
        <v>80,0</v>
      </c>
      <c r="L6" s="34" t="str">
        <f>"77,3120"</f>
        <v>77,3120</v>
      </c>
      <c r="M6" s="35" t="s">
        <v>525</v>
      </c>
    </row>
    <row r="7" spans="1:13">
      <c r="B7" s="32" t="s">
        <v>139</v>
      </c>
    </row>
  </sheetData>
  <mergeCells count="12"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K3:K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73FAD-A1D1-43A0-A81B-CF9AB3C51861}">
  <sheetPr codeName="Лист9"/>
  <dimension ref="A1:M50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8.16406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34.8320312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21.1640625" style="5" bestFit="1" customWidth="1"/>
    <col min="14" max="16384" width="9.1640625" style="3"/>
  </cols>
  <sheetData>
    <row r="1" spans="1:13" s="2" customFormat="1" ht="29" customHeight="1">
      <c r="A1" s="55" t="s">
        <v>540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590</v>
      </c>
      <c r="B3" s="47" t="s">
        <v>0</v>
      </c>
      <c r="C3" s="65" t="s">
        <v>592</v>
      </c>
      <c r="D3" s="65" t="s">
        <v>6</v>
      </c>
      <c r="E3" s="49" t="s">
        <v>593</v>
      </c>
      <c r="F3" s="49" t="s">
        <v>5</v>
      </c>
      <c r="G3" s="49" t="s">
        <v>9</v>
      </c>
      <c r="H3" s="49"/>
      <c r="I3" s="49"/>
      <c r="J3" s="49"/>
      <c r="K3" s="49" t="s">
        <v>301</v>
      </c>
      <c r="L3" s="49" t="s">
        <v>3</v>
      </c>
      <c r="M3" s="51" t="s">
        <v>2</v>
      </c>
    </row>
    <row r="4" spans="1:13" s="1" customFormat="1" ht="21" customHeight="1" thickBot="1">
      <c r="A4" s="64"/>
      <c r="B4" s="4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2"/>
    </row>
    <row r="5" spans="1:13" ht="16">
      <c r="A5" s="53" t="s">
        <v>10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8" t="s">
        <v>138</v>
      </c>
      <c r="B6" s="7" t="s">
        <v>413</v>
      </c>
      <c r="C6" s="7" t="s">
        <v>414</v>
      </c>
      <c r="D6" s="7" t="s">
        <v>415</v>
      </c>
      <c r="E6" s="7" t="s">
        <v>594</v>
      </c>
      <c r="F6" s="7" t="s">
        <v>471</v>
      </c>
      <c r="G6" s="20" t="s">
        <v>217</v>
      </c>
      <c r="H6" s="20" t="s">
        <v>20</v>
      </c>
      <c r="I6" s="20" t="s">
        <v>26</v>
      </c>
      <c r="J6" s="8"/>
      <c r="K6" s="8" t="str">
        <f>"80,0"</f>
        <v>80,0</v>
      </c>
      <c r="L6" s="8" t="str">
        <f>"114,3600"</f>
        <v>114,3600</v>
      </c>
      <c r="M6" s="7" t="s">
        <v>491</v>
      </c>
    </row>
    <row r="7" spans="1:13">
      <c r="B7" s="5" t="s">
        <v>139</v>
      </c>
    </row>
    <row r="8" spans="1:13" ht="16">
      <c r="A8" s="45" t="s">
        <v>22</v>
      </c>
      <c r="B8" s="45"/>
      <c r="C8" s="46"/>
      <c r="D8" s="46"/>
      <c r="E8" s="46"/>
      <c r="F8" s="46"/>
      <c r="G8" s="46"/>
      <c r="H8" s="46"/>
      <c r="I8" s="46"/>
      <c r="J8" s="46"/>
    </row>
    <row r="9" spans="1:13">
      <c r="A9" s="8" t="s">
        <v>138</v>
      </c>
      <c r="B9" s="7" t="s">
        <v>416</v>
      </c>
      <c r="C9" s="7" t="s">
        <v>417</v>
      </c>
      <c r="D9" s="7" t="s">
        <v>418</v>
      </c>
      <c r="E9" s="7" t="s">
        <v>595</v>
      </c>
      <c r="F9" s="7" t="s">
        <v>465</v>
      </c>
      <c r="G9" s="20" t="s">
        <v>68</v>
      </c>
      <c r="H9" s="20" t="s">
        <v>69</v>
      </c>
      <c r="I9" s="21" t="s">
        <v>70</v>
      </c>
      <c r="J9" s="8"/>
      <c r="K9" s="8" t="str">
        <f>"130,0"</f>
        <v>130,0</v>
      </c>
      <c r="L9" s="8" t="str">
        <f>"167,2580"</f>
        <v>167,2580</v>
      </c>
      <c r="M9" s="7"/>
    </row>
    <row r="10" spans="1:13">
      <c r="B10" s="5" t="s">
        <v>139</v>
      </c>
    </row>
    <row r="11" spans="1:13" ht="16">
      <c r="A11" s="45" t="s">
        <v>35</v>
      </c>
      <c r="B11" s="45"/>
      <c r="C11" s="46"/>
      <c r="D11" s="46"/>
      <c r="E11" s="46"/>
      <c r="F11" s="46"/>
      <c r="G11" s="46"/>
      <c r="H11" s="46"/>
      <c r="I11" s="46"/>
      <c r="J11" s="46"/>
    </row>
    <row r="12" spans="1:13">
      <c r="A12" s="8" t="s">
        <v>138</v>
      </c>
      <c r="B12" s="7" t="s">
        <v>419</v>
      </c>
      <c r="C12" s="7" t="s">
        <v>420</v>
      </c>
      <c r="D12" s="7" t="s">
        <v>421</v>
      </c>
      <c r="E12" s="7" t="s">
        <v>595</v>
      </c>
      <c r="F12" s="7" t="s">
        <v>471</v>
      </c>
      <c r="G12" s="20" t="s">
        <v>68</v>
      </c>
      <c r="H12" s="20" t="s">
        <v>234</v>
      </c>
      <c r="I12" s="20" t="s">
        <v>70</v>
      </c>
      <c r="J12" s="8"/>
      <c r="K12" s="8" t="str">
        <f>"135,0"</f>
        <v>135,0</v>
      </c>
      <c r="L12" s="8" t="str">
        <f>"162,4860"</f>
        <v>162,4860</v>
      </c>
      <c r="M12" s="7" t="s">
        <v>482</v>
      </c>
    </row>
    <row r="13" spans="1:13">
      <c r="B13" s="5" t="s">
        <v>139</v>
      </c>
    </row>
    <row r="14" spans="1:13" ht="16">
      <c r="A14" s="45" t="s">
        <v>149</v>
      </c>
      <c r="B14" s="45"/>
      <c r="C14" s="46"/>
      <c r="D14" s="46"/>
      <c r="E14" s="46"/>
      <c r="F14" s="46"/>
      <c r="G14" s="46"/>
      <c r="H14" s="46"/>
      <c r="I14" s="46"/>
      <c r="J14" s="46"/>
    </row>
    <row r="15" spans="1:13">
      <c r="A15" s="10" t="s">
        <v>138</v>
      </c>
      <c r="B15" s="9" t="s">
        <v>422</v>
      </c>
      <c r="C15" s="9" t="s">
        <v>423</v>
      </c>
      <c r="D15" s="9" t="s">
        <v>424</v>
      </c>
      <c r="E15" s="9" t="s">
        <v>595</v>
      </c>
      <c r="F15" s="9" t="s">
        <v>465</v>
      </c>
      <c r="G15" s="22" t="s">
        <v>317</v>
      </c>
      <c r="H15" s="22" t="s">
        <v>43</v>
      </c>
      <c r="I15" s="22" t="s">
        <v>218</v>
      </c>
      <c r="J15" s="10"/>
      <c r="K15" s="10" t="str">
        <f>"122,5"</f>
        <v>122,5</v>
      </c>
      <c r="L15" s="10" t="str">
        <f>"142,5410"</f>
        <v>142,5410</v>
      </c>
      <c r="M15" s="9"/>
    </row>
    <row r="16" spans="1:13">
      <c r="A16" s="12" t="s">
        <v>140</v>
      </c>
      <c r="B16" s="11" t="s">
        <v>425</v>
      </c>
      <c r="C16" s="11" t="s">
        <v>426</v>
      </c>
      <c r="D16" s="11" t="s">
        <v>427</v>
      </c>
      <c r="E16" s="11" t="s">
        <v>595</v>
      </c>
      <c r="F16" s="11" t="s">
        <v>465</v>
      </c>
      <c r="G16" s="25" t="s">
        <v>32</v>
      </c>
      <c r="H16" s="25" t="s">
        <v>89</v>
      </c>
      <c r="I16" s="24" t="s">
        <v>218</v>
      </c>
      <c r="J16" s="12"/>
      <c r="K16" s="12" t="str">
        <f>"115,0"</f>
        <v>115,0</v>
      </c>
      <c r="L16" s="12" t="str">
        <f>"129,5590"</f>
        <v>129,5590</v>
      </c>
      <c r="M16" s="11" t="s">
        <v>490</v>
      </c>
    </row>
    <row r="17" spans="1:13">
      <c r="B17" s="5" t="s">
        <v>139</v>
      </c>
    </row>
    <row r="18" spans="1:13" ht="16">
      <c r="A18" s="45" t="s">
        <v>158</v>
      </c>
      <c r="B18" s="45"/>
      <c r="C18" s="46"/>
      <c r="D18" s="46"/>
      <c r="E18" s="46"/>
      <c r="F18" s="46"/>
      <c r="G18" s="46"/>
      <c r="H18" s="46"/>
      <c r="I18" s="46"/>
      <c r="J18" s="46"/>
    </row>
    <row r="19" spans="1:13">
      <c r="A19" s="8" t="s">
        <v>138</v>
      </c>
      <c r="B19" s="7" t="s">
        <v>428</v>
      </c>
      <c r="C19" s="7" t="s">
        <v>429</v>
      </c>
      <c r="D19" s="7" t="s">
        <v>430</v>
      </c>
      <c r="E19" s="7" t="s">
        <v>595</v>
      </c>
      <c r="F19" s="7" t="s">
        <v>13</v>
      </c>
      <c r="G19" s="20" t="s">
        <v>68</v>
      </c>
      <c r="H19" s="20" t="s">
        <v>70</v>
      </c>
      <c r="I19" s="20" t="s">
        <v>94</v>
      </c>
      <c r="J19" s="8"/>
      <c r="K19" s="8" t="str">
        <f>"140,0"</f>
        <v>140,0</v>
      </c>
      <c r="L19" s="8" t="str">
        <f>"143,0380"</f>
        <v>143,0380</v>
      </c>
      <c r="M19" s="7"/>
    </row>
    <row r="20" spans="1:13">
      <c r="B20" s="5" t="s">
        <v>139</v>
      </c>
    </row>
    <row r="21" spans="1:13" ht="16">
      <c r="A21" s="45" t="s">
        <v>158</v>
      </c>
      <c r="B21" s="45"/>
      <c r="C21" s="46"/>
      <c r="D21" s="46"/>
      <c r="E21" s="46"/>
      <c r="F21" s="46"/>
      <c r="G21" s="46"/>
      <c r="H21" s="46"/>
      <c r="I21" s="46"/>
      <c r="J21" s="46"/>
    </row>
    <row r="22" spans="1:13">
      <c r="A22" s="8" t="s">
        <v>138</v>
      </c>
      <c r="B22" s="7" t="s">
        <v>431</v>
      </c>
      <c r="C22" s="7" t="s">
        <v>579</v>
      </c>
      <c r="D22" s="7" t="s">
        <v>432</v>
      </c>
      <c r="E22" s="7" t="s">
        <v>600</v>
      </c>
      <c r="F22" s="7" t="s">
        <v>465</v>
      </c>
      <c r="G22" s="20" t="s">
        <v>27</v>
      </c>
      <c r="H22" s="20" t="s">
        <v>31</v>
      </c>
      <c r="I22" s="20" t="s">
        <v>32</v>
      </c>
      <c r="J22" s="8"/>
      <c r="K22" s="8" t="str">
        <f>"100,0"</f>
        <v>100,0</v>
      </c>
      <c r="L22" s="8" t="str">
        <f>"95,7392"</f>
        <v>95,7392</v>
      </c>
      <c r="M22" s="7" t="s">
        <v>374</v>
      </c>
    </row>
    <row r="23" spans="1:13">
      <c r="B23" s="5" t="s">
        <v>139</v>
      </c>
    </row>
    <row r="24" spans="1:13" ht="16">
      <c r="A24" s="45" t="s">
        <v>173</v>
      </c>
      <c r="B24" s="45"/>
      <c r="C24" s="46"/>
      <c r="D24" s="46"/>
      <c r="E24" s="46"/>
      <c r="F24" s="46"/>
      <c r="G24" s="46"/>
      <c r="H24" s="46"/>
      <c r="I24" s="46"/>
      <c r="J24" s="46"/>
    </row>
    <row r="25" spans="1:13">
      <c r="A25" s="8" t="s">
        <v>138</v>
      </c>
      <c r="B25" s="7" t="s">
        <v>433</v>
      </c>
      <c r="C25" s="7" t="s">
        <v>580</v>
      </c>
      <c r="D25" s="7" t="s">
        <v>434</v>
      </c>
      <c r="E25" s="7" t="s">
        <v>597</v>
      </c>
      <c r="F25" s="7" t="s">
        <v>471</v>
      </c>
      <c r="G25" s="20" t="s">
        <v>380</v>
      </c>
      <c r="H25" s="21" t="s">
        <v>100</v>
      </c>
      <c r="I25" s="21" t="s">
        <v>235</v>
      </c>
      <c r="J25" s="8"/>
      <c r="K25" s="8" t="str">
        <f>"182,5"</f>
        <v>182,5</v>
      </c>
      <c r="L25" s="8" t="str">
        <f>"132,0388"</f>
        <v>132,0388</v>
      </c>
      <c r="M25" s="7" t="s">
        <v>482</v>
      </c>
    </row>
    <row r="26" spans="1:13">
      <c r="B26" s="5" t="s">
        <v>139</v>
      </c>
    </row>
    <row r="27" spans="1:13" ht="16">
      <c r="A27" s="45" t="s">
        <v>52</v>
      </c>
      <c r="B27" s="45"/>
      <c r="C27" s="46"/>
      <c r="D27" s="46"/>
      <c r="E27" s="46"/>
      <c r="F27" s="46"/>
      <c r="G27" s="46"/>
      <c r="H27" s="46"/>
      <c r="I27" s="46"/>
      <c r="J27" s="46"/>
    </row>
    <row r="28" spans="1:13">
      <c r="A28" s="10" t="s">
        <v>138</v>
      </c>
      <c r="B28" s="9" t="s">
        <v>183</v>
      </c>
      <c r="C28" s="9" t="s">
        <v>184</v>
      </c>
      <c r="D28" s="9" t="s">
        <v>185</v>
      </c>
      <c r="E28" s="9" t="s">
        <v>595</v>
      </c>
      <c r="F28" s="9" t="s">
        <v>162</v>
      </c>
      <c r="G28" s="22" t="s">
        <v>188</v>
      </c>
      <c r="H28" s="22" t="s">
        <v>83</v>
      </c>
      <c r="I28" s="22" t="s">
        <v>115</v>
      </c>
      <c r="J28" s="10"/>
      <c r="K28" s="10" t="str">
        <f>"280,0"</f>
        <v>280,0</v>
      </c>
      <c r="L28" s="10" t="str">
        <f>"180,2080"</f>
        <v>180,2080</v>
      </c>
      <c r="M28" s="9"/>
    </row>
    <row r="29" spans="1:13">
      <c r="A29" s="12" t="s">
        <v>140</v>
      </c>
      <c r="B29" s="11" t="s">
        <v>236</v>
      </c>
      <c r="C29" s="11" t="s">
        <v>237</v>
      </c>
      <c r="D29" s="11" t="s">
        <v>238</v>
      </c>
      <c r="E29" s="11" t="s">
        <v>595</v>
      </c>
      <c r="F29" s="11" t="s">
        <v>471</v>
      </c>
      <c r="G29" s="25" t="s">
        <v>58</v>
      </c>
      <c r="H29" s="24" t="s">
        <v>63</v>
      </c>
      <c r="I29" s="24" t="s">
        <v>63</v>
      </c>
      <c r="J29" s="12"/>
      <c r="K29" s="12" t="str">
        <f>"230,0"</f>
        <v>230,0</v>
      </c>
      <c r="L29" s="12" t="str">
        <f>"151,0180"</f>
        <v>151,0180</v>
      </c>
      <c r="M29" s="11"/>
    </row>
    <row r="30" spans="1:13">
      <c r="B30" s="5" t="s">
        <v>139</v>
      </c>
    </row>
    <row r="31" spans="1:13" ht="16">
      <c r="A31" s="45" t="s">
        <v>74</v>
      </c>
      <c r="B31" s="45"/>
      <c r="C31" s="46"/>
      <c r="D31" s="46"/>
      <c r="E31" s="46"/>
      <c r="F31" s="46"/>
      <c r="G31" s="46"/>
      <c r="H31" s="46"/>
      <c r="I31" s="46"/>
      <c r="J31" s="46"/>
    </row>
    <row r="32" spans="1:13">
      <c r="A32" s="8" t="s">
        <v>138</v>
      </c>
      <c r="B32" s="7" t="s">
        <v>195</v>
      </c>
      <c r="C32" s="7" t="s">
        <v>196</v>
      </c>
      <c r="D32" s="7" t="s">
        <v>197</v>
      </c>
      <c r="E32" s="7" t="s">
        <v>595</v>
      </c>
      <c r="F32" s="7" t="s">
        <v>465</v>
      </c>
      <c r="G32" s="20" t="s">
        <v>99</v>
      </c>
      <c r="H32" s="20" t="s">
        <v>115</v>
      </c>
      <c r="I32" s="20" t="s">
        <v>198</v>
      </c>
      <c r="J32" s="8"/>
      <c r="K32" s="8" t="str">
        <f>"285,0"</f>
        <v>285,0</v>
      </c>
      <c r="L32" s="8" t="str">
        <f>"174,5910"</f>
        <v>174,5910</v>
      </c>
      <c r="M32" s="7"/>
    </row>
    <row r="33" spans="1:13">
      <c r="B33" s="5" t="s">
        <v>139</v>
      </c>
    </row>
    <row r="34" spans="1:13" ht="16">
      <c r="A34" s="45" t="s">
        <v>96</v>
      </c>
      <c r="B34" s="45"/>
      <c r="C34" s="46"/>
      <c r="D34" s="46"/>
      <c r="E34" s="46"/>
      <c r="F34" s="46"/>
      <c r="G34" s="46"/>
      <c r="H34" s="46"/>
      <c r="I34" s="46"/>
      <c r="J34" s="46"/>
    </row>
    <row r="35" spans="1:13">
      <c r="A35" s="8" t="s">
        <v>138</v>
      </c>
      <c r="B35" s="7" t="s">
        <v>435</v>
      </c>
      <c r="C35" s="7" t="s">
        <v>436</v>
      </c>
      <c r="D35" s="7" t="s">
        <v>437</v>
      </c>
      <c r="E35" s="7" t="s">
        <v>595</v>
      </c>
      <c r="F35" s="7" t="s">
        <v>465</v>
      </c>
      <c r="G35" s="20" t="s">
        <v>62</v>
      </c>
      <c r="H35" s="20" t="s">
        <v>438</v>
      </c>
      <c r="I35" s="21" t="s">
        <v>108</v>
      </c>
      <c r="J35" s="8"/>
      <c r="K35" s="8" t="str">
        <f>"245,0"</f>
        <v>245,0</v>
      </c>
      <c r="L35" s="8" t="str">
        <f>"148,4700"</f>
        <v>148,4700</v>
      </c>
      <c r="M35" s="7" t="s">
        <v>489</v>
      </c>
    </row>
    <row r="36" spans="1:13">
      <c r="B36" s="5" t="s">
        <v>139</v>
      </c>
    </row>
    <row r="37" spans="1:13" ht="16">
      <c r="A37" s="45" t="s">
        <v>109</v>
      </c>
      <c r="B37" s="45"/>
      <c r="C37" s="46"/>
      <c r="D37" s="46"/>
      <c r="E37" s="46"/>
      <c r="F37" s="46"/>
      <c r="G37" s="46"/>
      <c r="H37" s="46"/>
      <c r="I37" s="46"/>
      <c r="J37" s="46"/>
    </row>
    <row r="38" spans="1:13">
      <c r="A38" s="10" t="s">
        <v>138</v>
      </c>
      <c r="B38" s="9" t="s">
        <v>439</v>
      </c>
      <c r="C38" s="9" t="s">
        <v>440</v>
      </c>
      <c r="D38" s="9" t="s">
        <v>441</v>
      </c>
      <c r="E38" s="9" t="s">
        <v>595</v>
      </c>
      <c r="F38" s="9" t="s">
        <v>465</v>
      </c>
      <c r="G38" s="22" t="s">
        <v>198</v>
      </c>
      <c r="H38" s="22" t="s">
        <v>442</v>
      </c>
      <c r="I38" s="22" t="s">
        <v>226</v>
      </c>
      <c r="J38" s="10"/>
      <c r="K38" s="10" t="str">
        <f>"315,0"</f>
        <v>315,0</v>
      </c>
      <c r="L38" s="10" t="str">
        <f>"180,0855"</f>
        <v>180,0855</v>
      </c>
      <c r="M38" s="9"/>
    </row>
    <row r="39" spans="1:13">
      <c r="A39" s="12" t="s">
        <v>138</v>
      </c>
      <c r="B39" s="11" t="s">
        <v>439</v>
      </c>
      <c r="C39" s="11" t="s">
        <v>581</v>
      </c>
      <c r="D39" s="11" t="s">
        <v>441</v>
      </c>
      <c r="E39" s="11" t="s">
        <v>598</v>
      </c>
      <c r="F39" s="11" t="s">
        <v>465</v>
      </c>
      <c r="G39" s="25" t="s">
        <v>198</v>
      </c>
      <c r="H39" s="25" t="s">
        <v>442</v>
      </c>
      <c r="I39" s="25" t="s">
        <v>226</v>
      </c>
      <c r="J39" s="12"/>
      <c r="K39" s="12" t="str">
        <f>"315,0"</f>
        <v>315,0</v>
      </c>
      <c r="L39" s="12" t="str">
        <f>"182,6067"</f>
        <v>182,6067</v>
      </c>
      <c r="M39" s="11"/>
    </row>
    <row r="40" spans="1:13">
      <c r="B40" s="5" t="s">
        <v>139</v>
      </c>
    </row>
    <row r="41" spans="1:13">
      <c r="B41" s="5" t="s">
        <v>139</v>
      </c>
    </row>
    <row r="42" spans="1:13">
      <c r="B42" s="5" t="s">
        <v>139</v>
      </c>
    </row>
    <row r="43" spans="1:13" ht="18">
      <c r="B43" s="15" t="s">
        <v>117</v>
      </c>
      <c r="C43" s="15"/>
    </row>
    <row r="44" spans="1:13" ht="16">
      <c r="B44" s="16" t="s">
        <v>118</v>
      </c>
      <c r="C44" s="16"/>
      <c r="F44" s="3"/>
    </row>
    <row r="45" spans="1:13" ht="14">
      <c r="B45" s="17"/>
      <c r="C45" s="18" t="s">
        <v>124</v>
      </c>
      <c r="F45" s="3"/>
    </row>
    <row r="46" spans="1:13" ht="14">
      <c r="B46" s="19" t="s">
        <v>119</v>
      </c>
      <c r="C46" s="19" t="s">
        <v>120</v>
      </c>
      <c r="D46" s="19" t="s">
        <v>588</v>
      </c>
      <c r="E46" s="19" t="s">
        <v>297</v>
      </c>
      <c r="F46" s="19" t="s">
        <v>122</v>
      </c>
    </row>
    <row r="47" spans="1:13">
      <c r="B47" s="5" t="s">
        <v>416</v>
      </c>
      <c r="C47" s="5" t="s">
        <v>124</v>
      </c>
      <c r="D47" s="6" t="s">
        <v>125</v>
      </c>
      <c r="E47" s="6" t="s">
        <v>69</v>
      </c>
      <c r="F47" s="6" t="s">
        <v>443</v>
      </c>
    </row>
    <row r="48" spans="1:13">
      <c r="B48" s="5" t="s">
        <v>419</v>
      </c>
      <c r="C48" s="5" t="s">
        <v>124</v>
      </c>
      <c r="D48" s="6" t="s">
        <v>126</v>
      </c>
      <c r="E48" s="6" t="s">
        <v>70</v>
      </c>
      <c r="F48" s="6" t="s">
        <v>444</v>
      </c>
    </row>
    <row r="49" spans="2:6">
      <c r="B49" s="5" t="s">
        <v>428</v>
      </c>
      <c r="C49" s="5" t="s">
        <v>124</v>
      </c>
      <c r="D49" s="6" t="s">
        <v>205</v>
      </c>
      <c r="E49" s="6" t="s">
        <v>94</v>
      </c>
      <c r="F49" s="6" t="s">
        <v>445</v>
      </c>
    </row>
    <row r="50" spans="2:6">
      <c r="B50" s="5" t="s">
        <v>139</v>
      </c>
    </row>
  </sheetData>
  <mergeCells count="22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27:J27"/>
    <mergeCell ref="A31:J31"/>
    <mergeCell ref="A34:J34"/>
    <mergeCell ref="A37:J37"/>
    <mergeCell ref="B3:B4"/>
    <mergeCell ref="A8:J8"/>
    <mergeCell ref="A11:J11"/>
    <mergeCell ref="A14:J14"/>
    <mergeCell ref="A18:J18"/>
    <mergeCell ref="A21:J21"/>
    <mergeCell ref="A24:J2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5554A-1F05-405C-B136-53D613BC90EE}">
  <sheetPr codeName="Лист10"/>
  <dimension ref="A1:M18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8.66406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38.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9" style="5" customWidth="1"/>
    <col min="14" max="16384" width="9.1640625" style="3"/>
  </cols>
  <sheetData>
    <row r="1" spans="1:13" s="2" customFormat="1" ht="29" customHeight="1">
      <c r="A1" s="55" t="s">
        <v>541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590</v>
      </c>
      <c r="B3" s="47" t="s">
        <v>0</v>
      </c>
      <c r="C3" s="65" t="s">
        <v>592</v>
      </c>
      <c r="D3" s="65" t="s">
        <v>6</v>
      </c>
      <c r="E3" s="49" t="s">
        <v>593</v>
      </c>
      <c r="F3" s="49" t="s">
        <v>5</v>
      </c>
      <c r="G3" s="49" t="s">
        <v>9</v>
      </c>
      <c r="H3" s="49"/>
      <c r="I3" s="49"/>
      <c r="J3" s="49"/>
      <c r="K3" s="49" t="s">
        <v>301</v>
      </c>
      <c r="L3" s="49" t="s">
        <v>3</v>
      </c>
      <c r="M3" s="51" t="s">
        <v>2</v>
      </c>
    </row>
    <row r="4" spans="1:13" s="1" customFormat="1" ht="21" customHeight="1" thickBot="1">
      <c r="A4" s="64"/>
      <c r="B4" s="4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2"/>
    </row>
    <row r="5" spans="1:13" ht="16">
      <c r="A5" s="53" t="s">
        <v>35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8" t="s">
        <v>138</v>
      </c>
      <c r="B6" s="7" t="s">
        <v>397</v>
      </c>
      <c r="C6" s="7" t="s">
        <v>398</v>
      </c>
      <c r="D6" s="7" t="s">
        <v>399</v>
      </c>
      <c r="E6" s="7" t="s">
        <v>594</v>
      </c>
      <c r="F6" s="7" t="s">
        <v>172</v>
      </c>
      <c r="G6" s="20" t="s">
        <v>41</v>
      </c>
      <c r="H6" s="20" t="s">
        <v>29</v>
      </c>
      <c r="I6" s="20" t="s">
        <v>30</v>
      </c>
      <c r="J6" s="8"/>
      <c r="K6" s="8" t="str">
        <f>"60,0"</f>
        <v>60,0</v>
      </c>
      <c r="L6" s="8" t="str">
        <f>"73,4880"</f>
        <v>73,4880</v>
      </c>
      <c r="M6" s="7"/>
    </row>
    <row r="7" spans="1:13">
      <c r="B7" s="5" t="s">
        <v>139</v>
      </c>
    </row>
    <row r="8" spans="1:13" ht="16">
      <c r="A8" s="45" t="s">
        <v>173</v>
      </c>
      <c r="B8" s="45"/>
      <c r="C8" s="46"/>
      <c r="D8" s="46"/>
      <c r="E8" s="46"/>
      <c r="F8" s="46"/>
      <c r="G8" s="46"/>
      <c r="H8" s="46"/>
      <c r="I8" s="46"/>
      <c r="J8" s="46"/>
    </row>
    <row r="9" spans="1:13">
      <c r="A9" s="10" t="s">
        <v>138</v>
      </c>
      <c r="B9" s="9" t="s">
        <v>400</v>
      </c>
      <c r="C9" s="9" t="s">
        <v>582</v>
      </c>
      <c r="D9" s="9" t="s">
        <v>401</v>
      </c>
      <c r="E9" s="9" t="s">
        <v>596</v>
      </c>
      <c r="F9" s="9" t="s">
        <v>166</v>
      </c>
      <c r="G9" s="22" t="s">
        <v>28</v>
      </c>
      <c r="H9" s="22" t="s">
        <v>33</v>
      </c>
      <c r="I9" s="22" t="s">
        <v>89</v>
      </c>
      <c r="J9" s="10"/>
      <c r="K9" s="10" t="str">
        <f>"115,0"</f>
        <v>115,0</v>
      </c>
      <c r="L9" s="10" t="str">
        <f>"121,6916"</f>
        <v>121,6916</v>
      </c>
      <c r="M9" s="9" t="s">
        <v>488</v>
      </c>
    </row>
    <row r="10" spans="1:13">
      <c r="A10" s="12" t="s">
        <v>138</v>
      </c>
      <c r="B10" s="11" t="s">
        <v>402</v>
      </c>
      <c r="C10" s="11" t="s">
        <v>583</v>
      </c>
      <c r="D10" s="11" t="s">
        <v>403</v>
      </c>
      <c r="E10" s="11" t="s">
        <v>599</v>
      </c>
      <c r="F10" s="11" t="s">
        <v>166</v>
      </c>
      <c r="G10" s="25" t="s">
        <v>317</v>
      </c>
      <c r="H10" s="25" t="s">
        <v>68</v>
      </c>
      <c r="I10" s="24" t="s">
        <v>69</v>
      </c>
      <c r="J10" s="12"/>
      <c r="K10" s="12" t="str">
        <f>"125,0"</f>
        <v>125,0</v>
      </c>
      <c r="L10" s="12" t="str">
        <f>"154,7807"</f>
        <v>154,7807</v>
      </c>
      <c r="M10" s="11"/>
    </row>
    <row r="11" spans="1:13">
      <c r="B11" s="5" t="s">
        <v>139</v>
      </c>
    </row>
    <row r="12" spans="1:13" ht="16">
      <c r="A12" s="45" t="s">
        <v>74</v>
      </c>
      <c r="B12" s="45"/>
      <c r="C12" s="46"/>
      <c r="D12" s="46"/>
      <c r="E12" s="46"/>
      <c r="F12" s="46"/>
      <c r="G12" s="46"/>
      <c r="H12" s="46"/>
      <c r="I12" s="46"/>
      <c r="J12" s="46"/>
    </row>
    <row r="13" spans="1:13">
      <c r="A13" s="10" t="s">
        <v>138</v>
      </c>
      <c r="B13" s="9" t="s">
        <v>404</v>
      </c>
      <c r="C13" s="9" t="s">
        <v>584</v>
      </c>
      <c r="D13" s="9" t="s">
        <v>405</v>
      </c>
      <c r="E13" s="9" t="s">
        <v>601</v>
      </c>
      <c r="F13" s="9" t="s">
        <v>166</v>
      </c>
      <c r="G13" s="22" t="s">
        <v>88</v>
      </c>
      <c r="H13" s="23" t="s">
        <v>91</v>
      </c>
      <c r="I13" s="22" t="s">
        <v>91</v>
      </c>
      <c r="J13" s="10"/>
      <c r="K13" s="10" t="str">
        <f>"200,0"</f>
        <v>200,0</v>
      </c>
      <c r="L13" s="10" t="str">
        <f>"179,2392"</f>
        <v>179,2392</v>
      </c>
      <c r="M13" s="9"/>
    </row>
    <row r="14" spans="1:13">
      <c r="A14" s="12" t="s">
        <v>140</v>
      </c>
      <c r="B14" s="11" t="s">
        <v>406</v>
      </c>
      <c r="C14" s="11" t="s">
        <v>585</v>
      </c>
      <c r="D14" s="11" t="s">
        <v>407</v>
      </c>
      <c r="E14" s="11" t="s">
        <v>601</v>
      </c>
      <c r="F14" s="11" t="s">
        <v>166</v>
      </c>
      <c r="G14" s="25" t="s">
        <v>94</v>
      </c>
      <c r="H14" s="25" t="s">
        <v>59</v>
      </c>
      <c r="I14" s="24" t="s">
        <v>81</v>
      </c>
      <c r="J14" s="12"/>
      <c r="K14" s="12" t="str">
        <f>"155,0"</f>
        <v>155,0</v>
      </c>
      <c r="L14" s="12" t="str">
        <f>"151,0994"</f>
        <v>151,0994</v>
      </c>
      <c r="M14" s="11"/>
    </row>
    <row r="15" spans="1:13">
      <c r="B15" s="5" t="s">
        <v>139</v>
      </c>
    </row>
    <row r="16" spans="1:13" ht="16">
      <c r="A16" s="45" t="s">
        <v>377</v>
      </c>
      <c r="B16" s="45"/>
      <c r="C16" s="46"/>
      <c r="D16" s="46"/>
      <c r="E16" s="46"/>
      <c r="F16" s="46"/>
      <c r="G16" s="46"/>
      <c r="H16" s="46"/>
      <c r="I16" s="46"/>
      <c r="J16" s="46"/>
    </row>
    <row r="17" spans="1:13">
      <c r="A17" s="8" t="s">
        <v>138</v>
      </c>
      <c r="B17" s="7" t="s">
        <v>408</v>
      </c>
      <c r="C17" s="7" t="s">
        <v>409</v>
      </c>
      <c r="D17" s="7" t="s">
        <v>410</v>
      </c>
      <c r="E17" s="7" t="s">
        <v>595</v>
      </c>
      <c r="F17" s="7" t="s">
        <v>172</v>
      </c>
      <c r="G17" s="20" t="s">
        <v>103</v>
      </c>
      <c r="H17" s="20" t="s">
        <v>411</v>
      </c>
      <c r="I17" s="20" t="s">
        <v>412</v>
      </c>
      <c r="J17" s="8"/>
      <c r="K17" s="8" t="str">
        <f>"380,0"</f>
        <v>380,0</v>
      </c>
      <c r="L17" s="8" t="str">
        <f>"215,1940"</f>
        <v>215,1940</v>
      </c>
      <c r="M17" s="7"/>
    </row>
    <row r="18" spans="1:13">
      <c r="B18" s="5" t="s">
        <v>139</v>
      </c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2:J12"/>
    <mergeCell ref="A16:J16"/>
    <mergeCell ref="B3:B4"/>
    <mergeCell ref="K3:K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E2BCB-20BC-4F82-9AF7-5A535629BAD2}">
  <sheetPr codeName="Лист8"/>
  <dimension ref="A1:M7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8.5" style="5" bestFit="1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29.164062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21.6640625" style="5" customWidth="1"/>
    <col min="14" max="16384" width="9.1640625" style="3"/>
  </cols>
  <sheetData>
    <row r="1" spans="1:13" s="2" customFormat="1" ht="29" customHeight="1">
      <c r="A1" s="55" t="s">
        <v>542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590</v>
      </c>
      <c r="B3" s="47" t="s">
        <v>0</v>
      </c>
      <c r="C3" s="65" t="s">
        <v>592</v>
      </c>
      <c r="D3" s="65" t="s">
        <v>6</v>
      </c>
      <c r="E3" s="49" t="s">
        <v>593</v>
      </c>
      <c r="F3" s="49" t="s">
        <v>5</v>
      </c>
      <c r="G3" s="49" t="s">
        <v>9</v>
      </c>
      <c r="H3" s="49"/>
      <c r="I3" s="49"/>
      <c r="J3" s="49"/>
      <c r="K3" s="49" t="s">
        <v>301</v>
      </c>
      <c r="L3" s="49" t="s">
        <v>3</v>
      </c>
      <c r="M3" s="51" t="s">
        <v>2</v>
      </c>
    </row>
    <row r="4" spans="1:13" s="1" customFormat="1" ht="21" customHeight="1" thickBot="1">
      <c r="A4" s="64"/>
      <c r="B4" s="4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2"/>
    </row>
    <row r="5" spans="1:13" ht="16">
      <c r="A5" s="53" t="s">
        <v>173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8" t="s">
        <v>138</v>
      </c>
      <c r="B6" s="7" t="s">
        <v>446</v>
      </c>
      <c r="C6" s="7" t="s">
        <v>447</v>
      </c>
      <c r="D6" s="7" t="s">
        <v>448</v>
      </c>
      <c r="E6" s="7" t="s">
        <v>595</v>
      </c>
      <c r="F6" s="7" t="s">
        <v>449</v>
      </c>
      <c r="G6" s="20" t="s">
        <v>88</v>
      </c>
      <c r="H6" s="20" t="s">
        <v>91</v>
      </c>
      <c r="I6" s="21" t="s">
        <v>56</v>
      </c>
      <c r="J6" s="8"/>
      <c r="K6" s="8" t="str">
        <f>"200,0"</f>
        <v>200,0</v>
      </c>
      <c r="L6" s="8" t="str">
        <f>"148,1200"</f>
        <v>148,1200</v>
      </c>
      <c r="M6" s="7" t="s">
        <v>492</v>
      </c>
    </row>
    <row r="7" spans="1:13">
      <c r="B7" s="5" t="s">
        <v>139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0D70D-66D2-47E9-9743-CD49077487E6}">
  <sheetPr codeName="Лист21"/>
  <dimension ref="A1:M29"/>
  <sheetViews>
    <sheetView workbookViewId="0">
      <selection activeCell="E29" sqref="E29"/>
    </sheetView>
  </sheetViews>
  <sheetFormatPr baseColWidth="10" defaultColWidth="9.1640625" defaultRowHeight="13"/>
  <cols>
    <col min="1" max="1" width="7.1640625" style="32" bestFit="1" customWidth="1"/>
    <col min="2" max="2" width="23.5" style="32" customWidth="1"/>
    <col min="3" max="3" width="28.6640625" style="32" bestFit="1" customWidth="1"/>
    <col min="4" max="4" width="20.83203125" style="32" bestFit="1" customWidth="1"/>
    <col min="5" max="5" width="10.1640625" style="32" bestFit="1" customWidth="1"/>
    <col min="6" max="6" width="34.83203125" style="32" bestFit="1" customWidth="1"/>
    <col min="7" max="10" width="5.5" style="31" customWidth="1"/>
    <col min="11" max="11" width="10.5" style="31" bestFit="1" customWidth="1"/>
    <col min="12" max="12" width="7.5" style="31" bestFit="1" customWidth="1"/>
    <col min="13" max="13" width="29.83203125" style="32" bestFit="1" customWidth="1"/>
    <col min="14" max="16384" width="9.1640625" style="33"/>
  </cols>
  <sheetData>
    <row r="1" spans="1:13" s="28" customFormat="1" ht="29" customHeight="1">
      <c r="A1" s="70" t="s">
        <v>539</v>
      </c>
      <c r="B1" s="71"/>
      <c r="C1" s="72"/>
      <c r="D1" s="72"/>
      <c r="E1" s="72"/>
      <c r="F1" s="72"/>
      <c r="G1" s="72"/>
      <c r="H1" s="72"/>
      <c r="I1" s="72"/>
      <c r="J1" s="72"/>
      <c r="K1" s="72"/>
      <c r="L1" s="72"/>
      <c r="M1" s="73"/>
    </row>
    <row r="2" spans="1:13" s="28" customFormat="1" ht="62" customHeight="1" thickBot="1">
      <c r="A2" s="74"/>
      <c r="B2" s="75"/>
      <c r="C2" s="76"/>
      <c r="D2" s="76"/>
      <c r="E2" s="76"/>
      <c r="F2" s="76"/>
      <c r="G2" s="76"/>
      <c r="H2" s="76"/>
      <c r="I2" s="76"/>
      <c r="J2" s="76"/>
      <c r="K2" s="76"/>
      <c r="L2" s="76"/>
      <c r="M2" s="77"/>
    </row>
    <row r="3" spans="1:13" s="29" customFormat="1" ht="12.75" customHeight="1">
      <c r="A3" s="78" t="s">
        <v>590</v>
      </c>
      <c r="B3" s="80" t="s">
        <v>0</v>
      </c>
      <c r="C3" s="81" t="s">
        <v>592</v>
      </c>
      <c r="D3" s="81" t="s">
        <v>6</v>
      </c>
      <c r="E3" s="66" t="s">
        <v>593</v>
      </c>
      <c r="F3" s="66" t="s">
        <v>5</v>
      </c>
      <c r="G3" s="66" t="s">
        <v>591</v>
      </c>
      <c r="H3" s="66"/>
      <c r="I3" s="66"/>
      <c r="J3" s="66"/>
      <c r="K3" s="66" t="s">
        <v>301</v>
      </c>
      <c r="L3" s="66" t="s">
        <v>3</v>
      </c>
      <c r="M3" s="68" t="s">
        <v>2</v>
      </c>
    </row>
    <row r="4" spans="1:13" s="29" customFormat="1" ht="21" customHeight="1" thickBot="1">
      <c r="A4" s="79"/>
      <c r="B4" s="48"/>
      <c r="C4" s="67"/>
      <c r="D4" s="67"/>
      <c r="E4" s="67"/>
      <c r="F4" s="67"/>
      <c r="G4" s="30">
        <v>1</v>
      </c>
      <c r="H4" s="30">
        <v>2</v>
      </c>
      <c r="I4" s="30">
        <v>3</v>
      </c>
      <c r="J4" s="30" t="s">
        <v>4</v>
      </c>
      <c r="K4" s="67"/>
      <c r="L4" s="67"/>
      <c r="M4" s="69"/>
    </row>
    <row r="5" spans="1:13" ht="16">
      <c r="A5" s="54" t="s">
        <v>35</v>
      </c>
      <c r="B5" s="54"/>
      <c r="C5" s="54"/>
      <c r="D5" s="54"/>
      <c r="E5" s="54"/>
      <c r="F5" s="54"/>
      <c r="G5" s="54"/>
      <c r="H5" s="54"/>
      <c r="I5" s="54"/>
      <c r="J5" s="54"/>
    </row>
    <row r="6" spans="1:13">
      <c r="A6" s="34" t="s">
        <v>138</v>
      </c>
      <c r="B6" s="35" t="s">
        <v>458</v>
      </c>
      <c r="C6" s="35" t="s">
        <v>576</v>
      </c>
      <c r="D6" s="35" t="s">
        <v>460</v>
      </c>
      <c r="E6" s="35" t="s">
        <v>594</v>
      </c>
      <c r="F6" s="35" t="s">
        <v>471</v>
      </c>
      <c r="G6" s="20" t="s">
        <v>154</v>
      </c>
      <c r="H6" s="20" t="s">
        <v>17</v>
      </c>
      <c r="I6" s="20" t="s">
        <v>18</v>
      </c>
      <c r="J6" s="34"/>
      <c r="K6" s="34" t="str">
        <f>"47,5"</f>
        <v>47,5</v>
      </c>
      <c r="L6" s="34" t="str">
        <f>"45,3269"</f>
        <v>45,3269</v>
      </c>
      <c r="M6" s="35" t="s">
        <v>467</v>
      </c>
    </row>
    <row r="7" spans="1:13">
      <c r="B7" s="32" t="s">
        <v>139</v>
      </c>
    </row>
    <row r="8" spans="1:13" ht="16">
      <c r="A8" s="46" t="s">
        <v>158</v>
      </c>
      <c r="B8" s="46"/>
      <c r="C8" s="46"/>
      <c r="D8" s="46"/>
      <c r="E8" s="46"/>
      <c r="F8" s="46"/>
      <c r="G8" s="46"/>
      <c r="H8" s="46"/>
      <c r="I8" s="46"/>
      <c r="J8" s="46"/>
    </row>
    <row r="9" spans="1:13">
      <c r="A9" s="37" t="s">
        <v>138</v>
      </c>
      <c r="B9" s="38" t="s">
        <v>506</v>
      </c>
      <c r="C9" s="38" t="s">
        <v>577</v>
      </c>
      <c r="D9" s="38" t="s">
        <v>507</v>
      </c>
      <c r="E9" s="38" t="s">
        <v>594</v>
      </c>
      <c r="F9" s="38" t="s">
        <v>508</v>
      </c>
      <c r="G9" s="22" t="s">
        <v>40</v>
      </c>
      <c r="H9" s="22" t="s">
        <v>41</v>
      </c>
      <c r="I9" s="22" t="s">
        <v>30</v>
      </c>
      <c r="J9" s="37"/>
      <c r="K9" s="37" t="str">
        <f>"60,0"</f>
        <v>60,0</v>
      </c>
      <c r="L9" s="37" t="str">
        <f>"45,8400"</f>
        <v>45,8400</v>
      </c>
      <c r="M9" s="38"/>
    </row>
    <row r="10" spans="1:13">
      <c r="A10" s="41" t="s">
        <v>138</v>
      </c>
      <c r="B10" s="42" t="s">
        <v>506</v>
      </c>
      <c r="C10" s="42" t="s">
        <v>509</v>
      </c>
      <c r="D10" s="42" t="s">
        <v>507</v>
      </c>
      <c r="E10" s="42" t="s">
        <v>595</v>
      </c>
      <c r="F10" s="42" t="s">
        <v>508</v>
      </c>
      <c r="G10" s="26" t="s">
        <v>40</v>
      </c>
      <c r="H10" s="26" t="s">
        <v>41</v>
      </c>
      <c r="I10" s="26" t="s">
        <v>30</v>
      </c>
      <c r="J10" s="41"/>
      <c r="K10" s="41" t="str">
        <f>"60,0"</f>
        <v>60,0</v>
      </c>
      <c r="L10" s="41" t="str">
        <f>"45,8400"</f>
        <v>45,8400</v>
      </c>
      <c r="M10" s="42"/>
    </row>
    <row r="11" spans="1:13">
      <c r="A11" s="39" t="s">
        <v>140</v>
      </c>
      <c r="B11" s="40" t="s">
        <v>311</v>
      </c>
      <c r="C11" s="40" t="s">
        <v>312</v>
      </c>
      <c r="D11" s="40" t="s">
        <v>313</v>
      </c>
      <c r="E11" s="40" t="s">
        <v>595</v>
      </c>
      <c r="F11" s="40" t="s">
        <v>465</v>
      </c>
      <c r="G11" s="25" t="s">
        <v>155</v>
      </c>
      <c r="H11" s="25" t="s">
        <v>40</v>
      </c>
      <c r="I11" s="25" t="s">
        <v>19</v>
      </c>
      <c r="J11" s="39"/>
      <c r="K11" s="39" t="str">
        <f>"52,5"</f>
        <v>52,5</v>
      </c>
      <c r="L11" s="39" t="str">
        <f>"40,4329"</f>
        <v>40,4329</v>
      </c>
      <c r="M11" s="40"/>
    </row>
    <row r="12" spans="1:13">
      <c r="B12" s="32" t="s">
        <v>139</v>
      </c>
    </row>
    <row r="13" spans="1:13" ht="16">
      <c r="A13" s="46" t="s">
        <v>173</v>
      </c>
      <c r="B13" s="46"/>
      <c r="C13" s="46"/>
      <c r="D13" s="46"/>
      <c r="E13" s="46"/>
      <c r="F13" s="46"/>
      <c r="G13" s="46"/>
      <c r="H13" s="46"/>
      <c r="I13" s="46"/>
      <c r="J13" s="46"/>
    </row>
    <row r="14" spans="1:13">
      <c r="A14" s="34" t="s">
        <v>138</v>
      </c>
      <c r="B14" s="35" t="s">
        <v>510</v>
      </c>
      <c r="C14" s="35" t="s">
        <v>578</v>
      </c>
      <c r="D14" s="35" t="s">
        <v>511</v>
      </c>
      <c r="E14" s="35" t="s">
        <v>594</v>
      </c>
      <c r="F14" s="35" t="s">
        <v>449</v>
      </c>
      <c r="G14" s="20" t="s">
        <v>18</v>
      </c>
      <c r="H14" s="20" t="s">
        <v>41</v>
      </c>
      <c r="I14" s="20" t="s">
        <v>29</v>
      </c>
      <c r="J14" s="34"/>
      <c r="K14" s="34" t="str">
        <f>"57,5"</f>
        <v>57,5</v>
      </c>
      <c r="L14" s="34" t="str">
        <f>"41,0579"</f>
        <v>41,0579</v>
      </c>
      <c r="M14" s="35" t="s">
        <v>512</v>
      </c>
    </row>
    <row r="15" spans="1:13">
      <c r="B15" s="32" t="s">
        <v>139</v>
      </c>
    </row>
    <row r="16" spans="1:13" ht="16">
      <c r="A16" s="46" t="s">
        <v>213</v>
      </c>
      <c r="B16" s="46"/>
      <c r="C16" s="46"/>
      <c r="D16" s="46"/>
      <c r="E16" s="46"/>
      <c r="F16" s="46"/>
      <c r="G16" s="46"/>
      <c r="H16" s="46"/>
      <c r="I16" s="46"/>
      <c r="J16" s="46"/>
    </row>
    <row r="17" spans="1:13">
      <c r="A17" s="37" t="s">
        <v>138</v>
      </c>
      <c r="B17" s="38" t="s">
        <v>336</v>
      </c>
      <c r="C17" s="38" t="s">
        <v>500</v>
      </c>
      <c r="D17" s="38" t="s">
        <v>337</v>
      </c>
      <c r="E17" s="38" t="s">
        <v>595</v>
      </c>
      <c r="F17" s="38" t="s">
        <v>465</v>
      </c>
      <c r="G17" s="22" t="s">
        <v>30</v>
      </c>
      <c r="H17" s="22" t="s">
        <v>47</v>
      </c>
      <c r="I17" s="43" t="s">
        <v>51</v>
      </c>
      <c r="J17" s="37"/>
      <c r="K17" s="37" t="str">
        <f>"65,0"</f>
        <v>65,0</v>
      </c>
      <c r="L17" s="37" t="str">
        <f>"42,2012"</f>
        <v>42,2012</v>
      </c>
      <c r="M17" s="38"/>
    </row>
    <row r="18" spans="1:13">
      <c r="A18" s="39" t="s">
        <v>138</v>
      </c>
      <c r="B18" s="40" t="s">
        <v>501</v>
      </c>
      <c r="C18" s="40" t="s">
        <v>574</v>
      </c>
      <c r="D18" s="40" t="s">
        <v>330</v>
      </c>
      <c r="E18" s="40" t="s">
        <v>598</v>
      </c>
      <c r="F18" s="40" t="s">
        <v>587</v>
      </c>
      <c r="G18" s="25" t="s">
        <v>29</v>
      </c>
      <c r="H18" s="25" t="s">
        <v>30</v>
      </c>
      <c r="I18" s="25" t="s">
        <v>217</v>
      </c>
      <c r="J18" s="39"/>
      <c r="K18" s="39" t="str">
        <f>"62,5"</f>
        <v>62,5</v>
      </c>
      <c r="L18" s="39" t="str">
        <f>"46,3982"</f>
        <v>46,3982</v>
      </c>
      <c r="M18" s="40"/>
    </row>
    <row r="19" spans="1:13">
      <c r="B19" s="32" t="s">
        <v>139</v>
      </c>
    </row>
    <row r="20" spans="1:13" ht="16">
      <c r="A20" s="46" t="s">
        <v>52</v>
      </c>
      <c r="B20" s="46"/>
      <c r="C20" s="46"/>
      <c r="D20" s="46"/>
      <c r="E20" s="46"/>
      <c r="F20" s="46"/>
      <c r="G20" s="46"/>
      <c r="H20" s="46"/>
      <c r="I20" s="46"/>
      <c r="J20" s="46"/>
    </row>
    <row r="21" spans="1:13">
      <c r="A21" s="34" t="s">
        <v>138</v>
      </c>
      <c r="B21" s="35" t="s">
        <v>503</v>
      </c>
      <c r="C21" s="35" t="s">
        <v>575</v>
      </c>
      <c r="D21" s="35" t="s">
        <v>504</v>
      </c>
      <c r="E21" s="35" t="s">
        <v>596</v>
      </c>
      <c r="F21" s="35" t="s">
        <v>465</v>
      </c>
      <c r="G21" s="36" t="s">
        <v>41</v>
      </c>
      <c r="H21" s="20" t="s">
        <v>41</v>
      </c>
      <c r="I21" s="20" t="s">
        <v>30</v>
      </c>
      <c r="J21" s="34"/>
      <c r="K21" s="34" t="str">
        <f>"60,0"</f>
        <v>60,0</v>
      </c>
      <c r="L21" s="34" t="str">
        <f>"43,5191"</f>
        <v>43,5191</v>
      </c>
      <c r="M21" s="35"/>
    </row>
    <row r="22" spans="1:13">
      <c r="B22" s="32" t="s">
        <v>139</v>
      </c>
    </row>
    <row r="23" spans="1:13" ht="16">
      <c r="A23" s="46" t="s">
        <v>74</v>
      </c>
      <c r="B23" s="46"/>
      <c r="C23" s="46"/>
      <c r="D23" s="46"/>
      <c r="E23" s="46"/>
      <c r="F23" s="46"/>
      <c r="G23" s="46"/>
      <c r="H23" s="46"/>
      <c r="I23" s="46"/>
      <c r="J23" s="46"/>
    </row>
    <row r="24" spans="1:13">
      <c r="A24" s="37" t="s">
        <v>138</v>
      </c>
      <c r="B24" s="38" t="s">
        <v>199</v>
      </c>
      <c r="C24" s="38" t="s">
        <v>200</v>
      </c>
      <c r="D24" s="38" t="s">
        <v>201</v>
      </c>
      <c r="E24" s="38" t="s">
        <v>595</v>
      </c>
      <c r="F24" s="38" t="s">
        <v>465</v>
      </c>
      <c r="G24" s="22" t="s">
        <v>47</v>
      </c>
      <c r="H24" s="22" t="s">
        <v>21</v>
      </c>
      <c r="I24" s="22" t="s">
        <v>26</v>
      </c>
      <c r="J24" s="37"/>
      <c r="K24" s="37" t="str">
        <f>"80,0"</f>
        <v>80,0</v>
      </c>
      <c r="L24" s="37" t="str">
        <f>"46,5840"</f>
        <v>46,5840</v>
      </c>
      <c r="M24" s="38" t="s">
        <v>374</v>
      </c>
    </row>
    <row r="25" spans="1:13">
      <c r="A25" s="39" t="s">
        <v>138</v>
      </c>
      <c r="B25" s="40" t="s">
        <v>513</v>
      </c>
      <c r="C25" s="40" t="s">
        <v>514</v>
      </c>
      <c r="D25" s="40" t="s">
        <v>515</v>
      </c>
      <c r="E25" s="40" t="s">
        <v>600</v>
      </c>
      <c r="F25" s="40" t="s">
        <v>471</v>
      </c>
      <c r="G25" s="25" t="s">
        <v>40</v>
      </c>
      <c r="H25" s="44" t="s">
        <v>30</v>
      </c>
      <c r="I25" s="39"/>
      <c r="J25" s="39"/>
      <c r="K25" s="39" t="str">
        <f>"50,0"</f>
        <v>50,0</v>
      </c>
      <c r="L25" s="39" t="str">
        <f>"40,0340"</f>
        <v>40,0340</v>
      </c>
      <c r="M25" s="40"/>
    </row>
    <row r="26" spans="1:13">
      <c r="B26" s="32" t="s">
        <v>139</v>
      </c>
    </row>
    <row r="27" spans="1:13" ht="16">
      <c r="A27" s="46" t="s">
        <v>96</v>
      </c>
      <c r="B27" s="46"/>
      <c r="C27" s="46"/>
      <c r="D27" s="46"/>
      <c r="E27" s="46"/>
      <c r="F27" s="46"/>
      <c r="G27" s="46"/>
      <c r="H27" s="46"/>
      <c r="I27" s="46"/>
      <c r="J27" s="46"/>
    </row>
    <row r="28" spans="1:13">
      <c r="A28" s="34" t="s">
        <v>138</v>
      </c>
      <c r="B28" s="35" t="s">
        <v>516</v>
      </c>
      <c r="C28" s="35" t="s">
        <v>517</v>
      </c>
      <c r="D28" s="35" t="s">
        <v>518</v>
      </c>
      <c r="E28" s="35" t="s">
        <v>595</v>
      </c>
      <c r="F28" s="35" t="s">
        <v>255</v>
      </c>
      <c r="G28" s="20" t="s">
        <v>41</v>
      </c>
      <c r="H28" s="20" t="s">
        <v>47</v>
      </c>
      <c r="I28" s="36" t="s">
        <v>51</v>
      </c>
      <c r="J28" s="34"/>
      <c r="K28" s="34" t="str">
        <f>"65,0"</f>
        <v>65,0</v>
      </c>
      <c r="L28" s="34" t="str">
        <f>"37,2678"</f>
        <v>37,2678</v>
      </c>
      <c r="M28" s="35"/>
    </row>
    <row r="29" spans="1:13">
      <c r="B29" s="32" t="s">
        <v>139</v>
      </c>
    </row>
  </sheetData>
  <mergeCells count="18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A20:J20"/>
    <mergeCell ref="A23:J23"/>
    <mergeCell ref="A27:J27"/>
    <mergeCell ref="L3:L4"/>
    <mergeCell ref="M3:M4"/>
    <mergeCell ref="A5:J5"/>
    <mergeCell ref="A8:J8"/>
    <mergeCell ref="A13:J13"/>
    <mergeCell ref="A16:J1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C8473-0DC6-4C3A-93C6-8C5F04DA590E}">
  <sheetPr codeName="Лист22">
    <pageSetUpPr fitToPage="1"/>
  </sheetPr>
  <dimension ref="A1:M7"/>
  <sheetViews>
    <sheetView tabSelected="1" workbookViewId="0">
      <selection sqref="A1:M2"/>
    </sheetView>
  </sheetViews>
  <sheetFormatPr baseColWidth="10" defaultColWidth="9.1640625" defaultRowHeight="13"/>
  <cols>
    <col min="1" max="1" width="7.1640625" style="32" bestFit="1" customWidth="1"/>
    <col min="2" max="2" width="19.1640625" style="32" bestFit="1" customWidth="1"/>
    <col min="3" max="3" width="28.6640625" style="32" bestFit="1" customWidth="1"/>
    <col min="4" max="4" width="20.83203125" style="32" bestFit="1" customWidth="1"/>
    <col min="5" max="5" width="10.1640625" style="32" bestFit="1" customWidth="1"/>
    <col min="6" max="6" width="31.5" style="32" bestFit="1" customWidth="1"/>
    <col min="7" max="10" width="5.5" style="31" customWidth="1"/>
    <col min="11" max="11" width="10.5" style="31" bestFit="1" customWidth="1"/>
    <col min="12" max="12" width="7.5" style="31" bestFit="1" customWidth="1"/>
    <col min="13" max="13" width="21.5" style="32" customWidth="1"/>
    <col min="14" max="16384" width="9.1640625" style="33"/>
  </cols>
  <sheetData>
    <row r="1" spans="1:13" s="28" customFormat="1" ht="29" customHeight="1">
      <c r="A1" s="70" t="s">
        <v>543</v>
      </c>
      <c r="B1" s="71"/>
      <c r="C1" s="72"/>
      <c r="D1" s="72"/>
      <c r="E1" s="72"/>
      <c r="F1" s="72"/>
      <c r="G1" s="72"/>
      <c r="H1" s="72"/>
      <c r="I1" s="72"/>
      <c r="J1" s="72"/>
      <c r="K1" s="72"/>
      <c r="L1" s="72"/>
      <c r="M1" s="73"/>
    </row>
    <row r="2" spans="1:13" s="28" customFormat="1" ht="62" customHeight="1" thickBot="1">
      <c r="A2" s="74"/>
      <c r="B2" s="75"/>
      <c r="C2" s="76"/>
      <c r="D2" s="76"/>
      <c r="E2" s="76"/>
      <c r="F2" s="76"/>
      <c r="G2" s="76"/>
      <c r="H2" s="76"/>
      <c r="I2" s="76"/>
      <c r="J2" s="76"/>
      <c r="K2" s="76"/>
      <c r="L2" s="76"/>
      <c r="M2" s="77"/>
    </row>
    <row r="3" spans="1:13" s="29" customFormat="1" ht="12.75" customHeight="1">
      <c r="A3" s="78" t="s">
        <v>590</v>
      </c>
      <c r="B3" s="80" t="s">
        <v>0</v>
      </c>
      <c r="C3" s="81" t="s">
        <v>592</v>
      </c>
      <c r="D3" s="81" t="s">
        <v>6</v>
      </c>
      <c r="E3" s="66" t="s">
        <v>593</v>
      </c>
      <c r="F3" s="66" t="s">
        <v>5</v>
      </c>
      <c r="G3" s="66" t="s">
        <v>591</v>
      </c>
      <c r="H3" s="66"/>
      <c r="I3" s="66"/>
      <c r="J3" s="66"/>
      <c r="K3" s="66" t="s">
        <v>301</v>
      </c>
      <c r="L3" s="66" t="s">
        <v>3</v>
      </c>
      <c r="M3" s="68" t="s">
        <v>2</v>
      </c>
    </row>
    <row r="4" spans="1:13" s="29" customFormat="1" ht="21" customHeight="1" thickBot="1">
      <c r="A4" s="79"/>
      <c r="B4" s="48"/>
      <c r="C4" s="67"/>
      <c r="D4" s="67"/>
      <c r="E4" s="67"/>
      <c r="F4" s="67"/>
      <c r="G4" s="30">
        <v>1</v>
      </c>
      <c r="H4" s="30">
        <v>2</v>
      </c>
      <c r="I4" s="30">
        <v>3</v>
      </c>
      <c r="J4" s="30" t="s">
        <v>4</v>
      </c>
      <c r="K4" s="67"/>
      <c r="L4" s="67"/>
      <c r="M4" s="69"/>
    </row>
    <row r="5" spans="1:13" ht="16">
      <c r="A5" s="54" t="s">
        <v>22</v>
      </c>
      <c r="B5" s="54"/>
      <c r="C5" s="54"/>
      <c r="D5" s="54"/>
      <c r="E5" s="54"/>
      <c r="F5" s="54"/>
      <c r="G5" s="54"/>
      <c r="H5" s="54"/>
      <c r="I5" s="54"/>
      <c r="J5" s="54"/>
    </row>
    <row r="6" spans="1:13">
      <c r="A6" s="34" t="s">
        <v>138</v>
      </c>
      <c r="B6" s="35" t="s">
        <v>250</v>
      </c>
      <c r="C6" s="35" t="s">
        <v>586</v>
      </c>
      <c r="D6" s="35" t="s">
        <v>519</v>
      </c>
      <c r="E6" s="35" t="s">
        <v>598</v>
      </c>
      <c r="F6" s="35" t="s">
        <v>471</v>
      </c>
      <c r="G6" s="20" t="s">
        <v>502</v>
      </c>
      <c r="H6" s="20" t="s">
        <v>520</v>
      </c>
      <c r="I6" s="36" t="s">
        <v>505</v>
      </c>
      <c r="J6" s="34"/>
      <c r="K6" s="34" t="str">
        <f>"22,5"</f>
        <v>22,5</v>
      </c>
      <c r="L6" s="34" t="str">
        <f>"30,8398"</f>
        <v>30,8398</v>
      </c>
      <c r="M6" s="35" t="s">
        <v>521</v>
      </c>
    </row>
    <row r="7" spans="1:13">
      <c r="B7" s="32" t="s">
        <v>139</v>
      </c>
    </row>
  </sheetData>
  <mergeCells count="12"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K3:K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U42"/>
  <sheetViews>
    <sheetView workbookViewId="0">
      <selection sqref="A1:U2"/>
    </sheetView>
  </sheetViews>
  <sheetFormatPr baseColWidth="10" defaultColWidth="9.1640625" defaultRowHeight="13"/>
  <cols>
    <col min="1" max="1" width="7.1640625" style="5" bestFit="1" customWidth="1"/>
    <col min="2" max="2" width="20.5" style="5" bestFit="1" customWidth="1"/>
    <col min="3" max="3" width="28.83203125" style="5" bestFit="1" customWidth="1"/>
    <col min="4" max="4" width="20.83203125" style="5" bestFit="1" customWidth="1"/>
    <col min="5" max="5" width="10.1640625" style="5" bestFit="1" customWidth="1"/>
    <col min="6" max="6" width="38.5" style="5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6" bestFit="1" customWidth="1"/>
    <col min="20" max="20" width="8.5" style="6" bestFit="1" customWidth="1"/>
    <col min="21" max="21" width="22.6640625" style="5" customWidth="1"/>
    <col min="22" max="16384" width="9.1640625" style="3"/>
  </cols>
  <sheetData>
    <row r="1" spans="1:21" s="2" customFormat="1" ht="29" customHeight="1">
      <c r="A1" s="55" t="s">
        <v>527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8"/>
    </row>
    <row r="2" spans="1:21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2"/>
    </row>
    <row r="3" spans="1:21" s="1" customFormat="1" ht="12.75" customHeight="1">
      <c r="A3" s="63" t="s">
        <v>590</v>
      </c>
      <c r="B3" s="47" t="s">
        <v>0</v>
      </c>
      <c r="C3" s="65" t="s">
        <v>592</v>
      </c>
      <c r="D3" s="65" t="s">
        <v>6</v>
      </c>
      <c r="E3" s="49" t="s">
        <v>593</v>
      </c>
      <c r="F3" s="49" t="s">
        <v>5</v>
      </c>
      <c r="G3" s="49" t="s">
        <v>7</v>
      </c>
      <c r="H3" s="49"/>
      <c r="I3" s="49"/>
      <c r="J3" s="49"/>
      <c r="K3" s="49" t="s">
        <v>8</v>
      </c>
      <c r="L3" s="49"/>
      <c r="M3" s="49"/>
      <c r="N3" s="49"/>
      <c r="O3" s="49" t="s">
        <v>9</v>
      </c>
      <c r="P3" s="49"/>
      <c r="Q3" s="49"/>
      <c r="R3" s="49"/>
      <c r="S3" s="49" t="s">
        <v>1</v>
      </c>
      <c r="T3" s="49" t="s">
        <v>3</v>
      </c>
      <c r="U3" s="51" t="s">
        <v>2</v>
      </c>
    </row>
    <row r="4" spans="1:21" s="1" customFormat="1" ht="21" customHeight="1" thickBot="1">
      <c r="A4" s="64"/>
      <c r="B4" s="4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0"/>
      <c r="T4" s="50"/>
      <c r="U4" s="52"/>
    </row>
    <row r="5" spans="1:21" ht="16">
      <c r="A5" s="53" t="s">
        <v>10</v>
      </c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21">
      <c r="A6" s="8" t="s">
        <v>138</v>
      </c>
      <c r="B6" s="7" t="s">
        <v>11</v>
      </c>
      <c r="C6" s="7" t="s">
        <v>547</v>
      </c>
      <c r="D6" s="7" t="s">
        <v>12</v>
      </c>
      <c r="E6" s="7" t="s">
        <v>597</v>
      </c>
      <c r="F6" s="7" t="s">
        <v>13</v>
      </c>
      <c r="G6" s="20" t="s">
        <v>14</v>
      </c>
      <c r="H6" s="20" t="s">
        <v>15</v>
      </c>
      <c r="I6" s="21" t="s">
        <v>16</v>
      </c>
      <c r="J6" s="8"/>
      <c r="K6" s="20" t="s">
        <v>17</v>
      </c>
      <c r="L6" s="20" t="s">
        <v>18</v>
      </c>
      <c r="M6" s="21" t="s">
        <v>19</v>
      </c>
      <c r="N6" s="8"/>
      <c r="O6" s="20" t="s">
        <v>20</v>
      </c>
      <c r="P6" s="20" t="s">
        <v>21</v>
      </c>
      <c r="Q6" s="20" t="s">
        <v>14</v>
      </c>
      <c r="R6" s="20" t="s">
        <v>15</v>
      </c>
      <c r="S6" s="8" t="str">
        <f>"217,5"</f>
        <v>217,5</v>
      </c>
      <c r="T6" s="8" t="str">
        <f>"306,7185"</f>
        <v>306,7185</v>
      </c>
      <c r="U6" s="7" t="s">
        <v>461</v>
      </c>
    </row>
    <row r="7" spans="1:21">
      <c r="B7" s="5" t="s">
        <v>139</v>
      </c>
    </row>
    <row r="8" spans="1:21" ht="16">
      <c r="A8" s="45" t="s">
        <v>22</v>
      </c>
      <c r="B8" s="45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</row>
    <row r="9" spans="1:21">
      <c r="A9" s="8" t="s">
        <v>138</v>
      </c>
      <c r="B9" s="7" t="s">
        <v>23</v>
      </c>
      <c r="C9" s="7" t="s">
        <v>24</v>
      </c>
      <c r="D9" s="7" t="s">
        <v>25</v>
      </c>
      <c r="E9" s="7" t="s">
        <v>595</v>
      </c>
      <c r="F9" s="7" t="s">
        <v>13</v>
      </c>
      <c r="G9" s="20" t="s">
        <v>26</v>
      </c>
      <c r="H9" s="20" t="s">
        <v>27</v>
      </c>
      <c r="I9" s="20" t="s">
        <v>28</v>
      </c>
      <c r="J9" s="8"/>
      <c r="K9" s="20" t="s">
        <v>29</v>
      </c>
      <c r="L9" s="20" t="s">
        <v>30</v>
      </c>
      <c r="M9" s="8"/>
      <c r="N9" s="8"/>
      <c r="O9" s="20" t="s">
        <v>31</v>
      </c>
      <c r="P9" s="20" t="s">
        <v>32</v>
      </c>
      <c r="Q9" s="21" t="s">
        <v>33</v>
      </c>
      <c r="R9" s="8"/>
      <c r="S9" s="8" t="str">
        <f>"250,0"</f>
        <v>250,0</v>
      </c>
      <c r="T9" s="8" t="str">
        <f>"322,6250"</f>
        <v>322,6250</v>
      </c>
      <c r="U9" s="7" t="s">
        <v>34</v>
      </c>
    </row>
    <row r="10" spans="1:21">
      <c r="B10" s="5" t="s">
        <v>139</v>
      </c>
    </row>
    <row r="11" spans="1:21" ht="16">
      <c r="A11" s="45" t="s">
        <v>35</v>
      </c>
      <c r="B11" s="45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</row>
    <row r="12" spans="1:21">
      <c r="A12" s="8" t="s">
        <v>138</v>
      </c>
      <c r="B12" s="7" t="s">
        <v>36</v>
      </c>
      <c r="C12" s="7" t="s">
        <v>548</v>
      </c>
      <c r="D12" s="7" t="s">
        <v>37</v>
      </c>
      <c r="E12" s="7" t="s">
        <v>598</v>
      </c>
      <c r="F12" s="7" t="s">
        <v>38</v>
      </c>
      <c r="G12" s="20" t="s">
        <v>26</v>
      </c>
      <c r="H12" s="20" t="s">
        <v>16</v>
      </c>
      <c r="I12" s="21" t="s">
        <v>39</v>
      </c>
      <c r="J12" s="8"/>
      <c r="K12" s="20" t="s">
        <v>40</v>
      </c>
      <c r="L12" s="20" t="s">
        <v>41</v>
      </c>
      <c r="M12" s="20" t="s">
        <v>29</v>
      </c>
      <c r="N12" s="8"/>
      <c r="O12" s="20" t="s">
        <v>32</v>
      </c>
      <c r="P12" s="20" t="s">
        <v>42</v>
      </c>
      <c r="Q12" s="20" t="s">
        <v>43</v>
      </c>
      <c r="R12" s="8"/>
      <c r="S12" s="8" t="str">
        <f>"270,0"</f>
        <v>270,0</v>
      </c>
      <c r="T12" s="8" t="str">
        <f>"327,0853"</f>
        <v>327,0853</v>
      </c>
      <c r="U12" s="7" t="s">
        <v>462</v>
      </c>
    </row>
    <row r="13" spans="1:21">
      <c r="B13" s="5" t="s">
        <v>139</v>
      </c>
    </row>
    <row r="14" spans="1:21" ht="16">
      <c r="A14" s="45" t="s">
        <v>44</v>
      </c>
      <c r="B14" s="45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</row>
    <row r="15" spans="1:21">
      <c r="A15" s="8" t="s">
        <v>138</v>
      </c>
      <c r="B15" s="7" t="s">
        <v>45</v>
      </c>
      <c r="C15" s="7" t="s">
        <v>549</v>
      </c>
      <c r="D15" s="7" t="s">
        <v>46</v>
      </c>
      <c r="E15" s="7" t="s">
        <v>599</v>
      </c>
      <c r="F15" s="7" t="s">
        <v>465</v>
      </c>
      <c r="G15" s="20" t="s">
        <v>40</v>
      </c>
      <c r="H15" s="20" t="s">
        <v>30</v>
      </c>
      <c r="I15" s="20" t="s">
        <v>47</v>
      </c>
      <c r="J15" s="8"/>
      <c r="K15" s="20" t="s">
        <v>48</v>
      </c>
      <c r="L15" s="20" t="s">
        <v>49</v>
      </c>
      <c r="M15" s="21" t="s">
        <v>50</v>
      </c>
      <c r="N15" s="8"/>
      <c r="O15" s="20" t="s">
        <v>51</v>
      </c>
      <c r="P15" s="20" t="s">
        <v>26</v>
      </c>
      <c r="Q15" s="20" t="s">
        <v>28</v>
      </c>
      <c r="R15" s="8"/>
      <c r="S15" s="8" t="str">
        <f>"190,0"</f>
        <v>190,0</v>
      </c>
      <c r="T15" s="8" t="str">
        <f>"210,3527"</f>
        <v>210,3527</v>
      </c>
      <c r="U15" s="7"/>
    </row>
    <row r="16" spans="1:21">
      <c r="B16" s="5" t="s">
        <v>139</v>
      </c>
    </row>
    <row r="17" spans="1:21" ht="16">
      <c r="A17" s="45" t="s">
        <v>52</v>
      </c>
      <c r="B17" s="45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</row>
    <row r="18" spans="1:21">
      <c r="A18" s="10" t="s">
        <v>138</v>
      </c>
      <c r="B18" s="9" t="s">
        <v>53</v>
      </c>
      <c r="C18" s="9" t="s">
        <v>54</v>
      </c>
      <c r="D18" s="9" t="s">
        <v>55</v>
      </c>
      <c r="E18" s="9" t="s">
        <v>595</v>
      </c>
      <c r="F18" s="9" t="s">
        <v>465</v>
      </c>
      <c r="G18" s="22" t="s">
        <v>56</v>
      </c>
      <c r="H18" s="22" t="s">
        <v>57</v>
      </c>
      <c r="I18" s="23" t="s">
        <v>58</v>
      </c>
      <c r="J18" s="10"/>
      <c r="K18" s="22" t="s">
        <v>59</v>
      </c>
      <c r="L18" s="22" t="s">
        <v>60</v>
      </c>
      <c r="M18" s="23" t="s">
        <v>61</v>
      </c>
      <c r="N18" s="10"/>
      <c r="O18" s="22" t="s">
        <v>57</v>
      </c>
      <c r="P18" s="22" t="s">
        <v>62</v>
      </c>
      <c r="Q18" s="22" t="s">
        <v>63</v>
      </c>
      <c r="R18" s="10"/>
      <c r="S18" s="10" t="str">
        <f>"622,5"</f>
        <v>622,5</v>
      </c>
      <c r="T18" s="10" t="str">
        <f>"400,1430"</f>
        <v>400,1430</v>
      </c>
      <c r="U18" s="9"/>
    </row>
    <row r="19" spans="1:21">
      <c r="A19" s="12" t="s">
        <v>140</v>
      </c>
      <c r="B19" s="11" t="s">
        <v>64</v>
      </c>
      <c r="C19" s="11" t="s">
        <v>65</v>
      </c>
      <c r="D19" s="11" t="s">
        <v>66</v>
      </c>
      <c r="E19" s="11" t="s">
        <v>595</v>
      </c>
      <c r="F19" s="11" t="s">
        <v>465</v>
      </c>
      <c r="G19" s="24" t="s">
        <v>67</v>
      </c>
      <c r="H19" s="25" t="s">
        <v>59</v>
      </c>
      <c r="I19" s="25" t="s">
        <v>60</v>
      </c>
      <c r="J19" s="12"/>
      <c r="K19" s="25" t="s">
        <v>68</v>
      </c>
      <c r="L19" s="25" t="s">
        <v>69</v>
      </c>
      <c r="M19" s="24" t="s">
        <v>70</v>
      </c>
      <c r="N19" s="12"/>
      <c r="O19" s="25" t="s">
        <v>71</v>
      </c>
      <c r="P19" s="25" t="s">
        <v>72</v>
      </c>
      <c r="Q19" s="25" t="s">
        <v>73</v>
      </c>
      <c r="R19" s="12"/>
      <c r="S19" s="12" t="str">
        <f>"487,5"</f>
        <v>487,5</v>
      </c>
      <c r="T19" s="12" t="str">
        <f>"317,6062"</f>
        <v>317,6062</v>
      </c>
      <c r="U19" s="11"/>
    </row>
    <row r="20" spans="1:21">
      <c r="B20" s="5" t="s">
        <v>139</v>
      </c>
    </row>
    <row r="21" spans="1:21" ht="16">
      <c r="A21" s="45" t="s">
        <v>74</v>
      </c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</row>
    <row r="22" spans="1:21">
      <c r="A22" s="10" t="s">
        <v>138</v>
      </c>
      <c r="B22" s="9" t="s">
        <v>75</v>
      </c>
      <c r="C22" s="9" t="s">
        <v>76</v>
      </c>
      <c r="D22" s="9" t="s">
        <v>77</v>
      </c>
      <c r="E22" s="9" t="s">
        <v>595</v>
      </c>
      <c r="F22" s="9" t="s">
        <v>13</v>
      </c>
      <c r="G22" s="22" t="s">
        <v>78</v>
      </c>
      <c r="H22" s="22" t="s">
        <v>62</v>
      </c>
      <c r="I22" s="23" t="s">
        <v>79</v>
      </c>
      <c r="J22" s="10"/>
      <c r="K22" s="22" t="s">
        <v>80</v>
      </c>
      <c r="L22" s="22" t="s">
        <v>81</v>
      </c>
      <c r="M22" s="22" t="s">
        <v>60</v>
      </c>
      <c r="N22" s="10"/>
      <c r="O22" s="22" t="s">
        <v>82</v>
      </c>
      <c r="P22" s="23" t="s">
        <v>83</v>
      </c>
      <c r="Q22" s="23" t="s">
        <v>83</v>
      </c>
      <c r="R22" s="10"/>
      <c r="S22" s="10" t="str">
        <f>"657,5"</f>
        <v>657,5</v>
      </c>
      <c r="T22" s="10" t="str">
        <f>"412,3840"</f>
        <v>412,3840</v>
      </c>
      <c r="U22" s="9"/>
    </row>
    <row r="23" spans="1:21">
      <c r="A23" s="14" t="s">
        <v>140</v>
      </c>
      <c r="B23" s="13" t="s">
        <v>84</v>
      </c>
      <c r="C23" s="13" t="s">
        <v>85</v>
      </c>
      <c r="D23" s="13" t="s">
        <v>86</v>
      </c>
      <c r="E23" s="13" t="s">
        <v>595</v>
      </c>
      <c r="F23" s="13" t="s">
        <v>87</v>
      </c>
      <c r="G23" s="26" t="s">
        <v>61</v>
      </c>
      <c r="H23" s="26" t="s">
        <v>88</v>
      </c>
      <c r="I23" s="26" t="s">
        <v>72</v>
      </c>
      <c r="J23" s="14"/>
      <c r="K23" s="26" t="s">
        <v>33</v>
      </c>
      <c r="L23" s="26" t="s">
        <v>42</v>
      </c>
      <c r="M23" s="26" t="s">
        <v>89</v>
      </c>
      <c r="N23" s="14"/>
      <c r="O23" s="26" t="s">
        <v>88</v>
      </c>
      <c r="P23" s="26" t="s">
        <v>90</v>
      </c>
      <c r="Q23" s="26" t="s">
        <v>91</v>
      </c>
      <c r="R23" s="14"/>
      <c r="S23" s="14" t="str">
        <f>"500,0"</f>
        <v>500,0</v>
      </c>
      <c r="T23" s="14" t="str">
        <f>"315,5500"</f>
        <v>315,5500</v>
      </c>
      <c r="U23" s="13" t="s">
        <v>463</v>
      </c>
    </row>
    <row r="24" spans="1:21">
      <c r="A24" s="12" t="s">
        <v>138</v>
      </c>
      <c r="B24" s="11" t="s">
        <v>92</v>
      </c>
      <c r="C24" s="11" t="s">
        <v>550</v>
      </c>
      <c r="D24" s="11" t="s">
        <v>93</v>
      </c>
      <c r="E24" s="11" t="s">
        <v>596</v>
      </c>
      <c r="F24" s="11" t="s">
        <v>465</v>
      </c>
      <c r="G24" s="25" t="s">
        <v>88</v>
      </c>
      <c r="H24" s="25" t="s">
        <v>73</v>
      </c>
      <c r="I24" s="25" t="s">
        <v>91</v>
      </c>
      <c r="J24" s="12"/>
      <c r="K24" s="25" t="s">
        <v>69</v>
      </c>
      <c r="L24" s="25" t="s">
        <v>94</v>
      </c>
      <c r="M24" s="24" t="s">
        <v>95</v>
      </c>
      <c r="N24" s="12"/>
      <c r="O24" s="25" t="s">
        <v>57</v>
      </c>
      <c r="P24" s="24" t="s">
        <v>58</v>
      </c>
      <c r="Q24" s="25" t="s">
        <v>58</v>
      </c>
      <c r="R24" s="12"/>
      <c r="S24" s="12" t="str">
        <f>"570,0"</f>
        <v>570,0</v>
      </c>
      <c r="T24" s="12" t="str">
        <f>"388,2010"</f>
        <v>388,2010</v>
      </c>
      <c r="U24" s="11"/>
    </row>
    <row r="25" spans="1:21">
      <c r="B25" s="5" t="s">
        <v>139</v>
      </c>
    </row>
    <row r="26" spans="1:21" ht="16">
      <c r="A26" s="45" t="s">
        <v>96</v>
      </c>
      <c r="B26" s="45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</row>
    <row r="27" spans="1:21">
      <c r="A27" s="10" t="s">
        <v>138</v>
      </c>
      <c r="B27" s="9" t="s">
        <v>97</v>
      </c>
      <c r="C27" s="9" t="s">
        <v>551</v>
      </c>
      <c r="D27" s="9" t="s">
        <v>98</v>
      </c>
      <c r="E27" s="9" t="s">
        <v>597</v>
      </c>
      <c r="F27" s="9" t="s">
        <v>166</v>
      </c>
      <c r="G27" s="22" t="s">
        <v>82</v>
      </c>
      <c r="H27" s="22" t="s">
        <v>99</v>
      </c>
      <c r="I27" s="23" t="s">
        <v>83</v>
      </c>
      <c r="J27" s="10"/>
      <c r="K27" s="22" t="s">
        <v>90</v>
      </c>
      <c r="L27" s="22" t="s">
        <v>100</v>
      </c>
      <c r="M27" s="10"/>
      <c r="N27" s="10"/>
      <c r="O27" s="22" t="s">
        <v>101</v>
      </c>
      <c r="P27" s="22" t="s">
        <v>102</v>
      </c>
      <c r="Q27" s="22" t="s">
        <v>103</v>
      </c>
      <c r="R27" s="10"/>
      <c r="S27" s="10" t="str">
        <f>"807,5"</f>
        <v>807,5</v>
      </c>
      <c r="T27" s="10" t="str">
        <f>"479,4127"</f>
        <v>479,4127</v>
      </c>
      <c r="U27" s="9"/>
    </row>
    <row r="28" spans="1:21">
      <c r="A28" s="12" t="s">
        <v>138</v>
      </c>
      <c r="B28" s="11" t="s">
        <v>104</v>
      </c>
      <c r="C28" s="11" t="s">
        <v>105</v>
      </c>
      <c r="D28" s="11" t="s">
        <v>106</v>
      </c>
      <c r="E28" s="11" t="s">
        <v>595</v>
      </c>
      <c r="F28" s="11" t="s">
        <v>166</v>
      </c>
      <c r="G28" s="25" t="s">
        <v>56</v>
      </c>
      <c r="H28" s="25" t="s">
        <v>57</v>
      </c>
      <c r="I28" s="25" t="s">
        <v>58</v>
      </c>
      <c r="J28" s="12"/>
      <c r="K28" s="25" t="s">
        <v>59</v>
      </c>
      <c r="L28" s="25" t="s">
        <v>60</v>
      </c>
      <c r="M28" s="24" t="s">
        <v>107</v>
      </c>
      <c r="N28" s="12"/>
      <c r="O28" s="25" t="s">
        <v>108</v>
      </c>
      <c r="P28" s="25" t="s">
        <v>82</v>
      </c>
      <c r="Q28" s="25" t="s">
        <v>99</v>
      </c>
      <c r="R28" s="12"/>
      <c r="S28" s="12" t="str">
        <f>"662,5"</f>
        <v>662,5</v>
      </c>
      <c r="T28" s="12" t="str">
        <f>"393,5912"</f>
        <v>393,5912</v>
      </c>
      <c r="U28" s="11" t="s">
        <v>464</v>
      </c>
    </row>
    <row r="29" spans="1:21">
      <c r="B29" s="5" t="s">
        <v>139</v>
      </c>
    </row>
    <row r="30" spans="1:21" ht="16">
      <c r="A30" s="45" t="s">
        <v>109</v>
      </c>
      <c r="B30" s="45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</row>
    <row r="31" spans="1:21">
      <c r="A31" s="8" t="s">
        <v>138</v>
      </c>
      <c r="B31" s="7" t="s">
        <v>110</v>
      </c>
      <c r="C31" s="7" t="s">
        <v>111</v>
      </c>
      <c r="D31" s="7" t="s">
        <v>112</v>
      </c>
      <c r="E31" s="7" t="s">
        <v>595</v>
      </c>
      <c r="F31" s="7" t="s">
        <v>465</v>
      </c>
      <c r="G31" s="20" t="s">
        <v>82</v>
      </c>
      <c r="H31" s="20" t="s">
        <v>83</v>
      </c>
      <c r="I31" s="21" t="s">
        <v>113</v>
      </c>
      <c r="J31" s="8"/>
      <c r="K31" s="20" t="s">
        <v>80</v>
      </c>
      <c r="L31" s="20" t="s">
        <v>81</v>
      </c>
      <c r="M31" s="21" t="s">
        <v>114</v>
      </c>
      <c r="N31" s="8"/>
      <c r="O31" s="20" t="s">
        <v>115</v>
      </c>
      <c r="P31" s="20" t="s">
        <v>113</v>
      </c>
      <c r="Q31" s="20" t="s">
        <v>116</v>
      </c>
      <c r="R31" s="8"/>
      <c r="S31" s="8" t="str">
        <f>"745,0"</f>
        <v>745,0</v>
      </c>
      <c r="T31" s="8" t="str">
        <f>"426,8850"</f>
        <v>426,8850</v>
      </c>
      <c r="U31" s="7"/>
    </row>
    <row r="32" spans="1:21">
      <c r="B32" s="5" t="s">
        <v>139</v>
      </c>
    </row>
    <row r="33" spans="2:6">
      <c r="B33" s="5" t="s">
        <v>139</v>
      </c>
    </row>
    <row r="34" spans="2:6">
      <c r="B34" s="5" t="s">
        <v>139</v>
      </c>
    </row>
    <row r="35" spans="2:6" ht="18">
      <c r="B35" s="15" t="s">
        <v>117</v>
      </c>
      <c r="C35" s="15"/>
    </row>
    <row r="37" spans="2:6" ht="16">
      <c r="B37" s="16" t="s">
        <v>127</v>
      </c>
      <c r="C37" s="16"/>
    </row>
    <row r="38" spans="2:6" ht="14">
      <c r="B38" s="17"/>
      <c r="C38" s="18" t="s">
        <v>124</v>
      </c>
    </row>
    <row r="39" spans="2:6" ht="14">
      <c r="B39" s="19" t="s">
        <v>119</v>
      </c>
      <c r="C39" s="19" t="s">
        <v>120</v>
      </c>
      <c r="D39" s="19" t="s">
        <v>588</v>
      </c>
      <c r="E39" s="19" t="s">
        <v>121</v>
      </c>
      <c r="F39" s="19" t="s">
        <v>122</v>
      </c>
    </row>
    <row r="40" spans="2:6">
      <c r="B40" s="5" t="s">
        <v>110</v>
      </c>
      <c r="C40" s="5" t="s">
        <v>124</v>
      </c>
      <c r="D40" s="6" t="s">
        <v>129</v>
      </c>
      <c r="E40" s="6" t="s">
        <v>130</v>
      </c>
      <c r="F40" s="6" t="s">
        <v>131</v>
      </c>
    </row>
    <row r="41" spans="2:6">
      <c r="B41" s="5" t="s">
        <v>75</v>
      </c>
      <c r="C41" s="5" t="s">
        <v>124</v>
      </c>
      <c r="D41" s="6" t="s">
        <v>132</v>
      </c>
      <c r="E41" s="6" t="s">
        <v>133</v>
      </c>
      <c r="F41" s="6" t="s">
        <v>134</v>
      </c>
    </row>
    <row r="42" spans="2:6">
      <c r="B42" s="5" t="s">
        <v>53</v>
      </c>
      <c r="C42" s="5" t="s">
        <v>124</v>
      </c>
      <c r="D42" s="6" t="s">
        <v>135</v>
      </c>
      <c r="E42" s="6" t="s">
        <v>136</v>
      </c>
      <c r="F42" s="6" t="s">
        <v>137</v>
      </c>
    </row>
  </sheetData>
  <mergeCells count="21"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A21:R21"/>
    <mergeCell ref="A26:R26"/>
    <mergeCell ref="A30:R30"/>
    <mergeCell ref="B3:B4"/>
    <mergeCell ref="A5:R5"/>
    <mergeCell ref="A8:R8"/>
    <mergeCell ref="A11:R11"/>
    <mergeCell ref="A14:R14"/>
    <mergeCell ref="A17:R17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A870B-A3EA-417D-BC64-59F562B2A278}">
  <sheetPr codeName="Лист2"/>
  <dimension ref="A1:U16"/>
  <sheetViews>
    <sheetView workbookViewId="0">
      <selection sqref="A1:U2"/>
    </sheetView>
  </sheetViews>
  <sheetFormatPr baseColWidth="10" defaultColWidth="9.1640625" defaultRowHeight="13"/>
  <cols>
    <col min="1" max="1" width="7.1640625" style="5" bestFit="1" customWidth="1"/>
    <col min="2" max="2" width="20" style="5" bestFit="1" customWidth="1"/>
    <col min="3" max="3" width="26.5" style="5" bestFit="1" customWidth="1"/>
    <col min="4" max="4" width="20.83203125" style="5" bestFit="1" customWidth="1"/>
    <col min="5" max="5" width="10.1640625" style="5" bestFit="1" customWidth="1"/>
    <col min="6" max="6" width="38.33203125" style="5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6" bestFit="1" customWidth="1"/>
    <col min="20" max="20" width="8.5" style="6" bestFit="1" customWidth="1"/>
    <col min="21" max="21" width="23.6640625" style="5" customWidth="1"/>
    <col min="22" max="16384" width="9.1640625" style="3"/>
  </cols>
  <sheetData>
    <row r="1" spans="1:21" s="2" customFormat="1" ht="29" customHeight="1">
      <c r="A1" s="55" t="s">
        <v>528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8"/>
    </row>
    <row r="2" spans="1:21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2"/>
    </row>
    <row r="3" spans="1:21" s="1" customFormat="1" ht="12.75" customHeight="1">
      <c r="A3" s="63" t="s">
        <v>590</v>
      </c>
      <c r="B3" s="47" t="s">
        <v>0</v>
      </c>
      <c r="C3" s="65" t="s">
        <v>592</v>
      </c>
      <c r="D3" s="65" t="s">
        <v>6</v>
      </c>
      <c r="E3" s="49" t="s">
        <v>593</v>
      </c>
      <c r="F3" s="49" t="s">
        <v>5</v>
      </c>
      <c r="G3" s="49" t="s">
        <v>7</v>
      </c>
      <c r="H3" s="49"/>
      <c r="I3" s="49"/>
      <c r="J3" s="49"/>
      <c r="K3" s="49" t="s">
        <v>8</v>
      </c>
      <c r="L3" s="49"/>
      <c r="M3" s="49"/>
      <c r="N3" s="49"/>
      <c r="O3" s="49" t="s">
        <v>9</v>
      </c>
      <c r="P3" s="49"/>
      <c r="Q3" s="49"/>
      <c r="R3" s="49"/>
      <c r="S3" s="49" t="s">
        <v>1</v>
      </c>
      <c r="T3" s="49" t="s">
        <v>3</v>
      </c>
      <c r="U3" s="51" t="s">
        <v>2</v>
      </c>
    </row>
    <row r="4" spans="1:21" s="1" customFormat="1" ht="21" customHeight="1" thickBot="1">
      <c r="A4" s="64"/>
      <c r="B4" s="4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0"/>
      <c r="T4" s="50"/>
      <c r="U4" s="52"/>
    </row>
    <row r="5" spans="1:21" ht="16">
      <c r="A5" s="53" t="s">
        <v>213</v>
      </c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21">
      <c r="A6" s="10" t="s">
        <v>138</v>
      </c>
      <c r="B6" s="9" t="s">
        <v>227</v>
      </c>
      <c r="C6" s="9" t="s">
        <v>228</v>
      </c>
      <c r="D6" s="9" t="s">
        <v>229</v>
      </c>
      <c r="E6" s="9" t="s">
        <v>594</v>
      </c>
      <c r="F6" s="9" t="s">
        <v>13</v>
      </c>
      <c r="G6" s="22" t="s">
        <v>71</v>
      </c>
      <c r="H6" s="22" t="s">
        <v>72</v>
      </c>
      <c r="I6" s="23" t="s">
        <v>90</v>
      </c>
      <c r="J6" s="10"/>
      <c r="K6" s="23" t="s">
        <v>15</v>
      </c>
      <c r="L6" s="22" t="s">
        <v>15</v>
      </c>
      <c r="M6" s="23" t="s">
        <v>28</v>
      </c>
      <c r="N6" s="10"/>
      <c r="O6" s="22" t="s">
        <v>230</v>
      </c>
      <c r="P6" s="22" t="s">
        <v>91</v>
      </c>
      <c r="Q6" s="22" t="s">
        <v>204</v>
      </c>
      <c r="R6" s="10"/>
      <c r="S6" s="10" t="str">
        <f>"477,5"</f>
        <v>477,5</v>
      </c>
      <c r="T6" s="10" t="str">
        <f>"325,7505"</f>
        <v>325,7505</v>
      </c>
      <c r="U6" s="9"/>
    </row>
    <row r="7" spans="1:21">
      <c r="A7" s="12" t="s">
        <v>138</v>
      </c>
      <c r="B7" s="11" t="s">
        <v>231</v>
      </c>
      <c r="C7" s="11" t="s">
        <v>232</v>
      </c>
      <c r="D7" s="11" t="s">
        <v>233</v>
      </c>
      <c r="E7" s="11" t="s">
        <v>595</v>
      </c>
      <c r="F7" s="11" t="s">
        <v>153</v>
      </c>
      <c r="G7" s="25" t="s">
        <v>186</v>
      </c>
      <c r="H7" s="24" t="s">
        <v>78</v>
      </c>
      <c r="I7" s="25" t="s">
        <v>78</v>
      </c>
      <c r="J7" s="12"/>
      <c r="K7" s="25" t="s">
        <v>89</v>
      </c>
      <c r="L7" s="25" t="s">
        <v>68</v>
      </c>
      <c r="M7" s="24" t="s">
        <v>234</v>
      </c>
      <c r="N7" s="12"/>
      <c r="O7" s="25" t="s">
        <v>90</v>
      </c>
      <c r="P7" s="25" t="s">
        <v>91</v>
      </c>
      <c r="Q7" s="24" t="s">
        <v>235</v>
      </c>
      <c r="R7" s="12"/>
      <c r="S7" s="12" t="str">
        <f>"550,0"</f>
        <v>550,0</v>
      </c>
      <c r="T7" s="12" t="str">
        <f>"375,4850"</f>
        <v>375,4850</v>
      </c>
      <c r="U7" s="11" t="s">
        <v>472</v>
      </c>
    </row>
    <row r="8" spans="1:21">
      <c r="B8" s="5" t="s">
        <v>139</v>
      </c>
    </row>
    <row r="9" spans="1:21" ht="16">
      <c r="A9" s="45" t="s">
        <v>52</v>
      </c>
      <c r="B9" s="45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</row>
    <row r="10" spans="1:21">
      <c r="A10" s="10" t="s">
        <v>138</v>
      </c>
      <c r="B10" s="9" t="s">
        <v>236</v>
      </c>
      <c r="C10" s="9" t="s">
        <v>237</v>
      </c>
      <c r="D10" s="9" t="s">
        <v>238</v>
      </c>
      <c r="E10" s="9" t="s">
        <v>595</v>
      </c>
      <c r="F10" s="9" t="s">
        <v>471</v>
      </c>
      <c r="G10" s="22" t="s">
        <v>90</v>
      </c>
      <c r="H10" s="22" t="s">
        <v>204</v>
      </c>
      <c r="I10" s="23" t="s">
        <v>56</v>
      </c>
      <c r="J10" s="10"/>
      <c r="K10" s="22" t="s">
        <v>69</v>
      </c>
      <c r="L10" s="22" t="s">
        <v>94</v>
      </c>
      <c r="M10" s="10"/>
      <c r="N10" s="10"/>
      <c r="O10" s="22" t="s">
        <v>58</v>
      </c>
      <c r="P10" s="23" t="s">
        <v>63</v>
      </c>
      <c r="Q10" s="23" t="s">
        <v>63</v>
      </c>
      <c r="R10" s="10"/>
      <c r="S10" s="10" t="str">
        <f>"575,0"</f>
        <v>575,0</v>
      </c>
      <c r="T10" s="10" t="str">
        <f>"377,5450"</f>
        <v>377,5450</v>
      </c>
      <c r="U10" s="9"/>
    </row>
    <row r="11" spans="1:21">
      <c r="A11" s="12" t="s">
        <v>140</v>
      </c>
      <c r="B11" s="11" t="s">
        <v>239</v>
      </c>
      <c r="C11" s="11" t="s">
        <v>240</v>
      </c>
      <c r="D11" s="11" t="s">
        <v>241</v>
      </c>
      <c r="E11" s="11" t="s">
        <v>595</v>
      </c>
      <c r="F11" s="11" t="s">
        <v>87</v>
      </c>
      <c r="G11" s="25" t="s">
        <v>90</v>
      </c>
      <c r="H11" s="25" t="s">
        <v>100</v>
      </c>
      <c r="I11" s="24" t="s">
        <v>242</v>
      </c>
      <c r="J11" s="12"/>
      <c r="K11" s="25" t="s">
        <v>89</v>
      </c>
      <c r="L11" s="24" t="s">
        <v>43</v>
      </c>
      <c r="M11" s="25" t="s">
        <v>43</v>
      </c>
      <c r="N11" s="12"/>
      <c r="O11" s="25" t="s">
        <v>90</v>
      </c>
      <c r="P11" s="25" t="s">
        <v>73</v>
      </c>
      <c r="Q11" s="25" t="s">
        <v>91</v>
      </c>
      <c r="R11" s="12"/>
      <c r="S11" s="12" t="str">
        <f>"517,5"</f>
        <v>517,5</v>
      </c>
      <c r="T11" s="12" t="str">
        <f>"334,2533"</f>
        <v>334,2533</v>
      </c>
      <c r="U11" s="11"/>
    </row>
    <row r="12" spans="1:21">
      <c r="B12" s="5" t="s">
        <v>139</v>
      </c>
    </row>
    <row r="13" spans="1:21" ht="16">
      <c r="A13" s="45" t="s">
        <v>109</v>
      </c>
      <c r="B13" s="45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</row>
    <row r="14" spans="1:21">
      <c r="A14" s="8" t="s">
        <v>138</v>
      </c>
      <c r="B14" s="7" t="s">
        <v>243</v>
      </c>
      <c r="C14" s="7" t="s">
        <v>244</v>
      </c>
      <c r="D14" s="7" t="s">
        <v>245</v>
      </c>
      <c r="E14" s="7" t="s">
        <v>595</v>
      </c>
      <c r="F14" s="7" t="s">
        <v>465</v>
      </c>
      <c r="G14" s="20" t="s">
        <v>198</v>
      </c>
      <c r="H14" s="21" t="s">
        <v>113</v>
      </c>
      <c r="I14" s="21" t="s">
        <v>246</v>
      </c>
      <c r="J14" s="8"/>
      <c r="K14" s="20" t="s">
        <v>88</v>
      </c>
      <c r="L14" s="20" t="s">
        <v>247</v>
      </c>
      <c r="M14" s="21" t="s">
        <v>100</v>
      </c>
      <c r="N14" s="8"/>
      <c r="O14" s="20" t="s">
        <v>108</v>
      </c>
      <c r="P14" s="21" t="s">
        <v>82</v>
      </c>
      <c r="Q14" s="20" t="s">
        <v>248</v>
      </c>
      <c r="R14" s="8"/>
      <c r="S14" s="8" t="str">
        <f>"742,5"</f>
        <v>742,5</v>
      </c>
      <c r="T14" s="8" t="str">
        <f>"427,7542"</f>
        <v>427,7542</v>
      </c>
      <c r="U14" s="7"/>
    </row>
    <row r="15" spans="1:21">
      <c r="B15" s="5" t="s">
        <v>139</v>
      </c>
    </row>
    <row r="16" spans="1:21">
      <c r="B16" s="5" t="s">
        <v>139</v>
      </c>
    </row>
  </sheetData>
  <mergeCells count="16"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9:R9"/>
    <mergeCell ref="A13:R13"/>
    <mergeCell ref="B3:B4"/>
    <mergeCell ref="S3:S4"/>
    <mergeCell ref="T3:T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9F720-29F7-41F6-9650-87EC161F3B18}">
  <sheetPr codeName="Лист3"/>
  <dimension ref="A1:U11"/>
  <sheetViews>
    <sheetView workbookViewId="0">
      <selection sqref="A1:U2"/>
    </sheetView>
  </sheetViews>
  <sheetFormatPr baseColWidth="10" defaultColWidth="9.1640625" defaultRowHeight="13"/>
  <cols>
    <col min="1" max="1" width="7.1640625" style="5" bestFit="1" customWidth="1"/>
    <col min="2" max="2" width="20.83203125" style="5" customWidth="1"/>
    <col min="3" max="3" width="26.5" style="5" bestFit="1" customWidth="1"/>
    <col min="4" max="4" width="20.83203125" style="5" bestFit="1" customWidth="1"/>
    <col min="5" max="5" width="10.1640625" style="5" bestFit="1" customWidth="1"/>
    <col min="6" max="6" width="30.5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6" bestFit="1" customWidth="1"/>
    <col min="20" max="20" width="8.5" style="6" bestFit="1" customWidth="1"/>
    <col min="21" max="21" width="21" style="5" customWidth="1"/>
    <col min="22" max="16384" width="9.1640625" style="3"/>
  </cols>
  <sheetData>
    <row r="1" spans="1:21" s="2" customFormat="1" ht="29" customHeight="1">
      <c r="A1" s="55" t="s">
        <v>529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8"/>
    </row>
    <row r="2" spans="1:21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2"/>
    </row>
    <row r="3" spans="1:21" s="1" customFormat="1" ht="12.75" customHeight="1">
      <c r="A3" s="63" t="s">
        <v>590</v>
      </c>
      <c r="B3" s="47" t="s">
        <v>0</v>
      </c>
      <c r="C3" s="65" t="s">
        <v>592</v>
      </c>
      <c r="D3" s="65" t="s">
        <v>6</v>
      </c>
      <c r="E3" s="49" t="s">
        <v>593</v>
      </c>
      <c r="F3" s="49" t="s">
        <v>5</v>
      </c>
      <c r="G3" s="49" t="s">
        <v>7</v>
      </c>
      <c r="H3" s="49"/>
      <c r="I3" s="49"/>
      <c r="J3" s="49"/>
      <c r="K3" s="49" t="s">
        <v>8</v>
      </c>
      <c r="L3" s="49"/>
      <c r="M3" s="49"/>
      <c r="N3" s="49"/>
      <c r="O3" s="49" t="s">
        <v>9</v>
      </c>
      <c r="P3" s="49"/>
      <c r="Q3" s="49"/>
      <c r="R3" s="49"/>
      <c r="S3" s="49" t="s">
        <v>1</v>
      </c>
      <c r="T3" s="49" t="s">
        <v>3</v>
      </c>
      <c r="U3" s="51" t="s">
        <v>2</v>
      </c>
    </row>
    <row r="4" spans="1:21" s="1" customFormat="1" ht="21" customHeight="1" thickBot="1">
      <c r="A4" s="64"/>
      <c r="B4" s="4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0"/>
      <c r="T4" s="50"/>
      <c r="U4" s="52"/>
    </row>
    <row r="5" spans="1:21" ht="16">
      <c r="A5" s="53" t="s">
        <v>213</v>
      </c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21">
      <c r="A6" s="8" t="s">
        <v>138</v>
      </c>
      <c r="B6" s="7" t="s">
        <v>214</v>
      </c>
      <c r="C6" s="7" t="s">
        <v>215</v>
      </c>
      <c r="D6" s="7" t="s">
        <v>216</v>
      </c>
      <c r="E6" s="7" t="s">
        <v>595</v>
      </c>
      <c r="F6" s="7" t="s">
        <v>38</v>
      </c>
      <c r="G6" s="20" t="s">
        <v>42</v>
      </c>
      <c r="H6" s="20" t="s">
        <v>43</v>
      </c>
      <c r="I6" s="20" t="s">
        <v>69</v>
      </c>
      <c r="J6" s="8"/>
      <c r="K6" s="20" t="s">
        <v>40</v>
      </c>
      <c r="L6" s="20" t="s">
        <v>29</v>
      </c>
      <c r="M6" s="20" t="s">
        <v>217</v>
      </c>
      <c r="N6" s="8"/>
      <c r="O6" s="20" t="s">
        <v>32</v>
      </c>
      <c r="P6" s="20" t="s">
        <v>89</v>
      </c>
      <c r="Q6" s="20" t="s">
        <v>218</v>
      </c>
      <c r="R6" s="8"/>
      <c r="S6" s="8" t="str">
        <f>"315,0"</f>
        <v>315,0</v>
      </c>
      <c r="T6" s="8" t="str">
        <f>"296,5410"</f>
        <v>296,5410</v>
      </c>
      <c r="U6" s="7" t="s">
        <v>462</v>
      </c>
    </row>
    <row r="7" spans="1:21">
      <c r="B7" s="5" t="s">
        <v>139</v>
      </c>
    </row>
    <row r="8" spans="1:21" ht="16">
      <c r="A8" s="45" t="s">
        <v>74</v>
      </c>
      <c r="B8" s="45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</row>
    <row r="9" spans="1:21">
      <c r="A9" s="10" t="s">
        <v>138</v>
      </c>
      <c r="B9" s="9" t="s">
        <v>219</v>
      </c>
      <c r="C9" s="9" t="s">
        <v>220</v>
      </c>
      <c r="D9" s="9" t="s">
        <v>221</v>
      </c>
      <c r="E9" s="9" t="s">
        <v>594</v>
      </c>
      <c r="F9" s="9" t="s">
        <v>38</v>
      </c>
      <c r="G9" s="22" t="s">
        <v>69</v>
      </c>
      <c r="H9" s="22" t="s">
        <v>80</v>
      </c>
      <c r="I9" s="22" t="s">
        <v>61</v>
      </c>
      <c r="J9" s="10"/>
      <c r="K9" s="22" t="s">
        <v>144</v>
      </c>
      <c r="L9" s="22" t="s">
        <v>14</v>
      </c>
      <c r="M9" s="22" t="s">
        <v>15</v>
      </c>
      <c r="N9" s="10"/>
      <c r="O9" s="23" t="s">
        <v>71</v>
      </c>
      <c r="P9" s="22" t="s">
        <v>72</v>
      </c>
      <c r="Q9" s="22" t="s">
        <v>91</v>
      </c>
      <c r="R9" s="10"/>
      <c r="S9" s="10" t="str">
        <f>"457,5"</f>
        <v>457,5</v>
      </c>
      <c r="T9" s="10" t="str">
        <f>"291,8850"</f>
        <v>291,8850</v>
      </c>
      <c r="U9" s="9" t="s">
        <v>470</v>
      </c>
    </row>
    <row r="10" spans="1:21">
      <c r="A10" s="12" t="s">
        <v>138</v>
      </c>
      <c r="B10" s="11" t="s">
        <v>222</v>
      </c>
      <c r="C10" s="11" t="s">
        <v>223</v>
      </c>
      <c r="D10" s="11" t="s">
        <v>224</v>
      </c>
      <c r="E10" s="11" t="s">
        <v>595</v>
      </c>
      <c r="F10" s="11" t="s">
        <v>13</v>
      </c>
      <c r="G10" s="25" t="s">
        <v>225</v>
      </c>
      <c r="H10" s="24" t="s">
        <v>82</v>
      </c>
      <c r="I10" s="25" t="s">
        <v>82</v>
      </c>
      <c r="J10" s="12"/>
      <c r="K10" s="24" t="s">
        <v>94</v>
      </c>
      <c r="L10" s="25" t="s">
        <v>94</v>
      </c>
      <c r="M10" s="25" t="s">
        <v>95</v>
      </c>
      <c r="N10" s="12"/>
      <c r="O10" s="25" t="s">
        <v>57</v>
      </c>
      <c r="P10" s="25" t="s">
        <v>187</v>
      </c>
      <c r="Q10" s="25" t="s">
        <v>79</v>
      </c>
      <c r="R10" s="12"/>
      <c r="S10" s="12" t="str">
        <f>"647,5"</f>
        <v>647,5</v>
      </c>
      <c r="T10" s="12" t="str">
        <f>"394,0685"</f>
        <v>394,0685</v>
      </c>
      <c r="U10" s="11"/>
    </row>
    <row r="11" spans="1:21">
      <c r="B11" s="5" t="s">
        <v>139</v>
      </c>
    </row>
  </sheetData>
  <mergeCells count="15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B3:B4"/>
    <mergeCell ref="S3:S4"/>
    <mergeCell ref="T3:T4"/>
    <mergeCell ref="U3:U4"/>
    <mergeCell ref="A5:R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7B72D-6121-4E00-981B-D985BAD400BF}">
  <sheetPr codeName="Лист4"/>
  <dimension ref="A1:Q16"/>
  <sheetViews>
    <sheetView workbookViewId="0">
      <selection sqref="A1:Q2"/>
    </sheetView>
  </sheetViews>
  <sheetFormatPr baseColWidth="10" defaultColWidth="9.1640625" defaultRowHeight="13"/>
  <cols>
    <col min="1" max="1" width="7.1640625" style="5" bestFit="1" customWidth="1"/>
    <col min="2" max="2" width="17.832031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38.5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5" width="7.6640625" style="6" bestFit="1" customWidth="1"/>
    <col min="16" max="16" width="8.5" style="6" bestFit="1" customWidth="1"/>
    <col min="17" max="17" width="28.5" style="5" bestFit="1" customWidth="1"/>
    <col min="18" max="16384" width="9.1640625" style="3"/>
  </cols>
  <sheetData>
    <row r="1" spans="1:17" s="2" customFormat="1" ht="29" customHeight="1">
      <c r="A1" s="55" t="s">
        <v>530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8"/>
    </row>
    <row r="2" spans="1:17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2"/>
    </row>
    <row r="3" spans="1:17" s="1" customFormat="1" ht="12.75" customHeight="1">
      <c r="A3" s="63" t="s">
        <v>590</v>
      </c>
      <c r="B3" s="47" t="s">
        <v>0</v>
      </c>
      <c r="C3" s="65" t="s">
        <v>592</v>
      </c>
      <c r="D3" s="65" t="s">
        <v>6</v>
      </c>
      <c r="E3" s="49" t="s">
        <v>593</v>
      </c>
      <c r="F3" s="49" t="s">
        <v>5</v>
      </c>
      <c r="G3" s="49" t="s">
        <v>8</v>
      </c>
      <c r="H3" s="49"/>
      <c r="I3" s="49"/>
      <c r="J3" s="49"/>
      <c r="K3" s="49" t="s">
        <v>9</v>
      </c>
      <c r="L3" s="49"/>
      <c r="M3" s="49"/>
      <c r="N3" s="49"/>
      <c r="O3" s="49" t="s">
        <v>1</v>
      </c>
      <c r="P3" s="49" t="s">
        <v>3</v>
      </c>
      <c r="Q3" s="51" t="s">
        <v>2</v>
      </c>
    </row>
    <row r="4" spans="1:17" s="1" customFormat="1" ht="21" customHeight="1" thickBot="1">
      <c r="A4" s="64"/>
      <c r="B4" s="4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0"/>
      <c r="P4" s="50"/>
      <c r="Q4" s="52"/>
    </row>
    <row r="5" spans="1:17" ht="16">
      <c r="A5" s="53" t="s">
        <v>158</v>
      </c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7">
      <c r="A6" s="8" t="s">
        <v>138</v>
      </c>
      <c r="B6" s="7" t="s">
        <v>456</v>
      </c>
      <c r="C6" s="7" t="s">
        <v>552</v>
      </c>
      <c r="D6" s="7" t="s">
        <v>457</v>
      </c>
      <c r="E6" s="7" t="s">
        <v>598</v>
      </c>
      <c r="F6" s="7" t="s">
        <v>172</v>
      </c>
      <c r="G6" s="20" t="s">
        <v>155</v>
      </c>
      <c r="H6" s="20" t="s">
        <v>40</v>
      </c>
      <c r="I6" s="20" t="s">
        <v>19</v>
      </c>
      <c r="J6" s="8"/>
      <c r="K6" s="20" t="s">
        <v>28</v>
      </c>
      <c r="L6" s="20" t="s">
        <v>32</v>
      </c>
      <c r="M6" s="21" t="s">
        <v>42</v>
      </c>
      <c r="N6" s="8"/>
      <c r="O6" s="8" t="str">
        <f>"152,5"</f>
        <v>152,5</v>
      </c>
      <c r="P6" s="8" t="str">
        <f>"159,9878"</f>
        <v>159,9878</v>
      </c>
      <c r="Q6" s="7" t="s">
        <v>487</v>
      </c>
    </row>
    <row r="7" spans="1:17">
      <c r="B7" s="5" t="s">
        <v>139</v>
      </c>
    </row>
    <row r="8" spans="1:17" ht="16">
      <c r="A8" s="45" t="s">
        <v>35</v>
      </c>
      <c r="B8" s="45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spans="1:17">
      <c r="A9" s="8" t="s">
        <v>138</v>
      </c>
      <c r="B9" s="7" t="s">
        <v>458</v>
      </c>
      <c r="C9" s="7" t="s">
        <v>459</v>
      </c>
      <c r="D9" s="7" t="s">
        <v>460</v>
      </c>
      <c r="E9" s="7" t="s">
        <v>594</v>
      </c>
      <c r="F9" s="7" t="s">
        <v>471</v>
      </c>
      <c r="G9" s="20" t="s">
        <v>15</v>
      </c>
      <c r="H9" s="21" t="s">
        <v>16</v>
      </c>
      <c r="I9" s="21" t="s">
        <v>31</v>
      </c>
      <c r="J9" s="8"/>
      <c r="K9" s="20" t="s">
        <v>70</v>
      </c>
      <c r="L9" s="20" t="s">
        <v>94</v>
      </c>
      <c r="M9" s="20" t="s">
        <v>95</v>
      </c>
      <c r="N9" s="8"/>
      <c r="O9" s="8" t="str">
        <f>"232,5"</f>
        <v>232,5</v>
      </c>
      <c r="P9" s="8" t="str">
        <f>"225,4320"</f>
        <v>225,4320</v>
      </c>
      <c r="Q9" s="7" t="s">
        <v>467</v>
      </c>
    </row>
    <row r="10" spans="1:17">
      <c r="B10" s="5" t="s">
        <v>139</v>
      </c>
    </row>
    <row r="11" spans="1:17" ht="16">
      <c r="A11" s="45" t="s">
        <v>173</v>
      </c>
      <c r="B11" s="45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</row>
    <row r="12" spans="1:17">
      <c r="A12" s="8" t="s">
        <v>138</v>
      </c>
      <c r="B12" s="7" t="s">
        <v>394</v>
      </c>
      <c r="C12" s="7" t="s">
        <v>395</v>
      </c>
      <c r="D12" s="7" t="s">
        <v>396</v>
      </c>
      <c r="E12" s="7" t="s">
        <v>595</v>
      </c>
      <c r="F12" s="7" t="s">
        <v>172</v>
      </c>
      <c r="G12" s="21" t="s">
        <v>43</v>
      </c>
      <c r="H12" s="20" t="s">
        <v>218</v>
      </c>
      <c r="I12" s="21" t="s">
        <v>318</v>
      </c>
      <c r="J12" s="8"/>
      <c r="K12" s="20" t="s">
        <v>90</v>
      </c>
      <c r="L12" s="20" t="s">
        <v>91</v>
      </c>
      <c r="M12" s="21" t="s">
        <v>56</v>
      </c>
      <c r="N12" s="8"/>
      <c r="O12" s="8" t="str">
        <f>"322,5"</f>
        <v>322,5</v>
      </c>
      <c r="P12" s="8" t="str">
        <f>"234,7155"</f>
        <v>234,7155</v>
      </c>
      <c r="Q12" s="7" t="s">
        <v>495</v>
      </c>
    </row>
    <row r="13" spans="1:17">
      <c r="B13" s="5" t="s">
        <v>139</v>
      </c>
    </row>
    <row r="14" spans="1:17" ht="16">
      <c r="A14" s="45" t="s">
        <v>52</v>
      </c>
      <c r="B14" s="45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</row>
    <row r="15" spans="1:17">
      <c r="A15" s="8" t="s">
        <v>138</v>
      </c>
      <c r="B15" s="7" t="s">
        <v>192</v>
      </c>
      <c r="C15" s="7" t="s">
        <v>193</v>
      </c>
      <c r="D15" s="7" t="s">
        <v>194</v>
      </c>
      <c r="E15" s="7" t="s">
        <v>595</v>
      </c>
      <c r="F15" s="7" t="s">
        <v>172</v>
      </c>
      <c r="G15" s="20" t="s">
        <v>68</v>
      </c>
      <c r="H15" s="20" t="s">
        <v>69</v>
      </c>
      <c r="I15" s="21" t="s">
        <v>70</v>
      </c>
      <c r="J15" s="8"/>
      <c r="K15" s="20" t="s">
        <v>56</v>
      </c>
      <c r="L15" s="20" t="s">
        <v>58</v>
      </c>
      <c r="M15" s="21" t="s">
        <v>62</v>
      </c>
      <c r="N15" s="8"/>
      <c r="O15" s="8" t="str">
        <f>"360,0"</f>
        <v>360,0</v>
      </c>
      <c r="P15" s="8" t="str">
        <f>"230,3280"</f>
        <v>230,3280</v>
      </c>
      <c r="Q15" s="7" t="s">
        <v>468</v>
      </c>
    </row>
    <row r="16" spans="1:17">
      <c r="B16" s="5" t="s">
        <v>139</v>
      </c>
    </row>
  </sheetData>
  <mergeCells count="16"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A11:N11"/>
    <mergeCell ref="A14:N14"/>
    <mergeCell ref="B3:B4"/>
    <mergeCell ref="O3:O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0AD8E-6B98-4AAB-9153-982840A6C21C}">
  <sheetPr codeName="Лист6"/>
  <dimension ref="A1:Q13"/>
  <sheetViews>
    <sheetView workbookViewId="0">
      <selection sqref="A1:Q2"/>
    </sheetView>
  </sheetViews>
  <sheetFormatPr baseColWidth="10" defaultColWidth="9.1640625" defaultRowHeight="13"/>
  <cols>
    <col min="1" max="1" width="7.1640625" style="5" bestFit="1" customWidth="1"/>
    <col min="2" max="2" width="25.1640625" style="5" customWidth="1"/>
    <col min="3" max="3" width="27.83203125" style="5" customWidth="1"/>
    <col min="4" max="4" width="20.83203125" style="5" bestFit="1" customWidth="1"/>
    <col min="5" max="5" width="10.1640625" style="5" bestFit="1" customWidth="1"/>
    <col min="6" max="6" width="34.83203125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5" width="7.6640625" style="6" bestFit="1" customWidth="1"/>
    <col min="16" max="16" width="8.5" style="6" bestFit="1" customWidth="1"/>
    <col min="17" max="17" width="21.5" style="5" customWidth="1"/>
    <col min="18" max="16384" width="9.1640625" style="3"/>
  </cols>
  <sheetData>
    <row r="1" spans="1:17" s="2" customFormat="1" ht="29" customHeight="1">
      <c r="A1" s="55" t="s">
        <v>531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8"/>
    </row>
    <row r="2" spans="1:17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2"/>
    </row>
    <row r="3" spans="1:17" s="1" customFormat="1" ht="12.75" customHeight="1">
      <c r="A3" s="63" t="s">
        <v>590</v>
      </c>
      <c r="B3" s="47" t="s">
        <v>0</v>
      </c>
      <c r="C3" s="65" t="s">
        <v>592</v>
      </c>
      <c r="D3" s="65" t="s">
        <v>6</v>
      </c>
      <c r="E3" s="49" t="s">
        <v>593</v>
      </c>
      <c r="F3" s="49" t="s">
        <v>5</v>
      </c>
      <c r="G3" s="49" t="s">
        <v>8</v>
      </c>
      <c r="H3" s="49"/>
      <c r="I3" s="49"/>
      <c r="J3" s="49"/>
      <c r="K3" s="49" t="s">
        <v>9</v>
      </c>
      <c r="L3" s="49"/>
      <c r="M3" s="49"/>
      <c r="N3" s="49"/>
      <c r="O3" s="49" t="s">
        <v>1</v>
      </c>
      <c r="P3" s="49" t="s">
        <v>3</v>
      </c>
      <c r="Q3" s="51" t="s">
        <v>2</v>
      </c>
    </row>
    <row r="4" spans="1:17" s="1" customFormat="1" ht="21" customHeight="1" thickBot="1">
      <c r="A4" s="64"/>
      <c r="B4" s="4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0"/>
      <c r="P4" s="50"/>
      <c r="Q4" s="52"/>
    </row>
    <row r="5" spans="1:17" ht="16">
      <c r="A5" s="53" t="s">
        <v>149</v>
      </c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7">
      <c r="A6" s="8" t="s">
        <v>138</v>
      </c>
      <c r="B6" s="7" t="s">
        <v>450</v>
      </c>
      <c r="C6" s="7" t="s">
        <v>451</v>
      </c>
      <c r="D6" s="7" t="s">
        <v>452</v>
      </c>
      <c r="E6" s="7" t="s">
        <v>594</v>
      </c>
      <c r="F6" s="7" t="s">
        <v>465</v>
      </c>
      <c r="G6" s="20" t="s">
        <v>49</v>
      </c>
      <c r="H6" s="20" t="s">
        <v>154</v>
      </c>
      <c r="I6" s="21" t="s">
        <v>17</v>
      </c>
      <c r="J6" s="8"/>
      <c r="K6" s="20" t="s">
        <v>29</v>
      </c>
      <c r="L6" s="20" t="s">
        <v>30</v>
      </c>
      <c r="M6" s="20" t="s">
        <v>47</v>
      </c>
      <c r="N6" s="8"/>
      <c r="O6" s="8" t="str">
        <f>"105,0"</f>
        <v>105,0</v>
      </c>
      <c r="P6" s="8" t="str">
        <f>"120,3615"</f>
        <v>120,3615</v>
      </c>
      <c r="Q6" s="7" t="s">
        <v>494</v>
      </c>
    </row>
    <row r="7" spans="1:17">
      <c r="B7" s="5" t="s">
        <v>139</v>
      </c>
    </row>
    <row r="8" spans="1:17" ht="16">
      <c r="A8" s="45" t="s">
        <v>173</v>
      </c>
      <c r="B8" s="45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spans="1:17">
      <c r="A9" s="8" t="s">
        <v>138</v>
      </c>
      <c r="B9" s="7" t="s">
        <v>446</v>
      </c>
      <c r="C9" s="7" t="s">
        <v>447</v>
      </c>
      <c r="D9" s="7" t="s">
        <v>448</v>
      </c>
      <c r="E9" s="7" t="s">
        <v>595</v>
      </c>
      <c r="F9" s="7" t="s">
        <v>449</v>
      </c>
      <c r="G9" s="20" t="s">
        <v>28</v>
      </c>
      <c r="H9" s="20" t="s">
        <v>32</v>
      </c>
      <c r="I9" s="21" t="s">
        <v>33</v>
      </c>
      <c r="J9" s="8"/>
      <c r="K9" s="21" t="s">
        <v>81</v>
      </c>
      <c r="L9" s="20" t="s">
        <v>81</v>
      </c>
      <c r="M9" s="20" t="s">
        <v>88</v>
      </c>
      <c r="N9" s="8"/>
      <c r="O9" s="8" t="str">
        <f>"280,0"</f>
        <v>280,0</v>
      </c>
      <c r="P9" s="8" t="str">
        <f>"207,3680"</f>
        <v>207,3680</v>
      </c>
      <c r="Q9" s="7" t="s">
        <v>492</v>
      </c>
    </row>
    <row r="10" spans="1:17">
      <c r="B10" s="5" t="s">
        <v>139</v>
      </c>
    </row>
    <row r="11" spans="1:17" ht="16">
      <c r="A11" s="45" t="s">
        <v>213</v>
      </c>
      <c r="B11" s="45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</row>
    <row r="12" spans="1:17">
      <c r="A12" s="8" t="s">
        <v>138</v>
      </c>
      <c r="B12" s="7" t="s">
        <v>453</v>
      </c>
      <c r="C12" s="7" t="s">
        <v>454</v>
      </c>
      <c r="D12" s="7" t="s">
        <v>455</v>
      </c>
      <c r="E12" s="7" t="s">
        <v>595</v>
      </c>
      <c r="F12" s="7" t="s">
        <v>465</v>
      </c>
      <c r="G12" s="20" t="s">
        <v>32</v>
      </c>
      <c r="H12" s="20" t="s">
        <v>33</v>
      </c>
      <c r="I12" s="21" t="s">
        <v>42</v>
      </c>
      <c r="J12" s="8"/>
      <c r="K12" s="20" t="s">
        <v>80</v>
      </c>
      <c r="L12" s="20" t="s">
        <v>81</v>
      </c>
      <c r="M12" s="20" t="s">
        <v>61</v>
      </c>
      <c r="N12" s="8"/>
      <c r="O12" s="8" t="str">
        <f>"275,0"</f>
        <v>275,0</v>
      </c>
      <c r="P12" s="8" t="str">
        <f>"192,6375"</f>
        <v>192,6375</v>
      </c>
      <c r="Q12" s="7" t="s">
        <v>492</v>
      </c>
    </row>
    <row r="13" spans="1:17">
      <c r="B13" s="5" t="s">
        <v>139</v>
      </c>
    </row>
  </sheetData>
  <mergeCells count="15"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A11:N11"/>
    <mergeCell ref="B3:B4"/>
    <mergeCell ref="O3:O4"/>
    <mergeCell ref="P3:P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51C37-14CD-4692-8F0E-A080C842F6EA}">
  <sheetPr codeName="Лист7"/>
  <dimension ref="A1:M7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9.83203125" style="5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30.33203125" style="5" bestFit="1" customWidth="1"/>
    <col min="7" max="10" width="5.5" style="6" customWidth="1"/>
    <col min="11" max="11" width="17.1640625" style="6" customWidth="1"/>
    <col min="12" max="12" width="8.5" style="6" bestFit="1" customWidth="1"/>
    <col min="13" max="13" width="21.83203125" style="5" customWidth="1"/>
    <col min="14" max="16384" width="9.1640625" style="3"/>
  </cols>
  <sheetData>
    <row r="1" spans="1:13" s="2" customFormat="1" ht="29" customHeight="1">
      <c r="A1" s="55" t="s">
        <v>532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590</v>
      </c>
      <c r="B3" s="47" t="s">
        <v>0</v>
      </c>
      <c r="C3" s="65" t="s">
        <v>592</v>
      </c>
      <c r="D3" s="65" t="s">
        <v>6</v>
      </c>
      <c r="E3" s="49" t="s">
        <v>593</v>
      </c>
      <c r="F3" s="49" t="s">
        <v>5</v>
      </c>
      <c r="G3" s="49" t="s">
        <v>7</v>
      </c>
      <c r="H3" s="49"/>
      <c r="I3" s="49"/>
      <c r="J3" s="49"/>
      <c r="K3" s="49" t="s">
        <v>301</v>
      </c>
      <c r="L3" s="49" t="s">
        <v>3</v>
      </c>
      <c r="M3" s="51" t="s">
        <v>2</v>
      </c>
    </row>
    <row r="4" spans="1:13" s="1" customFormat="1" ht="21" customHeight="1" thickBot="1">
      <c r="A4" s="64"/>
      <c r="B4" s="4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2"/>
    </row>
    <row r="5" spans="1:13" ht="16">
      <c r="A5" s="53" t="s">
        <v>213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8" t="s">
        <v>138</v>
      </c>
      <c r="B6" s="7" t="s">
        <v>231</v>
      </c>
      <c r="C6" s="7" t="s">
        <v>232</v>
      </c>
      <c r="D6" s="7" t="s">
        <v>233</v>
      </c>
      <c r="E6" s="7" t="s">
        <v>595</v>
      </c>
      <c r="F6" s="7" t="s">
        <v>153</v>
      </c>
      <c r="G6" s="20" t="s">
        <v>186</v>
      </c>
      <c r="H6" s="21" t="s">
        <v>78</v>
      </c>
      <c r="I6" s="20" t="s">
        <v>78</v>
      </c>
      <c r="J6" s="8"/>
      <c r="K6" s="8" t="str">
        <f>"225,0"</f>
        <v>225,0</v>
      </c>
      <c r="L6" s="8" t="str">
        <f>"153,6075"</f>
        <v>153,6075</v>
      </c>
      <c r="M6" s="7" t="s">
        <v>493</v>
      </c>
    </row>
    <row r="7" spans="1:13">
      <c r="B7" s="5" t="s">
        <v>139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8B067-314C-4525-8606-88CC6D3C3337}">
  <sheetPr codeName="Лист11"/>
  <dimension ref="A1:M69"/>
  <sheetViews>
    <sheetView workbookViewId="0">
      <selection activeCell="F46" sqref="F46"/>
    </sheetView>
  </sheetViews>
  <sheetFormatPr baseColWidth="10" defaultColWidth="9.1640625" defaultRowHeight="13"/>
  <cols>
    <col min="1" max="1" width="7.1640625" style="5" bestFit="1" customWidth="1"/>
    <col min="2" max="2" width="22.83203125" style="5" customWidth="1"/>
    <col min="3" max="3" width="28.83203125" style="5" bestFit="1" customWidth="1"/>
    <col min="4" max="4" width="20.83203125" style="5" bestFit="1" customWidth="1"/>
    <col min="5" max="5" width="10.1640625" style="5" bestFit="1" customWidth="1"/>
    <col min="6" max="6" width="38.6640625" style="5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27" style="5" bestFit="1" customWidth="1"/>
    <col min="14" max="16384" width="9.1640625" style="3"/>
  </cols>
  <sheetData>
    <row r="1" spans="1:13" s="2" customFormat="1" ht="29" customHeight="1">
      <c r="A1" s="55" t="s">
        <v>533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590</v>
      </c>
      <c r="B3" s="47" t="s">
        <v>0</v>
      </c>
      <c r="C3" s="65" t="s">
        <v>592</v>
      </c>
      <c r="D3" s="65" t="s">
        <v>6</v>
      </c>
      <c r="E3" s="49" t="s">
        <v>593</v>
      </c>
      <c r="F3" s="49" t="s">
        <v>5</v>
      </c>
      <c r="G3" s="49" t="s">
        <v>8</v>
      </c>
      <c r="H3" s="49"/>
      <c r="I3" s="49"/>
      <c r="J3" s="49"/>
      <c r="K3" s="49" t="s">
        <v>301</v>
      </c>
      <c r="L3" s="49" t="s">
        <v>3</v>
      </c>
      <c r="M3" s="51" t="s">
        <v>2</v>
      </c>
    </row>
    <row r="4" spans="1:13" s="1" customFormat="1" ht="21" customHeight="1" thickBot="1">
      <c r="A4" s="64"/>
      <c r="B4" s="4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2"/>
    </row>
    <row r="5" spans="1:13" ht="16">
      <c r="A5" s="53" t="s">
        <v>22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8" t="s">
        <v>138</v>
      </c>
      <c r="B6" s="7" t="s">
        <v>145</v>
      </c>
      <c r="C6" s="7" t="s">
        <v>146</v>
      </c>
      <c r="D6" s="7" t="s">
        <v>147</v>
      </c>
      <c r="E6" s="7" t="s">
        <v>595</v>
      </c>
      <c r="F6" s="7" t="s">
        <v>13</v>
      </c>
      <c r="G6" s="20" t="s">
        <v>40</v>
      </c>
      <c r="H6" s="21" t="s">
        <v>19</v>
      </c>
      <c r="I6" s="20" t="s">
        <v>19</v>
      </c>
      <c r="J6" s="8"/>
      <c r="K6" s="8" t="str">
        <f>"52,5"</f>
        <v>52,5</v>
      </c>
      <c r="L6" s="8" t="str">
        <f>"66,2340"</f>
        <v>66,2340</v>
      </c>
      <c r="M6" s="7"/>
    </row>
    <row r="7" spans="1:13">
      <c r="B7" s="5" t="s">
        <v>139</v>
      </c>
    </row>
    <row r="8" spans="1:13" ht="16">
      <c r="A8" s="45" t="s">
        <v>149</v>
      </c>
      <c r="B8" s="45"/>
      <c r="C8" s="46"/>
      <c r="D8" s="46"/>
      <c r="E8" s="46"/>
      <c r="F8" s="46"/>
      <c r="G8" s="46"/>
      <c r="H8" s="46"/>
      <c r="I8" s="46"/>
      <c r="J8" s="46"/>
    </row>
    <row r="9" spans="1:13">
      <c r="A9" s="10" t="s">
        <v>138</v>
      </c>
      <c r="B9" s="9" t="s">
        <v>302</v>
      </c>
      <c r="C9" s="9" t="s">
        <v>553</v>
      </c>
      <c r="D9" s="9" t="s">
        <v>303</v>
      </c>
      <c r="E9" s="9" t="s">
        <v>597</v>
      </c>
      <c r="F9" s="9" t="s">
        <v>465</v>
      </c>
      <c r="G9" s="22" t="s">
        <v>217</v>
      </c>
      <c r="H9" s="22" t="s">
        <v>304</v>
      </c>
      <c r="I9" s="23" t="s">
        <v>51</v>
      </c>
      <c r="J9" s="10"/>
      <c r="K9" s="10" t="str">
        <f>"67,5"</f>
        <v>67,5</v>
      </c>
      <c r="L9" s="10" t="str">
        <f>"75,6473"</f>
        <v>75,6473</v>
      </c>
      <c r="M9" s="9" t="s">
        <v>479</v>
      </c>
    </row>
    <row r="10" spans="1:13">
      <c r="A10" s="12" t="s">
        <v>138</v>
      </c>
      <c r="B10" s="11" t="s">
        <v>305</v>
      </c>
      <c r="C10" s="11" t="s">
        <v>306</v>
      </c>
      <c r="D10" s="11" t="s">
        <v>307</v>
      </c>
      <c r="E10" s="11" t="s">
        <v>595</v>
      </c>
      <c r="F10" s="11" t="s">
        <v>465</v>
      </c>
      <c r="G10" s="25" t="s">
        <v>50</v>
      </c>
      <c r="H10" s="24" t="s">
        <v>17</v>
      </c>
      <c r="I10" s="25" t="s">
        <v>17</v>
      </c>
      <c r="J10" s="12"/>
      <c r="K10" s="12" t="str">
        <f>"42,5"</f>
        <v>42,5</v>
      </c>
      <c r="L10" s="12" t="str">
        <f>"48,9133"</f>
        <v>48,9133</v>
      </c>
      <c r="M10" s="11"/>
    </row>
    <row r="11" spans="1:13">
      <c r="B11" s="5" t="s">
        <v>139</v>
      </c>
    </row>
    <row r="12" spans="1:13" ht="16">
      <c r="A12" s="45" t="s">
        <v>173</v>
      </c>
      <c r="B12" s="45"/>
      <c r="C12" s="46"/>
      <c r="D12" s="46"/>
      <c r="E12" s="46"/>
      <c r="F12" s="46"/>
      <c r="G12" s="46"/>
      <c r="H12" s="46"/>
      <c r="I12" s="46"/>
      <c r="J12" s="46"/>
    </row>
    <row r="13" spans="1:13">
      <c r="A13" s="8" t="s">
        <v>138</v>
      </c>
      <c r="B13" s="7" t="s">
        <v>308</v>
      </c>
      <c r="C13" s="7" t="s">
        <v>309</v>
      </c>
      <c r="D13" s="7" t="s">
        <v>310</v>
      </c>
      <c r="E13" s="7" t="s">
        <v>595</v>
      </c>
      <c r="F13" s="7" t="s">
        <v>465</v>
      </c>
      <c r="G13" s="20" t="s">
        <v>41</v>
      </c>
      <c r="H13" s="20" t="s">
        <v>30</v>
      </c>
      <c r="I13" s="20" t="s">
        <v>217</v>
      </c>
      <c r="J13" s="8"/>
      <c r="K13" s="8" t="str">
        <f>"62,5"</f>
        <v>62,5</v>
      </c>
      <c r="L13" s="8" t="str">
        <f>"60,6688"</f>
        <v>60,6688</v>
      </c>
      <c r="M13" s="7" t="s">
        <v>480</v>
      </c>
    </row>
    <row r="14" spans="1:13">
      <c r="B14" s="5" t="s">
        <v>139</v>
      </c>
    </row>
    <row r="15" spans="1:13" ht="16">
      <c r="A15" s="45" t="s">
        <v>158</v>
      </c>
      <c r="B15" s="45"/>
      <c r="C15" s="46"/>
      <c r="D15" s="46"/>
      <c r="E15" s="46"/>
      <c r="F15" s="46"/>
      <c r="G15" s="46"/>
      <c r="H15" s="46"/>
      <c r="I15" s="46"/>
      <c r="J15" s="46"/>
    </row>
    <row r="16" spans="1:13">
      <c r="A16" s="8" t="s">
        <v>138</v>
      </c>
      <c r="B16" s="7" t="s">
        <v>311</v>
      </c>
      <c r="C16" s="7" t="s">
        <v>312</v>
      </c>
      <c r="D16" s="7" t="s">
        <v>313</v>
      </c>
      <c r="E16" s="7" t="s">
        <v>595</v>
      </c>
      <c r="F16" s="7" t="s">
        <v>465</v>
      </c>
      <c r="G16" s="20" t="s">
        <v>26</v>
      </c>
      <c r="H16" s="20" t="s">
        <v>14</v>
      </c>
      <c r="I16" s="21" t="s">
        <v>27</v>
      </c>
      <c r="J16" s="8"/>
      <c r="K16" s="8" t="str">
        <f>"82,5"</f>
        <v>82,5</v>
      </c>
      <c r="L16" s="8" t="str">
        <f>"65,3565"</f>
        <v>65,3565</v>
      </c>
      <c r="M16" s="7"/>
    </row>
    <row r="17" spans="1:13">
      <c r="B17" s="5" t="s">
        <v>139</v>
      </c>
    </row>
    <row r="18" spans="1:13" ht="16">
      <c r="A18" s="45" t="s">
        <v>173</v>
      </c>
      <c r="B18" s="45"/>
      <c r="C18" s="46"/>
      <c r="D18" s="46"/>
      <c r="E18" s="46"/>
      <c r="F18" s="46"/>
      <c r="G18" s="46"/>
      <c r="H18" s="46"/>
      <c r="I18" s="46"/>
      <c r="J18" s="46"/>
    </row>
    <row r="19" spans="1:13">
      <c r="A19" s="8" t="s">
        <v>138</v>
      </c>
      <c r="B19" s="7" t="s">
        <v>314</v>
      </c>
      <c r="C19" s="7" t="s">
        <v>315</v>
      </c>
      <c r="D19" s="7" t="s">
        <v>316</v>
      </c>
      <c r="E19" s="7" t="s">
        <v>595</v>
      </c>
      <c r="F19" s="7" t="s">
        <v>172</v>
      </c>
      <c r="G19" s="20" t="s">
        <v>317</v>
      </c>
      <c r="H19" s="20" t="s">
        <v>68</v>
      </c>
      <c r="I19" s="21" t="s">
        <v>318</v>
      </c>
      <c r="J19" s="8"/>
      <c r="K19" s="8" t="str">
        <f>"125,0"</f>
        <v>125,0</v>
      </c>
      <c r="L19" s="8" t="str">
        <f>"89,6625"</f>
        <v>89,6625</v>
      </c>
      <c r="M19" s="7"/>
    </row>
    <row r="20" spans="1:13">
      <c r="B20" s="5" t="s">
        <v>139</v>
      </c>
    </row>
    <row r="21" spans="1:13" ht="16">
      <c r="A21" s="45" t="s">
        <v>213</v>
      </c>
      <c r="B21" s="45"/>
      <c r="C21" s="46"/>
      <c r="D21" s="46"/>
      <c r="E21" s="46"/>
      <c r="F21" s="46"/>
      <c r="G21" s="46"/>
      <c r="H21" s="46"/>
      <c r="I21" s="46"/>
      <c r="J21" s="46"/>
    </row>
    <row r="22" spans="1:13">
      <c r="A22" s="10" t="s">
        <v>138</v>
      </c>
      <c r="B22" s="9" t="s">
        <v>319</v>
      </c>
      <c r="C22" s="9" t="s">
        <v>320</v>
      </c>
      <c r="D22" s="9" t="s">
        <v>321</v>
      </c>
      <c r="E22" s="9" t="s">
        <v>594</v>
      </c>
      <c r="F22" s="9" t="s">
        <v>587</v>
      </c>
      <c r="G22" s="22" t="s">
        <v>42</v>
      </c>
      <c r="H22" s="22" t="s">
        <v>168</v>
      </c>
      <c r="I22" s="22" t="s">
        <v>89</v>
      </c>
      <c r="J22" s="10"/>
      <c r="K22" s="10" t="str">
        <f>"115,0"</f>
        <v>115,0</v>
      </c>
      <c r="L22" s="10" t="str">
        <f>"79,6605"</f>
        <v>79,6605</v>
      </c>
      <c r="M22" s="9" t="s">
        <v>481</v>
      </c>
    </row>
    <row r="23" spans="1:13">
      <c r="A23" s="14" t="s">
        <v>138</v>
      </c>
      <c r="B23" s="13" t="s">
        <v>322</v>
      </c>
      <c r="C23" s="13" t="s">
        <v>554</v>
      </c>
      <c r="D23" s="13" t="s">
        <v>323</v>
      </c>
      <c r="E23" s="13" t="s">
        <v>597</v>
      </c>
      <c r="F23" s="13" t="s">
        <v>166</v>
      </c>
      <c r="G23" s="26" t="s">
        <v>317</v>
      </c>
      <c r="H23" s="26" t="s">
        <v>318</v>
      </c>
      <c r="I23" s="26" t="s">
        <v>69</v>
      </c>
      <c r="J23" s="14"/>
      <c r="K23" s="14" t="str">
        <f>"130,0"</f>
        <v>130,0</v>
      </c>
      <c r="L23" s="14" t="str">
        <f>"89,8300"</f>
        <v>89,8300</v>
      </c>
      <c r="M23" s="13" t="s">
        <v>482</v>
      </c>
    </row>
    <row r="24" spans="1:13">
      <c r="A24" s="14" t="s">
        <v>138</v>
      </c>
      <c r="B24" s="13" t="s">
        <v>324</v>
      </c>
      <c r="C24" s="13" t="s">
        <v>325</v>
      </c>
      <c r="D24" s="13" t="s">
        <v>326</v>
      </c>
      <c r="E24" s="13" t="s">
        <v>595</v>
      </c>
      <c r="F24" s="13" t="s">
        <v>465</v>
      </c>
      <c r="G24" s="26" t="s">
        <v>327</v>
      </c>
      <c r="H24" s="26" t="s">
        <v>95</v>
      </c>
      <c r="I24" s="26" t="s">
        <v>80</v>
      </c>
      <c r="J24" s="14"/>
      <c r="K24" s="14" t="str">
        <f>"150,0"</f>
        <v>150,0</v>
      </c>
      <c r="L24" s="14" t="str">
        <f>"105,4350"</f>
        <v>105,4350</v>
      </c>
      <c r="M24" s="13" t="s">
        <v>479</v>
      </c>
    </row>
    <row r="25" spans="1:13">
      <c r="A25" s="14" t="s">
        <v>140</v>
      </c>
      <c r="B25" s="13" t="s">
        <v>328</v>
      </c>
      <c r="C25" s="13" t="s">
        <v>329</v>
      </c>
      <c r="D25" s="13" t="s">
        <v>330</v>
      </c>
      <c r="E25" s="13" t="s">
        <v>595</v>
      </c>
      <c r="F25" s="13" t="s">
        <v>465</v>
      </c>
      <c r="G25" s="26" t="s">
        <v>318</v>
      </c>
      <c r="H25" s="26" t="s">
        <v>70</v>
      </c>
      <c r="I25" s="26" t="s">
        <v>94</v>
      </c>
      <c r="J25" s="14"/>
      <c r="K25" s="14" t="str">
        <f>"140,0"</f>
        <v>140,0</v>
      </c>
      <c r="L25" s="14" t="str">
        <f>"96,8240"</f>
        <v>96,8240</v>
      </c>
      <c r="M25" s="13" t="s">
        <v>483</v>
      </c>
    </row>
    <row r="26" spans="1:13">
      <c r="A26" s="14" t="s">
        <v>212</v>
      </c>
      <c r="B26" s="13" t="s">
        <v>331</v>
      </c>
      <c r="C26" s="13" t="s">
        <v>332</v>
      </c>
      <c r="D26" s="13" t="s">
        <v>233</v>
      </c>
      <c r="E26" s="13" t="s">
        <v>595</v>
      </c>
      <c r="F26" s="13" t="s">
        <v>465</v>
      </c>
      <c r="G26" s="26" t="s">
        <v>318</v>
      </c>
      <c r="H26" s="26" t="s">
        <v>69</v>
      </c>
      <c r="I26" s="27" t="s">
        <v>234</v>
      </c>
      <c r="J26" s="14"/>
      <c r="K26" s="14" t="str">
        <f>"130,0"</f>
        <v>130,0</v>
      </c>
      <c r="L26" s="14" t="str">
        <f>"88,7510"</f>
        <v>88,7510</v>
      </c>
      <c r="M26" s="13"/>
    </row>
    <row r="27" spans="1:13">
      <c r="A27" s="14" t="s">
        <v>387</v>
      </c>
      <c r="B27" s="13" t="s">
        <v>333</v>
      </c>
      <c r="C27" s="13" t="s">
        <v>334</v>
      </c>
      <c r="D27" s="13" t="s">
        <v>335</v>
      </c>
      <c r="E27" s="13" t="s">
        <v>595</v>
      </c>
      <c r="F27" s="13" t="s">
        <v>166</v>
      </c>
      <c r="G27" s="27" t="s">
        <v>69</v>
      </c>
      <c r="H27" s="26" t="s">
        <v>69</v>
      </c>
      <c r="I27" s="27" t="s">
        <v>94</v>
      </c>
      <c r="J27" s="14"/>
      <c r="K27" s="14" t="str">
        <f>"130,0"</f>
        <v>130,0</v>
      </c>
      <c r="L27" s="14" t="str">
        <f>"87,8670"</f>
        <v>87,8670</v>
      </c>
      <c r="M27" s="13"/>
    </row>
    <row r="28" spans="1:13">
      <c r="A28" s="12" t="s">
        <v>138</v>
      </c>
      <c r="B28" s="11" t="s">
        <v>336</v>
      </c>
      <c r="C28" s="11" t="s">
        <v>555</v>
      </c>
      <c r="D28" s="11" t="s">
        <v>337</v>
      </c>
      <c r="E28" s="11" t="s">
        <v>596</v>
      </c>
      <c r="F28" s="11" t="s">
        <v>465</v>
      </c>
      <c r="G28" s="25" t="s">
        <v>69</v>
      </c>
      <c r="H28" s="25" t="s">
        <v>94</v>
      </c>
      <c r="I28" s="24" t="s">
        <v>95</v>
      </c>
      <c r="J28" s="12"/>
      <c r="K28" s="12" t="str">
        <f>"140,0"</f>
        <v>140,0</v>
      </c>
      <c r="L28" s="12" t="str">
        <f>"105,1794"</f>
        <v>105,1794</v>
      </c>
      <c r="M28" s="11"/>
    </row>
    <row r="29" spans="1:13">
      <c r="B29" s="5" t="s">
        <v>139</v>
      </c>
    </row>
    <row r="30" spans="1:13" ht="16">
      <c r="A30" s="45" t="s">
        <v>52</v>
      </c>
      <c r="B30" s="45"/>
      <c r="C30" s="46"/>
      <c r="D30" s="46"/>
      <c r="E30" s="46"/>
      <c r="F30" s="46"/>
      <c r="G30" s="46"/>
      <c r="H30" s="46"/>
      <c r="I30" s="46"/>
      <c r="J30" s="46"/>
    </row>
    <row r="31" spans="1:13">
      <c r="A31" s="10" t="s">
        <v>138</v>
      </c>
      <c r="B31" s="9" t="s">
        <v>338</v>
      </c>
      <c r="C31" s="9" t="s">
        <v>556</v>
      </c>
      <c r="D31" s="9" t="s">
        <v>339</v>
      </c>
      <c r="E31" s="9" t="s">
        <v>597</v>
      </c>
      <c r="F31" s="9" t="s">
        <v>465</v>
      </c>
      <c r="G31" s="22" t="s">
        <v>68</v>
      </c>
      <c r="H31" s="22" t="s">
        <v>234</v>
      </c>
      <c r="I31" s="23" t="s">
        <v>94</v>
      </c>
      <c r="J31" s="10"/>
      <c r="K31" s="10" t="str">
        <f>"132,5"</f>
        <v>132,5</v>
      </c>
      <c r="L31" s="10" t="str">
        <f>"85,2240"</f>
        <v>85,2240</v>
      </c>
      <c r="M31" s="9" t="s">
        <v>374</v>
      </c>
    </row>
    <row r="32" spans="1:13">
      <c r="A32" s="14" t="s">
        <v>138</v>
      </c>
      <c r="B32" s="13" t="s">
        <v>340</v>
      </c>
      <c r="C32" s="13" t="s">
        <v>341</v>
      </c>
      <c r="D32" s="13" t="s">
        <v>342</v>
      </c>
      <c r="E32" s="13" t="s">
        <v>595</v>
      </c>
      <c r="F32" s="13" t="s">
        <v>465</v>
      </c>
      <c r="G32" s="26" t="s">
        <v>89</v>
      </c>
      <c r="H32" s="27" t="s">
        <v>43</v>
      </c>
      <c r="I32" s="27" t="s">
        <v>43</v>
      </c>
      <c r="J32" s="14"/>
      <c r="K32" s="14" t="str">
        <f>"115,0"</f>
        <v>115,0</v>
      </c>
      <c r="L32" s="14" t="str">
        <f>"74,8305"</f>
        <v>74,8305</v>
      </c>
      <c r="M32" s="13" t="s">
        <v>484</v>
      </c>
    </row>
    <row r="33" spans="1:13">
      <c r="A33" s="14" t="s">
        <v>138</v>
      </c>
      <c r="B33" s="13" t="s">
        <v>343</v>
      </c>
      <c r="C33" s="13" t="s">
        <v>557</v>
      </c>
      <c r="D33" s="13" t="s">
        <v>274</v>
      </c>
      <c r="E33" s="13" t="s">
        <v>596</v>
      </c>
      <c r="F33" s="13" t="s">
        <v>153</v>
      </c>
      <c r="G33" s="27" t="s">
        <v>95</v>
      </c>
      <c r="H33" s="26" t="s">
        <v>95</v>
      </c>
      <c r="I33" s="26" t="s">
        <v>344</v>
      </c>
      <c r="J33" s="14"/>
      <c r="K33" s="14" t="str">
        <f>"152,5"</f>
        <v>152,5</v>
      </c>
      <c r="L33" s="14" t="str">
        <f>"109,6608"</f>
        <v>109,6608</v>
      </c>
      <c r="M33" s="13"/>
    </row>
    <row r="34" spans="1:13">
      <c r="A34" s="12" t="s">
        <v>140</v>
      </c>
      <c r="B34" s="11" t="s">
        <v>345</v>
      </c>
      <c r="C34" s="11" t="s">
        <v>558</v>
      </c>
      <c r="D34" s="11" t="s">
        <v>346</v>
      </c>
      <c r="E34" s="11" t="s">
        <v>596</v>
      </c>
      <c r="F34" s="11" t="s">
        <v>465</v>
      </c>
      <c r="G34" s="25" t="s">
        <v>318</v>
      </c>
      <c r="H34" s="25" t="s">
        <v>234</v>
      </c>
      <c r="I34" s="24" t="s">
        <v>327</v>
      </c>
      <c r="J34" s="12"/>
      <c r="K34" s="12" t="str">
        <f>"132,5"</f>
        <v>132,5</v>
      </c>
      <c r="L34" s="12" t="str">
        <f>"90,1829"</f>
        <v>90,1829</v>
      </c>
      <c r="M34" s="11"/>
    </row>
    <row r="35" spans="1:13">
      <c r="B35" s="5" t="s">
        <v>139</v>
      </c>
    </row>
    <row r="36" spans="1:13" ht="16">
      <c r="A36" s="45" t="s">
        <v>74</v>
      </c>
      <c r="B36" s="45"/>
      <c r="C36" s="46"/>
      <c r="D36" s="46"/>
      <c r="E36" s="46"/>
      <c r="F36" s="46"/>
      <c r="G36" s="46"/>
      <c r="H36" s="46"/>
      <c r="I36" s="46"/>
      <c r="J36" s="46"/>
    </row>
    <row r="37" spans="1:13">
      <c r="A37" s="10" t="s">
        <v>138</v>
      </c>
      <c r="B37" s="9" t="s">
        <v>347</v>
      </c>
      <c r="C37" s="9" t="s">
        <v>348</v>
      </c>
      <c r="D37" s="9" t="s">
        <v>349</v>
      </c>
      <c r="E37" s="9" t="s">
        <v>595</v>
      </c>
      <c r="F37" s="9" t="s">
        <v>350</v>
      </c>
      <c r="G37" s="22" t="s">
        <v>72</v>
      </c>
      <c r="H37" s="22" t="s">
        <v>73</v>
      </c>
      <c r="I37" s="22" t="s">
        <v>242</v>
      </c>
      <c r="J37" s="10"/>
      <c r="K37" s="10" t="str">
        <f>"202,5"</f>
        <v>202,5</v>
      </c>
      <c r="L37" s="10" t="str">
        <f>"127,8788"</f>
        <v>127,8788</v>
      </c>
      <c r="M37" s="9"/>
    </row>
    <row r="38" spans="1:13">
      <c r="A38" s="14" t="s">
        <v>140</v>
      </c>
      <c r="B38" s="13" t="s">
        <v>351</v>
      </c>
      <c r="C38" s="13" t="s">
        <v>352</v>
      </c>
      <c r="D38" s="13" t="s">
        <v>353</v>
      </c>
      <c r="E38" s="13" t="s">
        <v>595</v>
      </c>
      <c r="F38" s="13" t="s">
        <v>261</v>
      </c>
      <c r="G38" s="26" t="s">
        <v>90</v>
      </c>
      <c r="H38" s="26" t="s">
        <v>100</v>
      </c>
      <c r="I38" s="26" t="s">
        <v>242</v>
      </c>
      <c r="J38" s="14"/>
      <c r="K38" s="14" t="str">
        <f>"202,5"</f>
        <v>202,5</v>
      </c>
      <c r="L38" s="14" t="str">
        <f>"124,4160"</f>
        <v>124,4160</v>
      </c>
      <c r="M38" s="13"/>
    </row>
    <row r="39" spans="1:13">
      <c r="A39" s="14" t="s">
        <v>138</v>
      </c>
      <c r="B39" s="13" t="s">
        <v>354</v>
      </c>
      <c r="C39" s="13" t="s">
        <v>559</v>
      </c>
      <c r="D39" s="13" t="s">
        <v>280</v>
      </c>
      <c r="E39" s="13" t="s">
        <v>596</v>
      </c>
      <c r="F39" s="13" t="s">
        <v>465</v>
      </c>
      <c r="G39" s="26" t="s">
        <v>289</v>
      </c>
      <c r="H39" s="26" t="s">
        <v>114</v>
      </c>
      <c r="I39" s="27" t="s">
        <v>61</v>
      </c>
      <c r="J39" s="14"/>
      <c r="K39" s="14" t="str">
        <f>"165,0"</f>
        <v>165,0</v>
      </c>
      <c r="L39" s="14" t="str">
        <f>"113,7968"</f>
        <v>113,7968</v>
      </c>
      <c r="M39" s="13"/>
    </row>
    <row r="40" spans="1:13">
      <c r="A40" s="12" t="s">
        <v>140</v>
      </c>
      <c r="B40" s="11" t="s">
        <v>355</v>
      </c>
      <c r="C40" s="11" t="s">
        <v>560</v>
      </c>
      <c r="D40" s="11" t="s">
        <v>356</v>
      </c>
      <c r="E40" s="11" t="s">
        <v>596</v>
      </c>
      <c r="F40" s="11" t="s">
        <v>153</v>
      </c>
      <c r="G40" s="25" t="s">
        <v>69</v>
      </c>
      <c r="H40" s="25" t="s">
        <v>94</v>
      </c>
      <c r="I40" s="25" t="s">
        <v>95</v>
      </c>
      <c r="J40" s="12"/>
      <c r="K40" s="12" t="str">
        <f>"145,0"</f>
        <v>145,0</v>
      </c>
      <c r="L40" s="12" t="str">
        <f>"95,2479"</f>
        <v>95,2479</v>
      </c>
      <c r="M40" s="11"/>
    </row>
    <row r="41" spans="1:13">
      <c r="B41" s="5" t="s">
        <v>139</v>
      </c>
    </row>
    <row r="42" spans="1:13" ht="16">
      <c r="A42" s="45" t="s">
        <v>96</v>
      </c>
      <c r="B42" s="45"/>
      <c r="C42" s="46"/>
      <c r="D42" s="46"/>
      <c r="E42" s="46"/>
      <c r="F42" s="46"/>
      <c r="G42" s="46"/>
      <c r="H42" s="46"/>
      <c r="I42" s="46"/>
      <c r="J42" s="46"/>
    </row>
    <row r="43" spans="1:13">
      <c r="A43" s="10" t="s">
        <v>138</v>
      </c>
      <c r="B43" s="9" t="s">
        <v>357</v>
      </c>
      <c r="C43" s="9" t="s">
        <v>358</v>
      </c>
      <c r="D43" s="9" t="s">
        <v>98</v>
      </c>
      <c r="E43" s="9" t="s">
        <v>595</v>
      </c>
      <c r="F43" s="9" t="s">
        <v>13</v>
      </c>
      <c r="G43" s="22" t="s">
        <v>81</v>
      </c>
      <c r="H43" s="22" t="s">
        <v>107</v>
      </c>
      <c r="I43" s="23" t="s">
        <v>359</v>
      </c>
      <c r="J43" s="10"/>
      <c r="K43" s="10" t="str">
        <f>"167,5"</f>
        <v>167,5</v>
      </c>
      <c r="L43" s="10" t="str">
        <f>"99,4447"</f>
        <v>99,4447</v>
      </c>
      <c r="M43" s="9" t="s">
        <v>485</v>
      </c>
    </row>
    <row r="44" spans="1:13">
      <c r="A44" s="14" t="s">
        <v>140</v>
      </c>
      <c r="B44" s="13" t="s">
        <v>360</v>
      </c>
      <c r="C44" s="13" t="s">
        <v>361</v>
      </c>
      <c r="D44" s="13" t="s">
        <v>362</v>
      </c>
      <c r="E44" s="13" t="s">
        <v>595</v>
      </c>
      <c r="F44" s="13" t="s">
        <v>465</v>
      </c>
      <c r="G44" s="26" t="s">
        <v>344</v>
      </c>
      <c r="H44" s="26" t="s">
        <v>81</v>
      </c>
      <c r="I44" s="26" t="s">
        <v>114</v>
      </c>
      <c r="J44" s="14"/>
      <c r="K44" s="14" t="str">
        <f>"165,0"</f>
        <v>165,0</v>
      </c>
      <c r="L44" s="14" t="str">
        <f>"99,8745"</f>
        <v>99,8745</v>
      </c>
      <c r="M44" s="13" t="s">
        <v>486</v>
      </c>
    </row>
    <row r="45" spans="1:13">
      <c r="A45" s="12" t="s">
        <v>138</v>
      </c>
      <c r="B45" s="11" t="s">
        <v>363</v>
      </c>
      <c r="C45" s="11" t="s">
        <v>561</v>
      </c>
      <c r="D45" s="11" t="s">
        <v>106</v>
      </c>
      <c r="E45" s="11" t="s">
        <v>599</v>
      </c>
      <c r="F45" s="11" t="s">
        <v>465</v>
      </c>
      <c r="G45" s="25" t="s">
        <v>234</v>
      </c>
      <c r="H45" s="25" t="s">
        <v>94</v>
      </c>
      <c r="I45" s="25" t="s">
        <v>95</v>
      </c>
      <c r="J45" s="12"/>
      <c r="K45" s="12" t="str">
        <f>"145,0"</f>
        <v>145,0</v>
      </c>
      <c r="L45" s="12" t="str">
        <f>"111,7294"</f>
        <v>111,7294</v>
      </c>
      <c r="M45" s="11"/>
    </row>
    <row r="46" spans="1:13">
      <c r="B46" s="5" t="s">
        <v>139</v>
      </c>
    </row>
    <row r="47" spans="1:13" ht="16">
      <c r="A47" s="45" t="s">
        <v>109</v>
      </c>
      <c r="B47" s="45"/>
      <c r="C47" s="46"/>
      <c r="D47" s="46"/>
      <c r="E47" s="46"/>
      <c r="F47" s="46"/>
      <c r="G47" s="46"/>
      <c r="H47" s="46"/>
      <c r="I47" s="46"/>
      <c r="J47" s="46"/>
    </row>
    <row r="48" spans="1:13">
      <c r="A48" s="10" t="s">
        <v>138</v>
      </c>
      <c r="B48" s="9" t="s">
        <v>364</v>
      </c>
      <c r="C48" s="9" t="s">
        <v>365</v>
      </c>
      <c r="D48" s="9" t="s">
        <v>366</v>
      </c>
      <c r="E48" s="9" t="s">
        <v>595</v>
      </c>
      <c r="F48" s="9" t="s">
        <v>465</v>
      </c>
      <c r="G48" s="23" t="s">
        <v>73</v>
      </c>
      <c r="H48" s="22" t="s">
        <v>73</v>
      </c>
      <c r="I48" s="23" t="s">
        <v>242</v>
      </c>
      <c r="J48" s="10"/>
      <c r="K48" s="10" t="str">
        <f>"195,0"</f>
        <v>195,0</v>
      </c>
      <c r="L48" s="10" t="str">
        <f>"111,6570"</f>
        <v>111,6570</v>
      </c>
      <c r="M48" s="9"/>
    </row>
    <row r="49" spans="1:13">
      <c r="A49" s="14" t="s">
        <v>140</v>
      </c>
      <c r="B49" s="13" t="s">
        <v>243</v>
      </c>
      <c r="C49" s="13" t="s">
        <v>244</v>
      </c>
      <c r="D49" s="13" t="s">
        <v>245</v>
      </c>
      <c r="E49" s="13" t="s">
        <v>595</v>
      </c>
      <c r="F49" s="13" t="s">
        <v>465</v>
      </c>
      <c r="G49" s="26" t="s">
        <v>88</v>
      </c>
      <c r="H49" s="26" t="s">
        <v>247</v>
      </c>
      <c r="I49" s="27" t="s">
        <v>100</v>
      </c>
      <c r="J49" s="14"/>
      <c r="K49" s="14" t="str">
        <f>"192,5"</f>
        <v>192,5</v>
      </c>
      <c r="L49" s="14" t="str">
        <f>"110,8992"</f>
        <v>110,8992</v>
      </c>
      <c r="M49" s="13"/>
    </row>
    <row r="50" spans="1:13">
      <c r="A50" s="14" t="s">
        <v>212</v>
      </c>
      <c r="B50" s="13" t="s">
        <v>367</v>
      </c>
      <c r="C50" s="13" t="s">
        <v>368</v>
      </c>
      <c r="D50" s="13" t="s">
        <v>369</v>
      </c>
      <c r="E50" s="13" t="s">
        <v>595</v>
      </c>
      <c r="F50" s="13" t="s">
        <v>13</v>
      </c>
      <c r="G50" s="26" t="s">
        <v>81</v>
      </c>
      <c r="H50" s="26" t="s">
        <v>370</v>
      </c>
      <c r="I50" s="27" t="s">
        <v>90</v>
      </c>
      <c r="J50" s="14"/>
      <c r="K50" s="14" t="str">
        <f>"177,5"</f>
        <v>177,5</v>
      </c>
      <c r="L50" s="14" t="str">
        <f>"103,2873"</f>
        <v>103,2873</v>
      </c>
      <c r="M50" s="13"/>
    </row>
    <row r="51" spans="1:13">
      <c r="A51" s="14" t="s">
        <v>387</v>
      </c>
      <c r="B51" s="13" t="s">
        <v>371</v>
      </c>
      <c r="C51" s="13" t="s">
        <v>372</v>
      </c>
      <c r="D51" s="13" t="s">
        <v>373</v>
      </c>
      <c r="E51" s="13" t="s">
        <v>595</v>
      </c>
      <c r="F51" s="13" t="s">
        <v>465</v>
      </c>
      <c r="G51" s="26" t="s">
        <v>61</v>
      </c>
      <c r="H51" s="26" t="s">
        <v>370</v>
      </c>
      <c r="I51" s="27" t="s">
        <v>88</v>
      </c>
      <c r="J51" s="14"/>
      <c r="K51" s="14" t="str">
        <f>"177,5"</f>
        <v>177,5</v>
      </c>
      <c r="L51" s="14" t="str">
        <f>"101,7252"</f>
        <v>101,7252</v>
      </c>
      <c r="M51" s="13" t="s">
        <v>374</v>
      </c>
    </row>
    <row r="52" spans="1:13">
      <c r="A52" s="14" t="s">
        <v>138</v>
      </c>
      <c r="B52" s="13" t="s">
        <v>375</v>
      </c>
      <c r="C52" s="13" t="s">
        <v>562</v>
      </c>
      <c r="D52" s="13" t="s">
        <v>376</v>
      </c>
      <c r="E52" s="13" t="s">
        <v>598</v>
      </c>
      <c r="F52" s="13" t="s">
        <v>465</v>
      </c>
      <c r="G52" s="26" t="s">
        <v>71</v>
      </c>
      <c r="H52" s="26" t="s">
        <v>72</v>
      </c>
      <c r="I52" s="27" t="s">
        <v>90</v>
      </c>
      <c r="J52" s="14"/>
      <c r="K52" s="14" t="str">
        <f>"185,0"</f>
        <v>185,0</v>
      </c>
      <c r="L52" s="14" t="str">
        <f>"107,1139"</f>
        <v>107,1139</v>
      </c>
      <c r="M52" s="13"/>
    </row>
    <row r="53" spans="1:13">
      <c r="A53" s="12" t="s">
        <v>138</v>
      </c>
      <c r="B53" s="11" t="s">
        <v>371</v>
      </c>
      <c r="C53" s="11" t="s">
        <v>563</v>
      </c>
      <c r="D53" s="11" t="s">
        <v>373</v>
      </c>
      <c r="E53" s="11" t="s">
        <v>596</v>
      </c>
      <c r="F53" s="11" t="s">
        <v>465</v>
      </c>
      <c r="G53" s="25" t="s">
        <v>61</v>
      </c>
      <c r="H53" s="25" t="s">
        <v>370</v>
      </c>
      <c r="I53" s="24" t="s">
        <v>88</v>
      </c>
      <c r="J53" s="12"/>
      <c r="K53" s="12" t="str">
        <f>"177,5"</f>
        <v>177,5</v>
      </c>
      <c r="L53" s="12" t="str">
        <f>"111,4909"</f>
        <v>111,4909</v>
      </c>
      <c r="M53" s="11" t="s">
        <v>374</v>
      </c>
    </row>
    <row r="54" spans="1:13">
      <c r="B54" s="5" t="s">
        <v>139</v>
      </c>
    </row>
    <row r="55" spans="1:13" ht="16">
      <c r="A55" s="45" t="s">
        <v>377</v>
      </c>
      <c r="B55" s="45"/>
      <c r="C55" s="46"/>
      <c r="D55" s="46"/>
      <c r="E55" s="46"/>
      <c r="F55" s="46"/>
      <c r="G55" s="46"/>
      <c r="H55" s="46"/>
      <c r="I55" s="46"/>
      <c r="J55" s="46"/>
    </row>
    <row r="56" spans="1:13">
      <c r="A56" s="8" t="s">
        <v>138</v>
      </c>
      <c r="B56" s="7" t="s">
        <v>192</v>
      </c>
      <c r="C56" s="7" t="s">
        <v>378</v>
      </c>
      <c r="D56" s="7" t="s">
        <v>379</v>
      </c>
      <c r="E56" s="7" t="s">
        <v>595</v>
      </c>
      <c r="F56" s="7" t="s">
        <v>162</v>
      </c>
      <c r="G56" s="20" t="s">
        <v>380</v>
      </c>
      <c r="H56" s="21" t="s">
        <v>90</v>
      </c>
      <c r="I56" s="20" t="s">
        <v>90</v>
      </c>
      <c r="J56" s="8"/>
      <c r="K56" s="8" t="str">
        <f>"190,0"</f>
        <v>190,0</v>
      </c>
      <c r="L56" s="8" t="str">
        <f>"107,8250"</f>
        <v>107,8250</v>
      </c>
      <c r="M56" s="7"/>
    </row>
    <row r="57" spans="1:13">
      <c r="B57" s="5" t="s">
        <v>139</v>
      </c>
    </row>
    <row r="58" spans="1:13" ht="16">
      <c r="A58" s="45" t="s">
        <v>381</v>
      </c>
      <c r="B58" s="45"/>
      <c r="C58" s="46"/>
      <c r="D58" s="46"/>
      <c r="E58" s="46"/>
      <c r="F58" s="46"/>
      <c r="G58" s="46"/>
      <c r="H58" s="46"/>
      <c r="I58" s="46"/>
      <c r="J58" s="46"/>
    </row>
    <row r="59" spans="1:13">
      <c r="A59" s="8" t="s">
        <v>138</v>
      </c>
      <c r="B59" s="7" t="s">
        <v>382</v>
      </c>
      <c r="C59" s="7" t="s">
        <v>564</v>
      </c>
      <c r="D59" s="7" t="s">
        <v>383</v>
      </c>
      <c r="E59" s="7" t="s">
        <v>597</v>
      </c>
      <c r="F59" s="7" t="s">
        <v>166</v>
      </c>
      <c r="G59" s="20" t="s">
        <v>94</v>
      </c>
      <c r="H59" s="20" t="s">
        <v>80</v>
      </c>
      <c r="I59" s="21" t="s">
        <v>289</v>
      </c>
      <c r="J59" s="8"/>
      <c r="K59" s="8" t="str">
        <f>"150,0"</f>
        <v>150,0</v>
      </c>
      <c r="L59" s="8" t="str">
        <f>"83,8050"</f>
        <v>83,8050</v>
      </c>
      <c r="M59" s="7"/>
    </row>
    <row r="60" spans="1:13">
      <c r="B60" s="5" t="s">
        <v>139</v>
      </c>
    </row>
    <row r="61" spans="1:13">
      <c r="B61" s="5" t="s">
        <v>139</v>
      </c>
    </row>
    <row r="62" spans="1:13">
      <c r="B62" s="5" t="s">
        <v>139</v>
      </c>
    </row>
    <row r="63" spans="1:13" ht="18">
      <c r="B63" s="15" t="s">
        <v>117</v>
      </c>
      <c r="C63" s="15"/>
    </row>
    <row r="64" spans="1:13" ht="16">
      <c r="B64" s="16" t="s">
        <v>127</v>
      </c>
      <c r="C64" s="16"/>
    </row>
    <row r="65" spans="2:6" ht="14">
      <c r="B65" s="17"/>
      <c r="C65" s="18" t="s">
        <v>124</v>
      </c>
    </row>
    <row r="66" spans="2:6" ht="14">
      <c r="B66" s="19" t="s">
        <v>119</v>
      </c>
      <c r="C66" s="19" t="s">
        <v>120</v>
      </c>
      <c r="D66" s="19" t="s">
        <v>588</v>
      </c>
      <c r="E66" s="19" t="s">
        <v>297</v>
      </c>
      <c r="F66" s="19" t="s">
        <v>122</v>
      </c>
    </row>
    <row r="67" spans="2:6">
      <c r="B67" s="5" t="s">
        <v>347</v>
      </c>
      <c r="C67" s="5" t="s">
        <v>124</v>
      </c>
      <c r="D67" s="6" t="s">
        <v>132</v>
      </c>
      <c r="E67" s="6" t="s">
        <v>242</v>
      </c>
      <c r="F67" s="6" t="s">
        <v>384</v>
      </c>
    </row>
    <row r="68" spans="2:6">
      <c r="B68" s="5" t="s">
        <v>351</v>
      </c>
      <c r="C68" s="5" t="s">
        <v>124</v>
      </c>
      <c r="D68" s="6" t="s">
        <v>132</v>
      </c>
      <c r="E68" s="6" t="s">
        <v>242</v>
      </c>
      <c r="F68" s="6" t="s">
        <v>385</v>
      </c>
    </row>
    <row r="69" spans="2:6">
      <c r="B69" s="5" t="s">
        <v>364</v>
      </c>
      <c r="C69" s="5" t="s">
        <v>124</v>
      </c>
      <c r="D69" s="6" t="s">
        <v>129</v>
      </c>
      <c r="E69" s="6" t="s">
        <v>73</v>
      </c>
      <c r="F69" s="6" t="s">
        <v>386</v>
      </c>
    </row>
  </sheetData>
  <mergeCells count="23">
    <mergeCell ref="A1:M2"/>
    <mergeCell ref="A3:A4"/>
    <mergeCell ref="C3:C4"/>
    <mergeCell ref="D3:D4"/>
    <mergeCell ref="E3:E4"/>
    <mergeCell ref="F3:F4"/>
    <mergeCell ref="G3:J3"/>
    <mergeCell ref="A21:J21"/>
    <mergeCell ref="A30:J30"/>
    <mergeCell ref="K3:K4"/>
    <mergeCell ref="L3:L4"/>
    <mergeCell ref="M3:M4"/>
    <mergeCell ref="A5:J5"/>
    <mergeCell ref="B3:B4"/>
    <mergeCell ref="A8:J8"/>
    <mergeCell ref="A12:J12"/>
    <mergeCell ref="A15:J15"/>
    <mergeCell ref="A18:J18"/>
    <mergeCell ref="A36:J36"/>
    <mergeCell ref="A42:J42"/>
    <mergeCell ref="A47:J47"/>
    <mergeCell ref="A55:J55"/>
    <mergeCell ref="A58:J5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1575C-A097-46E4-A330-4E0393885740}">
  <sheetPr codeName="Лист12"/>
  <dimension ref="A1:M48"/>
  <sheetViews>
    <sheetView workbookViewId="0">
      <selection activeCell="E39" sqref="E39"/>
    </sheetView>
  </sheetViews>
  <sheetFormatPr baseColWidth="10" defaultColWidth="9.1640625" defaultRowHeight="13"/>
  <cols>
    <col min="1" max="1" width="7.1640625" style="5" bestFit="1" customWidth="1"/>
    <col min="2" max="2" width="19.16406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38.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23.5" style="5" customWidth="1"/>
    <col min="14" max="16384" width="9.1640625" style="3"/>
  </cols>
  <sheetData>
    <row r="1" spans="1:13" s="2" customFormat="1" ht="29" customHeight="1">
      <c r="A1" s="55" t="s">
        <v>534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2" customFormat="1" ht="62" customHeight="1" thickBot="1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s="1" customFormat="1" ht="12.75" customHeight="1">
      <c r="A3" s="63" t="s">
        <v>590</v>
      </c>
      <c r="B3" s="47" t="s">
        <v>0</v>
      </c>
      <c r="C3" s="65" t="s">
        <v>592</v>
      </c>
      <c r="D3" s="65" t="s">
        <v>6</v>
      </c>
      <c r="E3" s="49" t="s">
        <v>593</v>
      </c>
      <c r="F3" s="49" t="s">
        <v>5</v>
      </c>
      <c r="G3" s="49" t="s">
        <v>8</v>
      </c>
      <c r="H3" s="49"/>
      <c r="I3" s="49"/>
      <c r="J3" s="49"/>
      <c r="K3" s="49" t="s">
        <v>301</v>
      </c>
      <c r="L3" s="49" t="s">
        <v>3</v>
      </c>
      <c r="M3" s="51" t="s">
        <v>2</v>
      </c>
    </row>
    <row r="4" spans="1:13" s="1" customFormat="1" ht="21" customHeight="1" thickBot="1">
      <c r="A4" s="64"/>
      <c r="B4" s="48"/>
      <c r="C4" s="50"/>
      <c r="D4" s="50"/>
      <c r="E4" s="50"/>
      <c r="F4" s="50"/>
      <c r="G4" s="4">
        <v>1</v>
      </c>
      <c r="H4" s="4">
        <v>2</v>
      </c>
      <c r="I4" s="4">
        <v>3</v>
      </c>
      <c r="J4" s="4" t="s">
        <v>4</v>
      </c>
      <c r="K4" s="50"/>
      <c r="L4" s="50"/>
      <c r="M4" s="52"/>
    </row>
    <row r="5" spans="1:13" ht="16">
      <c r="A5" s="53" t="s">
        <v>249</v>
      </c>
      <c r="B5" s="53"/>
      <c r="C5" s="54"/>
      <c r="D5" s="54"/>
      <c r="E5" s="54"/>
      <c r="F5" s="54"/>
      <c r="G5" s="54"/>
      <c r="H5" s="54"/>
      <c r="I5" s="54"/>
      <c r="J5" s="54"/>
    </row>
    <row r="6" spans="1:13">
      <c r="A6" s="8" t="s">
        <v>138</v>
      </c>
      <c r="B6" s="7" t="s">
        <v>250</v>
      </c>
      <c r="C6" s="7" t="s">
        <v>565</v>
      </c>
      <c r="D6" s="7" t="s">
        <v>251</v>
      </c>
      <c r="E6" s="7" t="s">
        <v>596</v>
      </c>
      <c r="F6" s="7" t="s">
        <v>166</v>
      </c>
      <c r="G6" s="20" t="s">
        <v>50</v>
      </c>
      <c r="H6" s="20" t="s">
        <v>154</v>
      </c>
      <c r="I6" s="20" t="s">
        <v>17</v>
      </c>
      <c r="J6" s="8"/>
      <c r="K6" s="8" t="str">
        <f>"42,5"</f>
        <v>42,5</v>
      </c>
      <c r="L6" s="8" t="str">
        <f>"65,4007"</f>
        <v>65,4007</v>
      </c>
      <c r="M6" s="7" t="s">
        <v>467</v>
      </c>
    </row>
    <row r="7" spans="1:13">
      <c r="B7" s="5" t="s">
        <v>139</v>
      </c>
    </row>
    <row r="8" spans="1:13" ht="16">
      <c r="A8" s="45" t="s">
        <v>22</v>
      </c>
      <c r="B8" s="45"/>
      <c r="C8" s="46"/>
      <c r="D8" s="46"/>
      <c r="E8" s="46"/>
      <c r="F8" s="46"/>
      <c r="G8" s="46"/>
      <c r="H8" s="46"/>
      <c r="I8" s="46"/>
      <c r="J8" s="46"/>
    </row>
    <row r="9" spans="1:13">
      <c r="A9" s="8" t="s">
        <v>138</v>
      </c>
      <c r="B9" s="7" t="s">
        <v>252</v>
      </c>
      <c r="C9" s="7" t="s">
        <v>253</v>
      </c>
      <c r="D9" s="7" t="s">
        <v>254</v>
      </c>
      <c r="E9" s="7" t="s">
        <v>594</v>
      </c>
      <c r="F9" s="7" t="s">
        <v>255</v>
      </c>
      <c r="G9" s="20" t="s">
        <v>49</v>
      </c>
      <c r="H9" s="20" t="s">
        <v>154</v>
      </c>
      <c r="I9" s="20" t="s">
        <v>17</v>
      </c>
      <c r="J9" s="8"/>
      <c r="K9" s="8" t="str">
        <f>"42,5"</f>
        <v>42,5</v>
      </c>
      <c r="L9" s="8" t="str">
        <f>"53,6987"</f>
        <v>53,6987</v>
      </c>
      <c r="M9" s="7"/>
    </row>
    <row r="10" spans="1:13">
      <c r="B10" s="5" t="s">
        <v>139</v>
      </c>
    </row>
    <row r="11" spans="1:13" ht="16">
      <c r="A11" s="45" t="s">
        <v>158</v>
      </c>
      <c r="B11" s="45"/>
      <c r="C11" s="46"/>
      <c r="D11" s="46"/>
      <c r="E11" s="46"/>
      <c r="F11" s="46"/>
      <c r="G11" s="46"/>
      <c r="H11" s="46"/>
      <c r="I11" s="46"/>
      <c r="J11" s="46"/>
    </row>
    <row r="12" spans="1:13">
      <c r="A12" s="10" t="s">
        <v>138</v>
      </c>
      <c r="B12" s="9" t="s">
        <v>256</v>
      </c>
      <c r="C12" s="9" t="s">
        <v>257</v>
      </c>
      <c r="D12" s="9" t="s">
        <v>171</v>
      </c>
      <c r="E12" s="9" t="s">
        <v>594</v>
      </c>
      <c r="F12" s="9" t="s">
        <v>255</v>
      </c>
      <c r="G12" s="22" t="s">
        <v>51</v>
      </c>
      <c r="H12" s="22" t="s">
        <v>144</v>
      </c>
      <c r="I12" s="23" t="s">
        <v>26</v>
      </c>
      <c r="J12" s="10"/>
      <c r="K12" s="10" t="str">
        <f>"75,0"</f>
        <v>75,0</v>
      </c>
      <c r="L12" s="10" t="str">
        <f>"58,4550"</f>
        <v>58,4550</v>
      </c>
      <c r="M12" s="9" t="s">
        <v>473</v>
      </c>
    </row>
    <row r="13" spans="1:13">
      <c r="A13" s="12" t="s">
        <v>138</v>
      </c>
      <c r="B13" s="11" t="s">
        <v>258</v>
      </c>
      <c r="C13" s="11" t="s">
        <v>259</v>
      </c>
      <c r="D13" s="11" t="s">
        <v>260</v>
      </c>
      <c r="E13" s="11" t="s">
        <v>595</v>
      </c>
      <c r="F13" s="11" t="s">
        <v>261</v>
      </c>
      <c r="G13" s="25" t="s">
        <v>43</v>
      </c>
      <c r="H13" s="25" t="s">
        <v>68</v>
      </c>
      <c r="I13" s="25" t="s">
        <v>69</v>
      </c>
      <c r="J13" s="12"/>
      <c r="K13" s="12" t="str">
        <f>"130,0"</f>
        <v>130,0</v>
      </c>
      <c r="L13" s="12" t="str">
        <f>"101,0750"</f>
        <v>101,0750</v>
      </c>
      <c r="M13" s="11"/>
    </row>
    <row r="14" spans="1:13">
      <c r="B14" s="5" t="s">
        <v>139</v>
      </c>
    </row>
    <row r="15" spans="1:13" ht="16">
      <c r="A15" s="45" t="s">
        <v>173</v>
      </c>
      <c r="B15" s="45"/>
      <c r="C15" s="46"/>
      <c r="D15" s="46"/>
      <c r="E15" s="46"/>
      <c r="F15" s="46"/>
      <c r="G15" s="46"/>
      <c r="H15" s="46"/>
      <c r="I15" s="46"/>
      <c r="J15" s="46"/>
    </row>
    <row r="16" spans="1:13">
      <c r="A16" s="10" t="s">
        <v>138</v>
      </c>
      <c r="B16" s="9" t="s">
        <v>262</v>
      </c>
      <c r="C16" s="9" t="s">
        <v>263</v>
      </c>
      <c r="D16" s="9" t="s">
        <v>264</v>
      </c>
      <c r="E16" s="9" t="s">
        <v>595</v>
      </c>
      <c r="F16" s="9" t="s">
        <v>172</v>
      </c>
      <c r="G16" s="22" t="s">
        <v>70</v>
      </c>
      <c r="H16" s="22" t="s">
        <v>95</v>
      </c>
      <c r="I16" s="23" t="s">
        <v>59</v>
      </c>
      <c r="J16" s="10"/>
      <c r="K16" s="10" t="str">
        <f>"145,0"</f>
        <v>145,0</v>
      </c>
      <c r="L16" s="10" t="str">
        <f>"104,1970"</f>
        <v>104,1970</v>
      </c>
      <c r="M16" s="9"/>
    </row>
    <row r="17" spans="1:13">
      <c r="A17" s="12" t="s">
        <v>138</v>
      </c>
      <c r="B17" s="11" t="s">
        <v>265</v>
      </c>
      <c r="C17" s="11" t="s">
        <v>566</v>
      </c>
      <c r="D17" s="11" t="s">
        <v>266</v>
      </c>
      <c r="E17" s="11" t="s">
        <v>600</v>
      </c>
      <c r="F17" s="11" t="s">
        <v>38</v>
      </c>
      <c r="G17" s="25" t="s">
        <v>30</v>
      </c>
      <c r="H17" s="25" t="s">
        <v>144</v>
      </c>
      <c r="I17" s="24" t="s">
        <v>14</v>
      </c>
      <c r="J17" s="12"/>
      <c r="K17" s="12" t="str">
        <f>"75,0"</f>
        <v>75,0</v>
      </c>
      <c r="L17" s="12" t="str">
        <f>"64,0357"</f>
        <v>64,0357</v>
      </c>
      <c r="M17" s="11" t="s">
        <v>462</v>
      </c>
    </row>
    <row r="18" spans="1:13">
      <c r="B18" s="5" t="s">
        <v>139</v>
      </c>
    </row>
    <row r="19" spans="1:13" ht="16">
      <c r="A19" s="45" t="s">
        <v>213</v>
      </c>
      <c r="B19" s="45"/>
      <c r="C19" s="46"/>
      <c r="D19" s="46"/>
      <c r="E19" s="46"/>
      <c r="F19" s="46"/>
      <c r="G19" s="46"/>
      <c r="H19" s="46"/>
      <c r="I19" s="46"/>
      <c r="J19" s="46"/>
    </row>
    <row r="20" spans="1:13">
      <c r="A20" s="8" t="s">
        <v>138</v>
      </c>
      <c r="B20" s="7" t="s">
        <v>267</v>
      </c>
      <c r="C20" s="7" t="s">
        <v>268</v>
      </c>
      <c r="D20" s="7" t="s">
        <v>269</v>
      </c>
      <c r="E20" s="7" t="s">
        <v>595</v>
      </c>
      <c r="F20" s="7" t="s">
        <v>477</v>
      </c>
      <c r="G20" s="20" t="s">
        <v>95</v>
      </c>
      <c r="H20" s="20" t="s">
        <v>59</v>
      </c>
      <c r="I20" s="21" t="s">
        <v>114</v>
      </c>
      <c r="J20" s="8"/>
      <c r="K20" s="8" t="str">
        <f>"155,0"</f>
        <v>155,0</v>
      </c>
      <c r="L20" s="8" t="str">
        <f>"104,6095"</f>
        <v>104,6095</v>
      </c>
      <c r="M20" s="7"/>
    </row>
    <row r="21" spans="1:13">
      <c r="B21" s="5" t="s">
        <v>139</v>
      </c>
    </row>
    <row r="22" spans="1:13" ht="16">
      <c r="A22" s="45" t="s">
        <v>52</v>
      </c>
      <c r="B22" s="45"/>
      <c r="C22" s="46"/>
      <c r="D22" s="46"/>
      <c r="E22" s="46"/>
      <c r="F22" s="46"/>
      <c r="G22" s="46"/>
      <c r="H22" s="46"/>
      <c r="I22" s="46"/>
      <c r="J22" s="46"/>
    </row>
    <row r="23" spans="1:13">
      <c r="A23" s="10" t="s">
        <v>138</v>
      </c>
      <c r="B23" s="9" t="s">
        <v>270</v>
      </c>
      <c r="C23" s="9" t="s">
        <v>567</v>
      </c>
      <c r="D23" s="9" t="s">
        <v>271</v>
      </c>
      <c r="E23" s="9" t="s">
        <v>597</v>
      </c>
      <c r="F23" s="9" t="s">
        <v>478</v>
      </c>
      <c r="G23" s="22" t="s">
        <v>81</v>
      </c>
      <c r="H23" s="22" t="s">
        <v>107</v>
      </c>
      <c r="I23" s="23" t="s">
        <v>61</v>
      </c>
      <c r="J23" s="10"/>
      <c r="K23" s="10" t="str">
        <f>"167,5"</f>
        <v>167,5</v>
      </c>
      <c r="L23" s="10" t="str">
        <f>"107,8700"</f>
        <v>107,8700</v>
      </c>
      <c r="M23" s="9" t="s">
        <v>474</v>
      </c>
    </row>
    <row r="24" spans="1:13">
      <c r="A24" s="12" t="s">
        <v>138</v>
      </c>
      <c r="B24" s="11" t="s">
        <v>272</v>
      </c>
      <c r="C24" s="11" t="s">
        <v>273</v>
      </c>
      <c r="D24" s="11" t="s">
        <v>274</v>
      </c>
      <c r="E24" s="11" t="s">
        <v>595</v>
      </c>
      <c r="F24" s="11" t="s">
        <v>172</v>
      </c>
      <c r="G24" s="25" t="s">
        <v>80</v>
      </c>
      <c r="H24" s="24" t="s">
        <v>60</v>
      </c>
      <c r="I24" s="24" t="s">
        <v>60</v>
      </c>
      <c r="J24" s="12"/>
      <c r="K24" s="12" t="str">
        <f>"150,0"</f>
        <v>150,0</v>
      </c>
      <c r="L24" s="12" t="str">
        <f>"96,8250"</f>
        <v>96,8250</v>
      </c>
      <c r="M24" s="11"/>
    </row>
    <row r="25" spans="1:13">
      <c r="B25" s="5" t="s">
        <v>139</v>
      </c>
    </row>
    <row r="26" spans="1:13" ht="16">
      <c r="A26" s="45" t="s">
        <v>74</v>
      </c>
      <c r="B26" s="45"/>
      <c r="C26" s="46"/>
      <c r="D26" s="46"/>
      <c r="E26" s="46"/>
      <c r="F26" s="46"/>
      <c r="G26" s="46"/>
      <c r="H26" s="46"/>
      <c r="I26" s="46"/>
      <c r="J26" s="46"/>
    </row>
    <row r="27" spans="1:13">
      <c r="A27" s="10" t="s">
        <v>138</v>
      </c>
      <c r="B27" s="9" t="s">
        <v>275</v>
      </c>
      <c r="C27" s="9" t="s">
        <v>568</v>
      </c>
      <c r="D27" s="9" t="s">
        <v>276</v>
      </c>
      <c r="E27" s="9" t="s">
        <v>597</v>
      </c>
      <c r="F27" s="9" t="s">
        <v>277</v>
      </c>
      <c r="G27" s="22" t="s">
        <v>89</v>
      </c>
      <c r="H27" s="22" t="s">
        <v>43</v>
      </c>
      <c r="I27" s="23" t="s">
        <v>68</v>
      </c>
      <c r="J27" s="10"/>
      <c r="K27" s="10" t="str">
        <f>"120,0"</f>
        <v>120,0</v>
      </c>
      <c r="L27" s="10" t="str">
        <f>"74,2320"</f>
        <v>74,2320</v>
      </c>
      <c r="M27" s="9"/>
    </row>
    <row r="28" spans="1:13">
      <c r="A28" s="12" t="s">
        <v>138</v>
      </c>
      <c r="B28" s="11" t="s">
        <v>278</v>
      </c>
      <c r="C28" s="11" t="s">
        <v>279</v>
      </c>
      <c r="D28" s="11" t="s">
        <v>280</v>
      </c>
      <c r="E28" s="11" t="s">
        <v>595</v>
      </c>
      <c r="F28" s="11" t="s">
        <v>172</v>
      </c>
      <c r="G28" s="25" t="s">
        <v>91</v>
      </c>
      <c r="H28" s="24" t="s">
        <v>56</v>
      </c>
      <c r="I28" s="24" t="s">
        <v>56</v>
      </c>
      <c r="J28" s="12"/>
      <c r="K28" s="12" t="str">
        <f>"200,0"</f>
        <v>200,0</v>
      </c>
      <c r="L28" s="12" t="str">
        <f>"123,8200"</f>
        <v>123,8200</v>
      </c>
      <c r="M28" s="11"/>
    </row>
    <row r="29" spans="1:13">
      <c r="B29" s="5" t="s">
        <v>139</v>
      </c>
    </row>
    <row r="30" spans="1:13" ht="16">
      <c r="A30" s="45" t="s">
        <v>96</v>
      </c>
      <c r="B30" s="45"/>
      <c r="C30" s="46"/>
      <c r="D30" s="46"/>
      <c r="E30" s="46"/>
      <c r="F30" s="46"/>
      <c r="G30" s="46"/>
      <c r="H30" s="46"/>
      <c r="I30" s="46"/>
      <c r="J30" s="46"/>
    </row>
    <row r="31" spans="1:13">
      <c r="A31" s="10" t="s">
        <v>138</v>
      </c>
      <c r="B31" s="9" t="s">
        <v>281</v>
      </c>
      <c r="C31" s="9" t="s">
        <v>282</v>
      </c>
      <c r="D31" s="9" t="s">
        <v>98</v>
      </c>
      <c r="E31" s="9" t="s">
        <v>595</v>
      </c>
      <c r="F31" s="9" t="s">
        <v>261</v>
      </c>
      <c r="G31" s="22" t="s">
        <v>73</v>
      </c>
      <c r="H31" s="22" t="s">
        <v>242</v>
      </c>
      <c r="I31" s="22" t="s">
        <v>204</v>
      </c>
      <c r="J31" s="10"/>
      <c r="K31" s="10" t="str">
        <f>"205,0"</f>
        <v>205,0</v>
      </c>
      <c r="L31" s="10" t="str">
        <f>"121,7085"</f>
        <v>121,7085</v>
      </c>
      <c r="M31" s="9" t="s">
        <v>475</v>
      </c>
    </row>
    <row r="32" spans="1:13">
      <c r="A32" s="14" t="s">
        <v>140</v>
      </c>
      <c r="B32" s="13" t="s">
        <v>283</v>
      </c>
      <c r="C32" s="13" t="s">
        <v>284</v>
      </c>
      <c r="D32" s="13" t="s">
        <v>285</v>
      </c>
      <c r="E32" s="13" t="s">
        <v>595</v>
      </c>
      <c r="F32" s="13" t="s">
        <v>172</v>
      </c>
      <c r="G32" s="26" t="s">
        <v>71</v>
      </c>
      <c r="H32" s="27" t="s">
        <v>88</v>
      </c>
      <c r="I32" s="14"/>
      <c r="J32" s="14"/>
      <c r="K32" s="14" t="str">
        <f>"175,0"</f>
        <v>175,0</v>
      </c>
      <c r="L32" s="14" t="str">
        <f>"103,5300"</f>
        <v>103,5300</v>
      </c>
      <c r="M32" s="13"/>
    </row>
    <row r="33" spans="1:13">
      <c r="A33" s="12" t="s">
        <v>138</v>
      </c>
      <c r="B33" s="11" t="s">
        <v>283</v>
      </c>
      <c r="C33" s="11" t="s">
        <v>569</v>
      </c>
      <c r="D33" s="11" t="s">
        <v>285</v>
      </c>
      <c r="E33" s="11" t="s">
        <v>596</v>
      </c>
      <c r="F33" s="11" t="s">
        <v>172</v>
      </c>
      <c r="G33" s="25" t="s">
        <v>71</v>
      </c>
      <c r="H33" s="24" t="s">
        <v>88</v>
      </c>
      <c r="I33" s="12"/>
      <c r="J33" s="12"/>
      <c r="K33" s="12" t="str">
        <f>"175,0"</f>
        <v>175,0</v>
      </c>
      <c r="L33" s="12" t="str">
        <f>"117,1960"</f>
        <v>117,1960</v>
      </c>
      <c r="M33" s="11"/>
    </row>
    <row r="34" spans="1:13">
      <c r="B34" s="5" t="s">
        <v>139</v>
      </c>
    </row>
    <row r="35" spans="1:13" ht="16">
      <c r="A35" s="45" t="s">
        <v>109</v>
      </c>
      <c r="B35" s="45"/>
      <c r="C35" s="46"/>
      <c r="D35" s="46"/>
      <c r="E35" s="46"/>
      <c r="F35" s="46"/>
      <c r="G35" s="46"/>
      <c r="H35" s="46"/>
      <c r="I35" s="46"/>
      <c r="J35" s="46"/>
    </row>
    <row r="36" spans="1:13">
      <c r="A36" s="10" t="s">
        <v>138</v>
      </c>
      <c r="B36" s="9" t="s">
        <v>286</v>
      </c>
      <c r="C36" s="9" t="s">
        <v>570</v>
      </c>
      <c r="D36" s="9" t="s">
        <v>287</v>
      </c>
      <c r="E36" s="9" t="s">
        <v>597</v>
      </c>
      <c r="F36" s="9" t="s">
        <v>288</v>
      </c>
      <c r="G36" s="23" t="s">
        <v>80</v>
      </c>
      <c r="H36" s="22" t="s">
        <v>59</v>
      </c>
      <c r="I36" s="23" t="s">
        <v>289</v>
      </c>
      <c r="J36" s="10"/>
      <c r="K36" s="10" t="str">
        <f>"155,0"</f>
        <v>155,0</v>
      </c>
      <c r="L36" s="10" t="str">
        <f>"89,4970"</f>
        <v>89,4970</v>
      </c>
      <c r="M36" s="9"/>
    </row>
    <row r="37" spans="1:13">
      <c r="A37" s="14" t="s">
        <v>138</v>
      </c>
      <c r="B37" s="13" t="s">
        <v>290</v>
      </c>
      <c r="C37" s="13" t="s">
        <v>291</v>
      </c>
      <c r="D37" s="13" t="s">
        <v>292</v>
      </c>
      <c r="E37" s="13" t="s">
        <v>595</v>
      </c>
      <c r="F37" s="13" t="s">
        <v>172</v>
      </c>
      <c r="G37" s="26" t="s">
        <v>56</v>
      </c>
      <c r="H37" s="26" t="s">
        <v>123</v>
      </c>
      <c r="I37" s="27" t="s">
        <v>293</v>
      </c>
      <c r="J37" s="14"/>
      <c r="K37" s="14" t="str">
        <f>"217,5"</f>
        <v>217,5</v>
      </c>
      <c r="L37" s="14" t="str">
        <f>"126,4110"</f>
        <v>126,4110</v>
      </c>
      <c r="M37" s="13"/>
    </row>
    <row r="38" spans="1:13">
      <c r="A38" s="12" t="s">
        <v>140</v>
      </c>
      <c r="B38" s="11" t="s">
        <v>294</v>
      </c>
      <c r="C38" s="11" t="s">
        <v>295</v>
      </c>
      <c r="D38" s="11" t="s">
        <v>296</v>
      </c>
      <c r="E38" s="11" t="s">
        <v>595</v>
      </c>
      <c r="F38" s="11" t="s">
        <v>172</v>
      </c>
      <c r="G38" s="25" t="s">
        <v>242</v>
      </c>
      <c r="H38" s="25" t="s">
        <v>235</v>
      </c>
      <c r="I38" s="12"/>
      <c r="J38" s="12"/>
      <c r="K38" s="12" t="str">
        <f>"207,5"</f>
        <v>207,5</v>
      </c>
      <c r="L38" s="12" t="str">
        <f>"120,2877"</f>
        <v>120,2877</v>
      </c>
      <c r="M38" s="11" t="s">
        <v>476</v>
      </c>
    </row>
    <row r="39" spans="1:13">
      <c r="B39" s="5" t="s">
        <v>139</v>
      </c>
    </row>
    <row r="40" spans="1:13">
      <c r="B40" s="5" t="s">
        <v>139</v>
      </c>
    </row>
    <row r="41" spans="1:13">
      <c r="B41" s="5" t="s">
        <v>139</v>
      </c>
    </row>
    <row r="42" spans="1:13" ht="18">
      <c r="B42" s="15" t="s">
        <v>117</v>
      </c>
      <c r="C42" s="15"/>
      <c r="F42" s="3"/>
    </row>
    <row r="43" spans="1:13" ht="16">
      <c r="B43" s="16" t="s">
        <v>127</v>
      </c>
      <c r="C43" s="16"/>
      <c r="F43" s="3"/>
    </row>
    <row r="44" spans="1:13" ht="14">
      <c r="B44" s="17"/>
      <c r="C44" s="18" t="s">
        <v>124</v>
      </c>
      <c r="F44" s="3"/>
    </row>
    <row r="45" spans="1:13" ht="14">
      <c r="B45" s="19" t="s">
        <v>119</v>
      </c>
      <c r="C45" s="19" t="s">
        <v>120</v>
      </c>
      <c r="D45" s="19" t="s">
        <v>588</v>
      </c>
      <c r="E45" s="19" t="s">
        <v>297</v>
      </c>
      <c r="F45" s="19" t="s">
        <v>122</v>
      </c>
    </row>
    <row r="46" spans="1:13">
      <c r="B46" s="5" t="s">
        <v>290</v>
      </c>
      <c r="C46" s="5" t="s">
        <v>124</v>
      </c>
      <c r="D46" s="6" t="s">
        <v>129</v>
      </c>
      <c r="E46" s="6" t="s">
        <v>123</v>
      </c>
      <c r="F46" s="6" t="s">
        <v>298</v>
      </c>
    </row>
    <row r="47" spans="1:13">
      <c r="B47" s="5" t="s">
        <v>278</v>
      </c>
      <c r="C47" s="5" t="s">
        <v>124</v>
      </c>
      <c r="D47" s="6" t="s">
        <v>132</v>
      </c>
      <c r="E47" s="6" t="s">
        <v>91</v>
      </c>
      <c r="F47" s="6" t="s">
        <v>299</v>
      </c>
    </row>
    <row r="48" spans="1:13">
      <c r="B48" s="5" t="s">
        <v>281</v>
      </c>
      <c r="C48" s="5" t="s">
        <v>124</v>
      </c>
      <c r="D48" s="6" t="s">
        <v>128</v>
      </c>
      <c r="E48" s="6" t="s">
        <v>204</v>
      </c>
      <c r="F48" s="6" t="s">
        <v>300</v>
      </c>
    </row>
  </sheetData>
  <mergeCells count="20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0:J30"/>
    <mergeCell ref="A35:J35"/>
    <mergeCell ref="B3:B4"/>
    <mergeCell ref="A8:J8"/>
    <mergeCell ref="A11:J11"/>
    <mergeCell ref="A15:J15"/>
    <mergeCell ref="A19:J19"/>
    <mergeCell ref="A22:J22"/>
    <mergeCell ref="A26:J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IPL ПЛ без экипировки ДК</vt:lpstr>
      <vt:lpstr>IPL ПЛ без экипировки</vt:lpstr>
      <vt:lpstr>IPL ПЛ в бинтах ДК</vt:lpstr>
      <vt:lpstr>IPL ПЛ в бинтах</vt:lpstr>
      <vt:lpstr>IPL Двоеборье без экип ДК</vt:lpstr>
      <vt:lpstr>IPL Двоеборье без экип</vt:lpstr>
      <vt:lpstr>IPL Присед в бинтах ДК</vt:lpstr>
      <vt:lpstr>IPL Жим без экипировки ДК</vt:lpstr>
      <vt:lpstr>IPL Жим без экипировки</vt:lpstr>
      <vt:lpstr>IPL Жим однослой ДК</vt:lpstr>
      <vt:lpstr>IPL Жим однослой</vt:lpstr>
      <vt:lpstr>СПР Жим софт однопетельная ДК</vt:lpstr>
      <vt:lpstr>СПР Жим софт однопетельная</vt:lpstr>
      <vt:lpstr>СПР Жим СФО</vt:lpstr>
      <vt:lpstr>IPL Тяга без экипировки ДК</vt:lpstr>
      <vt:lpstr>IPL Тяга без экипировки</vt:lpstr>
      <vt:lpstr>IPL Тяга многослой</vt:lpstr>
      <vt:lpstr>СПР Подъем на бицепс ДК</vt:lpstr>
      <vt:lpstr>СПР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2021-12-03T18:56:36Z</dcterms:modified>
</cp:coreProperties>
</file>