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76eed6205bb37f0/Desktop/"/>
    </mc:Choice>
  </mc:AlternateContent>
  <xr:revisionPtr revIDLastSave="1" documentId="8_{F0B24EDC-DA3D-4208-9498-4FA6B91CB0EA}" xr6:coauthVersionLast="47" xr6:coauthVersionMax="47" xr10:uidLastSave="{A85E3B8C-27FE-46DD-BFE6-03ED92509681}"/>
  <bookViews>
    <workbookView xWindow="1365" yWindow="1605" windowWidth="32220" windowHeight="14550" tabRatio="1000" xr2:uid="{00000000-000D-0000-FFFF-FFFF00000000}"/>
  </bookViews>
  <sheets>
    <sheet name="AWPA pl raw" sheetId="15" r:id="rId1"/>
    <sheet name="AWPA pl std" sheetId="16" r:id="rId2"/>
    <sheet name="AWPA sq raw" sheetId="22" r:id="rId3"/>
    <sheet name="AWPA bp oh" sheetId="17" r:id="rId4"/>
    <sheet name="AWPA bp raw" sheetId="13" r:id="rId5"/>
    <sheet name="AWPA dl raw" sheetId="11" r:id="rId6"/>
    <sheet name="AWPA SC" sheetId="19" r:id="rId7"/>
    <sheet name="WPA pl raw" sheetId="9" r:id="rId8"/>
    <sheet name="WPA bp raw" sheetId="7" r:id="rId9"/>
    <sheet name="WPA dl raw" sheetId="5" r:id="rId10"/>
    <sheet name="WPA bp oh" sheetId="18" r:id="rId11"/>
    <sheet name="WPA SC" sheetId="20" r:id="rId12"/>
  </sheets>
  <definedNames>
    <definedName name="_xlnm._FilterDatabase" localSheetId="9" hidden="1">'WPA dl raw'!$A$1:$I$1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22" l="1"/>
  <c r="I7" i="22"/>
  <c r="J4" i="22"/>
  <c r="I4" i="22"/>
  <c r="J4" i="20"/>
  <c r="I4" i="20"/>
  <c r="J16" i="19"/>
  <c r="I16" i="19"/>
  <c r="J15" i="19"/>
  <c r="I15" i="19"/>
  <c r="J12" i="19"/>
  <c r="I12" i="19"/>
  <c r="J9" i="19"/>
  <c r="I9" i="19"/>
  <c r="J8" i="19"/>
  <c r="I8" i="19"/>
  <c r="J5" i="19"/>
  <c r="I5" i="19"/>
  <c r="J4" i="18"/>
  <c r="I4" i="18"/>
  <c r="J17" i="17"/>
  <c r="I17" i="17"/>
  <c r="J14" i="17"/>
  <c r="I14" i="17"/>
  <c r="J13" i="17"/>
  <c r="I13" i="17"/>
  <c r="J10" i="17"/>
  <c r="I10" i="17"/>
  <c r="J7" i="17"/>
  <c r="I7" i="17"/>
  <c r="J4" i="17"/>
  <c r="I4" i="17"/>
  <c r="R4" i="16"/>
  <c r="Q4" i="16"/>
  <c r="R41" i="15"/>
  <c r="Q41" i="15"/>
  <c r="R38" i="15"/>
  <c r="Q38" i="15"/>
  <c r="R37" i="15"/>
  <c r="Q37" i="15"/>
  <c r="R34" i="15"/>
  <c r="Q34" i="15"/>
  <c r="R33" i="15"/>
  <c r="Q33" i="15"/>
  <c r="R30" i="15"/>
  <c r="Q30" i="15"/>
  <c r="R27" i="15"/>
  <c r="Q27" i="15"/>
  <c r="R24" i="15"/>
  <c r="Q24" i="15"/>
  <c r="R21" i="15"/>
  <c r="Q21" i="15"/>
  <c r="R18" i="15"/>
  <c r="Q18" i="15"/>
  <c r="R15" i="15"/>
  <c r="Q15" i="15"/>
  <c r="R12" i="15"/>
  <c r="Q12" i="15"/>
  <c r="R9" i="15"/>
  <c r="Q9" i="15"/>
  <c r="R8" i="15"/>
  <c r="Q8" i="15"/>
  <c r="R5" i="15"/>
  <c r="Q5" i="15"/>
  <c r="R4" i="15"/>
  <c r="Q4" i="15"/>
  <c r="J57" i="13"/>
  <c r="I57" i="13"/>
  <c r="J54" i="13"/>
  <c r="I54" i="13"/>
  <c r="J53" i="13"/>
  <c r="I53" i="13"/>
  <c r="J50" i="13"/>
  <c r="I50" i="13"/>
  <c r="J47" i="13"/>
  <c r="I47" i="13"/>
  <c r="J46" i="13"/>
  <c r="I46" i="13"/>
  <c r="J45" i="13"/>
  <c r="I45" i="13"/>
  <c r="J44" i="13"/>
  <c r="I44" i="13"/>
  <c r="J41" i="13"/>
  <c r="I41" i="13"/>
  <c r="J40" i="13"/>
  <c r="I40" i="13"/>
  <c r="J39" i="13"/>
  <c r="I39" i="13"/>
  <c r="J38" i="13"/>
  <c r="I38" i="13"/>
  <c r="J37" i="13"/>
  <c r="I37" i="13"/>
  <c r="J36" i="13"/>
  <c r="I36" i="13"/>
  <c r="J35" i="13"/>
  <c r="I35" i="13"/>
  <c r="J34" i="13"/>
  <c r="I34" i="13"/>
  <c r="J33" i="13"/>
  <c r="I33" i="13"/>
  <c r="J32" i="13"/>
  <c r="I32" i="13"/>
  <c r="J29" i="13"/>
  <c r="I29" i="13"/>
  <c r="J28" i="13"/>
  <c r="I28" i="13"/>
  <c r="J27" i="13"/>
  <c r="I27" i="13"/>
  <c r="J26" i="13"/>
  <c r="I26" i="13"/>
  <c r="J23" i="13"/>
  <c r="I23" i="13"/>
  <c r="J20" i="13"/>
  <c r="I20" i="13"/>
  <c r="J17" i="13"/>
  <c r="I17" i="13"/>
  <c r="J14" i="13"/>
  <c r="I14" i="13"/>
  <c r="J11" i="13"/>
  <c r="I11" i="13"/>
  <c r="I8" i="13"/>
  <c r="J7" i="13"/>
  <c r="I7" i="13"/>
  <c r="J4" i="13"/>
  <c r="I4" i="13"/>
  <c r="J44" i="11"/>
  <c r="I44" i="11"/>
  <c r="J43" i="11"/>
  <c r="I43" i="11"/>
  <c r="J40" i="11"/>
  <c r="I40" i="11"/>
  <c r="J39" i="11"/>
  <c r="I39" i="11"/>
  <c r="J38" i="11"/>
  <c r="I38" i="11"/>
  <c r="J37" i="11"/>
  <c r="I37" i="11"/>
  <c r="J34" i="11"/>
  <c r="I34" i="11"/>
  <c r="J33" i="11"/>
  <c r="I33" i="11"/>
  <c r="J30" i="11"/>
  <c r="I30" i="11"/>
  <c r="J27" i="11"/>
  <c r="I27" i="11"/>
  <c r="J24" i="11"/>
  <c r="I24" i="11"/>
  <c r="J21" i="11"/>
  <c r="I21" i="11"/>
  <c r="J20" i="11"/>
  <c r="I20" i="11"/>
  <c r="J17" i="11"/>
  <c r="I17" i="11"/>
  <c r="J14" i="11"/>
  <c r="I14" i="11"/>
  <c r="J11" i="11"/>
  <c r="I11" i="11"/>
  <c r="J8" i="11"/>
  <c r="I8" i="11"/>
  <c r="J7" i="11"/>
  <c r="I7" i="11"/>
  <c r="J4" i="11"/>
  <c r="I4" i="11"/>
  <c r="R19" i="9"/>
  <c r="Q19" i="9"/>
  <c r="R18" i="9"/>
  <c r="Q18" i="9"/>
  <c r="R17" i="9"/>
  <c r="Q17" i="9"/>
  <c r="R16" i="9"/>
  <c r="Q16" i="9"/>
  <c r="R13" i="9"/>
  <c r="Q13" i="9"/>
  <c r="R12" i="9"/>
  <c r="Q12" i="9"/>
  <c r="R11" i="9"/>
  <c r="Q11" i="9"/>
  <c r="R8" i="9"/>
  <c r="Q8" i="9"/>
  <c r="R5" i="9"/>
  <c r="Q5" i="9"/>
  <c r="R4" i="9"/>
  <c r="Q4" i="9"/>
  <c r="J29" i="7"/>
  <c r="I29" i="7"/>
  <c r="J28" i="7"/>
  <c r="I28" i="7"/>
  <c r="J25" i="7"/>
  <c r="I25" i="7"/>
  <c r="J24" i="7"/>
  <c r="I24" i="7"/>
  <c r="I21" i="7"/>
  <c r="J20" i="7"/>
  <c r="I20" i="7"/>
  <c r="J19" i="7"/>
  <c r="I19" i="7"/>
  <c r="J18" i="7"/>
  <c r="I18" i="7"/>
  <c r="J17" i="7"/>
  <c r="I17" i="7"/>
  <c r="J16" i="7"/>
  <c r="I16" i="7"/>
  <c r="J13" i="7"/>
  <c r="I13" i="7"/>
  <c r="J10" i="7"/>
  <c r="I10" i="7"/>
  <c r="J9" i="7"/>
  <c r="I9" i="7"/>
  <c r="J8" i="7"/>
  <c r="I8" i="7"/>
  <c r="J7" i="7"/>
  <c r="I7" i="7"/>
  <c r="J4" i="7"/>
  <c r="I4" i="7"/>
  <c r="J14" i="5"/>
  <c r="I14" i="5"/>
  <c r="J11" i="5"/>
  <c r="I11" i="5"/>
  <c r="J8" i="5"/>
  <c r="I8" i="5"/>
  <c r="J5" i="5"/>
  <c r="I5" i="5"/>
  <c r="J4" i="5"/>
  <c r="I4" i="5"/>
</calcChain>
</file>

<file path=xl/sharedStrings.xml><?xml version="1.0" encoding="utf-8"?>
<sst xmlns="http://schemas.openxmlformats.org/spreadsheetml/2006/main" count="1234" uniqueCount="415">
  <si>
    <t>ФИО</t>
  </si>
  <si>
    <t>Сумма</t>
  </si>
  <si>
    <t>Тренер</t>
  </si>
  <si>
    <t>Очки</t>
  </si>
  <si>
    <t>Рек</t>
  </si>
  <si>
    <t>Возрастная группа
Дата рождения/Возраст</t>
  </si>
  <si>
    <t>Город/Область</t>
  </si>
  <si>
    <t>Собственный 
вес</t>
  </si>
  <si>
    <t>Становая тяга</t>
  </si>
  <si>
    <t>ВЕСОВАЯ КАТЕГОРИЯ   60</t>
  </si>
  <si>
    <t>1. Крук Виолетта</t>
  </si>
  <si>
    <t>Открытая (26.07.1989)/32</t>
  </si>
  <si>
    <t>59,00</t>
  </si>
  <si>
    <t xml:space="preserve">Хабаровск/Хабаровский край </t>
  </si>
  <si>
    <t>165,0</t>
  </si>
  <si>
    <t>172,5</t>
  </si>
  <si>
    <t>180,0</t>
  </si>
  <si>
    <t xml:space="preserve">Суслов Николай </t>
  </si>
  <si>
    <t>2. Гапошкина Марина</t>
  </si>
  <si>
    <t>Открытая (13.05.1994)/27</t>
  </si>
  <si>
    <t>59,20</t>
  </si>
  <si>
    <t xml:space="preserve">Комсомольск-на-Амуре/Хабаровский край </t>
  </si>
  <si>
    <t>162,5</t>
  </si>
  <si>
    <t xml:space="preserve">Белецкий Евгений </t>
  </si>
  <si>
    <t>ВЕСОВАЯ КАТЕГОРИЯ   82.5</t>
  </si>
  <si>
    <t>1. Черепанов Антон</t>
  </si>
  <si>
    <t>Открытая (23.02.1986)/35</t>
  </si>
  <si>
    <t>81,40</t>
  </si>
  <si>
    <t xml:space="preserve">Советская Гавань/Хабаровский край </t>
  </si>
  <si>
    <t>250,0</t>
  </si>
  <si>
    <t>260,0</t>
  </si>
  <si>
    <t>272,5</t>
  </si>
  <si>
    <t xml:space="preserve"> </t>
  </si>
  <si>
    <t>ВЕСОВАЯ КАТЕГОРИЯ   100</t>
  </si>
  <si>
    <t>1. Сон Максим</t>
  </si>
  <si>
    <t>Открытая (19.03.1988)/33</t>
  </si>
  <si>
    <t>99,70</t>
  </si>
  <si>
    <t>220,0</t>
  </si>
  <si>
    <t>230,0</t>
  </si>
  <si>
    <t>240,0</t>
  </si>
  <si>
    <t xml:space="preserve">Мусиенко Егор </t>
  </si>
  <si>
    <t>ВЕСОВАЯ КАТЕГОРИЯ   110</t>
  </si>
  <si>
    <t>-. Соколов Владислав</t>
  </si>
  <si>
    <t>Открытая (10.06.1990)/31</t>
  </si>
  <si>
    <t>104,30</t>
  </si>
  <si>
    <t>265,0</t>
  </si>
  <si>
    <t>Результат</t>
  </si>
  <si>
    <t>Жим лёжа</t>
  </si>
  <si>
    <t>92,5</t>
  </si>
  <si>
    <t>95,0</t>
  </si>
  <si>
    <t>97,5</t>
  </si>
  <si>
    <t>150,0</t>
  </si>
  <si>
    <t>170,0</t>
  </si>
  <si>
    <t>2. Коняхин Иван</t>
  </si>
  <si>
    <t>Открытая (13.04.1974)/47</t>
  </si>
  <si>
    <t>77,40</t>
  </si>
  <si>
    <t xml:space="preserve">Находка/Приморский край </t>
  </si>
  <si>
    <t>160,0</t>
  </si>
  <si>
    <t>-. Галес Евгений</t>
  </si>
  <si>
    <t>Открытая (24.07.1994)/27</t>
  </si>
  <si>
    <t>82,00</t>
  </si>
  <si>
    <t>147,5</t>
  </si>
  <si>
    <t xml:space="preserve">Щетина Болеслав </t>
  </si>
  <si>
    <t>1. Коняхин Иван</t>
  </si>
  <si>
    <t>Ветераны 45 - 49 (13.04.1974)/47</t>
  </si>
  <si>
    <t>ВЕСОВАЯ КАТЕГОРИЯ   90</t>
  </si>
  <si>
    <t>1. Андрис Виктор</t>
  </si>
  <si>
    <t>Открытая (26.11.1974)/47</t>
  </si>
  <si>
    <t>86,90</t>
  </si>
  <si>
    <t xml:space="preserve">Чита/Забайкальский край </t>
  </si>
  <si>
    <t>187,5</t>
  </si>
  <si>
    <t>192,5</t>
  </si>
  <si>
    <t>1. Приходько Павел</t>
  </si>
  <si>
    <t>Открытая (23.05.1980)/41</t>
  </si>
  <si>
    <t>99,00</t>
  </si>
  <si>
    <t>245,0</t>
  </si>
  <si>
    <t>247,5</t>
  </si>
  <si>
    <t xml:space="preserve">Лир Сергей </t>
  </si>
  <si>
    <t>2. Белец Елисей</t>
  </si>
  <si>
    <t>Открытая (02.06.1986)/35</t>
  </si>
  <si>
    <t>99,80</t>
  </si>
  <si>
    <t>190,0</t>
  </si>
  <si>
    <t>200,0</t>
  </si>
  <si>
    <t>3. Рупасов Дмитрий</t>
  </si>
  <si>
    <t>Открытая (18.10.1991)/30</t>
  </si>
  <si>
    <t>96,40</t>
  </si>
  <si>
    <t>175,0</t>
  </si>
  <si>
    <t>4. Сухименко Александр</t>
  </si>
  <si>
    <t>Открытая (19.06.1992)/29</t>
  </si>
  <si>
    <t>99,90</t>
  </si>
  <si>
    <t>182,5</t>
  </si>
  <si>
    <t>Ветераны 40 - 44 (23.05.1980)/41</t>
  </si>
  <si>
    <t>-. Шепелев Вячеслав</t>
  </si>
  <si>
    <t>Ветераны 45 - 49 (12.01.1972)/49</t>
  </si>
  <si>
    <t>94,00</t>
  </si>
  <si>
    <t xml:space="preserve">Егорова Елена </t>
  </si>
  <si>
    <t>1. Соколов Владислав</t>
  </si>
  <si>
    <t>185,0</t>
  </si>
  <si>
    <t>2. Дорофеев Николай</t>
  </si>
  <si>
    <t>Открытая (04.01.1986)/35</t>
  </si>
  <si>
    <t>109,10</t>
  </si>
  <si>
    <t xml:space="preserve">Юрченко Артем </t>
  </si>
  <si>
    <t>ВЕСОВАЯ КАТЕГОРИЯ   125</t>
  </si>
  <si>
    <t>1. Демочкин Максим</t>
  </si>
  <si>
    <t>Открытая (30.05.1986)/35</t>
  </si>
  <si>
    <t>111,80</t>
  </si>
  <si>
    <t>197,5</t>
  </si>
  <si>
    <t xml:space="preserve">Клюшев Александр </t>
  </si>
  <si>
    <t>1. Белецкий Евгений</t>
  </si>
  <si>
    <t>Ветераны 55 - 59 (02.05.1964)/57</t>
  </si>
  <si>
    <t>110,10</t>
  </si>
  <si>
    <t>195,0</t>
  </si>
  <si>
    <t>205,0</t>
  </si>
  <si>
    <t>Приседание</t>
  </si>
  <si>
    <t>135,0</t>
  </si>
  <si>
    <t>145,0</t>
  </si>
  <si>
    <t>2. Парфенова Лидия</t>
  </si>
  <si>
    <t>Открытая (21.09.1984)/37</t>
  </si>
  <si>
    <t>58,90</t>
  </si>
  <si>
    <t>125,0</t>
  </si>
  <si>
    <t>60,0</t>
  </si>
  <si>
    <t>70,0</t>
  </si>
  <si>
    <t>72,5</t>
  </si>
  <si>
    <t>120,0</t>
  </si>
  <si>
    <t>130,0</t>
  </si>
  <si>
    <t>140,0</t>
  </si>
  <si>
    <t xml:space="preserve">Ивасенко Алексей </t>
  </si>
  <si>
    <t>ВЕСОВАЯ КАТЕГОРИЯ   75</t>
  </si>
  <si>
    <t>1. Дзюба Константин</t>
  </si>
  <si>
    <t>Открытая (06.04.1987)/34</t>
  </si>
  <si>
    <t>73,80</t>
  </si>
  <si>
    <t>210,0</t>
  </si>
  <si>
    <t xml:space="preserve">Шакиров Андрей </t>
  </si>
  <si>
    <t>1. Кондратюк Максим</t>
  </si>
  <si>
    <t>Юниоры 20 - 23 (08.03.1999)/22</t>
  </si>
  <si>
    <t>99,40</t>
  </si>
  <si>
    <t xml:space="preserve">Благовещенск/Амурская область </t>
  </si>
  <si>
    <t>142,5</t>
  </si>
  <si>
    <t xml:space="preserve">Шабанов Александр </t>
  </si>
  <si>
    <t>2. Крошка Никита</t>
  </si>
  <si>
    <t>Юниоры 20 - 23 (27.04.2000)/21</t>
  </si>
  <si>
    <t>93,40</t>
  </si>
  <si>
    <t>1. Ивасенко Алексей</t>
  </si>
  <si>
    <t>Открытая (25.06.1993)/28</t>
  </si>
  <si>
    <t>270,0</t>
  </si>
  <si>
    <t>282,5</t>
  </si>
  <si>
    <t>1. Камкин Даниил</t>
  </si>
  <si>
    <t>Открытая (19.08.1991)/30</t>
  </si>
  <si>
    <t>108,00</t>
  </si>
  <si>
    <t>330,0</t>
  </si>
  <si>
    <t>345,0</t>
  </si>
  <si>
    <t>360,0</t>
  </si>
  <si>
    <t>177,5</t>
  </si>
  <si>
    <t>300,0</t>
  </si>
  <si>
    <t>310,0</t>
  </si>
  <si>
    <t>320,0</t>
  </si>
  <si>
    <t xml:space="preserve">Дедюля Валентин </t>
  </si>
  <si>
    <t>2. Соколов Владислав</t>
  </si>
  <si>
    <t>255,0</t>
  </si>
  <si>
    <t>275,0</t>
  </si>
  <si>
    <t>280,0</t>
  </si>
  <si>
    <t>3. Воронцов Михаил</t>
  </si>
  <si>
    <t>Открытая (12.02.1964)/57</t>
  </si>
  <si>
    <t>109,50</t>
  </si>
  <si>
    <t>1. Воронцов Михаил</t>
  </si>
  <si>
    <t>Ветераны 55 - 59 (12.02.1964)/57</t>
  </si>
  <si>
    <t>ВЕСОВАЯ КАТЕГОРИЯ   48</t>
  </si>
  <si>
    <t>1. Кирилычева Александра</t>
  </si>
  <si>
    <t>Открытая (02.11.1992)/29</t>
  </si>
  <si>
    <t>46,90</t>
  </si>
  <si>
    <t xml:space="preserve">Большой Камень/Приморский край </t>
  </si>
  <si>
    <t>80,0</t>
  </si>
  <si>
    <t>100,0</t>
  </si>
  <si>
    <t xml:space="preserve">Таах Александр </t>
  </si>
  <si>
    <t>ВЕСОВАЯ КАТЕГОРИЯ   52</t>
  </si>
  <si>
    <t>1. Ли Анна</t>
  </si>
  <si>
    <t>Открытая (11.04.1990)/31</t>
  </si>
  <si>
    <t>51,20</t>
  </si>
  <si>
    <t>115,0</t>
  </si>
  <si>
    <t>132,5</t>
  </si>
  <si>
    <t xml:space="preserve">Щур Андрей </t>
  </si>
  <si>
    <t>1. Никитина Анастасия</t>
  </si>
  <si>
    <t>Ветераны 40 - 44 (05.08.1981)/40</t>
  </si>
  <si>
    <t>50,40</t>
  </si>
  <si>
    <t>87,5</t>
  </si>
  <si>
    <t xml:space="preserve">Гапошкина Марина </t>
  </si>
  <si>
    <t>ВЕСОВАЯ КАТЕГОРИЯ   56</t>
  </si>
  <si>
    <t>1. Завагина Алина</t>
  </si>
  <si>
    <t>Открытая (07.11.1993)/28</t>
  </si>
  <si>
    <t>56,00</t>
  </si>
  <si>
    <t xml:space="preserve">Южно-Сахалинск/Сахалинская область </t>
  </si>
  <si>
    <t>122,5</t>
  </si>
  <si>
    <t>1. Куц Алена</t>
  </si>
  <si>
    <t>Открытая (09.11.1984)/37</t>
  </si>
  <si>
    <t>58,80</t>
  </si>
  <si>
    <t>110,0</t>
  </si>
  <si>
    <t>112,5</t>
  </si>
  <si>
    <t>ВЕСОВАЯ КАТЕГОРИЯ   67.5</t>
  </si>
  <si>
    <t>1. Шарова Дарья</t>
  </si>
  <si>
    <t>Открытая (17.03.1993)/28</t>
  </si>
  <si>
    <t>66,60</t>
  </si>
  <si>
    <t xml:space="preserve">Крук Виолетта </t>
  </si>
  <si>
    <t>1. Сошникова Татьяна</t>
  </si>
  <si>
    <t>Открытая (18.06.1987)/34</t>
  </si>
  <si>
    <t>74,80</t>
  </si>
  <si>
    <t>2. Алексеева Евгения</t>
  </si>
  <si>
    <t>Открытая (03.02.1987)/34</t>
  </si>
  <si>
    <t>73,90</t>
  </si>
  <si>
    <t>1. Москаленко Владимир</t>
  </si>
  <si>
    <t>Открытая (11.08.1987)/34</t>
  </si>
  <si>
    <t>58,20</t>
  </si>
  <si>
    <t>1. Ромашин Роман</t>
  </si>
  <si>
    <t>Открытая (22.11.1996)/25</t>
  </si>
  <si>
    <t>65,00</t>
  </si>
  <si>
    <t>1. Ледида Георгий</t>
  </si>
  <si>
    <t>Юноши 18 - 19 (31.12.2001)/19</t>
  </si>
  <si>
    <t>73,50</t>
  </si>
  <si>
    <t>202,5</t>
  </si>
  <si>
    <t xml:space="preserve">Грачев Игорь </t>
  </si>
  <si>
    <t>1. Мирошниченко Михаил</t>
  </si>
  <si>
    <t>Юниоры 20 - 23 (16.11.2000)/21</t>
  </si>
  <si>
    <t>80,00</t>
  </si>
  <si>
    <t xml:space="preserve">Свободный/Амурская область </t>
  </si>
  <si>
    <t xml:space="preserve">Еленский Андрей </t>
  </si>
  <si>
    <t>1. Кейзеров Алексей</t>
  </si>
  <si>
    <t>Открытая (06.01.1996)/25</t>
  </si>
  <si>
    <t>78,10</t>
  </si>
  <si>
    <t>155,0</t>
  </si>
  <si>
    <t>1. Рыбалка Юрий</t>
  </si>
  <si>
    <t>Открытая (27.06.1991)/30</t>
  </si>
  <si>
    <t>88,60</t>
  </si>
  <si>
    <t>2. Абдуллаев Шадиг</t>
  </si>
  <si>
    <t>Открытая (29.05.1996)/25</t>
  </si>
  <si>
    <t>87,90</t>
  </si>
  <si>
    <t>235,0</t>
  </si>
  <si>
    <t>3. Сорокин Алексей</t>
  </si>
  <si>
    <t>Открытая (27.11.1990)/31</t>
  </si>
  <si>
    <t>87,50</t>
  </si>
  <si>
    <t>222,5</t>
  </si>
  <si>
    <t>4. Иншаков Александр</t>
  </si>
  <si>
    <t>Открытая (23.06.1991)/30</t>
  </si>
  <si>
    <t xml:space="preserve">Эртиль/Воронежская область </t>
  </si>
  <si>
    <t>1. Сафроненко Глеб</t>
  </si>
  <si>
    <t>Открытая (21.01.1985)/36</t>
  </si>
  <si>
    <t>1. Таах Александр</t>
  </si>
  <si>
    <t>Ветераны 45 - 49 (28.07.1972)/49</t>
  </si>
  <si>
    <t>99,30</t>
  </si>
  <si>
    <t>1. Кользун Мария</t>
  </si>
  <si>
    <t>Девушки 16 - 17 (16.08.2004)/17</t>
  </si>
  <si>
    <t>45,60</t>
  </si>
  <si>
    <t>40,0</t>
  </si>
  <si>
    <t>45,0</t>
  </si>
  <si>
    <t>1. Уткина Екатерина</t>
  </si>
  <si>
    <t>Открытая (31.12.1985)/35</t>
  </si>
  <si>
    <t>52,00</t>
  </si>
  <si>
    <t>52,5</t>
  </si>
  <si>
    <t>57,5</t>
  </si>
  <si>
    <t>-. Ли Анна</t>
  </si>
  <si>
    <t>55,0</t>
  </si>
  <si>
    <t>1. Мазуренко Альбина</t>
  </si>
  <si>
    <t>Открытая (28.02.1982)/39</t>
  </si>
  <si>
    <t>55,20</t>
  </si>
  <si>
    <t>35,0</t>
  </si>
  <si>
    <t>42,5</t>
  </si>
  <si>
    <t>1. Кравцова Ирина</t>
  </si>
  <si>
    <t>Открытая (24.11.1998)/23</t>
  </si>
  <si>
    <t>105,5</t>
  </si>
  <si>
    <t>1. Кузнецова Ирина</t>
  </si>
  <si>
    <t>Ветераны 40 - 44 (24.12.1978)/42</t>
  </si>
  <si>
    <t>66,50</t>
  </si>
  <si>
    <t>75,0</t>
  </si>
  <si>
    <t xml:space="preserve">Щур </t>
  </si>
  <si>
    <t>1. Гринев Максим</t>
  </si>
  <si>
    <t>Открытая (16.05.1994)/27</t>
  </si>
  <si>
    <t>64,90</t>
  </si>
  <si>
    <t>1. Биковец Максим</t>
  </si>
  <si>
    <t>Открытая (15.01.1985)/36</t>
  </si>
  <si>
    <t>71,60</t>
  </si>
  <si>
    <t>1. Глазов Кирилл</t>
  </si>
  <si>
    <t>Открытая (10.04.1992)/29</t>
  </si>
  <si>
    <t>2. Лучин Руслан</t>
  </si>
  <si>
    <t>Открытая (05.06.1990)/31</t>
  </si>
  <si>
    <t>82,40</t>
  </si>
  <si>
    <t>3. Воробьев Виктор</t>
  </si>
  <si>
    <t>Открытая (07.05.1994)/27</t>
  </si>
  <si>
    <t>81,70</t>
  </si>
  <si>
    <t xml:space="preserve">Тигай Алексей </t>
  </si>
  <si>
    <t>1. Азаров Юрий</t>
  </si>
  <si>
    <t>Ветераны 75 - 79 (18.01.1942)/79</t>
  </si>
  <si>
    <t>82,5</t>
  </si>
  <si>
    <t>1. Гнатишин Данила</t>
  </si>
  <si>
    <t>Юноши 16 - 17 (27.06.2004)/17</t>
  </si>
  <si>
    <t>88,70</t>
  </si>
  <si>
    <t>102,5</t>
  </si>
  <si>
    <t>1. Кривцов Николай</t>
  </si>
  <si>
    <t>Юноши 18 - 19 (29.04.2003)/18</t>
  </si>
  <si>
    <t>1. Васильев Сергей</t>
  </si>
  <si>
    <t>Открытая (05.10.1997)/24</t>
  </si>
  <si>
    <t>88,90</t>
  </si>
  <si>
    <t>2. Сорокин Алексей</t>
  </si>
  <si>
    <t>152,5</t>
  </si>
  <si>
    <t>3. Борок Антон</t>
  </si>
  <si>
    <t>Открытая (16.12.1985)/35</t>
  </si>
  <si>
    <t>4. Тигай Алексей</t>
  </si>
  <si>
    <t>Открытая (06.11.1996)/25</t>
  </si>
  <si>
    <t>89,70</t>
  </si>
  <si>
    <t>5. Иншаков Александр</t>
  </si>
  <si>
    <t>137,5</t>
  </si>
  <si>
    <t>-. Вишневский Король</t>
  </si>
  <si>
    <t>Открытая (16.11.1983)/38</t>
  </si>
  <si>
    <t>89,40</t>
  </si>
  <si>
    <t xml:space="preserve">Романенко Вячеслав </t>
  </si>
  <si>
    <t>1. Егорчев Тимофей</t>
  </si>
  <si>
    <t>Ветераны 50 - 54 (20.07.1971)/50</t>
  </si>
  <si>
    <t>87,70</t>
  </si>
  <si>
    <t xml:space="preserve">Еленский </t>
  </si>
  <si>
    <t>1. Чорноус Владимир</t>
  </si>
  <si>
    <t>Ветераны 70 - 74 (15.09.1948)/73</t>
  </si>
  <si>
    <t>85,0</t>
  </si>
  <si>
    <t xml:space="preserve">Захаров Иван </t>
  </si>
  <si>
    <t>1. Шталь Яков</t>
  </si>
  <si>
    <t>Открытая (12.12.1991)/29</t>
  </si>
  <si>
    <t>91,20</t>
  </si>
  <si>
    <t>2. Рубцов Сергей</t>
  </si>
  <si>
    <t>Открытая (19.06.1984)/37</t>
  </si>
  <si>
    <t>97,60</t>
  </si>
  <si>
    <t>3. Кургузов Константин</t>
  </si>
  <si>
    <t>Открытая (28.09.1986)/35</t>
  </si>
  <si>
    <t>98,90</t>
  </si>
  <si>
    <t>1. Куцый Юрий</t>
  </si>
  <si>
    <t>Открытая (12.04.1990)/31</t>
  </si>
  <si>
    <t>102,30</t>
  </si>
  <si>
    <t xml:space="preserve">Тах Александр </t>
  </si>
  <si>
    <t>1. Сидоренко Станислав</t>
  </si>
  <si>
    <t>Открытая (07.03.1986)/35</t>
  </si>
  <si>
    <t>118,90</t>
  </si>
  <si>
    <t xml:space="preserve">Чернюк Михаил </t>
  </si>
  <si>
    <t>2. Никитченко Артем</t>
  </si>
  <si>
    <t>Открытая (16.10.1985)/36</t>
  </si>
  <si>
    <t>112,90</t>
  </si>
  <si>
    <t>ВЕСОВАЯ КАТЕГОРИЯ   140</t>
  </si>
  <si>
    <t>1. Горшенин Олег</t>
  </si>
  <si>
    <t>Открытая (30.11.1993)/28</t>
  </si>
  <si>
    <t>127,00</t>
  </si>
  <si>
    <t>25,0</t>
  </si>
  <si>
    <t>32,5</t>
  </si>
  <si>
    <t>1. Никулина Ирина</t>
  </si>
  <si>
    <t>Ветераны 55 - 59 (20.12.1965)/55</t>
  </si>
  <si>
    <t>46,30</t>
  </si>
  <si>
    <t>65,0</t>
  </si>
  <si>
    <t xml:space="preserve">Завагина Алина </t>
  </si>
  <si>
    <t>117,5</t>
  </si>
  <si>
    <t>2. Мохова Юлия</t>
  </si>
  <si>
    <t>Открытая (11.11.1988)/33</t>
  </si>
  <si>
    <t>51,90</t>
  </si>
  <si>
    <t>37,5</t>
  </si>
  <si>
    <t xml:space="preserve">Моргун Дмитрий </t>
  </si>
  <si>
    <t>105,0</t>
  </si>
  <si>
    <t>107,5</t>
  </si>
  <si>
    <t>1. Сологубова Ольга</t>
  </si>
  <si>
    <t>Открытая (06.11.1983)/38</t>
  </si>
  <si>
    <t>59,80</t>
  </si>
  <si>
    <t>1. Мазур Альвина</t>
  </si>
  <si>
    <t>Открытая (17.03.1995)/26</t>
  </si>
  <si>
    <t>66,40</t>
  </si>
  <si>
    <t xml:space="preserve">Култашов Сергей </t>
  </si>
  <si>
    <t>1. Ляжко Елена</t>
  </si>
  <si>
    <t>Открытая (03.01.1985)/36</t>
  </si>
  <si>
    <t>81,30</t>
  </si>
  <si>
    <t>50,0</t>
  </si>
  <si>
    <t>1. Марченко Владислав</t>
  </si>
  <si>
    <t>Юноши 16 - 17 (09.04.2004)/17</t>
  </si>
  <si>
    <t>66,30</t>
  </si>
  <si>
    <t>90,0</t>
  </si>
  <si>
    <t>1. Аврамич Артем</t>
  </si>
  <si>
    <t>Открытая (02.06.1991)/30</t>
  </si>
  <si>
    <t>74,30</t>
  </si>
  <si>
    <t>157,5</t>
  </si>
  <si>
    <t>127,5</t>
  </si>
  <si>
    <t>212,5</t>
  </si>
  <si>
    <t>217,5</t>
  </si>
  <si>
    <t>1. Дебелый Игорь</t>
  </si>
  <si>
    <t>Юноши 16 - 17 (16.12.2003)/17</t>
  </si>
  <si>
    <t>79,00</t>
  </si>
  <si>
    <t>1. Рогаткин Глеб</t>
  </si>
  <si>
    <t>Юноши 18 - 19 (08.03.2002)/19</t>
  </si>
  <si>
    <t>80,80</t>
  </si>
  <si>
    <t>1. Клименков Артем</t>
  </si>
  <si>
    <t>Юноши 16 - 17 (11.08.2004)/17</t>
  </si>
  <si>
    <t>88,20</t>
  </si>
  <si>
    <t>215,0</t>
  </si>
  <si>
    <t>1. Кожевников Александр</t>
  </si>
  <si>
    <t>Открытая (23.04.1991)/30</t>
  </si>
  <si>
    <t>84,00</t>
  </si>
  <si>
    <t>1. Микаелян Петр</t>
  </si>
  <si>
    <t>Юниоры 20 - 23 (02.06.2000)/21</t>
  </si>
  <si>
    <t>99,10</t>
  </si>
  <si>
    <t>1. Нитягорская Елена</t>
  </si>
  <si>
    <t>Девушки 18 - 19 (05.04.2003)/18</t>
  </si>
  <si>
    <t>50,10</t>
  </si>
  <si>
    <t>62,5</t>
  </si>
  <si>
    <t>Жим стоя</t>
  </si>
  <si>
    <t>1. Абубакиров Иса</t>
  </si>
  <si>
    <t>Открытая (22.11.1992)/29</t>
  </si>
  <si>
    <t>59,70</t>
  </si>
  <si>
    <t>47,5</t>
  </si>
  <si>
    <t>1. Сулумханов Шахман</t>
  </si>
  <si>
    <t>Открытая (03.01.1992)/29</t>
  </si>
  <si>
    <t>Открытый чемпионат СНГ
AWPA строгий подъем на бицепс
Хабаровск/Хабаровский край 4 декабря 2021 г.</t>
  </si>
  <si>
    <t>Подъем на бицепс</t>
  </si>
  <si>
    <t>1. Елисеев Сергей</t>
  </si>
  <si>
    <t>Ветераны 45 - 49 (14.06.1976)/45</t>
  </si>
  <si>
    <t>72,50</t>
  </si>
  <si>
    <t>1. Сухименко Александр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</si>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</sst>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left"/>
    </xf>
    <xf numFmtId="49" fontId="5" fillId="0" borderId="12" xfId="0" applyNumberFormat="1" applyFont="1" applyFill="1" applyBorder="1" applyAlignment="1">
      <alignment horizontal="center"/>
    </xf>
    <xf numFmtId="49" fontId="0" fillId="0" borderId="12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left"/>
    </xf>
    <xf numFmtId="49" fontId="5" fillId="0" borderId="8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center"/>
    </xf>
    <xf numFmtId="49" fontId="0" fillId="0" borderId="11" xfId="0" applyNumberFormat="1" applyFont="1" applyFill="1" applyBorder="1" applyAlignment="1">
      <alignment horizontal="left"/>
    </xf>
    <xf numFmtId="49" fontId="5" fillId="0" borderId="11" xfId="0" applyNumberFormat="1" applyFont="1" applyFill="1" applyBorder="1" applyAlignment="1">
      <alignment horizontal="center"/>
    </xf>
    <xf numFmtId="49" fontId="0" fillId="0" borderId="11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left"/>
    </xf>
    <xf numFmtId="49" fontId="1" fillId="0" borderId="12" xfId="0" applyNumberFormat="1" applyFont="1" applyFill="1" applyBorder="1" applyAlignment="1">
      <alignment horizontal="left"/>
    </xf>
    <xf numFmtId="49" fontId="1" fillId="0" borderId="12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left"/>
    </xf>
    <xf numFmtId="49" fontId="1" fillId="0" borderId="8" xfId="0" applyNumberFormat="1" applyFont="1" applyFill="1" applyBorder="1" applyAlignment="1">
      <alignment horizontal="center"/>
    </xf>
    <xf numFmtId="49" fontId="1" fillId="0" borderId="11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7" fillId="0" borderId="0" xfId="0" applyNumberFormat="1" applyFont="1" applyFill="1" applyBorder="1" applyAlignment="1">
      <alignment horizontal="left" indent="1"/>
    </xf>
    <xf numFmtId="49" fontId="7" fillId="0" borderId="0" xfId="0" applyNumberFormat="1" applyFont="1" applyFill="1" applyBorder="1" applyAlignment="1">
      <alignment horizontal="left"/>
    </xf>
    <xf numFmtId="49" fontId="2" fillId="0" borderId="11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left"/>
    </xf>
    <xf numFmtId="49" fontId="5" fillId="0" borderId="13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center"/>
    </xf>
    <xf numFmtId="49" fontId="1" fillId="0" borderId="13" xfId="0" applyNumberFormat="1" applyFont="1" applyFill="1" applyBorder="1" applyAlignment="1">
      <alignment horizontal="left"/>
    </xf>
    <xf numFmtId="49" fontId="1" fillId="0" borderId="13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0" borderId="10" xfId="0" applyNumberFormat="1" applyFont="1" applyFill="1" applyBorder="1" applyAlignment="1">
      <alignment horizontal="center"/>
    </xf>
    <xf numFmtId="49" fontId="4" fillId="0" borderId="1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41"/>
  <sheetViews>
    <sheetView tabSelected="1" workbookViewId="0">
      <selection activeCell="A3" sqref="A3:P3"/>
    </sheetView>
  </sheetViews>
  <sheetFormatPr defaultRowHeight="12.75" x14ac:dyDescent="0.2"/>
  <cols>
    <col min="1" max="1" width="26" style="4" bestFit="1" customWidth="1"/>
    <col min="2" max="2" width="29.7109375" style="4" bestFit="1" customWidth="1"/>
    <col min="3" max="3" width="15.5703125" style="4" bestFit="1" customWidth="1"/>
    <col min="4" max="4" width="38.7109375" style="4" bestFit="1" customWidth="1"/>
    <col min="5" max="7" width="5.5703125" style="3" customWidth="1"/>
    <col min="8" max="8" width="4.85546875" style="3" customWidth="1"/>
    <col min="9" max="11" width="5.5703125" style="3" customWidth="1"/>
    <col min="12" max="12" width="4.85546875" style="3" customWidth="1"/>
    <col min="13" max="15" width="5.5703125" style="3" customWidth="1"/>
    <col min="16" max="16" width="4.85546875" style="3" customWidth="1"/>
    <col min="17" max="17" width="7.85546875" style="15" bestFit="1" customWidth="1"/>
    <col min="18" max="18" width="8.5703125" style="2" bestFit="1" customWidth="1"/>
    <col min="19" max="19" width="17.7109375" style="4" bestFit="1" customWidth="1"/>
    <col min="20" max="16384" width="9.140625" style="3"/>
  </cols>
  <sheetData>
    <row r="1" spans="1:19" s="1" customFormat="1" ht="12.75" customHeight="1" x14ac:dyDescent="0.2">
      <c r="A1" s="38" t="s">
        <v>0</v>
      </c>
      <c r="B1" s="40" t="s">
        <v>5</v>
      </c>
      <c r="C1" s="40" t="s">
        <v>7</v>
      </c>
      <c r="D1" s="33" t="s">
        <v>6</v>
      </c>
      <c r="E1" s="33" t="s">
        <v>113</v>
      </c>
      <c r="F1" s="33"/>
      <c r="G1" s="33"/>
      <c r="H1" s="33"/>
      <c r="I1" s="33" t="s">
        <v>47</v>
      </c>
      <c r="J1" s="33"/>
      <c r="K1" s="33"/>
      <c r="L1" s="33"/>
      <c r="M1" s="33" t="s">
        <v>8</v>
      </c>
      <c r="N1" s="33"/>
      <c r="O1" s="33"/>
      <c r="P1" s="33"/>
      <c r="Q1" s="33" t="s">
        <v>1</v>
      </c>
      <c r="R1" s="33" t="s">
        <v>3</v>
      </c>
      <c r="S1" s="34" t="s">
        <v>2</v>
      </c>
    </row>
    <row r="2" spans="1:19" s="1" customFormat="1" ht="21" customHeight="1" thickBot="1" x14ac:dyDescent="0.25">
      <c r="A2" s="39"/>
      <c r="B2" s="41"/>
      <c r="C2" s="41"/>
      <c r="D2" s="41"/>
      <c r="E2" s="5">
        <v>1</v>
      </c>
      <c r="F2" s="5">
        <v>2</v>
      </c>
      <c r="G2" s="5">
        <v>3</v>
      </c>
      <c r="H2" s="5" t="s">
        <v>4</v>
      </c>
      <c r="I2" s="5">
        <v>1</v>
      </c>
      <c r="J2" s="5">
        <v>2</v>
      </c>
      <c r="K2" s="5">
        <v>3</v>
      </c>
      <c r="L2" s="5" t="s">
        <v>4</v>
      </c>
      <c r="M2" s="5">
        <v>1</v>
      </c>
      <c r="N2" s="5">
        <v>2</v>
      </c>
      <c r="O2" s="5">
        <v>3</v>
      </c>
      <c r="P2" s="5" t="s">
        <v>4</v>
      </c>
      <c r="Q2" s="41"/>
      <c r="R2" s="41"/>
      <c r="S2" s="35"/>
    </row>
    <row r="3" spans="1:19" ht="15" x14ac:dyDescent="0.2">
      <c r="A3" s="45" t="s">
        <v>166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1:19" x14ac:dyDescent="0.2">
      <c r="A4" s="6" t="s">
        <v>167</v>
      </c>
      <c r="B4" s="6" t="s">
        <v>168</v>
      </c>
      <c r="C4" s="6" t="s">
        <v>169</v>
      </c>
      <c r="D4" s="6" t="s">
        <v>170</v>
      </c>
      <c r="E4" s="8" t="s">
        <v>121</v>
      </c>
      <c r="F4" s="8" t="s">
        <v>270</v>
      </c>
      <c r="G4" s="7" t="s">
        <v>171</v>
      </c>
      <c r="H4" s="7"/>
      <c r="I4" s="8" t="s">
        <v>344</v>
      </c>
      <c r="J4" s="8" t="s">
        <v>345</v>
      </c>
      <c r="K4" s="7" t="s">
        <v>262</v>
      </c>
      <c r="L4" s="7"/>
      <c r="M4" s="8" t="s">
        <v>171</v>
      </c>
      <c r="N4" s="8" t="s">
        <v>49</v>
      </c>
      <c r="O4" s="7" t="s">
        <v>172</v>
      </c>
      <c r="P4" s="7"/>
      <c r="Q4" s="16" t="str">
        <f>"202,5"</f>
        <v>202,5</v>
      </c>
      <c r="R4" s="17" t="str">
        <f>"213,2325"</f>
        <v>213,2325</v>
      </c>
      <c r="S4" s="6" t="s">
        <v>173</v>
      </c>
    </row>
    <row r="5" spans="1:19" x14ac:dyDescent="0.2">
      <c r="A5" s="9" t="s">
        <v>346</v>
      </c>
      <c r="B5" s="9" t="s">
        <v>347</v>
      </c>
      <c r="C5" s="9" t="s">
        <v>348</v>
      </c>
      <c r="D5" s="9" t="s">
        <v>190</v>
      </c>
      <c r="E5" s="11" t="s">
        <v>258</v>
      </c>
      <c r="F5" s="11" t="s">
        <v>120</v>
      </c>
      <c r="G5" s="11" t="s">
        <v>349</v>
      </c>
      <c r="H5" s="10"/>
      <c r="I5" s="11" t="s">
        <v>262</v>
      </c>
      <c r="J5" s="11" t="s">
        <v>250</v>
      </c>
      <c r="K5" s="10" t="s">
        <v>251</v>
      </c>
      <c r="L5" s="10"/>
      <c r="M5" s="11" t="s">
        <v>270</v>
      </c>
      <c r="N5" s="11" t="s">
        <v>171</v>
      </c>
      <c r="O5" s="11" t="s">
        <v>318</v>
      </c>
      <c r="P5" s="10"/>
      <c r="Q5" s="18" t="str">
        <f>"190,0"</f>
        <v>190,0</v>
      </c>
      <c r="R5" s="19" t="str">
        <f>"278,9546"</f>
        <v>278,9546</v>
      </c>
      <c r="S5" s="9" t="s">
        <v>350</v>
      </c>
    </row>
    <row r="7" spans="1:19" ht="15" x14ac:dyDescent="0.2">
      <c r="A7" s="43" t="s">
        <v>174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1:19" x14ac:dyDescent="0.2">
      <c r="A8" s="6" t="s">
        <v>175</v>
      </c>
      <c r="B8" s="6" t="s">
        <v>176</v>
      </c>
      <c r="C8" s="6" t="s">
        <v>177</v>
      </c>
      <c r="D8" s="6" t="s">
        <v>13</v>
      </c>
      <c r="E8" s="8" t="s">
        <v>195</v>
      </c>
      <c r="F8" s="8" t="s">
        <v>351</v>
      </c>
      <c r="G8" s="7"/>
      <c r="H8" s="7"/>
      <c r="I8" s="8" t="s">
        <v>258</v>
      </c>
      <c r="J8" s="8" t="s">
        <v>256</v>
      </c>
      <c r="K8" s="8" t="s">
        <v>349</v>
      </c>
      <c r="L8" s="7"/>
      <c r="M8" s="8" t="s">
        <v>178</v>
      </c>
      <c r="N8" s="8" t="s">
        <v>119</v>
      </c>
      <c r="O8" s="8" t="s">
        <v>179</v>
      </c>
      <c r="P8" s="7"/>
      <c r="Q8" s="16" t="str">
        <f>"315,0"</f>
        <v>315,0</v>
      </c>
      <c r="R8" s="17" t="str">
        <f>"308,9835"</f>
        <v>308,9835</v>
      </c>
      <c r="S8" s="6" t="s">
        <v>180</v>
      </c>
    </row>
    <row r="9" spans="1:19" x14ac:dyDescent="0.2">
      <c r="A9" s="9" t="s">
        <v>352</v>
      </c>
      <c r="B9" s="9" t="s">
        <v>353</v>
      </c>
      <c r="C9" s="9" t="s">
        <v>354</v>
      </c>
      <c r="D9" s="9" t="s">
        <v>13</v>
      </c>
      <c r="E9" s="11" t="s">
        <v>171</v>
      </c>
      <c r="F9" s="10" t="s">
        <v>318</v>
      </c>
      <c r="G9" s="10" t="s">
        <v>318</v>
      </c>
      <c r="H9" s="10"/>
      <c r="I9" s="11" t="s">
        <v>355</v>
      </c>
      <c r="J9" s="11" t="s">
        <v>250</v>
      </c>
      <c r="K9" s="11" t="s">
        <v>263</v>
      </c>
      <c r="L9" s="10"/>
      <c r="M9" s="11" t="s">
        <v>172</v>
      </c>
      <c r="N9" s="11" t="s">
        <v>195</v>
      </c>
      <c r="O9" s="11" t="s">
        <v>178</v>
      </c>
      <c r="P9" s="10"/>
      <c r="Q9" s="18" t="str">
        <f>"237,5"</f>
        <v>237,5</v>
      </c>
      <c r="R9" s="19" t="str">
        <f>"230,3987"</f>
        <v>230,3987</v>
      </c>
      <c r="S9" s="9" t="s">
        <v>356</v>
      </c>
    </row>
    <row r="11" spans="1:19" ht="15" x14ac:dyDescent="0.2">
      <c r="A11" s="43" t="s">
        <v>186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</row>
    <row r="12" spans="1:19" x14ac:dyDescent="0.2">
      <c r="A12" s="12" t="s">
        <v>187</v>
      </c>
      <c r="B12" s="12" t="s">
        <v>188</v>
      </c>
      <c r="C12" s="12" t="s">
        <v>189</v>
      </c>
      <c r="D12" s="12" t="s">
        <v>190</v>
      </c>
      <c r="E12" s="14" t="s">
        <v>172</v>
      </c>
      <c r="F12" s="14" t="s">
        <v>357</v>
      </c>
      <c r="G12" s="13" t="s">
        <v>358</v>
      </c>
      <c r="H12" s="13"/>
      <c r="I12" s="14" t="s">
        <v>258</v>
      </c>
      <c r="J12" s="14" t="s">
        <v>256</v>
      </c>
      <c r="K12" s="13" t="s">
        <v>120</v>
      </c>
      <c r="L12" s="13"/>
      <c r="M12" s="13" t="s">
        <v>123</v>
      </c>
      <c r="N12" s="14" t="s">
        <v>123</v>
      </c>
      <c r="O12" s="13" t="s">
        <v>124</v>
      </c>
      <c r="P12" s="13"/>
      <c r="Q12" s="20" t="str">
        <f>"282,5"</f>
        <v>282,5</v>
      </c>
      <c r="R12" s="21" t="str">
        <f>"257,6965"</f>
        <v>257,6965</v>
      </c>
      <c r="S12" s="12"/>
    </row>
    <row r="14" spans="1:19" ht="15" x14ac:dyDescent="0.2">
      <c r="A14" s="43" t="s">
        <v>9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</row>
    <row r="15" spans="1:19" x14ac:dyDescent="0.2">
      <c r="A15" s="12" t="s">
        <v>359</v>
      </c>
      <c r="B15" s="12" t="s">
        <v>360</v>
      </c>
      <c r="C15" s="12" t="s">
        <v>361</v>
      </c>
      <c r="D15" s="12" t="s">
        <v>13</v>
      </c>
      <c r="E15" s="13" t="s">
        <v>125</v>
      </c>
      <c r="F15" s="13" t="s">
        <v>125</v>
      </c>
      <c r="G15" s="14" t="s">
        <v>125</v>
      </c>
      <c r="H15" s="13"/>
      <c r="I15" s="14" t="s">
        <v>120</v>
      </c>
      <c r="J15" s="13" t="s">
        <v>349</v>
      </c>
      <c r="K15" s="13" t="s">
        <v>349</v>
      </c>
      <c r="L15" s="13"/>
      <c r="M15" s="14" t="s">
        <v>195</v>
      </c>
      <c r="N15" s="14" t="s">
        <v>119</v>
      </c>
      <c r="O15" s="13" t="s">
        <v>124</v>
      </c>
      <c r="P15" s="13"/>
      <c r="Q15" s="20" t="str">
        <f>"325,0"</f>
        <v>325,0</v>
      </c>
      <c r="R15" s="21" t="str">
        <f>"280,4100"</f>
        <v>280,4100</v>
      </c>
      <c r="S15" s="12" t="s">
        <v>156</v>
      </c>
    </row>
    <row r="17" spans="1:19" ht="15" x14ac:dyDescent="0.2">
      <c r="A17" s="43" t="s">
        <v>197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</row>
    <row r="18" spans="1:19" x14ac:dyDescent="0.2">
      <c r="A18" s="12" t="s">
        <v>362</v>
      </c>
      <c r="B18" s="12" t="s">
        <v>363</v>
      </c>
      <c r="C18" s="12" t="s">
        <v>364</v>
      </c>
      <c r="D18" s="12" t="s">
        <v>13</v>
      </c>
      <c r="E18" s="14" t="s">
        <v>124</v>
      </c>
      <c r="F18" s="14" t="s">
        <v>125</v>
      </c>
      <c r="G18" s="14" t="s">
        <v>51</v>
      </c>
      <c r="H18" s="13"/>
      <c r="I18" s="14" t="s">
        <v>349</v>
      </c>
      <c r="J18" s="14" t="s">
        <v>121</v>
      </c>
      <c r="K18" s="14" t="s">
        <v>270</v>
      </c>
      <c r="L18" s="13"/>
      <c r="M18" s="14" t="s">
        <v>124</v>
      </c>
      <c r="N18" s="14" t="s">
        <v>125</v>
      </c>
      <c r="O18" s="14" t="s">
        <v>115</v>
      </c>
      <c r="P18" s="13"/>
      <c r="Q18" s="20" t="str">
        <f>"370,0"</f>
        <v>370,0</v>
      </c>
      <c r="R18" s="21" t="str">
        <f>"292,2260"</f>
        <v>292,2260</v>
      </c>
      <c r="S18" s="12" t="s">
        <v>365</v>
      </c>
    </row>
    <row r="20" spans="1:19" ht="15" x14ac:dyDescent="0.2">
      <c r="A20" s="43" t="s">
        <v>127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9" x14ac:dyDescent="0.2">
      <c r="A21" s="12" t="s">
        <v>202</v>
      </c>
      <c r="B21" s="12" t="s">
        <v>203</v>
      </c>
      <c r="C21" s="12" t="s">
        <v>204</v>
      </c>
      <c r="D21" s="12" t="s">
        <v>13</v>
      </c>
      <c r="E21" s="14" t="s">
        <v>125</v>
      </c>
      <c r="F21" s="13" t="s">
        <v>51</v>
      </c>
      <c r="G21" s="14" t="s">
        <v>51</v>
      </c>
      <c r="H21" s="13"/>
      <c r="I21" s="14" t="s">
        <v>349</v>
      </c>
      <c r="J21" s="14" t="s">
        <v>270</v>
      </c>
      <c r="K21" s="14" t="s">
        <v>171</v>
      </c>
      <c r="L21" s="13"/>
      <c r="M21" s="14" t="s">
        <v>51</v>
      </c>
      <c r="N21" s="14" t="s">
        <v>57</v>
      </c>
      <c r="O21" s="14" t="s">
        <v>14</v>
      </c>
      <c r="P21" s="13"/>
      <c r="Q21" s="20" t="str">
        <f>"395,0"</f>
        <v>395,0</v>
      </c>
      <c r="R21" s="21" t="str">
        <f>"285,5850"</f>
        <v>285,5850</v>
      </c>
      <c r="S21" s="12" t="s">
        <v>32</v>
      </c>
    </row>
    <row r="23" spans="1:19" ht="15" x14ac:dyDescent="0.2">
      <c r="A23" s="43" t="s">
        <v>24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</row>
    <row r="24" spans="1:19" x14ac:dyDescent="0.2">
      <c r="A24" s="12" t="s">
        <v>366</v>
      </c>
      <c r="B24" s="12" t="s">
        <v>367</v>
      </c>
      <c r="C24" s="12" t="s">
        <v>368</v>
      </c>
      <c r="D24" s="12" t="s">
        <v>13</v>
      </c>
      <c r="E24" s="13" t="s">
        <v>195</v>
      </c>
      <c r="F24" s="14" t="s">
        <v>178</v>
      </c>
      <c r="G24" s="13" t="s">
        <v>119</v>
      </c>
      <c r="H24" s="13"/>
      <c r="I24" s="14" t="s">
        <v>250</v>
      </c>
      <c r="J24" s="14" t="s">
        <v>251</v>
      </c>
      <c r="K24" s="13" t="s">
        <v>369</v>
      </c>
      <c r="L24" s="13"/>
      <c r="M24" s="14" t="s">
        <v>195</v>
      </c>
      <c r="N24" s="14" t="s">
        <v>123</v>
      </c>
      <c r="O24" s="14" t="s">
        <v>124</v>
      </c>
      <c r="P24" s="13"/>
      <c r="Q24" s="20" t="str">
        <f>"290,0"</f>
        <v>290,0</v>
      </c>
      <c r="R24" s="21" t="str">
        <f>"197,3160"</f>
        <v>197,3160</v>
      </c>
      <c r="S24" s="12" t="s">
        <v>156</v>
      </c>
    </row>
    <row r="26" spans="1:19" ht="15" x14ac:dyDescent="0.2">
      <c r="A26" s="43" t="s">
        <v>197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</row>
    <row r="27" spans="1:19" x14ac:dyDescent="0.2">
      <c r="A27" s="12" t="s">
        <v>370</v>
      </c>
      <c r="B27" s="12" t="s">
        <v>371</v>
      </c>
      <c r="C27" s="12" t="s">
        <v>372</v>
      </c>
      <c r="D27" s="12" t="s">
        <v>13</v>
      </c>
      <c r="E27" s="13" t="s">
        <v>123</v>
      </c>
      <c r="F27" s="14" t="s">
        <v>124</v>
      </c>
      <c r="G27" s="14" t="s">
        <v>125</v>
      </c>
      <c r="H27" s="13"/>
      <c r="I27" s="14" t="s">
        <v>121</v>
      </c>
      <c r="J27" s="14" t="s">
        <v>171</v>
      </c>
      <c r="K27" s="13" t="s">
        <v>373</v>
      </c>
      <c r="L27" s="13"/>
      <c r="M27" s="14" t="s">
        <v>123</v>
      </c>
      <c r="N27" s="14" t="s">
        <v>114</v>
      </c>
      <c r="O27" s="14" t="s">
        <v>51</v>
      </c>
      <c r="P27" s="13"/>
      <c r="Q27" s="20" t="str">
        <f>"370,0"</f>
        <v>370,0</v>
      </c>
      <c r="R27" s="21" t="str">
        <f>"272,9490"</f>
        <v>272,9490</v>
      </c>
      <c r="S27" s="12" t="s">
        <v>32</v>
      </c>
    </row>
    <row r="29" spans="1:19" ht="15" x14ac:dyDescent="0.2">
      <c r="A29" s="43" t="s">
        <v>127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</row>
    <row r="30" spans="1:19" x14ac:dyDescent="0.2">
      <c r="A30" s="12" t="s">
        <v>374</v>
      </c>
      <c r="B30" s="12" t="s">
        <v>375</v>
      </c>
      <c r="C30" s="12" t="s">
        <v>376</v>
      </c>
      <c r="D30" s="12" t="s">
        <v>13</v>
      </c>
      <c r="E30" s="14" t="s">
        <v>51</v>
      </c>
      <c r="F30" s="14" t="s">
        <v>377</v>
      </c>
      <c r="G30" s="13" t="s">
        <v>57</v>
      </c>
      <c r="H30" s="13"/>
      <c r="I30" s="14" t="s">
        <v>119</v>
      </c>
      <c r="J30" s="13" t="s">
        <v>378</v>
      </c>
      <c r="K30" s="13" t="s">
        <v>378</v>
      </c>
      <c r="L30" s="13"/>
      <c r="M30" s="14" t="s">
        <v>112</v>
      </c>
      <c r="N30" s="14" t="s">
        <v>379</v>
      </c>
      <c r="O30" s="14" t="s">
        <v>380</v>
      </c>
      <c r="P30" s="13"/>
      <c r="Q30" s="20" t="str">
        <f>"500,0"</f>
        <v>500,0</v>
      </c>
      <c r="R30" s="21" t="str">
        <f>"334,7000"</f>
        <v>334,7000</v>
      </c>
      <c r="S30" s="12" t="s">
        <v>32</v>
      </c>
    </row>
    <row r="32" spans="1:19" ht="15" x14ac:dyDescent="0.2">
      <c r="A32" s="43" t="s">
        <v>24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</row>
    <row r="33" spans="1:19" x14ac:dyDescent="0.2">
      <c r="A33" s="6" t="s">
        <v>381</v>
      </c>
      <c r="B33" s="6" t="s">
        <v>382</v>
      </c>
      <c r="C33" s="6" t="s">
        <v>383</v>
      </c>
      <c r="D33" s="6" t="s">
        <v>222</v>
      </c>
      <c r="E33" s="7" t="s">
        <v>16</v>
      </c>
      <c r="F33" s="8" t="s">
        <v>16</v>
      </c>
      <c r="G33" s="7" t="s">
        <v>81</v>
      </c>
      <c r="H33" s="7"/>
      <c r="I33" s="8" t="s">
        <v>373</v>
      </c>
      <c r="J33" s="8" t="s">
        <v>172</v>
      </c>
      <c r="K33" s="7" t="s">
        <v>293</v>
      </c>
      <c r="L33" s="7"/>
      <c r="M33" s="8" t="s">
        <v>81</v>
      </c>
      <c r="N33" s="7" t="s">
        <v>82</v>
      </c>
      <c r="O33" s="8" t="s">
        <v>82</v>
      </c>
      <c r="P33" s="7"/>
      <c r="Q33" s="16" t="str">
        <f>"480,0"</f>
        <v>480,0</v>
      </c>
      <c r="R33" s="17" t="str">
        <f>"306,6240"</f>
        <v>306,6240</v>
      </c>
      <c r="S33" s="6" t="s">
        <v>223</v>
      </c>
    </row>
    <row r="34" spans="1:19" x14ac:dyDescent="0.2">
      <c r="A34" s="9" t="s">
        <v>384</v>
      </c>
      <c r="B34" s="9" t="s">
        <v>385</v>
      </c>
      <c r="C34" s="9" t="s">
        <v>386</v>
      </c>
      <c r="D34" s="9" t="s">
        <v>21</v>
      </c>
      <c r="E34" s="10" t="s">
        <v>16</v>
      </c>
      <c r="F34" s="11" t="s">
        <v>16</v>
      </c>
      <c r="G34" s="10" t="s">
        <v>97</v>
      </c>
      <c r="H34" s="10"/>
      <c r="I34" s="11" t="s">
        <v>178</v>
      </c>
      <c r="J34" s="11" t="s">
        <v>351</v>
      </c>
      <c r="K34" s="10"/>
      <c r="L34" s="10"/>
      <c r="M34" s="11" t="s">
        <v>81</v>
      </c>
      <c r="N34" s="10" t="s">
        <v>82</v>
      </c>
      <c r="O34" s="10" t="s">
        <v>82</v>
      </c>
      <c r="P34" s="10"/>
      <c r="Q34" s="18" t="str">
        <f>"487,5"</f>
        <v>487,5</v>
      </c>
      <c r="R34" s="19" t="str">
        <f>"311,2200"</f>
        <v>311,2200</v>
      </c>
      <c r="S34" s="9" t="s">
        <v>32</v>
      </c>
    </row>
    <row r="36" spans="1:19" ht="15" x14ac:dyDescent="0.2">
      <c r="A36" s="43" t="s">
        <v>65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</row>
    <row r="37" spans="1:19" x14ac:dyDescent="0.2">
      <c r="A37" s="6" t="s">
        <v>387</v>
      </c>
      <c r="B37" s="6" t="s">
        <v>388</v>
      </c>
      <c r="C37" s="6" t="s">
        <v>389</v>
      </c>
      <c r="D37" s="6" t="s">
        <v>222</v>
      </c>
      <c r="E37" s="8" t="s">
        <v>82</v>
      </c>
      <c r="F37" s="7" t="s">
        <v>131</v>
      </c>
      <c r="G37" s="7" t="s">
        <v>131</v>
      </c>
      <c r="H37" s="7"/>
      <c r="I37" s="8" t="s">
        <v>123</v>
      </c>
      <c r="J37" s="7" t="s">
        <v>119</v>
      </c>
      <c r="K37" s="8" t="s">
        <v>119</v>
      </c>
      <c r="L37" s="7"/>
      <c r="M37" s="8" t="s">
        <v>82</v>
      </c>
      <c r="N37" s="8" t="s">
        <v>131</v>
      </c>
      <c r="O37" s="8" t="s">
        <v>390</v>
      </c>
      <c r="P37" s="7"/>
      <c r="Q37" s="16" t="str">
        <f>"540,0"</f>
        <v>540,0</v>
      </c>
      <c r="R37" s="17" t="str">
        <f>"320,0040"</f>
        <v>320,0040</v>
      </c>
      <c r="S37" s="6" t="s">
        <v>315</v>
      </c>
    </row>
    <row r="38" spans="1:19" x14ac:dyDescent="0.2">
      <c r="A38" s="9" t="s">
        <v>391</v>
      </c>
      <c r="B38" s="9" t="s">
        <v>392</v>
      </c>
      <c r="C38" s="9" t="s">
        <v>393</v>
      </c>
      <c r="D38" s="9" t="s">
        <v>13</v>
      </c>
      <c r="E38" s="10" t="s">
        <v>52</v>
      </c>
      <c r="F38" s="11" t="s">
        <v>52</v>
      </c>
      <c r="G38" s="10" t="s">
        <v>16</v>
      </c>
      <c r="H38" s="10"/>
      <c r="I38" s="11" t="s">
        <v>49</v>
      </c>
      <c r="J38" s="11" t="s">
        <v>357</v>
      </c>
      <c r="K38" s="11" t="s">
        <v>195</v>
      </c>
      <c r="L38" s="10"/>
      <c r="M38" s="11" t="s">
        <v>52</v>
      </c>
      <c r="N38" s="11" t="s">
        <v>81</v>
      </c>
      <c r="O38" s="10" t="s">
        <v>82</v>
      </c>
      <c r="P38" s="10"/>
      <c r="Q38" s="18" t="str">
        <f>"470,0"</f>
        <v>470,0</v>
      </c>
      <c r="R38" s="19" t="str">
        <f>"287,4990"</f>
        <v>287,4990</v>
      </c>
      <c r="S38" s="9" t="s">
        <v>126</v>
      </c>
    </row>
    <row r="40" spans="1:19" x14ac:dyDescent="0.2">
      <c r="A40" s="43" t="s">
        <v>33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</row>
    <row r="41" spans="1:19" x14ac:dyDescent="0.2">
      <c r="A41" s="12" t="s">
        <v>394</v>
      </c>
      <c r="B41" s="12" t="s">
        <v>395</v>
      </c>
      <c r="C41" s="12" t="s">
        <v>396</v>
      </c>
      <c r="D41" s="12" t="s">
        <v>13</v>
      </c>
      <c r="E41" s="14" t="s">
        <v>37</v>
      </c>
      <c r="F41" s="14" t="s">
        <v>38</v>
      </c>
      <c r="G41" s="13" t="s">
        <v>39</v>
      </c>
      <c r="H41" s="13"/>
      <c r="I41" s="14" t="s">
        <v>125</v>
      </c>
      <c r="J41" s="14" t="s">
        <v>115</v>
      </c>
      <c r="K41" s="14" t="s">
        <v>51</v>
      </c>
      <c r="L41" s="13"/>
      <c r="M41" s="14" t="s">
        <v>38</v>
      </c>
      <c r="N41" s="14" t="s">
        <v>39</v>
      </c>
      <c r="O41" s="13" t="s">
        <v>29</v>
      </c>
      <c r="P41" s="13"/>
      <c r="Q41" s="20" t="str">
        <f>"620,0"</f>
        <v>620,0</v>
      </c>
      <c r="R41" s="21" t="str">
        <f>"344,9060"</f>
        <v>344,9060</v>
      </c>
      <c r="S41" s="12" t="s">
        <v>32</v>
      </c>
    </row>
  </sheetData>
  <mergeCells count="22">
    <mergeCell ref="A1:A2"/>
    <mergeCell ref="B1:B2"/>
    <mergeCell ref="C1:C2"/>
    <mergeCell ref="D1:D2"/>
    <mergeCell ref="E1:H1"/>
    <mergeCell ref="I1:L1"/>
    <mergeCell ref="M1:P1"/>
    <mergeCell ref="A23:P23"/>
    <mergeCell ref="Q1:Q2"/>
    <mergeCell ref="R1:R2"/>
    <mergeCell ref="S1:S2"/>
    <mergeCell ref="A3:P3"/>
    <mergeCell ref="A7:P7"/>
    <mergeCell ref="A11:P11"/>
    <mergeCell ref="A14:P14"/>
    <mergeCell ref="A17:P17"/>
    <mergeCell ref="A20:P20"/>
    <mergeCell ref="A26:P26"/>
    <mergeCell ref="A29:P29"/>
    <mergeCell ref="A32:P32"/>
    <mergeCell ref="A36:P36"/>
    <mergeCell ref="A40:P4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Лист5">
    <pageSetUpPr fitToPage="1"/>
  </sheetPr>
  <dimension ref="A1:K14"/>
  <sheetViews>
    <sheetView workbookViewId="0">
      <selection activeCell="A16" sqref="A16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38.7109375" style="4" bestFit="1" customWidth="1"/>
    <col min="5" max="7" width="5.5703125" style="3" customWidth="1"/>
    <col min="8" max="8" width="4.85546875" style="3" customWidth="1"/>
    <col min="9" max="9" width="7.85546875" style="15" bestFit="1" customWidth="1"/>
    <col min="10" max="10" width="8.5703125" style="2" bestFit="1" customWidth="1"/>
    <col min="11" max="11" width="17.5703125" style="4" bestFit="1" customWidth="1"/>
    <col min="12" max="16384" width="9.140625" style="3"/>
  </cols>
  <sheetData>
    <row r="1" spans="1:11" s="1" customFormat="1" ht="12.75" customHeight="1" x14ac:dyDescent="0.2">
      <c r="A1" s="38" t="s">
        <v>0</v>
      </c>
      <c r="B1" s="40" t="s">
        <v>5</v>
      </c>
      <c r="C1" s="40" t="s">
        <v>7</v>
      </c>
      <c r="D1" s="33" t="s">
        <v>6</v>
      </c>
      <c r="E1" s="33" t="s">
        <v>8</v>
      </c>
      <c r="F1" s="33"/>
      <c r="G1" s="33"/>
      <c r="H1" s="33"/>
      <c r="I1" s="33" t="s">
        <v>46</v>
      </c>
      <c r="J1" s="33" t="s">
        <v>3</v>
      </c>
      <c r="K1" s="34" t="s">
        <v>2</v>
      </c>
    </row>
    <row r="2" spans="1:11" s="1" customFormat="1" ht="21" customHeight="1" thickBot="1" x14ac:dyDescent="0.25">
      <c r="A2" s="39"/>
      <c r="B2" s="41"/>
      <c r="C2" s="41"/>
      <c r="D2" s="41"/>
      <c r="E2" s="5">
        <v>1</v>
      </c>
      <c r="F2" s="5">
        <v>2</v>
      </c>
      <c r="G2" s="5">
        <v>3</v>
      </c>
      <c r="H2" s="5" t="s">
        <v>4</v>
      </c>
      <c r="I2" s="41"/>
      <c r="J2" s="41"/>
      <c r="K2" s="35"/>
    </row>
    <row r="3" spans="1:11" ht="15" x14ac:dyDescent="0.2">
      <c r="A3" s="45" t="s">
        <v>9</v>
      </c>
      <c r="B3" s="46"/>
      <c r="C3" s="46"/>
      <c r="D3" s="46"/>
      <c r="E3" s="46"/>
      <c r="F3" s="46"/>
      <c r="G3" s="46"/>
      <c r="H3" s="46"/>
    </row>
    <row r="4" spans="1:11" x14ac:dyDescent="0.2">
      <c r="A4" s="6" t="s">
        <v>10</v>
      </c>
      <c r="B4" s="6" t="s">
        <v>11</v>
      </c>
      <c r="C4" s="6" t="s">
        <v>12</v>
      </c>
      <c r="D4" s="6" t="s">
        <v>13</v>
      </c>
      <c r="E4" s="8" t="s">
        <v>14</v>
      </c>
      <c r="F4" s="8" t="s">
        <v>15</v>
      </c>
      <c r="G4" s="8" t="s">
        <v>16</v>
      </c>
      <c r="H4" s="7"/>
      <c r="I4" s="16" t="str">
        <f>"180,0"</f>
        <v>180,0</v>
      </c>
      <c r="J4" s="17" t="str">
        <f>"157,0500"</f>
        <v>157,0500</v>
      </c>
      <c r="K4" s="6" t="s">
        <v>17</v>
      </c>
    </row>
    <row r="5" spans="1:11" x14ac:dyDescent="0.2">
      <c r="A5" s="9" t="s">
        <v>18</v>
      </c>
      <c r="B5" s="9" t="s">
        <v>19</v>
      </c>
      <c r="C5" s="9" t="s">
        <v>20</v>
      </c>
      <c r="D5" s="9" t="s">
        <v>21</v>
      </c>
      <c r="E5" s="11" t="s">
        <v>22</v>
      </c>
      <c r="F5" s="10" t="s">
        <v>15</v>
      </c>
      <c r="G5" s="11" t="s">
        <v>15</v>
      </c>
      <c r="H5" s="10"/>
      <c r="I5" s="18" t="str">
        <f>"172,5"</f>
        <v>172,5</v>
      </c>
      <c r="J5" s="19" t="str">
        <f>"150,0923"</f>
        <v>150,0923</v>
      </c>
      <c r="K5" s="9" t="s">
        <v>23</v>
      </c>
    </row>
    <row r="7" spans="1:11" ht="15" x14ac:dyDescent="0.2">
      <c r="A7" s="43" t="s">
        <v>24</v>
      </c>
      <c r="B7" s="44"/>
      <c r="C7" s="44"/>
      <c r="D7" s="44"/>
      <c r="E7" s="44"/>
      <c r="F7" s="44"/>
      <c r="G7" s="44"/>
      <c r="H7" s="44"/>
    </row>
    <row r="8" spans="1:11" x14ac:dyDescent="0.2">
      <c r="A8" s="12" t="s">
        <v>25</v>
      </c>
      <c r="B8" s="12" t="s">
        <v>26</v>
      </c>
      <c r="C8" s="12" t="s">
        <v>27</v>
      </c>
      <c r="D8" s="12" t="s">
        <v>28</v>
      </c>
      <c r="E8" s="14" t="s">
        <v>29</v>
      </c>
      <c r="F8" s="14" t="s">
        <v>30</v>
      </c>
      <c r="G8" s="14" t="s">
        <v>31</v>
      </c>
      <c r="H8" s="13"/>
      <c r="I8" s="20" t="str">
        <f>"272,5"</f>
        <v>272,5</v>
      </c>
      <c r="J8" s="21" t="str">
        <f>"170,3398"</f>
        <v>170,3398</v>
      </c>
      <c r="K8" s="12" t="s">
        <v>32</v>
      </c>
    </row>
    <row r="10" spans="1:11" ht="15" x14ac:dyDescent="0.2">
      <c r="A10" s="43" t="s">
        <v>33</v>
      </c>
      <c r="B10" s="44"/>
      <c r="C10" s="44"/>
      <c r="D10" s="44"/>
      <c r="E10" s="44"/>
      <c r="F10" s="44"/>
      <c r="G10" s="44"/>
      <c r="H10" s="44"/>
    </row>
    <row r="11" spans="1:11" x14ac:dyDescent="0.2">
      <c r="A11" s="12" t="s">
        <v>34</v>
      </c>
      <c r="B11" s="12" t="s">
        <v>35</v>
      </c>
      <c r="C11" s="12" t="s">
        <v>36</v>
      </c>
      <c r="D11" s="12" t="s">
        <v>13</v>
      </c>
      <c r="E11" s="14" t="s">
        <v>37</v>
      </c>
      <c r="F11" s="14" t="s">
        <v>38</v>
      </c>
      <c r="G11" s="13" t="s">
        <v>39</v>
      </c>
      <c r="H11" s="13"/>
      <c r="I11" s="20" t="str">
        <f>"230,0"</f>
        <v>230,0</v>
      </c>
      <c r="J11" s="21" t="str">
        <f>"127,6040"</f>
        <v>127,6040</v>
      </c>
      <c r="K11" s="12" t="s">
        <v>40</v>
      </c>
    </row>
    <row r="13" spans="1:11" ht="15" x14ac:dyDescent="0.2">
      <c r="A13" s="43" t="s">
        <v>41</v>
      </c>
      <c r="B13" s="44"/>
      <c r="C13" s="44"/>
      <c r="D13" s="44"/>
      <c r="E13" s="44"/>
      <c r="F13" s="44"/>
      <c r="G13" s="44"/>
      <c r="H13" s="44"/>
    </row>
    <row r="14" spans="1:11" x14ac:dyDescent="0.2">
      <c r="A14" s="12" t="s">
        <v>42</v>
      </c>
      <c r="B14" s="12" t="s">
        <v>43</v>
      </c>
      <c r="C14" s="12" t="s">
        <v>44</v>
      </c>
      <c r="D14" s="12" t="s">
        <v>21</v>
      </c>
      <c r="E14" s="13" t="s">
        <v>45</v>
      </c>
      <c r="F14" s="13"/>
      <c r="G14" s="13"/>
      <c r="H14" s="13"/>
      <c r="I14" s="20" t="str">
        <f>"0.00"</f>
        <v>0.00</v>
      </c>
      <c r="J14" s="21" t="str">
        <f>"0,0000"</f>
        <v>0,0000</v>
      </c>
      <c r="K14" s="12" t="s">
        <v>32</v>
      </c>
    </row>
  </sheetData>
  <mergeCells count="12">
    <mergeCell ref="I1:I2"/>
    <mergeCell ref="J1:J2"/>
    <mergeCell ref="E1:H1"/>
    <mergeCell ref="A1:A2"/>
    <mergeCell ref="B1:B2"/>
    <mergeCell ref="C1:C2"/>
    <mergeCell ref="K1:K2"/>
    <mergeCell ref="D1:D2"/>
    <mergeCell ref="A3:H3"/>
    <mergeCell ref="A7:H7"/>
    <mergeCell ref="A10:H10"/>
    <mergeCell ref="A13:H13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8"/>
  <sheetViews>
    <sheetView workbookViewId="0">
      <selection activeCell="A15" sqref="A15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38.7109375" style="4" bestFit="1" customWidth="1"/>
    <col min="5" max="5" width="4.5703125" style="3" customWidth="1"/>
    <col min="6" max="7" width="5.5703125" style="3" customWidth="1"/>
    <col min="8" max="8" width="4.85546875" style="3" customWidth="1"/>
    <col min="9" max="9" width="7.85546875" style="15" bestFit="1" customWidth="1"/>
    <col min="10" max="10" width="7.5703125" style="2" bestFit="1" customWidth="1"/>
    <col min="11" max="11" width="8.85546875" style="4" bestFit="1" customWidth="1"/>
    <col min="12" max="16384" width="9.140625" style="3"/>
  </cols>
  <sheetData>
    <row r="1" spans="1:11" s="1" customFormat="1" ht="12.75" customHeight="1" x14ac:dyDescent="0.2">
      <c r="A1" s="38" t="s">
        <v>0</v>
      </c>
      <c r="B1" s="40" t="s">
        <v>5</v>
      </c>
      <c r="C1" s="40" t="s">
        <v>7</v>
      </c>
      <c r="D1" s="33" t="s">
        <v>6</v>
      </c>
      <c r="E1" s="33" t="s">
        <v>401</v>
      </c>
      <c r="F1" s="33"/>
      <c r="G1" s="33"/>
      <c r="H1" s="33"/>
      <c r="I1" s="33" t="s">
        <v>46</v>
      </c>
      <c r="J1" s="33" t="s">
        <v>3</v>
      </c>
      <c r="K1" s="34" t="s">
        <v>2</v>
      </c>
    </row>
    <row r="2" spans="1:11" s="1" customFormat="1" ht="21" customHeight="1" thickBot="1" x14ac:dyDescent="0.25">
      <c r="A2" s="39"/>
      <c r="B2" s="41"/>
      <c r="C2" s="41"/>
      <c r="D2" s="41"/>
      <c r="E2" s="5">
        <v>1</v>
      </c>
      <c r="F2" s="5">
        <v>2</v>
      </c>
      <c r="G2" s="5">
        <v>3</v>
      </c>
      <c r="H2" s="5" t="s">
        <v>4</v>
      </c>
      <c r="I2" s="41"/>
      <c r="J2" s="41"/>
      <c r="K2" s="35"/>
    </row>
    <row r="3" spans="1:11" ht="15" x14ac:dyDescent="0.2">
      <c r="A3" s="45" t="s">
        <v>41</v>
      </c>
      <c r="B3" s="46"/>
      <c r="C3" s="46"/>
      <c r="D3" s="46"/>
      <c r="E3" s="46"/>
      <c r="F3" s="46"/>
      <c r="G3" s="46"/>
      <c r="H3" s="46"/>
    </row>
    <row r="4" spans="1:11" x14ac:dyDescent="0.2">
      <c r="A4" s="12" t="s">
        <v>96</v>
      </c>
      <c r="B4" s="12" t="s">
        <v>43</v>
      </c>
      <c r="C4" s="12" t="s">
        <v>44</v>
      </c>
      <c r="D4" s="12" t="s">
        <v>21</v>
      </c>
      <c r="E4" s="14" t="s">
        <v>49</v>
      </c>
      <c r="F4" s="14" t="s">
        <v>293</v>
      </c>
      <c r="G4" s="14" t="s">
        <v>358</v>
      </c>
      <c r="H4" s="13"/>
      <c r="I4" s="20" t="str">
        <f>"107,5"</f>
        <v>107,5</v>
      </c>
      <c r="J4" s="21" t="str">
        <f>"58,5875"</f>
        <v>58,5875</v>
      </c>
      <c r="K4" s="12" t="s">
        <v>32</v>
      </c>
    </row>
    <row r="14" spans="1:11" ht="18" x14ac:dyDescent="0.25">
      <c r="A14" s="22"/>
      <c r="B14" s="22"/>
    </row>
    <row r="15" spans="1:11" ht="15" x14ac:dyDescent="0.2">
      <c r="A15" s="23"/>
      <c r="B15" s="23"/>
    </row>
    <row r="16" spans="1:11" ht="14.25" x14ac:dyDescent="0.2">
      <c r="A16" s="25"/>
      <c r="B16" s="26"/>
    </row>
    <row r="17" spans="1:3" ht="15" x14ac:dyDescent="0.2">
      <c r="A17" s="27"/>
      <c r="B17" s="27"/>
      <c r="C17" s="27"/>
    </row>
    <row r="18" spans="1:3" x14ac:dyDescent="0.2">
      <c r="A18" s="24"/>
    </row>
  </sheetData>
  <mergeCells count="9">
    <mergeCell ref="I1:I2"/>
    <mergeCell ref="J1:J2"/>
    <mergeCell ref="K1:K2"/>
    <mergeCell ref="A3:H3"/>
    <mergeCell ref="A1:A2"/>
    <mergeCell ref="B1:B2"/>
    <mergeCell ref="C1:C2"/>
    <mergeCell ref="D1:D2"/>
    <mergeCell ref="E1:H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8"/>
  <sheetViews>
    <sheetView workbookViewId="0">
      <selection activeCell="B15" sqref="B15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26.85546875" style="4" bestFit="1" customWidth="1"/>
    <col min="5" max="7" width="4.5703125" style="3" customWidth="1"/>
    <col min="8" max="8" width="4.85546875" style="3" customWidth="1"/>
    <col min="9" max="9" width="7.85546875" style="15" bestFit="1" customWidth="1"/>
    <col min="10" max="10" width="7.5703125" style="2" bestFit="1" customWidth="1"/>
    <col min="11" max="11" width="8.85546875" style="4" bestFit="1" customWidth="1"/>
    <col min="12" max="16384" width="9.140625" style="3"/>
  </cols>
  <sheetData>
    <row r="1" spans="1:11" s="1" customFormat="1" ht="12.75" customHeight="1" x14ac:dyDescent="0.2">
      <c r="A1" s="38" t="s">
        <v>0</v>
      </c>
      <c r="B1" s="40" t="s">
        <v>5</v>
      </c>
      <c r="C1" s="40" t="s">
        <v>7</v>
      </c>
      <c r="D1" s="33" t="s">
        <v>6</v>
      </c>
      <c r="E1" s="33" t="s">
        <v>409</v>
      </c>
      <c r="F1" s="33"/>
      <c r="G1" s="33"/>
      <c r="H1" s="33"/>
      <c r="I1" s="33" t="s">
        <v>46</v>
      </c>
      <c r="J1" s="33" t="s">
        <v>3</v>
      </c>
      <c r="K1" s="34" t="s">
        <v>2</v>
      </c>
    </row>
    <row r="2" spans="1:11" s="1" customFormat="1" ht="21" customHeight="1" thickBot="1" x14ac:dyDescent="0.25">
      <c r="A2" s="39"/>
      <c r="B2" s="41"/>
      <c r="C2" s="41"/>
      <c r="D2" s="41"/>
      <c r="E2" s="5">
        <v>1</v>
      </c>
      <c r="F2" s="5">
        <v>2</v>
      </c>
      <c r="G2" s="5">
        <v>3</v>
      </c>
      <c r="H2" s="5" t="s">
        <v>4</v>
      </c>
      <c r="I2" s="41"/>
      <c r="J2" s="41"/>
      <c r="K2" s="35"/>
    </row>
    <row r="3" spans="1:11" ht="15" x14ac:dyDescent="0.2">
      <c r="A3" s="45" t="s">
        <v>33</v>
      </c>
      <c r="B3" s="46"/>
      <c r="C3" s="46"/>
      <c r="D3" s="46"/>
      <c r="E3" s="46"/>
      <c r="F3" s="46"/>
      <c r="G3" s="46"/>
      <c r="H3" s="46"/>
    </row>
    <row r="4" spans="1:11" x14ac:dyDescent="0.2">
      <c r="A4" s="12" t="s">
        <v>413</v>
      </c>
      <c r="B4" s="12" t="s">
        <v>88</v>
      </c>
      <c r="C4" s="12" t="s">
        <v>89</v>
      </c>
      <c r="D4" s="12" t="s">
        <v>13</v>
      </c>
      <c r="E4" s="14" t="s">
        <v>120</v>
      </c>
      <c r="F4" s="14" t="s">
        <v>121</v>
      </c>
      <c r="G4" s="13" t="s">
        <v>171</v>
      </c>
      <c r="H4" s="13"/>
      <c r="I4" s="20" t="str">
        <f>"70,0"</f>
        <v>70,0</v>
      </c>
      <c r="J4" s="21" t="str">
        <f>"38,8010"</f>
        <v>38,8010</v>
      </c>
      <c r="K4" s="12" t="s">
        <v>32</v>
      </c>
    </row>
    <row r="14" spans="1:11" ht="18" x14ac:dyDescent="0.25">
      <c r="A14" s="22"/>
      <c r="B14" s="22"/>
    </row>
    <row r="15" spans="1:11" ht="15" x14ac:dyDescent="0.2">
      <c r="A15" s="23"/>
      <c r="B15" s="23"/>
    </row>
    <row r="16" spans="1:11" ht="14.25" x14ac:dyDescent="0.2">
      <c r="A16" s="25"/>
      <c r="B16" s="26"/>
    </row>
    <row r="17" spans="1:3" ht="15" x14ac:dyDescent="0.2">
      <c r="A17" s="27"/>
      <c r="B17" s="27"/>
      <c r="C17" s="27"/>
    </row>
    <row r="18" spans="1:3" x14ac:dyDescent="0.2">
      <c r="A18" s="24"/>
    </row>
  </sheetData>
  <mergeCells count="9">
    <mergeCell ref="I1:I2"/>
    <mergeCell ref="J1:J2"/>
    <mergeCell ref="K1:K2"/>
    <mergeCell ref="A3:H3"/>
    <mergeCell ref="A1:A2"/>
    <mergeCell ref="B1:B2"/>
    <mergeCell ref="C1:C2"/>
    <mergeCell ref="D1:D2"/>
    <mergeCell ref="E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4"/>
  <sheetViews>
    <sheetView workbookViewId="0">
      <selection activeCell="B14" sqref="B14"/>
    </sheetView>
  </sheetViews>
  <sheetFormatPr defaultRowHeight="12.75" x14ac:dyDescent="0.2"/>
  <cols>
    <col min="1" max="1" width="26" style="4" bestFit="1" customWidth="1"/>
    <col min="2" max="2" width="29" style="4" bestFit="1" customWidth="1"/>
    <col min="3" max="3" width="15.5703125" style="4" bestFit="1" customWidth="1"/>
    <col min="4" max="4" width="28.140625" style="4" bestFit="1" customWidth="1"/>
    <col min="5" max="7" width="5.5703125" style="3" customWidth="1"/>
    <col min="8" max="8" width="4.85546875" style="3" customWidth="1"/>
    <col min="9" max="11" width="4.5703125" style="3" customWidth="1"/>
    <col min="12" max="12" width="4.85546875" style="3" customWidth="1"/>
    <col min="13" max="15" width="5.5703125" style="3" customWidth="1"/>
    <col min="16" max="16" width="4.85546875" style="3" customWidth="1"/>
    <col min="17" max="17" width="7.85546875" style="15" bestFit="1" customWidth="1"/>
    <col min="18" max="18" width="8.5703125" style="2" bestFit="1" customWidth="1"/>
    <col min="19" max="19" width="16.85546875" style="4" bestFit="1" customWidth="1"/>
    <col min="20" max="16384" width="9.140625" style="3"/>
  </cols>
  <sheetData>
    <row r="1" spans="1:19" s="1" customFormat="1" ht="12.75" customHeight="1" x14ac:dyDescent="0.2">
      <c r="A1" s="38" t="s">
        <v>0</v>
      </c>
      <c r="B1" s="40" t="s">
        <v>5</v>
      </c>
      <c r="C1" s="40" t="s">
        <v>7</v>
      </c>
      <c r="D1" s="33" t="s">
        <v>6</v>
      </c>
      <c r="E1" s="33" t="s">
        <v>113</v>
      </c>
      <c r="F1" s="33"/>
      <c r="G1" s="33"/>
      <c r="H1" s="33"/>
      <c r="I1" s="33" t="s">
        <v>47</v>
      </c>
      <c r="J1" s="33"/>
      <c r="K1" s="33"/>
      <c r="L1" s="33"/>
      <c r="M1" s="33" t="s">
        <v>8</v>
      </c>
      <c r="N1" s="33"/>
      <c r="O1" s="33"/>
      <c r="P1" s="33"/>
      <c r="Q1" s="33" t="s">
        <v>1</v>
      </c>
      <c r="R1" s="33" t="s">
        <v>3</v>
      </c>
      <c r="S1" s="34" t="s">
        <v>2</v>
      </c>
    </row>
    <row r="2" spans="1:19" s="1" customFormat="1" ht="21" customHeight="1" thickBot="1" x14ac:dyDescent="0.25">
      <c r="A2" s="39"/>
      <c r="B2" s="41"/>
      <c r="C2" s="41"/>
      <c r="D2" s="41"/>
      <c r="E2" s="5">
        <v>1</v>
      </c>
      <c r="F2" s="5">
        <v>2</v>
      </c>
      <c r="G2" s="5">
        <v>3</v>
      </c>
      <c r="H2" s="5" t="s">
        <v>4</v>
      </c>
      <c r="I2" s="5">
        <v>1</v>
      </c>
      <c r="J2" s="5">
        <v>2</v>
      </c>
      <c r="K2" s="5">
        <v>3</v>
      </c>
      <c r="L2" s="5" t="s">
        <v>4</v>
      </c>
      <c r="M2" s="5">
        <v>1</v>
      </c>
      <c r="N2" s="5">
        <v>2</v>
      </c>
      <c r="O2" s="5">
        <v>3</v>
      </c>
      <c r="P2" s="5" t="s">
        <v>4</v>
      </c>
      <c r="Q2" s="41"/>
      <c r="R2" s="41"/>
      <c r="S2" s="35"/>
    </row>
    <row r="3" spans="1:19" ht="15" x14ac:dyDescent="0.2">
      <c r="A3" s="45" t="s">
        <v>174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1:19" x14ac:dyDescent="0.2">
      <c r="A4" s="12" t="s">
        <v>397</v>
      </c>
      <c r="B4" s="12" t="s">
        <v>398</v>
      </c>
      <c r="C4" s="12" t="s">
        <v>399</v>
      </c>
      <c r="D4" s="12" t="s">
        <v>222</v>
      </c>
      <c r="E4" s="14" t="s">
        <v>195</v>
      </c>
      <c r="F4" s="14" t="s">
        <v>178</v>
      </c>
      <c r="G4" s="13" t="s">
        <v>123</v>
      </c>
      <c r="H4" s="13"/>
      <c r="I4" s="13" t="s">
        <v>120</v>
      </c>
      <c r="J4" s="14" t="s">
        <v>120</v>
      </c>
      <c r="K4" s="13" t="s">
        <v>400</v>
      </c>
      <c r="L4" s="13"/>
      <c r="M4" s="14" t="s">
        <v>123</v>
      </c>
      <c r="N4" s="14" t="s">
        <v>378</v>
      </c>
      <c r="O4" s="13" t="s">
        <v>179</v>
      </c>
      <c r="P4" s="13"/>
      <c r="Q4" s="20" t="str">
        <f>"302,5"</f>
        <v>302,5</v>
      </c>
      <c r="R4" s="21" t="str">
        <f>"302,0160"</f>
        <v>302,0160</v>
      </c>
      <c r="S4" s="12" t="s">
        <v>223</v>
      </c>
    </row>
  </sheetData>
  <mergeCells count="11">
    <mergeCell ref="Q1:Q2"/>
    <mergeCell ref="R1:R2"/>
    <mergeCell ref="S1:S2"/>
    <mergeCell ref="A3:P3"/>
    <mergeCell ref="A1:A2"/>
    <mergeCell ref="B1:B2"/>
    <mergeCell ref="C1:C2"/>
    <mergeCell ref="D1:D2"/>
    <mergeCell ref="E1:H1"/>
    <mergeCell ref="I1:L1"/>
    <mergeCell ref="M1:P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2"/>
  <sheetViews>
    <sheetView workbookViewId="0">
      <selection activeCell="A17" sqref="A17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26.85546875" style="4" bestFit="1" customWidth="1"/>
    <col min="5" max="7" width="5.5703125" style="3" customWidth="1"/>
    <col min="8" max="8" width="4.85546875" style="3" customWidth="1"/>
    <col min="9" max="9" width="7.85546875" style="15" bestFit="1" customWidth="1"/>
    <col min="10" max="10" width="8.5703125" style="2" bestFit="1" customWidth="1"/>
    <col min="11" max="11" width="14" style="4" bestFit="1" customWidth="1"/>
    <col min="12" max="16384" width="9.140625" style="3"/>
  </cols>
  <sheetData>
    <row r="1" spans="1:11" s="1" customFormat="1" ht="12.75" customHeight="1" x14ac:dyDescent="0.2">
      <c r="A1" s="38" t="s">
        <v>0</v>
      </c>
      <c r="B1" s="40" t="s">
        <v>5</v>
      </c>
      <c r="C1" s="40" t="s">
        <v>7</v>
      </c>
      <c r="D1" s="33" t="s">
        <v>6</v>
      </c>
      <c r="E1" s="33" t="s">
        <v>113</v>
      </c>
      <c r="F1" s="33"/>
      <c r="G1" s="33"/>
      <c r="H1" s="33"/>
      <c r="I1" s="33" t="s">
        <v>46</v>
      </c>
      <c r="J1" s="33" t="s">
        <v>3</v>
      </c>
      <c r="K1" s="34" t="s">
        <v>2</v>
      </c>
    </row>
    <row r="2" spans="1:11" s="1" customFormat="1" ht="21" customHeight="1" thickBot="1" x14ac:dyDescent="0.25">
      <c r="A2" s="39"/>
      <c r="B2" s="41"/>
      <c r="C2" s="41"/>
      <c r="D2" s="41"/>
      <c r="E2" s="5">
        <v>1</v>
      </c>
      <c r="F2" s="5">
        <v>2</v>
      </c>
      <c r="G2" s="5">
        <v>3</v>
      </c>
      <c r="H2" s="5" t="s">
        <v>4</v>
      </c>
      <c r="I2" s="41"/>
      <c r="J2" s="41"/>
      <c r="K2" s="35"/>
    </row>
    <row r="3" spans="1:11" ht="15" x14ac:dyDescent="0.2">
      <c r="A3" s="45" t="s">
        <v>174</v>
      </c>
      <c r="B3" s="46"/>
      <c r="C3" s="46"/>
      <c r="D3" s="46"/>
      <c r="E3" s="46"/>
      <c r="F3" s="46"/>
      <c r="G3" s="46"/>
      <c r="H3" s="46"/>
    </row>
    <row r="4" spans="1:11" x14ac:dyDescent="0.2">
      <c r="A4" s="12" t="s">
        <v>175</v>
      </c>
      <c r="B4" s="12" t="s">
        <v>176</v>
      </c>
      <c r="C4" s="12" t="s">
        <v>177</v>
      </c>
      <c r="D4" s="12" t="s">
        <v>13</v>
      </c>
      <c r="E4" s="14" t="s">
        <v>195</v>
      </c>
      <c r="F4" s="14" t="s">
        <v>351</v>
      </c>
      <c r="G4" s="13"/>
      <c r="H4" s="13"/>
      <c r="I4" s="20" t="str">
        <f>"117,5"</f>
        <v>117,5</v>
      </c>
      <c r="J4" s="21" t="str">
        <f>"115,2557"</f>
        <v>115,2557</v>
      </c>
      <c r="K4" s="12" t="s">
        <v>180</v>
      </c>
    </row>
    <row r="6" spans="1:11" ht="15" x14ac:dyDescent="0.2">
      <c r="A6" s="43" t="s">
        <v>197</v>
      </c>
      <c r="B6" s="44"/>
      <c r="C6" s="44"/>
      <c r="D6" s="44"/>
      <c r="E6" s="44"/>
      <c r="F6" s="44"/>
      <c r="G6" s="44"/>
      <c r="H6" s="44"/>
    </row>
    <row r="7" spans="1:11" x14ac:dyDescent="0.2">
      <c r="A7" s="12" t="s">
        <v>198</v>
      </c>
      <c r="B7" s="12" t="s">
        <v>199</v>
      </c>
      <c r="C7" s="12" t="s">
        <v>200</v>
      </c>
      <c r="D7" s="12" t="s">
        <v>13</v>
      </c>
      <c r="E7" s="14" t="s">
        <v>178</v>
      </c>
      <c r="F7" s="14" t="s">
        <v>119</v>
      </c>
      <c r="G7" s="13" t="s">
        <v>179</v>
      </c>
      <c r="H7" s="13"/>
      <c r="I7" s="20" t="str">
        <f>"125,0"</f>
        <v>125,0</v>
      </c>
      <c r="J7" s="21" t="str">
        <f>"98,4625"</f>
        <v>98,4625</v>
      </c>
      <c r="K7" s="12" t="s">
        <v>201</v>
      </c>
    </row>
    <row r="17" spans="1:3" ht="18" x14ac:dyDescent="0.25">
      <c r="A17" s="22"/>
      <c r="B17" s="22"/>
    </row>
    <row r="18" spans="1:3" ht="15" x14ac:dyDescent="0.2">
      <c r="A18" s="23"/>
      <c r="B18" s="23"/>
    </row>
    <row r="19" spans="1:3" ht="14.25" x14ac:dyDescent="0.2">
      <c r="A19" s="25"/>
      <c r="B19" s="26"/>
    </row>
    <row r="20" spans="1:3" ht="15" x14ac:dyDescent="0.2">
      <c r="A20" s="27"/>
      <c r="B20" s="27"/>
      <c r="C20" s="27"/>
    </row>
    <row r="21" spans="1:3" x14ac:dyDescent="0.2">
      <c r="A21" s="24"/>
    </row>
    <row r="22" spans="1:3" x14ac:dyDescent="0.2">
      <c r="A22" s="24"/>
    </row>
  </sheetData>
  <mergeCells count="10">
    <mergeCell ref="A1:A2"/>
    <mergeCell ref="B1:B2"/>
    <mergeCell ref="C1:C2"/>
    <mergeCell ref="D1:D2"/>
    <mergeCell ref="E1:H1"/>
    <mergeCell ref="A6:H6"/>
    <mergeCell ref="I1:I2"/>
    <mergeCell ref="J1:J2"/>
    <mergeCell ref="K1:K2"/>
    <mergeCell ref="A3:H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7"/>
  <sheetViews>
    <sheetView workbookViewId="0">
      <selection activeCell="A16" sqref="A16:H16"/>
    </sheetView>
  </sheetViews>
  <sheetFormatPr defaultRowHeight="12.75" x14ac:dyDescent="0.2"/>
  <cols>
    <col min="1" max="1" width="26" style="4" bestFit="1" customWidth="1"/>
    <col min="2" max="2" width="29.7109375" style="4" bestFit="1" customWidth="1"/>
    <col min="3" max="3" width="15.5703125" style="4" bestFit="1" customWidth="1"/>
    <col min="4" max="4" width="32.5703125" style="4" bestFit="1" customWidth="1"/>
    <col min="5" max="6" width="4.5703125" style="3" customWidth="1"/>
    <col min="7" max="7" width="5.5703125" style="3" customWidth="1"/>
    <col min="8" max="8" width="4.85546875" style="3" customWidth="1"/>
    <col min="9" max="9" width="7.85546875" style="15" bestFit="1" customWidth="1"/>
    <col min="10" max="10" width="7.5703125" style="2" bestFit="1" customWidth="1"/>
    <col min="11" max="11" width="15.5703125" style="4" bestFit="1" customWidth="1"/>
    <col min="12" max="16384" width="9.140625" style="3"/>
  </cols>
  <sheetData>
    <row r="1" spans="1:11" s="1" customFormat="1" ht="12.75" customHeight="1" x14ac:dyDescent="0.2">
      <c r="A1" s="38" t="s">
        <v>0</v>
      </c>
      <c r="B1" s="40" t="s">
        <v>5</v>
      </c>
      <c r="C1" s="40" t="s">
        <v>7</v>
      </c>
      <c r="D1" s="33" t="s">
        <v>6</v>
      </c>
      <c r="E1" s="33" t="s">
        <v>401</v>
      </c>
      <c r="F1" s="33"/>
      <c r="G1" s="33"/>
      <c r="H1" s="33"/>
      <c r="I1" s="33" t="s">
        <v>46</v>
      </c>
      <c r="J1" s="33" t="s">
        <v>3</v>
      </c>
      <c r="K1" s="34" t="s">
        <v>2</v>
      </c>
    </row>
    <row r="2" spans="1:11" s="1" customFormat="1" ht="21" customHeight="1" thickBot="1" x14ac:dyDescent="0.25">
      <c r="A2" s="39"/>
      <c r="B2" s="41"/>
      <c r="C2" s="41"/>
      <c r="D2" s="41"/>
      <c r="E2" s="5">
        <v>1</v>
      </c>
      <c r="F2" s="5">
        <v>2</v>
      </c>
      <c r="G2" s="5">
        <v>3</v>
      </c>
      <c r="H2" s="5" t="s">
        <v>4</v>
      </c>
      <c r="I2" s="41"/>
      <c r="J2" s="41"/>
      <c r="K2" s="35"/>
    </row>
    <row r="3" spans="1:11" ht="15" x14ac:dyDescent="0.2">
      <c r="A3" s="45" t="s">
        <v>9</v>
      </c>
      <c r="B3" s="46"/>
      <c r="C3" s="46"/>
      <c r="D3" s="46"/>
      <c r="E3" s="46"/>
      <c r="F3" s="46"/>
      <c r="G3" s="46"/>
      <c r="H3" s="46"/>
    </row>
    <row r="4" spans="1:11" x14ac:dyDescent="0.2">
      <c r="A4" s="12" t="s">
        <v>402</v>
      </c>
      <c r="B4" s="12" t="s">
        <v>403</v>
      </c>
      <c r="C4" s="12" t="s">
        <v>404</v>
      </c>
      <c r="D4" s="12" t="s">
        <v>170</v>
      </c>
      <c r="E4" s="13" t="s">
        <v>369</v>
      </c>
      <c r="F4" s="14" t="s">
        <v>258</v>
      </c>
      <c r="G4" s="14" t="s">
        <v>120</v>
      </c>
      <c r="H4" s="13"/>
      <c r="I4" s="20" t="str">
        <f>"60,0"</f>
        <v>60,0</v>
      </c>
      <c r="J4" s="21" t="str">
        <f>"49,0200"</f>
        <v>49,0200</v>
      </c>
      <c r="K4" s="12" t="s">
        <v>332</v>
      </c>
    </row>
    <row r="6" spans="1:11" ht="15" x14ac:dyDescent="0.2">
      <c r="A6" s="43" t="s">
        <v>197</v>
      </c>
      <c r="B6" s="44"/>
      <c r="C6" s="44"/>
      <c r="D6" s="44"/>
      <c r="E6" s="44"/>
      <c r="F6" s="44"/>
      <c r="G6" s="44"/>
      <c r="H6" s="44"/>
    </row>
    <row r="7" spans="1:11" x14ac:dyDescent="0.2">
      <c r="A7" s="12" t="s">
        <v>211</v>
      </c>
      <c r="B7" s="12" t="s">
        <v>212</v>
      </c>
      <c r="C7" s="12" t="s">
        <v>213</v>
      </c>
      <c r="D7" s="12" t="s">
        <v>170</v>
      </c>
      <c r="E7" s="14" t="s">
        <v>405</v>
      </c>
      <c r="F7" s="14" t="s">
        <v>258</v>
      </c>
      <c r="G7" s="13"/>
      <c r="H7" s="13"/>
      <c r="I7" s="20" t="str">
        <f>"55,0"</f>
        <v>55,0</v>
      </c>
      <c r="J7" s="21" t="str">
        <f>"41,3270"</f>
        <v>41,3270</v>
      </c>
      <c r="K7" s="12" t="s">
        <v>173</v>
      </c>
    </row>
    <row r="9" spans="1:11" ht="15" x14ac:dyDescent="0.2">
      <c r="A9" s="43" t="s">
        <v>24</v>
      </c>
      <c r="B9" s="44"/>
      <c r="C9" s="44"/>
      <c r="D9" s="44"/>
      <c r="E9" s="44"/>
      <c r="F9" s="44"/>
      <c r="G9" s="44"/>
      <c r="H9" s="44"/>
    </row>
    <row r="10" spans="1:11" x14ac:dyDescent="0.2">
      <c r="A10" s="12" t="s">
        <v>406</v>
      </c>
      <c r="B10" s="12" t="s">
        <v>407</v>
      </c>
      <c r="C10" s="12" t="s">
        <v>368</v>
      </c>
      <c r="D10" s="12" t="s">
        <v>170</v>
      </c>
      <c r="E10" s="13" t="s">
        <v>270</v>
      </c>
      <c r="F10" s="14" t="s">
        <v>270</v>
      </c>
      <c r="G10" s="14" t="s">
        <v>289</v>
      </c>
      <c r="H10" s="13"/>
      <c r="I10" s="20" t="str">
        <f>"82,5"</f>
        <v>82,5</v>
      </c>
      <c r="J10" s="21" t="str">
        <f>"51,6202"</f>
        <v>51,6202</v>
      </c>
      <c r="K10" s="12" t="s">
        <v>173</v>
      </c>
    </row>
    <row r="12" spans="1:11" ht="15" x14ac:dyDescent="0.2">
      <c r="A12" s="43" t="s">
        <v>33</v>
      </c>
      <c r="B12" s="44"/>
      <c r="C12" s="44"/>
      <c r="D12" s="44"/>
      <c r="E12" s="44"/>
      <c r="F12" s="44"/>
      <c r="G12" s="44"/>
      <c r="H12" s="44"/>
    </row>
    <row r="13" spans="1:11" x14ac:dyDescent="0.2">
      <c r="A13" s="6" t="s">
        <v>320</v>
      </c>
      <c r="B13" s="6" t="s">
        <v>321</v>
      </c>
      <c r="C13" s="6" t="s">
        <v>322</v>
      </c>
      <c r="D13" s="6" t="s">
        <v>170</v>
      </c>
      <c r="E13" s="8" t="s">
        <v>171</v>
      </c>
      <c r="F13" s="8" t="s">
        <v>373</v>
      </c>
      <c r="G13" s="7" t="s">
        <v>172</v>
      </c>
      <c r="H13" s="7"/>
      <c r="I13" s="16" t="str">
        <f>"90,0"</f>
        <v>90,0</v>
      </c>
      <c r="J13" s="17" t="str">
        <f>"52,2720"</f>
        <v>52,2720</v>
      </c>
      <c r="K13" s="6" t="s">
        <v>173</v>
      </c>
    </row>
    <row r="14" spans="1:11" x14ac:dyDescent="0.2">
      <c r="A14" s="9" t="s">
        <v>244</v>
      </c>
      <c r="B14" s="9" t="s">
        <v>245</v>
      </c>
      <c r="C14" s="9" t="s">
        <v>246</v>
      </c>
      <c r="D14" s="9" t="s">
        <v>170</v>
      </c>
      <c r="E14" s="11" t="s">
        <v>369</v>
      </c>
      <c r="F14" s="11" t="s">
        <v>258</v>
      </c>
      <c r="G14" s="11" t="s">
        <v>120</v>
      </c>
      <c r="H14" s="10"/>
      <c r="I14" s="18" t="str">
        <f>"60,0"</f>
        <v>60,0</v>
      </c>
      <c r="J14" s="19" t="str">
        <f>"38,1501"</f>
        <v>38,1501</v>
      </c>
      <c r="K14" s="9" t="s">
        <v>32</v>
      </c>
    </row>
    <row r="16" spans="1:11" ht="15" x14ac:dyDescent="0.2">
      <c r="A16" s="43" t="s">
        <v>41</v>
      </c>
      <c r="B16" s="44"/>
      <c r="C16" s="44"/>
      <c r="D16" s="44"/>
      <c r="E16" s="44"/>
      <c r="F16" s="44"/>
      <c r="G16" s="44"/>
      <c r="H16" s="44"/>
    </row>
    <row r="17" spans="1:11" x14ac:dyDescent="0.2">
      <c r="A17" s="12" t="s">
        <v>329</v>
      </c>
      <c r="B17" s="12" t="s">
        <v>330</v>
      </c>
      <c r="C17" s="12" t="s">
        <v>331</v>
      </c>
      <c r="D17" s="12" t="s">
        <v>170</v>
      </c>
      <c r="E17" s="14" t="s">
        <v>120</v>
      </c>
      <c r="F17" s="14" t="s">
        <v>121</v>
      </c>
      <c r="G17" s="13"/>
      <c r="H17" s="13"/>
      <c r="I17" s="20" t="str">
        <f>"70,0"</f>
        <v>70,0</v>
      </c>
      <c r="J17" s="21" t="str">
        <f>"38,4230"</f>
        <v>38,4230</v>
      </c>
      <c r="K17" s="12" t="s">
        <v>332</v>
      </c>
    </row>
  </sheetData>
  <mergeCells count="13">
    <mergeCell ref="J1:J2"/>
    <mergeCell ref="K1:K2"/>
    <mergeCell ref="A3:H3"/>
    <mergeCell ref="A1:A2"/>
    <mergeCell ref="B1:B2"/>
    <mergeCell ref="C1:C2"/>
    <mergeCell ref="D1:D2"/>
    <mergeCell ref="E1:H1"/>
    <mergeCell ref="A6:H6"/>
    <mergeCell ref="A9:H9"/>
    <mergeCell ref="A12:H12"/>
    <mergeCell ref="A16:H16"/>
    <mergeCell ref="I1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57"/>
  <sheetViews>
    <sheetView workbookViewId="0">
      <selection activeCell="A15" sqref="A15"/>
    </sheetView>
  </sheetViews>
  <sheetFormatPr defaultRowHeight="12.75" x14ac:dyDescent="0.2"/>
  <cols>
    <col min="1" max="1" width="26" style="4" bestFit="1" customWidth="1"/>
    <col min="2" max="2" width="29.7109375" style="4" bestFit="1" customWidth="1"/>
    <col min="3" max="3" width="15.5703125" style="4" bestFit="1" customWidth="1"/>
    <col min="4" max="4" width="32.5703125" style="4" bestFit="1" customWidth="1"/>
    <col min="5" max="7" width="5.5703125" style="3" customWidth="1"/>
    <col min="8" max="8" width="4.85546875" style="3" customWidth="1"/>
    <col min="9" max="9" width="7.85546875" style="15" bestFit="1" customWidth="1"/>
    <col min="10" max="10" width="8.5703125" style="2" bestFit="1" customWidth="1"/>
    <col min="11" max="11" width="20.140625" style="4" bestFit="1" customWidth="1"/>
    <col min="12" max="16384" width="9.140625" style="3"/>
  </cols>
  <sheetData>
    <row r="1" spans="1:11" s="1" customFormat="1" ht="12.75" customHeight="1" x14ac:dyDescent="0.2">
      <c r="A1" s="38" t="s">
        <v>0</v>
      </c>
      <c r="B1" s="40" t="s">
        <v>5</v>
      </c>
      <c r="C1" s="40" t="s">
        <v>7</v>
      </c>
      <c r="D1" s="33" t="s">
        <v>6</v>
      </c>
      <c r="E1" s="33" t="s">
        <v>47</v>
      </c>
      <c r="F1" s="33"/>
      <c r="G1" s="33"/>
      <c r="H1" s="33"/>
      <c r="I1" s="33" t="s">
        <v>46</v>
      </c>
      <c r="J1" s="33" t="s">
        <v>3</v>
      </c>
      <c r="K1" s="34" t="s">
        <v>2</v>
      </c>
    </row>
    <row r="2" spans="1:11" s="1" customFormat="1" ht="21" customHeight="1" thickBot="1" x14ac:dyDescent="0.25">
      <c r="A2" s="39"/>
      <c r="B2" s="41"/>
      <c r="C2" s="41"/>
      <c r="D2" s="41"/>
      <c r="E2" s="5">
        <v>1</v>
      </c>
      <c r="F2" s="5">
        <v>2</v>
      </c>
      <c r="G2" s="5">
        <v>3</v>
      </c>
      <c r="H2" s="5" t="s">
        <v>4</v>
      </c>
      <c r="I2" s="41"/>
      <c r="J2" s="41"/>
      <c r="K2" s="35"/>
    </row>
    <row r="3" spans="1:11" ht="15" x14ac:dyDescent="0.2">
      <c r="A3" s="45" t="s">
        <v>166</v>
      </c>
      <c r="B3" s="46"/>
      <c r="C3" s="46"/>
      <c r="D3" s="46"/>
      <c r="E3" s="46"/>
      <c r="F3" s="46"/>
      <c r="G3" s="46"/>
      <c r="H3" s="46"/>
    </row>
    <row r="4" spans="1:11" x14ac:dyDescent="0.2">
      <c r="A4" s="12" t="s">
        <v>247</v>
      </c>
      <c r="B4" s="12" t="s">
        <v>248</v>
      </c>
      <c r="C4" s="12" t="s">
        <v>249</v>
      </c>
      <c r="D4" s="12" t="s">
        <v>13</v>
      </c>
      <c r="E4" s="13" t="s">
        <v>250</v>
      </c>
      <c r="F4" s="14" t="s">
        <v>250</v>
      </c>
      <c r="G4" s="14" t="s">
        <v>251</v>
      </c>
      <c r="H4" s="13"/>
      <c r="I4" s="20" t="str">
        <f>"45,0"</f>
        <v>45,0</v>
      </c>
      <c r="J4" s="21" t="str">
        <f>"48,4605"</f>
        <v>48,4605</v>
      </c>
      <c r="K4" s="12" t="s">
        <v>32</v>
      </c>
    </row>
    <row r="6" spans="1:11" ht="15" x14ac:dyDescent="0.2">
      <c r="A6" s="43" t="s">
        <v>174</v>
      </c>
      <c r="B6" s="44"/>
      <c r="C6" s="44"/>
      <c r="D6" s="44"/>
      <c r="E6" s="44"/>
      <c r="F6" s="44"/>
      <c r="G6" s="44"/>
      <c r="H6" s="44"/>
    </row>
    <row r="7" spans="1:11" x14ac:dyDescent="0.2">
      <c r="A7" s="6" t="s">
        <v>252</v>
      </c>
      <c r="B7" s="6" t="s">
        <v>253</v>
      </c>
      <c r="C7" s="6" t="s">
        <v>254</v>
      </c>
      <c r="D7" s="6" t="s">
        <v>13</v>
      </c>
      <c r="E7" s="8" t="s">
        <v>255</v>
      </c>
      <c r="F7" s="8" t="s">
        <v>256</v>
      </c>
      <c r="G7" s="7" t="s">
        <v>120</v>
      </c>
      <c r="H7" s="7"/>
      <c r="I7" s="16" t="str">
        <f>"57,5"</f>
        <v>57,5</v>
      </c>
      <c r="J7" s="17" t="str">
        <f>"55,6945"</f>
        <v>55,6945</v>
      </c>
      <c r="K7" s="6" t="s">
        <v>201</v>
      </c>
    </row>
    <row r="8" spans="1:11" x14ac:dyDescent="0.2">
      <c r="A8" s="9" t="s">
        <v>257</v>
      </c>
      <c r="B8" s="9" t="s">
        <v>176</v>
      </c>
      <c r="C8" s="9" t="s">
        <v>177</v>
      </c>
      <c r="D8" s="9" t="s">
        <v>13</v>
      </c>
      <c r="E8" s="10" t="s">
        <v>258</v>
      </c>
      <c r="F8" s="10" t="s">
        <v>414</v>
      </c>
      <c r="G8" s="10" t="s">
        <v>414</v>
      </c>
      <c r="H8" s="10"/>
      <c r="I8" s="18" t="str">
        <f>"0.00"</f>
        <v>0.00</v>
      </c>
      <c r="J8" s="19"/>
      <c r="K8" s="9" t="s">
        <v>180</v>
      </c>
    </row>
    <row r="10" spans="1:11" ht="15" x14ac:dyDescent="0.2">
      <c r="A10" s="43" t="s">
        <v>186</v>
      </c>
      <c r="B10" s="44"/>
      <c r="C10" s="44"/>
      <c r="D10" s="44"/>
      <c r="E10" s="44"/>
      <c r="F10" s="44"/>
      <c r="G10" s="44"/>
      <c r="H10" s="44"/>
    </row>
    <row r="11" spans="1:11" x14ac:dyDescent="0.2">
      <c r="A11" s="12" t="s">
        <v>259</v>
      </c>
      <c r="B11" s="12" t="s">
        <v>260</v>
      </c>
      <c r="C11" s="12" t="s">
        <v>261</v>
      </c>
      <c r="D11" s="12" t="s">
        <v>222</v>
      </c>
      <c r="E11" s="14" t="s">
        <v>262</v>
      </c>
      <c r="F11" s="14" t="s">
        <v>250</v>
      </c>
      <c r="G11" s="13" t="s">
        <v>263</v>
      </c>
      <c r="H11" s="13"/>
      <c r="I11" s="20" t="str">
        <f>"40,0"</f>
        <v>40,0</v>
      </c>
      <c r="J11" s="21" t="str">
        <f>"36,8880"</f>
        <v>36,8880</v>
      </c>
      <c r="K11" s="12" t="s">
        <v>223</v>
      </c>
    </row>
    <row r="13" spans="1:11" ht="15" x14ac:dyDescent="0.2">
      <c r="A13" s="43" t="s">
        <v>9</v>
      </c>
      <c r="B13" s="44"/>
      <c r="C13" s="44"/>
      <c r="D13" s="44"/>
      <c r="E13" s="44"/>
      <c r="F13" s="44"/>
      <c r="G13" s="44"/>
      <c r="H13" s="44"/>
    </row>
    <row r="14" spans="1:11" x14ac:dyDescent="0.2">
      <c r="A14" s="12" t="s">
        <v>264</v>
      </c>
      <c r="B14" s="12" t="s">
        <v>265</v>
      </c>
      <c r="C14" s="12" t="s">
        <v>194</v>
      </c>
      <c r="D14" s="12" t="s">
        <v>13</v>
      </c>
      <c r="E14" s="14" t="s">
        <v>49</v>
      </c>
      <c r="F14" s="14" t="s">
        <v>172</v>
      </c>
      <c r="G14" s="13" t="s">
        <v>266</v>
      </c>
      <c r="H14" s="13"/>
      <c r="I14" s="20" t="str">
        <f>"100,0"</f>
        <v>100,0</v>
      </c>
      <c r="J14" s="21" t="str">
        <f>"87,5000"</f>
        <v>87,5000</v>
      </c>
      <c r="K14" s="12" t="s">
        <v>32</v>
      </c>
    </row>
    <row r="16" spans="1:11" ht="15" x14ac:dyDescent="0.2">
      <c r="A16" s="43" t="s">
        <v>197</v>
      </c>
      <c r="B16" s="44"/>
      <c r="C16" s="44"/>
      <c r="D16" s="44"/>
      <c r="E16" s="44"/>
      <c r="F16" s="44"/>
      <c r="G16" s="44"/>
      <c r="H16" s="44"/>
    </row>
    <row r="17" spans="1:11" x14ac:dyDescent="0.2">
      <c r="A17" s="12" t="s">
        <v>267</v>
      </c>
      <c r="B17" s="12" t="s">
        <v>268</v>
      </c>
      <c r="C17" s="12" t="s">
        <v>269</v>
      </c>
      <c r="D17" s="12" t="s">
        <v>13</v>
      </c>
      <c r="E17" s="14" t="s">
        <v>121</v>
      </c>
      <c r="F17" s="14" t="s">
        <v>270</v>
      </c>
      <c r="G17" s="14" t="s">
        <v>171</v>
      </c>
      <c r="H17" s="13"/>
      <c r="I17" s="20" t="str">
        <f>"80,0"</f>
        <v>80,0</v>
      </c>
      <c r="J17" s="21" t="str">
        <f>"63,6639"</f>
        <v>63,6639</v>
      </c>
      <c r="K17" s="12" t="s">
        <v>271</v>
      </c>
    </row>
    <row r="19" spans="1:11" ht="15" x14ac:dyDescent="0.2">
      <c r="A19" s="43" t="s">
        <v>197</v>
      </c>
      <c r="B19" s="44"/>
      <c r="C19" s="44"/>
      <c r="D19" s="44"/>
      <c r="E19" s="44"/>
      <c r="F19" s="44"/>
      <c r="G19" s="44"/>
      <c r="H19" s="44"/>
    </row>
    <row r="20" spans="1:11" x14ac:dyDescent="0.2">
      <c r="A20" s="12" t="s">
        <v>272</v>
      </c>
      <c r="B20" s="12" t="s">
        <v>273</v>
      </c>
      <c r="C20" s="12" t="s">
        <v>274</v>
      </c>
      <c r="D20" s="12" t="s">
        <v>13</v>
      </c>
      <c r="E20" s="14" t="s">
        <v>258</v>
      </c>
      <c r="F20" s="13" t="s">
        <v>120</v>
      </c>
      <c r="G20" s="14" t="s">
        <v>120</v>
      </c>
      <c r="H20" s="13"/>
      <c r="I20" s="20" t="str">
        <f>"60,0"</f>
        <v>60,0</v>
      </c>
      <c r="J20" s="21" t="str">
        <f>"45,1440"</f>
        <v>45,1440</v>
      </c>
      <c r="K20" s="12" t="s">
        <v>32</v>
      </c>
    </row>
    <row r="22" spans="1:11" ht="15" x14ac:dyDescent="0.2">
      <c r="A22" s="43" t="s">
        <v>127</v>
      </c>
      <c r="B22" s="44"/>
      <c r="C22" s="44"/>
      <c r="D22" s="44"/>
      <c r="E22" s="44"/>
      <c r="F22" s="44"/>
      <c r="G22" s="44"/>
      <c r="H22" s="44"/>
    </row>
    <row r="23" spans="1:11" x14ac:dyDescent="0.2">
      <c r="A23" s="12" t="s">
        <v>275</v>
      </c>
      <c r="B23" s="12" t="s">
        <v>276</v>
      </c>
      <c r="C23" s="12" t="s">
        <v>277</v>
      </c>
      <c r="D23" s="12" t="s">
        <v>170</v>
      </c>
      <c r="E23" s="14" t="s">
        <v>115</v>
      </c>
      <c r="F23" s="14" t="s">
        <v>51</v>
      </c>
      <c r="G23" s="13" t="s">
        <v>227</v>
      </c>
      <c r="H23" s="13"/>
      <c r="I23" s="20" t="str">
        <f>"150,0"</f>
        <v>150,0</v>
      </c>
      <c r="J23" s="21" t="str">
        <f>"103,4700"</f>
        <v>103,4700</v>
      </c>
      <c r="K23" s="12" t="s">
        <v>173</v>
      </c>
    </row>
    <row r="25" spans="1:11" ht="15" x14ac:dyDescent="0.2">
      <c r="A25" s="43" t="s">
        <v>24</v>
      </c>
      <c r="B25" s="44"/>
      <c r="C25" s="44"/>
      <c r="D25" s="44"/>
      <c r="E25" s="44"/>
      <c r="F25" s="44"/>
      <c r="G25" s="44"/>
      <c r="H25" s="44"/>
    </row>
    <row r="26" spans="1:11" x14ac:dyDescent="0.2">
      <c r="A26" s="6" t="s">
        <v>278</v>
      </c>
      <c r="B26" s="6" t="s">
        <v>279</v>
      </c>
      <c r="C26" s="6" t="s">
        <v>27</v>
      </c>
      <c r="D26" s="6" t="s">
        <v>13</v>
      </c>
      <c r="E26" s="8" t="s">
        <v>125</v>
      </c>
      <c r="F26" s="8" t="s">
        <v>115</v>
      </c>
      <c r="G26" s="8" t="s">
        <v>51</v>
      </c>
      <c r="H26" s="7"/>
      <c r="I26" s="16" t="str">
        <f>"150,0"</f>
        <v>150,0</v>
      </c>
      <c r="J26" s="17" t="str">
        <f>"93,7650"</f>
        <v>93,7650</v>
      </c>
      <c r="K26" s="6" t="s">
        <v>32</v>
      </c>
    </row>
    <row r="27" spans="1:11" x14ac:dyDescent="0.2">
      <c r="A27" s="28" t="s">
        <v>280</v>
      </c>
      <c r="B27" s="28" t="s">
        <v>281</v>
      </c>
      <c r="C27" s="28" t="s">
        <v>282</v>
      </c>
      <c r="D27" s="28" t="s">
        <v>13</v>
      </c>
      <c r="E27" s="30" t="s">
        <v>125</v>
      </c>
      <c r="F27" s="30" t="s">
        <v>137</v>
      </c>
      <c r="G27" s="30" t="s">
        <v>61</v>
      </c>
      <c r="H27" s="29"/>
      <c r="I27" s="31" t="str">
        <f>"147,5"</f>
        <v>147,5</v>
      </c>
      <c r="J27" s="32" t="str">
        <f>"91,4205"</f>
        <v>91,4205</v>
      </c>
      <c r="K27" s="28" t="s">
        <v>32</v>
      </c>
    </row>
    <row r="28" spans="1:11" x14ac:dyDescent="0.2">
      <c r="A28" s="28" t="s">
        <v>283</v>
      </c>
      <c r="B28" s="28" t="s">
        <v>284</v>
      </c>
      <c r="C28" s="28" t="s">
        <v>285</v>
      </c>
      <c r="D28" s="28" t="s">
        <v>13</v>
      </c>
      <c r="E28" s="30" t="s">
        <v>124</v>
      </c>
      <c r="F28" s="29" t="s">
        <v>114</v>
      </c>
      <c r="G28" s="29" t="s">
        <v>114</v>
      </c>
      <c r="H28" s="29"/>
      <c r="I28" s="31" t="str">
        <f>"130,0"</f>
        <v>130,0</v>
      </c>
      <c r="J28" s="32" t="str">
        <f>"81,0550"</f>
        <v>81,0550</v>
      </c>
      <c r="K28" s="28" t="s">
        <v>286</v>
      </c>
    </row>
    <row r="29" spans="1:11" x14ac:dyDescent="0.2">
      <c r="A29" s="9" t="s">
        <v>287</v>
      </c>
      <c r="B29" s="9" t="s">
        <v>288</v>
      </c>
      <c r="C29" s="9" t="s">
        <v>60</v>
      </c>
      <c r="D29" s="9" t="s">
        <v>56</v>
      </c>
      <c r="E29" s="11" t="s">
        <v>121</v>
      </c>
      <c r="F29" s="11" t="s">
        <v>270</v>
      </c>
      <c r="G29" s="10" t="s">
        <v>289</v>
      </c>
      <c r="H29" s="10"/>
      <c r="I29" s="18" t="str">
        <f>"75,0"</f>
        <v>75,0</v>
      </c>
      <c r="J29" s="19" t="str">
        <f>"98,9081"</f>
        <v>98,9081</v>
      </c>
      <c r="K29" s="9" t="s">
        <v>32</v>
      </c>
    </row>
    <row r="31" spans="1:11" ht="15" x14ac:dyDescent="0.2">
      <c r="A31" s="43" t="s">
        <v>65</v>
      </c>
      <c r="B31" s="44"/>
      <c r="C31" s="44"/>
      <c r="D31" s="44"/>
      <c r="E31" s="44"/>
      <c r="F31" s="44"/>
      <c r="G31" s="44"/>
      <c r="H31" s="44"/>
    </row>
    <row r="32" spans="1:11" x14ac:dyDescent="0.2">
      <c r="A32" s="6" t="s">
        <v>290</v>
      </c>
      <c r="B32" s="6" t="s">
        <v>291</v>
      </c>
      <c r="C32" s="6" t="s">
        <v>292</v>
      </c>
      <c r="D32" s="6" t="s">
        <v>13</v>
      </c>
      <c r="E32" s="8" t="s">
        <v>48</v>
      </c>
      <c r="F32" s="8" t="s">
        <v>50</v>
      </c>
      <c r="G32" s="8" t="s">
        <v>293</v>
      </c>
      <c r="H32" s="7"/>
      <c r="I32" s="16" t="str">
        <f>"102,5"</f>
        <v>102,5</v>
      </c>
      <c r="J32" s="17" t="str">
        <f>"60,5262"</f>
        <v>60,5262</v>
      </c>
      <c r="K32" s="6" t="s">
        <v>218</v>
      </c>
    </row>
    <row r="33" spans="1:11" x14ac:dyDescent="0.2">
      <c r="A33" s="28" t="s">
        <v>294</v>
      </c>
      <c r="B33" s="28" t="s">
        <v>295</v>
      </c>
      <c r="C33" s="28" t="s">
        <v>233</v>
      </c>
      <c r="D33" s="28" t="s">
        <v>222</v>
      </c>
      <c r="E33" s="30" t="s">
        <v>195</v>
      </c>
      <c r="F33" s="30" t="s">
        <v>123</v>
      </c>
      <c r="G33" s="29" t="s">
        <v>119</v>
      </c>
      <c r="H33" s="29"/>
      <c r="I33" s="31" t="str">
        <f>"120,0"</f>
        <v>120,0</v>
      </c>
      <c r="J33" s="32" t="str">
        <f>"71,2680"</f>
        <v>71,2680</v>
      </c>
      <c r="K33" s="28" t="s">
        <v>223</v>
      </c>
    </row>
    <row r="34" spans="1:11" x14ac:dyDescent="0.2">
      <c r="A34" s="28" t="s">
        <v>296</v>
      </c>
      <c r="B34" s="28" t="s">
        <v>297</v>
      </c>
      <c r="C34" s="28" t="s">
        <v>298</v>
      </c>
      <c r="D34" s="28" t="s">
        <v>13</v>
      </c>
      <c r="E34" s="30" t="s">
        <v>16</v>
      </c>
      <c r="F34" s="29" t="s">
        <v>70</v>
      </c>
      <c r="G34" s="29" t="s">
        <v>70</v>
      </c>
      <c r="H34" s="29"/>
      <c r="I34" s="31" t="str">
        <f>"180,0"</f>
        <v>180,0</v>
      </c>
      <c r="J34" s="32" t="str">
        <f>"106,1460"</f>
        <v>106,1460</v>
      </c>
      <c r="K34" s="28" t="s">
        <v>40</v>
      </c>
    </row>
    <row r="35" spans="1:11" x14ac:dyDescent="0.2">
      <c r="A35" s="28" t="s">
        <v>299</v>
      </c>
      <c r="B35" s="28" t="s">
        <v>236</v>
      </c>
      <c r="C35" s="28" t="s">
        <v>237</v>
      </c>
      <c r="D35" s="28" t="s">
        <v>13</v>
      </c>
      <c r="E35" s="30" t="s">
        <v>300</v>
      </c>
      <c r="F35" s="30" t="s">
        <v>22</v>
      </c>
      <c r="G35" s="30" t="s">
        <v>52</v>
      </c>
      <c r="H35" s="29"/>
      <c r="I35" s="31" t="str">
        <f>"170,0"</f>
        <v>170,0</v>
      </c>
      <c r="J35" s="32" t="str">
        <f>"101,2520"</f>
        <v>101,2520</v>
      </c>
      <c r="K35" s="28" t="s">
        <v>32</v>
      </c>
    </row>
    <row r="36" spans="1:11" x14ac:dyDescent="0.2">
      <c r="A36" s="28" t="s">
        <v>301</v>
      </c>
      <c r="B36" s="28" t="s">
        <v>302</v>
      </c>
      <c r="C36" s="28" t="s">
        <v>237</v>
      </c>
      <c r="D36" s="28" t="s">
        <v>170</v>
      </c>
      <c r="E36" s="30" t="s">
        <v>227</v>
      </c>
      <c r="F36" s="30" t="s">
        <v>57</v>
      </c>
      <c r="G36" s="30" t="s">
        <v>14</v>
      </c>
      <c r="H36" s="29"/>
      <c r="I36" s="31" t="str">
        <f>"165,0"</f>
        <v>165,0</v>
      </c>
      <c r="J36" s="32" t="str">
        <f>"98,2740"</f>
        <v>98,2740</v>
      </c>
      <c r="K36" s="28" t="s">
        <v>173</v>
      </c>
    </row>
    <row r="37" spans="1:11" x14ac:dyDescent="0.2">
      <c r="A37" s="28" t="s">
        <v>303</v>
      </c>
      <c r="B37" s="28" t="s">
        <v>304</v>
      </c>
      <c r="C37" s="28" t="s">
        <v>305</v>
      </c>
      <c r="D37" s="28" t="s">
        <v>13</v>
      </c>
      <c r="E37" s="30" t="s">
        <v>57</v>
      </c>
      <c r="F37" s="30" t="s">
        <v>14</v>
      </c>
      <c r="G37" s="29" t="s">
        <v>52</v>
      </c>
      <c r="H37" s="29"/>
      <c r="I37" s="31" t="str">
        <f>"165,0"</f>
        <v>165,0</v>
      </c>
      <c r="J37" s="32" t="str">
        <f>"96,7725"</f>
        <v>96,7725</v>
      </c>
      <c r="K37" s="28" t="s">
        <v>32</v>
      </c>
    </row>
    <row r="38" spans="1:11" x14ac:dyDescent="0.2">
      <c r="A38" s="28" t="s">
        <v>306</v>
      </c>
      <c r="B38" s="28" t="s">
        <v>240</v>
      </c>
      <c r="C38" s="28" t="s">
        <v>237</v>
      </c>
      <c r="D38" s="28" t="s">
        <v>241</v>
      </c>
      <c r="E38" s="30" t="s">
        <v>191</v>
      </c>
      <c r="F38" s="30" t="s">
        <v>179</v>
      </c>
      <c r="G38" s="29" t="s">
        <v>307</v>
      </c>
      <c r="H38" s="29"/>
      <c r="I38" s="31" t="str">
        <f>"132,5"</f>
        <v>132,5</v>
      </c>
      <c r="J38" s="32" t="str">
        <f>"78,9170"</f>
        <v>78,9170</v>
      </c>
      <c r="K38" s="28" t="s">
        <v>32</v>
      </c>
    </row>
    <row r="39" spans="1:11" x14ac:dyDescent="0.2">
      <c r="A39" s="28" t="s">
        <v>308</v>
      </c>
      <c r="B39" s="28" t="s">
        <v>309</v>
      </c>
      <c r="C39" s="28" t="s">
        <v>310</v>
      </c>
      <c r="D39" s="28" t="s">
        <v>222</v>
      </c>
      <c r="E39" s="29" t="s">
        <v>123</v>
      </c>
      <c r="F39" s="29" t="s">
        <v>119</v>
      </c>
      <c r="G39" s="29" t="s">
        <v>179</v>
      </c>
      <c r="H39" s="29"/>
      <c r="I39" s="31" t="str">
        <f>"0.00"</f>
        <v>0.00</v>
      </c>
      <c r="J39" s="32" t="str">
        <f>"0,0000"</f>
        <v>0,0000</v>
      </c>
      <c r="K39" s="28" t="s">
        <v>311</v>
      </c>
    </row>
    <row r="40" spans="1:11" x14ac:dyDescent="0.2">
      <c r="A40" s="28" t="s">
        <v>312</v>
      </c>
      <c r="B40" s="28" t="s">
        <v>313</v>
      </c>
      <c r="C40" s="28" t="s">
        <v>314</v>
      </c>
      <c r="D40" s="28" t="s">
        <v>222</v>
      </c>
      <c r="E40" s="30" t="s">
        <v>119</v>
      </c>
      <c r="F40" s="30" t="s">
        <v>179</v>
      </c>
      <c r="G40" s="30" t="s">
        <v>125</v>
      </c>
      <c r="H40" s="29"/>
      <c r="I40" s="31" t="str">
        <f>"140,0"</f>
        <v>140,0</v>
      </c>
      <c r="J40" s="32" t="str">
        <f>"97,6616"</f>
        <v>97,6616</v>
      </c>
      <c r="K40" s="28" t="s">
        <v>315</v>
      </c>
    </row>
    <row r="41" spans="1:11" x14ac:dyDescent="0.2">
      <c r="A41" s="9" t="s">
        <v>316</v>
      </c>
      <c r="B41" s="9" t="s">
        <v>317</v>
      </c>
      <c r="C41" s="9" t="s">
        <v>68</v>
      </c>
      <c r="D41" s="9" t="s">
        <v>13</v>
      </c>
      <c r="E41" s="11" t="s">
        <v>270</v>
      </c>
      <c r="F41" s="11" t="s">
        <v>289</v>
      </c>
      <c r="G41" s="10" t="s">
        <v>318</v>
      </c>
      <c r="H41" s="10"/>
      <c r="I41" s="18" t="str">
        <f>"82,5"</f>
        <v>82,5</v>
      </c>
      <c r="J41" s="19" t="str">
        <f>"102,6511"</f>
        <v>102,6511</v>
      </c>
      <c r="K41" s="9" t="s">
        <v>319</v>
      </c>
    </row>
    <row r="43" spans="1:11" ht="15" x14ac:dyDescent="0.2">
      <c r="A43" s="43" t="s">
        <v>33</v>
      </c>
      <c r="B43" s="44"/>
      <c r="C43" s="44"/>
      <c r="D43" s="44"/>
      <c r="E43" s="44"/>
      <c r="F43" s="44"/>
      <c r="G43" s="44"/>
      <c r="H43" s="44"/>
    </row>
    <row r="44" spans="1:11" x14ac:dyDescent="0.2">
      <c r="A44" s="6" t="s">
        <v>320</v>
      </c>
      <c r="B44" s="6" t="s">
        <v>321</v>
      </c>
      <c r="C44" s="6" t="s">
        <v>322</v>
      </c>
      <c r="D44" s="6" t="s">
        <v>170</v>
      </c>
      <c r="E44" s="8" t="s">
        <v>227</v>
      </c>
      <c r="F44" s="7" t="s">
        <v>22</v>
      </c>
      <c r="G44" s="8" t="s">
        <v>22</v>
      </c>
      <c r="H44" s="7"/>
      <c r="I44" s="16" t="str">
        <f>"162,5"</f>
        <v>162,5</v>
      </c>
      <c r="J44" s="17" t="str">
        <f>"94,3800"</f>
        <v>94,3800</v>
      </c>
      <c r="K44" s="6" t="s">
        <v>173</v>
      </c>
    </row>
    <row r="45" spans="1:11" x14ac:dyDescent="0.2">
      <c r="A45" s="28" t="s">
        <v>323</v>
      </c>
      <c r="B45" s="28" t="s">
        <v>324</v>
      </c>
      <c r="C45" s="28" t="s">
        <v>325</v>
      </c>
      <c r="D45" s="28" t="s">
        <v>13</v>
      </c>
      <c r="E45" s="30" t="s">
        <v>125</v>
      </c>
      <c r="F45" s="30" t="s">
        <v>300</v>
      </c>
      <c r="G45" s="29" t="s">
        <v>22</v>
      </c>
      <c r="H45" s="29"/>
      <c r="I45" s="31" t="str">
        <f>"152,5"</f>
        <v>152,5</v>
      </c>
      <c r="J45" s="32" t="str">
        <f>"85,4305"</f>
        <v>85,4305</v>
      </c>
      <c r="K45" s="28" t="s">
        <v>101</v>
      </c>
    </row>
    <row r="46" spans="1:11" x14ac:dyDescent="0.2">
      <c r="A46" s="28" t="s">
        <v>326</v>
      </c>
      <c r="B46" s="28" t="s">
        <v>327</v>
      </c>
      <c r="C46" s="28" t="s">
        <v>328</v>
      </c>
      <c r="D46" s="28" t="s">
        <v>13</v>
      </c>
      <c r="E46" s="30" t="s">
        <v>51</v>
      </c>
      <c r="F46" s="29" t="s">
        <v>22</v>
      </c>
      <c r="G46" s="29" t="s">
        <v>22</v>
      </c>
      <c r="H46" s="29"/>
      <c r="I46" s="31" t="str">
        <f>"150,0"</f>
        <v>150,0</v>
      </c>
      <c r="J46" s="32" t="str">
        <f>"83,5200"</f>
        <v>83,5200</v>
      </c>
      <c r="K46" s="28" t="s">
        <v>32</v>
      </c>
    </row>
    <row r="47" spans="1:11" x14ac:dyDescent="0.2">
      <c r="A47" s="9" t="s">
        <v>244</v>
      </c>
      <c r="B47" s="9" t="s">
        <v>245</v>
      </c>
      <c r="C47" s="9" t="s">
        <v>246</v>
      </c>
      <c r="D47" s="9" t="s">
        <v>170</v>
      </c>
      <c r="E47" s="11" t="s">
        <v>123</v>
      </c>
      <c r="F47" s="10" t="s">
        <v>124</v>
      </c>
      <c r="G47" s="10" t="s">
        <v>414</v>
      </c>
      <c r="H47" s="10"/>
      <c r="I47" s="18" t="str">
        <f>"120,0"</f>
        <v>120,0</v>
      </c>
      <c r="J47" s="19" t="str">
        <f>"76,3002"</f>
        <v>76,3002</v>
      </c>
      <c r="K47" s="9" t="s">
        <v>32</v>
      </c>
    </row>
    <row r="49" spans="1:11" ht="15" x14ac:dyDescent="0.2">
      <c r="A49" s="43" t="s">
        <v>41</v>
      </c>
      <c r="B49" s="44"/>
      <c r="C49" s="44"/>
      <c r="D49" s="44"/>
      <c r="E49" s="44"/>
      <c r="F49" s="44"/>
      <c r="G49" s="44"/>
      <c r="H49" s="44"/>
    </row>
    <row r="50" spans="1:11" x14ac:dyDescent="0.2">
      <c r="A50" s="12" t="s">
        <v>329</v>
      </c>
      <c r="B50" s="12" t="s">
        <v>330</v>
      </c>
      <c r="C50" s="12" t="s">
        <v>331</v>
      </c>
      <c r="D50" s="12" t="s">
        <v>170</v>
      </c>
      <c r="E50" s="13" t="s">
        <v>51</v>
      </c>
      <c r="F50" s="14" t="s">
        <v>51</v>
      </c>
      <c r="G50" s="14" t="s">
        <v>227</v>
      </c>
      <c r="H50" s="13"/>
      <c r="I50" s="20" t="str">
        <f>"155,0"</f>
        <v>155,0</v>
      </c>
      <c r="J50" s="21" t="str">
        <f>"85,0795"</f>
        <v>85,0795</v>
      </c>
      <c r="K50" s="12" t="s">
        <v>332</v>
      </c>
    </row>
    <row r="52" spans="1:11" ht="15" x14ac:dyDescent="0.2">
      <c r="A52" s="43" t="s">
        <v>102</v>
      </c>
      <c r="B52" s="44"/>
      <c r="C52" s="44"/>
      <c r="D52" s="44"/>
      <c r="E52" s="44"/>
      <c r="F52" s="44"/>
      <c r="G52" s="44"/>
      <c r="H52" s="44"/>
    </row>
    <row r="53" spans="1:11" x14ac:dyDescent="0.2">
      <c r="A53" s="6" t="s">
        <v>333</v>
      </c>
      <c r="B53" s="6" t="s">
        <v>334</v>
      </c>
      <c r="C53" s="6" t="s">
        <v>335</v>
      </c>
      <c r="D53" s="6" t="s">
        <v>13</v>
      </c>
      <c r="E53" s="8" t="s">
        <v>300</v>
      </c>
      <c r="F53" s="8" t="s">
        <v>14</v>
      </c>
      <c r="G53" s="7" t="s">
        <v>152</v>
      </c>
      <c r="H53" s="7"/>
      <c r="I53" s="16" t="str">
        <f>"165,0"</f>
        <v>165,0</v>
      </c>
      <c r="J53" s="17" t="str">
        <f>"87,1200"</f>
        <v>87,1200</v>
      </c>
      <c r="K53" s="6" t="s">
        <v>336</v>
      </c>
    </row>
    <row r="54" spans="1:11" x14ac:dyDescent="0.2">
      <c r="A54" s="9" t="s">
        <v>337</v>
      </c>
      <c r="B54" s="9" t="s">
        <v>338</v>
      </c>
      <c r="C54" s="9" t="s">
        <v>339</v>
      </c>
      <c r="D54" s="9" t="s">
        <v>13</v>
      </c>
      <c r="E54" s="11" t="s">
        <v>57</v>
      </c>
      <c r="F54" s="10" t="s">
        <v>52</v>
      </c>
      <c r="G54" s="10" t="s">
        <v>52</v>
      </c>
      <c r="H54" s="10"/>
      <c r="I54" s="18" t="str">
        <f>"160,0"</f>
        <v>160,0</v>
      </c>
      <c r="J54" s="19" t="str">
        <f>"85,3280"</f>
        <v>85,3280</v>
      </c>
      <c r="K54" s="9" t="s">
        <v>156</v>
      </c>
    </row>
    <row r="56" spans="1:11" ht="15" x14ac:dyDescent="0.2">
      <c r="A56" s="43" t="s">
        <v>340</v>
      </c>
      <c r="B56" s="44"/>
      <c r="C56" s="44"/>
      <c r="D56" s="44"/>
      <c r="E56" s="44"/>
      <c r="F56" s="44"/>
      <c r="G56" s="44"/>
      <c r="H56" s="44"/>
    </row>
    <row r="57" spans="1:11" x14ac:dyDescent="0.2">
      <c r="A57" s="12" t="s">
        <v>341</v>
      </c>
      <c r="B57" s="12" t="s">
        <v>342</v>
      </c>
      <c r="C57" s="12" t="s">
        <v>343</v>
      </c>
      <c r="D57" s="12" t="s">
        <v>170</v>
      </c>
      <c r="E57" s="14" t="s">
        <v>111</v>
      </c>
      <c r="F57" s="14" t="s">
        <v>112</v>
      </c>
      <c r="G57" s="14" t="s">
        <v>131</v>
      </c>
      <c r="H57" s="13"/>
      <c r="I57" s="20" t="str">
        <f>"210,0"</f>
        <v>210,0</v>
      </c>
      <c r="J57" s="21" t="str">
        <f>"108,9060"</f>
        <v>108,9060</v>
      </c>
      <c r="K57" s="12" t="s">
        <v>173</v>
      </c>
    </row>
  </sheetData>
  <mergeCells count="21">
    <mergeCell ref="I1:I2"/>
    <mergeCell ref="J1:J2"/>
    <mergeCell ref="K1:K2"/>
    <mergeCell ref="A3:H3"/>
    <mergeCell ref="A1:A2"/>
    <mergeCell ref="B1:B2"/>
    <mergeCell ref="C1:C2"/>
    <mergeCell ref="D1:D2"/>
    <mergeCell ref="E1:H1"/>
    <mergeCell ref="A56:H56"/>
    <mergeCell ref="A6:H6"/>
    <mergeCell ref="A10:H10"/>
    <mergeCell ref="A13:H13"/>
    <mergeCell ref="A16:H16"/>
    <mergeCell ref="A19:H19"/>
    <mergeCell ref="A22:H22"/>
    <mergeCell ref="A25:H25"/>
    <mergeCell ref="A31:H31"/>
    <mergeCell ref="A43:H43"/>
    <mergeCell ref="A49:H49"/>
    <mergeCell ref="A52:H5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44"/>
  <sheetViews>
    <sheetView workbookViewId="0">
      <selection activeCell="K11" sqref="K11"/>
    </sheetView>
  </sheetViews>
  <sheetFormatPr defaultRowHeight="12.75" x14ac:dyDescent="0.2"/>
  <cols>
    <col min="1" max="1" width="26" style="4" bestFit="1" customWidth="1"/>
    <col min="2" max="2" width="29.7109375" style="4" bestFit="1" customWidth="1"/>
    <col min="3" max="3" width="15.5703125" style="4" bestFit="1" customWidth="1"/>
    <col min="4" max="4" width="38.7109375" style="4" bestFit="1" customWidth="1"/>
    <col min="5" max="7" width="5.5703125" style="3" customWidth="1"/>
    <col min="8" max="8" width="4.85546875" style="3" customWidth="1"/>
    <col min="9" max="9" width="7.85546875" style="15" bestFit="1" customWidth="1"/>
    <col min="10" max="10" width="8.5703125" style="2" bestFit="1" customWidth="1"/>
    <col min="11" max="11" width="18.42578125" style="4" bestFit="1" customWidth="1"/>
    <col min="12" max="16384" width="9.140625" style="3"/>
  </cols>
  <sheetData>
    <row r="1" spans="1:11" s="1" customFormat="1" ht="12.75" customHeight="1" x14ac:dyDescent="0.2">
      <c r="A1" s="38" t="s">
        <v>0</v>
      </c>
      <c r="B1" s="40" t="s">
        <v>5</v>
      </c>
      <c r="C1" s="40" t="s">
        <v>7</v>
      </c>
      <c r="D1" s="33" t="s">
        <v>6</v>
      </c>
      <c r="E1" s="33" t="s">
        <v>8</v>
      </c>
      <c r="F1" s="33"/>
      <c r="G1" s="33"/>
      <c r="H1" s="33"/>
      <c r="I1" s="33" t="s">
        <v>46</v>
      </c>
      <c r="J1" s="33" t="s">
        <v>3</v>
      </c>
      <c r="K1" s="34" t="s">
        <v>2</v>
      </c>
    </row>
    <row r="2" spans="1:11" s="1" customFormat="1" ht="21" customHeight="1" thickBot="1" x14ac:dyDescent="0.25">
      <c r="A2" s="39"/>
      <c r="B2" s="41"/>
      <c r="C2" s="41"/>
      <c r="D2" s="41"/>
      <c r="E2" s="5">
        <v>1</v>
      </c>
      <c r="F2" s="5">
        <v>2</v>
      </c>
      <c r="G2" s="5">
        <v>3</v>
      </c>
      <c r="H2" s="5" t="s">
        <v>4</v>
      </c>
      <c r="I2" s="41"/>
      <c r="J2" s="41"/>
      <c r="K2" s="35"/>
    </row>
    <row r="3" spans="1:11" ht="15" x14ac:dyDescent="0.2">
      <c r="A3" s="45" t="s">
        <v>166</v>
      </c>
      <c r="B3" s="46"/>
      <c r="C3" s="46"/>
      <c r="D3" s="46"/>
      <c r="E3" s="46"/>
      <c r="F3" s="46"/>
      <c r="G3" s="46"/>
      <c r="H3" s="46"/>
    </row>
    <row r="4" spans="1:11" x14ac:dyDescent="0.2">
      <c r="A4" s="12" t="s">
        <v>167</v>
      </c>
      <c r="B4" s="12" t="s">
        <v>168</v>
      </c>
      <c r="C4" s="12" t="s">
        <v>169</v>
      </c>
      <c r="D4" s="12" t="s">
        <v>170</v>
      </c>
      <c r="E4" s="14" t="s">
        <v>171</v>
      </c>
      <c r="F4" s="14" t="s">
        <v>49</v>
      </c>
      <c r="G4" s="13" t="s">
        <v>172</v>
      </c>
      <c r="H4" s="13"/>
      <c r="I4" s="20" t="str">
        <f>"95,0"</f>
        <v>95,0</v>
      </c>
      <c r="J4" s="21" t="str">
        <f>"100,0350"</f>
        <v>100,0350</v>
      </c>
      <c r="K4" s="12" t="s">
        <v>173</v>
      </c>
    </row>
    <row r="6" spans="1:11" ht="15" x14ac:dyDescent="0.2">
      <c r="A6" s="43" t="s">
        <v>174</v>
      </c>
      <c r="B6" s="44"/>
      <c r="C6" s="44"/>
      <c r="D6" s="44"/>
      <c r="E6" s="44"/>
      <c r="F6" s="44"/>
      <c r="G6" s="44"/>
      <c r="H6" s="44"/>
    </row>
    <row r="7" spans="1:11" x14ac:dyDescent="0.2">
      <c r="A7" s="6" t="s">
        <v>175</v>
      </c>
      <c r="B7" s="6" t="s">
        <v>176</v>
      </c>
      <c r="C7" s="6" t="s">
        <v>177</v>
      </c>
      <c r="D7" s="6" t="s">
        <v>13</v>
      </c>
      <c r="E7" s="8" t="s">
        <v>178</v>
      </c>
      <c r="F7" s="8" t="s">
        <v>119</v>
      </c>
      <c r="G7" s="8" t="s">
        <v>179</v>
      </c>
      <c r="H7" s="7"/>
      <c r="I7" s="16" t="str">
        <f>"132,5"</f>
        <v>132,5</v>
      </c>
      <c r="J7" s="17" t="str">
        <f>"129,9692"</f>
        <v>129,9692</v>
      </c>
      <c r="K7" s="6" t="s">
        <v>180</v>
      </c>
    </row>
    <row r="8" spans="1:11" x14ac:dyDescent="0.2">
      <c r="A8" s="9" t="s">
        <v>181</v>
      </c>
      <c r="B8" s="9" t="s">
        <v>182</v>
      </c>
      <c r="C8" s="9" t="s">
        <v>183</v>
      </c>
      <c r="D8" s="9" t="s">
        <v>21</v>
      </c>
      <c r="E8" s="11" t="s">
        <v>121</v>
      </c>
      <c r="F8" s="11" t="s">
        <v>171</v>
      </c>
      <c r="G8" s="11" t="s">
        <v>184</v>
      </c>
      <c r="H8" s="10"/>
      <c r="I8" s="18" t="str">
        <f>"87,5"</f>
        <v>87,5</v>
      </c>
      <c r="J8" s="19" t="str">
        <f>"86,9312"</f>
        <v>86,9312</v>
      </c>
      <c r="K8" s="9" t="s">
        <v>185</v>
      </c>
    </row>
    <row r="10" spans="1:11" ht="15" x14ac:dyDescent="0.2">
      <c r="A10" s="43" t="s">
        <v>186</v>
      </c>
      <c r="B10" s="44"/>
      <c r="C10" s="44"/>
      <c r="D10" s="44"/>
      <c r="E10" s="44"/>
      <c r="F10" s="44"/>
      <c r="G10" s="44"/>
      <c r="H10" s="44"/>
    </row>
    <row r="11" spans="1:11" x14ac:dyDescent="0.2">
      <c r="A11" s="12" t="s">
        <v>187</v>
      </c>
      <c r="B11" s="12" t="s">
        <v>188</v>
      </c>
      <c r="C11" s="12" t="s">
        <v>189</v>
      </c>
      <c r="D11" s="12" t="s">
        <v>190</v>
      </c>
      <c r="E11" s="14" t="s">
        <v>191</v>
      </c>
      <c r="F11" s="14" t="s">
        <v>119</v>
      </c>
      <c r="G11" s="14" t="s">
        <v>124</v>
      </c>
      <c r="H11" s="13"/>
      <c r="I11" s="20" t="str">
        <f>"130,0"</f>
        <v>130,0</v>
      </c>
      <c r="J11" s="21" t="str">
        <f>"118,5860"</f>
        <v>118,5860</v>
      </c>
      <c r="K11" s="12"/>
    </row>
    <row r="13" spans="1:11" ht="15" x14ac:dyDescent="0.2">
      <c r="A13" s="43" t="s">
        <v>9</v>
      </c>
      <c r="B13" s="44"/>
      <c r="C13" s="44"/>
      <c r="D13" s="44"/>
      <c r="E13" s="44"/>
      <c r="F13" s="44"/>
      <c r="G13" s="44"/>
      <c r="H13" s="44"/>
    </row>
    <row r="14" spans="1:11" x14ac:dyDescent="0.2">
      <c r="A14" s="12" t="s">
        <v>192</v>
      </c>
      <c r="B14" s="12" t="s">
        <v>193</v>
      </c>
      <c r="C14" s="12" t="s">
        <v>194</v>
      </c>
      <c r="D14" s="12" t="s">
        <v>13</v>
      </c>
      <c r="E14" s="14" t="s">
        <v>49</v>
      </c>
      <c r="F14" s="14" t="s">
        <v>195</v>
      </c>
      <c r="G14" s="13" t="s">
        <v>196</v>
      </c>
      <c r="H14" s="13"/>
      <c r="I14" s="20" t="str">
        <f>"110,0"</f>
        <v>110,0</v>
      </c>
      <c r="J14" s="21" t="str">
        <f>"96,2500"</f>
        <v>96,2500</v>
      </c>
      <c r="K14" s="12" t="s">
        <v>32</v>
      </c>
    </row>
    <row r="16" spans="1:11" ht="15" x14ac:dyDescent="0.2">
      <c r="A16" s="43" t="s">
        <v>197</v>
      </c>
      <c r="B16" s="44"/>
      <c r="C16" s="44"/>
      <c r="D16" s="44"/>
      <c r="E16" s="44"/>
      <c r="F16" s="44"/>
      <c r="G16" s="44"/>
      <c r="H16" s="44"/>
    </row>
    <row r="17" spans="1:11" x14ac:dyDescent="0.2">
      <c r="A17" s="12" t="s">
        <v>198</v>
      </c>
      <c r="B17" s="12" t="s">
        <v>199</v>
      </c>
      <c r="C17" s="12" t="s">
        <v>200</v>
      </c>
      <c r="D17" s="12" t="s">
        <v>13</v>
      </c>
      <c r="E17" s="14" t="s">
        <v>123</v>
      </c>
      <c r="F17" s="14" t="s">
        <v>114</v>
      </c>
      <c r="G17" s="14" t="s">
        <v>125</v>
      </c>
      <c r="H17" s="13"/>
      <c r="I17" s="20" t="str">
        <f>"140,0"</f>
        <v>140,0</v>
      </c>
      <c r="J17" s="21" t="str">
        <f>"110,2780"</f>
        <v>110,2780</v>
      </c>
      <c r="K17" s="12" t="s">
        <v>201</v>
      </c>
    </row>
    <row r="19" spans="1:11" ht="15" x14ac:dyDescent="0.2">
      <c r="A19" s="43" t="s">
        <v>127</v>
      </c>
      <c r="B19" s="44"/>
      <c r="C19" s="44"/>
      <c r="D19" s="44"/>
      <c r="E19" s="44"/>
      <c r="F19" s="44"/>
      <c r="G19" s="44"/>
      <c r="H19" s="44"/>
    </row>
    <row r="20" spans="1:11" x14ac:dyDescent="0.2">
      <c r="A20" s="6" t="s">
        <v>202</v>
      </c>
      <c r="B20" s="6" t="s">
        <v>203</v>
      </c>
      <c r="C20" s="6" t="s">
        <v>204</v>
      </c>
      <c r="D20" s="6" t="s">
        <v>13</v>
      </c>
      <c r="E20" s="8" t="s">
        <v>51</v>
      </c>
      <c r="F20" s="8" t="s">
        <v>57</v>
      </c>
      <c r="G20" s="8" t="s">
        <v>14</v>
      </c>
      <c r="H20" s="7"/>
      <c r="I20" s="16" t="str">
        <f>"165,0"</f>
        <v>165,0</v>
      </c>
      <c r="J20" s="17" t="str">
        <f>"119,2950"</f>
        <v>119,2950</v>
      </c>
      <c r="K20" s="6" t="s">
        <v>32</v>
      </c>
    </row>
    <row r="21" spans="1:11" x14ac:dyDescent="0.2">
      <c r="A21" s="9" t="s">
        <v>205</v>
      </c>
      <c r="B21" s="9" t="s">
        <v>206</v>
      </c>
      <c r="C21" s="9" t="s">
        <v>207</v>
      </c>
      <c r="D21" s="9" t="s">
        <v>170</v>
      </c>
      <c r="E21" s="11" t="s">
        <v>172</v>
      </c>
      <c r="F21" s="11" t="s">
        <v>195</v>
      </c>
      <c r="G21" s="10"/>
      <c r="H21" s="10"/>
      <c r="I21" s="18" t="str">
        <f>"110,0"</f>
        <v>110,0</v>
      </c>
      <c r="J21" s="19" t="str">
        <f>"80,2230"</f>
        <v>80,2230</v>
      </c>
      <c r="K21" s="9" t="s">
        <v>173</v>
      </c>
    </row>
    <row r="23" spans="1:11" ht="15" x14ac:dyDescent="0.2">
      <c r="A23" s="43" t="s">
        <v>9</v>
      </c>
      <c r="B23" s="44"/>
      <c r="C23" s="44"/>
      <c r="D23" s="44"/>
      <c r="E23" s="44"/>
      <c r="F23" s="44"/>
      <c r="G23" s="44"/>
      <c r="H23" s="44"/>
    </row>
    <row r="24" spans="1:11" x14ac:dyDescent="0.2">
      <c r="A24" s="12" t="s">
        <v>208</v>
      </c>
      <c r="B24" s="12" t="s">
        <v>209</v>
      </c>
      <c r="C24" s="12" t="s">
        <v>210</v>
      </c>
      <c r="D24" s="12" t="s">
        <v>170</v>
      </c>
      <c r="E24" s="14" t="s">
        <v>16</v>
      </c>
      <c r="F24" s="14" t="s">
        <v>70</v>
      </c>
      <c r="G24" s="14" t="s">
        <v>81</v>
      </c>
      <c r="H24" s="13"/>
      <c r="I24" s="20" t="str">
        <f>"190,0"</f>
        <v>190,0</v>
      </c>
      <c r="J24" s="21" t="str">
        <f>"159,4290"</f>
        <v>159,4290</v>
      </c>
      <c r="K24" s="12" t="s">
        <v>32</v>
      </c>
    </row>
    <row r="26" spans="1:11" ht="15" x14ac:dyDescent="0.2">
      <c r="A26" s="43" t="s">
        <v>197</v>
      </c>
      <c r="B26" s="44"/>
      <c r="C26" s="44"/>
      <c r="D26" s="44"/>
      <c r="E26" s="44"/>
      <c r="F26" s="44"/>
      <c r="G26" s="44"/>
      <c r="H26" s="44"/>
    </row>
    <row r="27" spans="1:11" x14ac:dyDescent="0.2">
      <c r="A27" s="12" t="s">
        <v>211</v>
      </c>
      <c r="B27" s="12" t="s">
        <v>212</v>
      </c>
      <c r="C27" s="12" t="s">
        <v>213</v>
      </c>
      <c r="D27" s="12" t="s">
        <v>170</v>
      </c>
      <c r="E27" s="14" t="s">
        <v>86</v>
      </c>
      <c r="F27" s="13" t="s">
        <v>16</v>
      </c>
      <c r="G27" s="13" t="s">
        <v>16</v>
      </c>
      <c r="H27" s="13"/>
      <c r="I27" s="20" t="str">
        <f>"175,0"</f>
        <v>175,0</v>
      </c>
      <c r="J27" s="21" t="str">
        <f>"131,4950"</f>
        <v>131,4950</v>
      </c>
      <c r="K27" s="12" t="s">
        <v>173</v>
      </c>
    </row>
    <row r="29" spans="1:11" ht="15" x14ac:dyDescent="0.2">
      <c r="A29" s="43" t="s">
        <v>127</v>
      </c>
      <c r="B29" s="44"/>
      <c r="C29" s="44"/>
      <c r="D29" s="44"/>
      <c r="E29" s="44"/>
      <c r="F29" s="44"/>
      <c r="G29" s="44"/>
      <c r="H29" s="44"/>
    </row>
    <row r="30" spans="1:11" x14ac:dyDescent="0.2">
      <c r="A30" s="12" t="s">
        <v>214</v>
      </c>
      <c r="B30" s="12" t="s">
        <v>215</v>
      </c>
      <c r="C30" s="12" t="s">
        <v>216</v>
      </c>
      <c r="D30" s="12" t="s">
        <v>13</v>
      </c>
      <c r="E30" s="14" t="s">
        <v>81</v>
      </c>
      <c r="F30" s="14" t="s">
        <v>217</v>
      </c>
      <c r="G30" s="13" t="s">
        <v>131</v>
      </c>
      <c r="H30" s="13"/>
      <c r="I30" s="20" t="str">
        <f>"202,5"</f>
        <v>202,5</v>
      </c>
      <c r="J30" s="21" t="str">
        <f>"136,7280"</f>
        <v>136,7280</v>
      </c>
      <c r="K30" s="12" t="s">
        <v>218</v>
      </c>
    </row>
    <row r="32" spans="1:11" ht="15" x14ac:dyDescent="0.2">
      <c r="A32" s="43" t="s">
        <v>24</v>
      </c>
      <c r="B32" s="44"/>
      <c r="C32" s="44"/>
      <c r="D32" s="44"/>
      <c r="E32" s="44"/>
      <c r="F32" s="44"/>
      <c r="G32" s="44"/>
      <c r="H32" s="44"/>
    </row>
    <row r="33" spans="1:11" x14ac:dyDescent="0.2">
      <c r="A33" s="6" t="s">
        <v>219</v>
      </c>
      <c r="B33" s="6" t="s">
        <v>220</v>
      </c>
      <c r="C33" s="6" t="s">
        <v>221</v>
      </c>
      <c r="D33" s="6" t="s">
        <v>222</v>
      </c>
      <c r="E33" s="8" t="s">
        <v>16</v>
      </c>
      <c r="F33" s="8" t="s">
        <v>81</v>
      </c>
      <c r="G33" s="7" t="s">
        <v>82</v>
      </c>
      <c r="H33" s="7"/>
      <c r="I33" s="16" t="str">
        <f>"190,0"</f>
        <v>190,0</v>
      </c>
      <c r="J33" s="17" t="str">
        <f>"120,2510"</f>
        <v>120,2510</v>
      </c>
      <c r="K33" s="6" t="s">
        <v>223</v>
      </c>
    </row>
    <row r="34" spans="1:11" x14ac:dyDescent="0.2">
      <c r="A34" s="9" t="s">
        <v>224</v>
      </c>
      <c r="B34" s="9" t="s">
        <v>225</v>
      </c>
      <c r="C34" s="9" t="s">
        <v>226</v>
      </c>
      <c r="D34" s="9" t="s">
        <v>170</v>
      </c>
      <c r="E34" s="11" t="s">
        <v>125</v>
      </c>
      <c r="F34" s="11" t="s">
        <v>227</v>
      </c>
      <c r="G34" s="11" t="s">
        <v>52</v>
      </c>
      <c r="H34" s="10"/>
      <c r="I34" s="18" t="str">
        <f>"170,0"</f>
        <v>170,0</v>
      </c>
      <c r="J34" s="19" t="str">
        <f>"109,5140"</f>
        <v>109,5140</v>
      </c>
      <c r="K34" s="9" t="s">
        <v>173</v>
      </c>
    </row>
    <row r="36" spans="1:11" ht="15" x14ac:dyDescent="0.2">
      <c r="A36" s="43" t="s">
        <v>65</v>
      </c>
      <c r="B36" s="44"/>
      <c r="C36" s="44"/>
      <c r="D36" s="44"/>
      <c r="E36" s="44"/>
      <c r="F36" s="44"/>
      <c r="G36" s="44"/>
      <c r="H36" s="44"/>
    </row>
    <row r="37" spans="1:11" x14ac:dyDescent="0.2">
      <c r="A37" s="6" t="s">
        <v>228</v>
      </c>
      <c r="B37" s="6" t="s">
        <v>229</v>
      </c>
      <c r="C37" s="6" t="s">
        <v>230</v>
      </c>
      <c r="D37" s="6" t="s">
        <v>222</v>
      </c>
      <c r="E37" s="8" t="s">
        <v>75</v>
      </c>
      <c r="F37" s="7" t="s">
        <v>158</v>
      </c>
      <c r="G37" s="8" t="s">
        <v>158</v>
      </c>
      <c r="H37" s="7"/>
      <c r="I37" s="16" t="str">
        <f>"255,0"</f>
        <v>255,0</v>
      </c>
      <c r="J37" s="17" t="str">
        <f>"150,7050"</f>
        <v>150,7050</v>
      </c>
      <c r="K37" s="6" t="s">
        <v>223</v>
      </c>
    </row>
    <row r="38" spans="1:11" x14ac:dyDescent="0.2">
      <c r="A38" s="28" t="s">
        <v>231</v>
      </c>
      <c r="B38" s="28" t="s">
        <v>232</v>
      </c>
      <c r="C38" s="28" t="s">
        <v>233</v>
      </c>
      <c r="D38" s="28" t="s">
        <v>170</v>
      </c>
      <c r="E38" s="30" t="s">
        <v>234</v>
      </c>
      <c r="F38" s="30" t="s">
        <v>29</v>
      </c>
      <c r="G38" s="29" t="s">
        <v>158</v>
      </c>
      <c r="H38" s="29"/>
      <c r="I38" s="31" t="str">
        <f>"250,0"</f>
        <v>250,0</v>
      </c>
      <c r="J38" s="32" t="str">
        <f>"148,4750"</f>
        <v>148,4750</v>
      </c>
      <c r="K38" s="28" t="s">
        <v>173</v>
      </c>
    </row>
    <row r="39" spans="1:11" x14ac:dyDescent="0.2">
      <c r="A39" s="28" t="s">
        <v>235</v>
      </c>
      <c r="B39" s="28" t="s">
        <v>236</v>
      </c>
      <c r="C39" s="28" t="s">
        <v>237</v>
      </c>
      <c r="D39" s="28" t="s">
        <v>13</v>
      </c>
      <c r="E39" s="30" t="s">
        <v>238</v>
      </c>
      <c r="F39" s="30" t="s">
        <v>234</v>
      </c>
      <c r="G39" s="29" t="s">
        <v>29</v>
      </c>
      <c r="H39" s="29"/>
      <c r="I39" s="31" t="str">
        <f>"235,0"</f>
        <v>235,0</v>
      </c>
      <c r="J39" s="32" t="str">
        <f>"139,9660"</f>
        <v>139,9660</v>
      </c>
      <c r="K39" s="28" t="s">
        <v>32</v>
      </c>
    </row>
    <row r="40" spans="1:11" x14ac:dyDescent="0.2">
      <c r="A40" s="9" t="s">
        <v>239</v>
      </c>
      <c r="B40" s="9" t="s">
        <v>240</v>
      </c>
      <c r="C40" s="9" t="s">
        <v>237</v>
      </c>
      <c r="D40" s="9" t="s">
        <v>241</v>
      </c>
      <c r="E40" s="11" t="s">
        <v>131</v>
      </c>
      <c r="F40" s="11" t="s">
        <v>238</v>
      </c>
      <c r="G40" s="10" t="s">
        <v>38</v>
      </c>
      <c r="H40" s="10"/>
      <c r="I40" s="18" t="str">
        <f>"222,5"</f>
        <v>222,5</v>
      </c>
      <c r="J40" s="19" t="str">
        <f>"132,5210"</f>
        <v>132,5210</v>
      </c>
      <c r="K40" s="9" t="s">
        <v>32</v>
      </c>
    </row>
    <row r="42" spans="1:11" ht="15" x14ac:dyDescent="0.2">
      <c r="A42" s="43" t="s">
        <v>33</v>
      </c>
      <c r="B42" s="44"/>
      <c r="C42" s="44"/>
      <c r="D42" s="44"/>
      <c r="E42" s="44"/>
      <c r="F42" s="44"/>
      <c r="G42" s="44"/>
      <c r="H42" s="44"/>
    </row>
    <row r="43" spans="1:11" x14ac:dyDescent="0.2">
      <c r="A43" s="6" t="s">
        <v>242</v>
      </c>
      <c r="B43" s="6" t="s">
        <v>243</v>
      </c>
      <c r="C43" s="6" t="s">
        <v>74</v>
      </c>
      <c r="D43" s="6" t="s">
        <v>222</v>
      </c>
      <c r="E43" s="7" t="s">
        <v>75</v>
      </c>
      <c r="F43" s="8" t="s">
        <v>75</v>
      </c>
      <c r="G43" s="7" t="s">
        <v>158</v>
      </c>
      <c r="H43" s="7"/>
      <c r="I43" s="16" t="str">
        <f>"245,0"</f>
        <v>245,0</v>
      </c>
      <c r="J43" s="17" t="str">
        <f>"136,3425"</f>
        <v>136,3425</v>
      </c>
      <c r="K43" s="6" t="s">
        <v>32</v>
      </c>
    </row>
    <row r="44" spans="1:11" x14ac:dyDescent="0.2">
      <c r="A44" s="9" t="s">
        <v>244</v>
      </c>
      <c r="B44" s="9" t="s">
        <v>245</v>
      </c>
      <c r="C44" s="9" t="s">
        <v>246</v>
      </c>
      <c r="D44" s="9" t="s">
        <v>170</v>
      </c>
      <c r="E44" s="11" t="s">
        <v>82</v>
      </c>
      <c r="F44" s="10"/>
      <c r="G44" s="10"/>
      <c r="H44" s="10"/>
      <c r="I44" s="18" t="str">
        <f>"200,0"</f>
        <v>200,0</v>
      </c>
      <c r="J44" s="19" t="str">
        <f>"127,1670"</f>
        <v>127,1670</v>
      </c>
      <c r="K44" s="9" t="s">
        <v>32</v>
      </c>
    </row>
  </sheetData>
  <mergeCells count="20">
    <mergeCell ref="A1:A2"/>
    <mergeCell ref="B1:B2"/>
    <mergeCell ref="C1:C2"/>
    <mergeCell ref="D1:D2"/>
    <mergeCell ref="E1:H1"/>
    <mergeCell ref="A23:H23"/>
    <mergeCell ref="I1:I2"/>
    <mergeCell ref="J1:J2"/>
    <mergeCell ref="K1:K2"/>
    <mergeCell ref="A3:H3"/>
    <mergeCell ref="A6:H6"/>
    <mergeCell ref="A10:H10"/>
    <mergeCell ref="A13:H13"/>
    <mergeCell ref="A16:H16"/>
    <mergeCell ref="A19:H19"/>
    <mergeCell ref="A26:H26"/>
    <mergeCell ref="A29:H29"/>
    <mergeCell ref="A32:H32"/>
    <mergeCell ref="A36:H36"/>
    <mergeCell ref="A42:H4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6"/>
  <sheetViews>
    <sheetView topLeftCell="A2" workbookViewId="0">
      <selection activeCell="A12" sqref="A12"/>
    </sheetView>
  </sheetViews>
  <sheetFormatPr defaultRowHeight="12.75" x14ac:dyDescent="0.2"/>
  <cols>
    <col min="1" max="1" width="26" style="4" bestFit="1" customWidth="1"/>
    <col min="2" max="2" width="29.7109375" style="4" bestFit="1" customWidth="1"/>
    <col min="3" max="3" width="15.5703125" style="4" bestFit="1" customWidth="1"/>
    <col min="4" max="4" width="38.7109375" style="4" bestFit="1" customWidth="1"/>
    <col min="5" max="7" width="4.5703125" style="3" customWidth="1"/>
    <col min="8" max="8" width="4.85546875" style="3" customWidth="1"/>
    <col min="9" max="9" width="7.85546875" style="15" bestFit="1" customWidth="1"/>
    <col min="10" max="10" width="7.5703125" style="2" bestFit="1" customWidth="1"/>
    <col min="11" max="11" width="17.5703125" style="4" bestFit="1" customWidth="1"/>
    <col min="12" max="16384" width="9.140625" style="3"/>
  </cols>
  <sheetData>
    <row r="1" spans="1:11" s="2" customFormat="1" ht="29.1" customHeight="1" x14ac:dyDescent="0.2">
      <c r="A1" s="42" t="s">
        <v>408</v>
      </c>
      <c r="B1" s="36"/>
      <c r="C1" s="36"/>
      <c r="D1" s="36"/>
      <c r="E1" s="36"/>
      <c r="F1" s="36"/>
      <c r="G1" s="36"/>
      <c r="H1" s="36"/>
      <c r="I1" s="36"/>
      <c r="J1" s="36"/>
      <c r="K1" s="37"/>
    </row>
    <row r="2" spans="1:11" s="1" customFormat="1" ht="12.75" customHeight="1" x14ac:dyDescent="0.2">
      <c r="A2" s="38" t="s">
        <v>0</v>
      </c>
      <c r="B2" s="40" t="s">
        <v>5</v>
      </c>
      <c r="C2" s="40" t="s">
        <v>7</v>
      </c>
      <c r="D2" s="33" t="s">
        <v>6</v>
      </c>
      <c r="E2" s="33" t="s">
        <v>409</v>
      </c>
      <c r="F2" s="33"/>
      <c r="G2" s="33"/>
      <c r="H2" s="33"/>
      <c r="I2" s="33" t="s">
        <v>46</v>
      </c>
      <c r="J2" s="33" t="s">
        <v>3</v>
      </c>
      <c r="K2" s="34" t="s">
        <v>2</v>
      </c>
    </row>
    <row r="3" spans="1:11" s="1" customFormat="1" ht="21" customHeight="1" thickBot="1" x14ac:dyDescent="0.25">
      <c r="A3" s="39"/>
      <c r="B3" s="41"/>
      <c r="C3" s="41"/>
      <c r="D3" s="41"/>
      <c r="E3" s="5">
        <v>1</v>
      </c>
      <c r="F3" s="5">
        <v>2</v>
      </c>
      <c r="G3" s="5">
        <v>3</v>
      </c>
      <c r="H3" s="5" t="s">
        <v>4</v>
      </c>
      <c r="I3" s="41"/>
      <c r="J3" s="41"/>
      <c r="K3" s="35"/>
    </row>
    <row r="4" spans="1:11" ht="15" x14ac:dyDescent="0.2">
      <c r="A4" s="45" t="s">
        <v>9</v>
      </c>
      <c r="B4" s="46"/>
      <c r="C4" s="46"/>
      <c r="D4" s="46"/>
      <c r="E4" s="46"/>
      <c r="F4" s="46"/>
      <c r="G4" s="46"/>
      <c r="H4" s="46"/>
    </row>
    <row r="5" spans="1:11" x14ac:dyDescent="0.2">
      <c r="A5" s="12" t="s">
        <v>402</v>
      </c>
      <c r="B5" s="12" t="s">
        <v>403</v>
      </c>
      <c r="C5" s="12" t="s">
        <v>404</v>
      </c>
      <c r="D5" s="12" t="s">
        <v>170</v>
      </c>
      <c r="E5" s="14" t="s">
        <v>263</v>
      </c>
      <c r="F5" s="14" t="s">
        <v>369</v>
      </c>
      <c r="G5" s="13" t="s">
        <v>258</v>
      </c>
      <c r="H5" s="13"/>
      <c r="I5" s="20" t="str">
        <f>"50,0"</f>
        <v>50,0</v>
      </c>
      <c r="J5" s="21" t="str">
        <f>"40,8500"</f>
        <v>40,8500</v>
      </c>
      <c r="K5" s="12" t="s">
        <v>332</v>
      </c>
    </row>
    <row r="7" spans="1:11" ht="15" x14ac:dyDescent="0.2">
      <c r="A7" s="43" t="s">
        <v>127</v>
      </c>
      <c r="B7" s="44"/>
      <c r="C7" s="44"/>
      <c r="D7" s="44"/>
      <c r="E7" s="44"/>
      <c r="F7" s="44"/>
      <c r="G7" s="44"/>
      <c r="H7" s="44"/>
    </row>
    <row r="8" spans="1:11" x14ac:dyDescent="0.2">
      <c r="A8" s="6" t="s">
        <v>275</v>
      </c>
      <c r="B8" s="6" t="s">
        <v>276</v>
      </c>
      <c r="C8" s="6" t="s">
        <v>277</v>
      </c>
      <c r="D8" s="6" t="s">
        <v>170</v>
      </c>
      <c r="E8" s="8" t="s">
        <v>250</v>
      </c>
      <c r="F8" s="8" t="s">
        <v>369</v>
      </c>
      <c r="G8" s="7" t="s">
        <v>120</v>
      </c>
      <c r="H8" s="7"/>
      <c r="I8" s="16" t="str">
        <f>"50,0"</f>
        <v>50,0</v>
      </c>
      <c r="J8" s="17" t="str">
        <f>"34,4900"</f>
        <v>34,4900</v>
      </c>
      <c r="K8" s="6" t="s">
        <v>173</v>
      </c>
    </row>
    <row r="9" spans="1:11" x14ac:dyDescent="0.2">
      <c r="A9" s="9" t="s">
        <v>410</v>
      </c>
      <c r="B9" s="9" t="s">
        <v>411</v>
      </c>
      <c r="C9" s="9" t="s">
        <v>412</v>
      </c>
      <c r="D9" s="9" t="s">
        <v>21</v>
      </c>
      <c r="E9" s="11" t="s">
        <v>251</v>
      </c>
      <c r="F9" s="11" t="s">
        <v>369</v>
      </c>
      <c r="G9" s="10" t="s">
        <v>256</v>
      </c>
      <c r="H9" s="10"/>
      <c r="I9" s="18" t="str">
        <f>"50,0"</f>
        <v>50,0</v>
      </c>
      <c r="J9" s="19" t="str">
        <f>"35,7787"</f>
        <v>35,7787</v>
      </c>
      <c r="K9" s="9" t="s">
        <v>23</v>
      </c>
    </row>
    <row r="11" spans="1:11" ht="15" x14ac:dyDescent="0.2">
      <c r="A11" s="43" t="s">
        <v>24</v>
      </c>
      <c r="B11" s="44"/>
      <c r="C11" s="44"/>
      <c r="D11" s="44"/>
      <c r="E11" s="44"/>
      <c r="F11" s="44"/>
      <c r="G11" s="44"/>
      <c r="H11" s="44"/>
    </row>
    <row r="12" spans="1:11" x14ac:dyDescent="0.2">
      <c r="A12" s="12" t="s">
        <v>406</v>
      </c>
      <c r="B12" s="12" t="s">
        <v>407</v>
      </c>
      <c r="C12" s="12" t="s">
        <v>368</v>
      </c>
      <c r="D12" s="12" t="s">
        <v>170</v>
      </c>
      <c r="E12" s="14" t="s">
        <v>250</v>
      </c>
      <c r="F12" s="14" t="s">
        <v>369</v>
      </c>
      <c r="G12" s="14" t="s">
        <v>120</v>
      </c>
      <c r="H12" s="13"/>
      <c r="I12" s="20" t="str">
        <f>"60,0"</f>
        <v>60,0</v>
      </c>
      <c r="J12" s="21" t="str">
        <f>"37,5420"</f>
        <v>37,5420</v>
      </c>
      <c r="K12" s="12" t="s">
        <v>173</v>
      </c>
    </row>
    <row r="14" spans="1:11" ht="15" x14ac:dyDescent="0.2">
      <c r="A14" s="43" t="s">
        <v>33</v>
      </c>
      <c r="B14" s="44"/>
      <c r="C14" s="44"/>
      <c r="D14" s="44"/>
      <c r="E14" s="44"/>
      <c r="F14" s="44"/>
      <c r="G14" s="44"/>
      <c r="H14" s="44"/>
    </row>
    <row r="15" spans="1:11" x14ac:dyDescent="0.2">
      <c r="A15" s="6" t="s">
        <v>320</v>
      </c>
      <c r="B15" s="6" t="s">
        <v>321</v>
      </c>
      <c r="C15" s="6" t="s">
        <v>322</v>
      </c>
      <c r="D15" s="6" t="s">
        <v>170</v>
      </c>
      <c r="E15" s="8" t="s">
        <v>369</v>
      </c>
      <c r="F15" s="7" t="s">
        <v>120</v>
      </c>
      <c r="G15" s="7" t="s">
        <v>120</v>
      </c>
      <c r="H15" s="7"/>
      <c r="I15" s="16" t="str">
        <f>"50,0"</f>
        <v>50,0</v>
      </c>
      <c r="J15" s="17" t="str">
        <f>"29,0400"</f>
        <v>29,0400</v>
      </c>
      <c r="K15" s="6" t="s">
        <v>173</v>
      </c>
    </row>
    <row r="16" spans="1:11" x14ac:dyDescent="0.2">
      <c r="A16" s="9" t="s">
        <v>244</v>
      </c>
      <c r="B16" s="9" t="s">
        <v>245</v>
      </c>
      <c r="C16" s="9" t="s">
        <v>246</v>
      </c>
      <c r="D16" s="9" t="s">
        <v>170</v>
      </c>
      <c r="E16" s="11" t="s">
        <v>250</v>
      </c>
      <c r="F16" s="11" t="s">
        <v>369</v>
      </c>
      <c r="G16" s="11" t="s">
        <v>258</v>
      </c>
      <c r="H16" s="10"/>
      <c r="I16" s="18" t="str">
        <f>"55,0"</f>
        <v>55,0</v>
      </c>
      <c r="J16" s="19" t="str">
        <f>"34,9709"</f>
        <v>34,9709</v>
      </c>
      <c r="K16" s="9" t="s">
        <v>32</v>
      </c>
    </row>
  </sheetData>
  <mergeCells count="13">
    <mergeCell ref="K2:K3"/>
    <mergeCell ref="A4:H4"/>
    <mergeCell ref="A1:K1"/>
    <mergeCell ref="A2:A3"/>
    <mergeCell ref="B2:B3"/>
    <mergeCell ref="C2:C3"/>
    <mergeCell ref="D2:D3"/>
    <mergeCell ref="E2:H2"/>
    <mergeCell ref="A7:H7"/>
    <mergeCell ref="A11:H11"/>
    <mergeCell ref="A14:H14"/>
    <mergeCell ref="I2:I3"/>
    <mergeCell ref="J2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19"/>
  <sheetViews>
    <sheetView workbookViewId="0">
      <selection sqref="A1:A2"/>
    </sheetView>
  </sheetViews>
  <sheetFormatPr defaultRowHeight="12.75" x14ac:dyDescent="0.2"/>
  <cols>
    <col min="1" max="1" width="26" style="4" bestFit="1" customWidth="1"/>
    <col min="2" max="2" width="29.7109375" style="4" bestFit="1" customWidth="1"/>
    <col min="3" max="3" width="15.5703125" style="4" bestFit="1" customWidth="1"/>
    <col min="4" max="4" width="38.7109375" style="4" bestFit="1" customWidth="1"/>
    <col min="5" max="7" width="5.5703125" style="3" customWidth="1"/>
    <col min="8" max="8" width="4.85546875" style="3" customWidth="1"/>
    <col min="9" max="11" width="5.5703125" style="3" customWidth="1"/>
    <col min="12" max="12" width="4.85546875" style="3" customWidth="1"/>
    <col min="13" max="15" width="5.5703125" style="3" customWidth="1"/>
    <col min="16" max="16" width="4.85546875" style="3" customWidth="1"/>
    <col min="17" max="17" width="7.85546875" style="15" bestFit="1" customWidth="1"/>
    <col min="18" max="18" width="8.5703125" style="2" bestFit="1" customWidth="1"/>
    <col min="19" max="19" width="19.28515625" style="4" bestFit="1" customWidth="1"/>
    <col min="20" max="16384" width="9.140625" style="3"/>
  </cols>
  <sheetData>
    <row r="1" spans="1:19" s="1" customFormat="1" ht="12.75" customHeight="1" x14ac:dyDescent="0.2">
      <c r="A1" s="38" t="s">
        <v>0</v>
      </c>
      <c r="B1" s="40" t="s">
        <v>5</v>
      </c>
      <c r="C1" s="40" t="s">
        <v>7</v>
      </c>
      <c r="D1" s="33" t="s">
        <v>6</v>
      </c>
      <c r="E1" s="33" t="s">
        <v>113</v>
      </c>
      <c r="F1" s="33"/>
      <c r="G1" s="33"/>
      <c r="H1" s="33"/>
      <c r="I1" s="33" t="s">
        <v>47</v>
      </c>
      <c r="J1" s="33"/>
      <c r="K1" s="33"/>
      <c r="L1" s="33"/>
      <c r="M1" s="33" t="s">
        <v>8</v>
      </c>
      <c r="N1" s="33"/>
      <c r="O1" s="33"/>
      <c r="P1" s="33"/>
      <c r="Q1" s="33" t="s">
        <v>1</v>
      </c>
      <c r="R1" s="33" t="s">
        <v>3</v>
      </c>
      <c r="S1" s="34" t="s">
        <v>2</v>
      </c>
    </row>
    <row r="2" spans="1:19" s="1" customFormat="1" ht="21" customHeight="1" thickBot="1" x14ac:dyDescent="0.25">
      <c r="A2" s="39"/>
      <c r="B2" s="41"/>
      <c r="C2" s="41"/>
      <c r="D2" s="41"/>
      <c r="E2" s="5">
        <v>1</v>
      </c>
      <c r="F2" s="5">
        <v>2</v>
      </c>
      <c r="G2" s="5">
        <v>3</v>
      </c>
      <c r="H2" s="5" t="s">
        <v>4</v>
      </c>
      <c r="I2" s="5">
        <v>1</v>
      </c>
      <c r="J2" s="5">
        <v>2</v>
      </c>
      <c r="K2" s="5">
        <v>3</v>
      </c>
      <c r="L2" s="5" t="s">
        <v>4</v>
      </c>
      <c r="M2" s="5">
        <v>1</v>
      </c>
      <c r="N2" s="5">
        <v>2</v>
      </c>
      <c r="O2" s="5">
        <v>3</v>
      </c>
      <c r="P2" s="5" t="s">
        <v>4</v>
      </c>
      <c r="Q2" s="41"/>
      <c r="R2" s="41"/>
      <c r="S2" s="35"/>
    </row>
    <row r="3" spans="1:19" ht="15" x14ac:dyDescent="0.2">
      <c r="A3" s="45" t="s">
        <v>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1:19" x14ac:dyDescent="0.2">
      <c r="A4" s="6" t="s">
        <v>10</v>
      </c>
      <c r="B4" s="6" t="s">
        <v>11</v>
      </c>
      <c r="C4" s="6" t="s">
        <v>12</v>
      </c>
      <c r="D4" s="6" t="s">
        <v>13</v>
      </c>
      <c r="E4" s="8" t="s">
        <v>114</v>
      </c>
      <c r="F4" s="8" t="s">
        <v>115</v>
      </c>
      <c r="G4" s="7" t="s">
        <v>51</v>
      </c>
      <c r="H4" s="7"/>
      <c r="I4" s="8" t="s">
        <v>48</v>
      </c>
      <c r="J4" s="8" t="s">
        <v>49</v>
      </c>
      <c r="K4" s="7" t="s">
        <v>50</v>
      </c>
      <c r="L4" s="7"/>
      <c r="M4" s="8" t="s">
        <v>14</v>
      </c>
      <c r="N4" s="8" t="s">
        <v>15</v>
      </c>
      <c r="O4" s="8" t="s">
        <v>16</v>
      </c>
      <c r="P4" s="7"/>
      <c r="Q4" s="16" t="str">
        <f>"420,0"</f>
        <v>420,0</v>
      </c>
      <c r="R4" s="17" t="str">
        <f>"366,4500"</f>
        <v>366,4500</v>
      </c>
      <c r="S4" s="6" t="s">
        <v>17</v>
      </c>
    </row>
    <row r="5" spans="1:19" x14ac:dyDescent="0.2">
      <c r="A5" s="9" t="s">
        <v>116</v>
      </c>
      <c r="B5" s="9" t="s">
        <v>117</v>
      </c>
      <c r="C5" s="9" t="s">
        <v>118</v>
      </c>
      <c r="D5" s="9" t="s">
        <v>13</v>
      </c>
      <c r="E5" s="11" t="s">
        <v>119</v>
      </c>
      <c r="F5" s="10" t="s">
        <v>114</v>
      </c>
      <c r="G5" s="10" t="s">
        <v>114</v>
      </c>
      <c r="H5" s="10"/>
      <c r="I5" s="11" t="s">
        <v>120</v>
      </c>
      <c r="J5" s="11" t="s">
        <v>121</v>
      </c>
      <c r="K5" s="11" t="s">
        <v>122</v>
      </c>
      <c r="L5" s="10"/>
      <c r="M5" s="11" t="s">
        <v>123</v>
      </c>
      <c r="N5" s="11" t="s">
        <v>124</v>
      </c>
      <c r="O5" s="11" t="s">
        <v>125</v>
      </c>
      <c r="P5" s="10"/>
      <c r="Q5" s="18" t="str">
        <f>"337,5"</f>
        <v>337,5</v>
      </c>
      <c r="R5" s="19" t="str">
        <f>"294,9075"</f>
        <v>294,9075</v>
      </c>
      <c r="S5" s="9" t="s">
        <v>126</v>
      </c>
    </row>
    <row r="7" spans="1:19" ht="15" x14ac:dyDescent="0.2">
      <c r="A7" s="43" t="s">
        <v>127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1:19" x14ac:dyDescent="0.2">
      <c r="A8" s="12" t="s">
        <v>128</v>
      </c>
      <c r="B8" s="12" t="s">
        <v>129</v>
      </c>
      <c r="C8" s="12" t="s">
        <v>130</v>
      </c>
      <c r="D8" s="12" t="s">
        <v>13</v>
      </c>
      <c r="E8" s="13" t="s">
        <v>82</v>
      </c>
      <c r="F8" s="14" t="s">
        <v>82</v>
      </c>
      <c r="G8" s="13"/>
      <c r="H8" s="13"/>
      <c r="I8" s="14" t="s">
        <v>124</v>
      </c>
      <c r="J8" s="13" t="s">
        <v>125</v>
      </c>
      <c r="K8" s="14" t="s">
        <v>125</v>
      </c>
      <c r="L8" s="13"/>
      <c r="M8" s="14" t="s">
        <v>131</v>
      </c>
      <c r="N8" s="14" t="s">
        <v>37</v>
      </c>
      <c r="O8" s="13" t="s">
        <v>38</v>
      </c>
      <c r="P8" s="13"/>
      <c r="Q8" s="20" t="str">
        <f>"560,0"</f>
        <v>560,0</v>
      </c>
      <c r="R8" s="21" t="str">
        <f>"376,8800"</f>
        <v>376,8800</v>
      </c>
      <c r="S8" s="12" t="s">
        <v>132</v>
      </c>
    </row>
    <row r="10" spans="1:19" ht="15" x14ac:dyDescent="0.2">
      <c r="A10" s="43" t="s">
        <v>33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</row>
    <row r="11" spans="1:19" x14ac:dyDescent="0.2">
      <c r="A11" s="6" t="s">
        <v>133</v>
      </c>
      <c r="B11" s="6" t="s">
        <v>134</v>
      </c>
      <c r="C11" s="6" t="s">
        <v>135</v>
      </c>
      <c r="D11" s="6" t="s">
        <v>136</v>
      </c>
      <c r="E11" s="8" t="s">
        <v>16</v>
      </c>
      <c r="F11" s="8" t="s">
        <v>112</v>
      </c>
      <c r="G11" s="7" t="s">
        <v>37</v>
      </c>
      <c r="H11" s="7"/>
      <c r="I11" s="8" t="s">
        <v>114</v>
      </c>
      <c r="J11" s="8" t="s">
        <v>137</v>
      </c>
      <c r="K11" s="7" t="s">
        <v>61</v>
      </c>
      <c r="L11" s="7"/>
      <c r="M11" s="8" t="s">
        <v>16</v>
      </c>
      <c r="N11" s="8" t="s">
        <v>82</v>
      </c>
      <c r="O11" s="7" t="s">
        <v>131</v>
      </c>
      <c r="P11" s="7"/>
      <c r="Q11" s="16" t="str">
        <f>"547,5"</f>
        <v>547,5</v>
      </c>
      <c r="R11" s="17" t="str">
        <f>"304,1362"</f>
        <v>304,1362</v>
      </c>
      <c r="S11" s="6" t="s">
        <v>138</v>
      </c>
    </row>
    <row r="12" spans="1:19" x14ac:dyDescent="0.2">
      <c r="A12" s="28" t="s">
        <v>139</v>
      </c>
      <c r="B12" s="28" t="s">
        <v>140</v>
      </c>
      <c r="C12" s="28" t="s">
        <v>141</v>
      </c>
      <c r="D12" s="28" t="s">
        <v>136</v>
      </c>
      <c r="E12" s="30" t="s">
        <v>16</v>
      </c>
      <c r="F12" s="29" t="s">
        <v>112</v>
      </c>
      <c r="G12" s="29" t="s">
        <v>37</v>
      </c>
      <c r="H12" s="29"/>
      <c r="I12" s="30" t="s">
        <v>124</v>
      </c>
      <c r="J12" s="30" t="s">
        <v>125</v>
      </c>
      <c r="K12" s="29" t="s">
        <v>115</v>
      </c>
      <c r="L12" s="29"/>
      <c r="M12" s="30" t="s">
        <v>16</v>
      </c>
      <c r="N12" s="30" t="s">
        <v>81</v>
      </c>
      <c r="O12" s="29" t="s">
        <v>82</v>
      </c>
      <c r="P12" s="29"/>
      <c r="Q12" s="31" t="str">
        <f>"510,0"</f>
        <v>510,0</v>
      </c>
      <c r="R12" s="32" t="str">
        <f>"292,2300"</f>
        <v>292,2300</v>
      </c>
      <c r="S12" s="28" t="s">
        <v>138</v>
      </c>
    </row>
    <row r="13" spans="1:19" x14ac:dyDescent="0.2">
      <c r="A13" s="9" t="s">
        <v>142</v>
      </c>
      <c r="B13" s="9" t="s">
        <v>143</v>
      </c>
      <c r="C13" s="9" t="s">
        <v>80</v>
      </c>
      <c r="D13" s="9" t="s">
        <v>13</v>
      </c>
      <c r="E13" s="11" t="s">
        <v>144</v>
      </c>
      <c r="F13" s="10" t="s">
        <v>145</v>
      </c>
      <c r="G13" s="10" t="s">
        <v>145</v>
      </c>
      <c r="H13" s="10"/>
      <c r="I13" s="10" t="s">
        <v>52</v>
      </c>
      <c r="J13" s="11" t="s">
        <v>52</v>
      </c>
      <c r="K13" s="10"/>
      <c r="L13" s="10"/>
      <c r="M13" s="11" t="s">
        <v>29</v>
      </c>
      <c r="N13" s="11" t="s">
        <v>30</v>
      </c>
      <c r="O13" s="10" t="s">
        <v>144</v>
      </c>
      <c r="P13" s="10"/>
      <c r="Q13" s="18" t="str">
        <f>"700,0"</f>
        <v>700,0</v>
      </c>
      <c r="R13" s="19" t="str">
        <f>"388,1500"</f>
        <v>388,1500</v>
      </c>
      <c r="S13" s="9" t="s">
        <v>32</v>
      </c>
    </row>
    <row r="15" spans="1:19" ht="15" x14ac:dyDescent="0.2">
      <c r="A15" s="43" t="s">
        <v>41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</row>
    <row r="16" spans="1:19" x14ac:dyDescent="0.2">
      <c r="A16" s="6" t="s">
        <v>146</v>
      </c>
      <c r="B16" s="6" t="s">
        <v>147</v>
      </c>
      <c r="C16" s="6" t="s">
        <v>148</v>
      </c>
      <c r="D16" s="6" t="s">
        <v>13</v>
      </c>
      <c r="E16" s="8" t="s">
        <v>149</v>
      </c>
      <c r="F16" s="8" t="s">
        <v>150</v>
      </c>
      <c r="G16" s="8" t="s">
        <v>151</v>
      </c>
      <c r="H16" s="7"/>
      <c r="I16" s="8" t="s">
        <v>52</v>
      </c>
      <c r="J16" s="8" t="s">
        <v>152</v>
      </c>
      <c r="K16" s="7" t="s">
        <v>16</v>
      </c>
      <c r="L16" s="7"/>
      <c r="M16" s="8" t="s">
        <v>153</v>
      </c>
      <c r="N16" s="8" t="s">
        <v>154</v>
      </c>
      <c r="O16" s="7" t="s">
        <v>155</v>
      </c>
      <c r="P16" s="7"/>
      <c r="Q16" s="16" t="str">
        <f>"847,5"</f>
        <v>847,5</v>
      </c>
      <c r="R16" s="17" t="str">
        <f>"456,8872"</f>
        <v>456,8872</v>
      </c>
      <c r="S16" s="6" t="s">
        <v>156</v>
      </c>
    </row>
    <row r="17" spans="1:19" x14ac:dyDescent="0.2">
      <c r="A17" s="28" t="s">
        <v>157</v>
      </c>
      <c r="B17" s="28" t="s">
        <v>43</v>
      </c>
      <c r="C17" s="28" t="s">
        <v>44</v>
      </c>
      <c r="D17" s="28" t="s">
        <v>21</v>
      </c>
      <c r="E17" s="30" t="s">
        <v>75</v>
      </c>
      <c r="F17" s="30" t="s">
        <v>158</v>
      </c>
      <c r="G17" s="30" t="s">
        <v>144</v>
      </c>
      <c r="H17" s="29"/>
      <c r="I17" s="30" t="s">
        <v>86</v>
      </c>
      <c r="J17" s="30" t="s">
        <v>97</v>
      </c>
      <c r="K17" s="29" t="s">
        <v>71</v>
      </c>
      <c r="L17" s="29"/>
      <c r="M17" s="30" t="s">
        <v>45</v>
      </c>
      <c r="N17" s="30" t="s">
        <v>159</v>
      </c>
      <c r="O17" s="30" t="s">
        <v>160</v>
      </c>
      <c r="P17" s="29"/>
      <c r="Q17" s="31" t="str">
        <f>"735,0"</f>
        <v>735,0</v>
      </c>
      <c r="R17" s="32" t="str">
        <f>"400,5750"</f>
        <v>400,5750</v>
      </c>
      <c r="S17" s="28" t="s">
        <v>32</v>
      </c>
    </row>
    <row r="18" spans="1:19" x14ac:dyDescent="0.2">
      <c r="A18" s="28" t="s">
        <v>161</v>
      </c>
      <c r="B18" s="28" t="s">
        <v>162</v>
      </c>
      <c r="C18" s="28" t="s">
        <v>163</v>
      </c>
      <c r="D18" s="28" t="s">
        <v>13</v>
      </c>
      <c r="E18" s="29" t="s">
        <v>75</v>
      </c>
      <c r="F18" s="29" t="s">
        <v>29</v>
      </c>
      <c r="G18" s="30" t="s">
        <v>29</v>
      </c>
      <c r="H18" s="29"/>
      <c r="I18" s="30" t="s">
        <v>51</v>
      </c>
      <c r="J18" s="30" t="s">
        <v>57</v>
      </c>
      <c r="K18" s="30" t="s">
        <v>52</v>
      </c>
      <c r="L18" s="29"/>
      <c r="M18" s="29" t="s">
        <v>39</v>
      </c>
      <c r="N18" s="30" t="s">
        <v>39</v>
      </c>
      <c r="O18" s="30" t="s">
        <v>29</v>
      </c>
      <c r="P18" s="29"/>
      <c r="Q18" s="31" t="str">
        <f>"670,0"</f>
        <v>670,0</v>
      </c>
      <c r="R18" s="32" t="str">
        <f>"359,8570"</f>
        <v>359,8570</v>
      </c>
      <c r="S18" s="28" t="s">
        <v>32</v>
      </c>
    </row>
    <row r="19" spans="1:19" x14ac:dyDescent="0.2">
      <c r="A19" s="9" t="s">
        <v>164</v>
      </c>
      <c r="B19" s="9" t="s">
        <v>165</v>
      </c>
      <c r="C19" s="9" t="s">
        <v>163</v>
      </c>
      <c r="D19" s="9" t="s">
        <v>13</v>
      </c>
      <c r="E19" s="10" t="s">
        <v>75</v>
      </c>
      <c r="F19" s="10" t="s">
        <v>29</v>
      </c>
      <c r="G19" s="11" t="s">
        <v>29</v>
      </c>
      <c r="H19" s="10"/>
      <c r="I19" s="11" t="s">
        <v>51</v>
      </c>
      <c r="J19" s="11" t="s">
        <v>57</v>
      </c>
      <c r="K19" s="11" t="s">
        <v>52</v>
      </c>
      <c r="L19" s="10"/>
      <c r="M19" s="10" t="s">
        <v>39</v>
      </c>
      <c r="N19" s="11" t="s">
        <v>39</v>
      </c>
      <c r="O19" s="11" t="s">
        <v>29</v>
      </c>
      <c r="P19" s="10"/>
      <c r="Q19" s="18" t="str">
        <f>"670,0"</f>
        <v>670,0</v>
      </c>
      <c r="R19" s="19" t="str">
        <f>"532,5884"</f>
        <v>532,5884</v>
      </c>
      <c r="S19" s="9" t="s">
        <v>32</v>
      </c>
    </row>
  </sheetData>
  <mergeCells count="14">
    <mergeCell ref="S1:S2"/>
    <mergeCell ref="A3:P3"/>
    <mergeCell ref="A1:A2"/>
    <mergeCell ref="B1:B2"/>
    <mergeCell ref="C1:C2"/>
    <mergeCell ref="D1:D2"/>
    <mergeCell ref="E1:H1"/>
    <mergeCell ref="I1:L1"/>
    <mergeCell ref="M1:P1"/>
    <mergeCell ref="A7:P7"/>
    <mergeCell ref="A10:P10"/>
    <mergeCell ref="A15:P15"/>
    <mergeCell ref="Q1:Q2"/>
    <mergeCell ref="R1:R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K29"/>
  <sheetViews>
    <sheetView workbookViewId="0">
      <selection activeCell="K29" sqref="K29"/>
    </sheetView>
  </sheetViews>
  <sheetFormatPr defaultRowHeight="12.75" x14ac:dyDescent="0.2"/>
  <cols>
    <col min="1" max="1" width="26" style="4" bestFit="1" customWidth="1"/>
    <col min="2" max="2" width="29.7109375" style="4" bestFit="1" customWidth="1"/>
    <col min="3" max="3" width="15.5703125" style="4" bestFit="1" customWidth="1"/>
    <col min="4" max="4" width="38.7109375" style="4" bestFit="1" customWidth="1"/>
    <col min="5" max="7" width="5.5703125" style="3" customWidth="1"/>
    <col min="8" max="8" width="4.85546875" style="3" customWidth="1"/>
    <col min="9" max="9" width="7.85546875" style="15" bestFit="1" customWidth="1"/>
    <col min="10" max="10" width="8.5703125" style="2" bestFit="1" customWidth="1"/>
    <col min="11" max="11" width="18.85546875" style="4" bestFit="1" customWidth="1"/>
    <col min="12" max="16384" width="9.140625" style="3"/>
  </cols>
  <sheetData>
    <row r="1" spans="1:11" s="1" customFormat="1" ht="12.75" customHeight="1" x14ac:dyDescent="0.2">
      <c r="A1" s="38" t="s">
        <v>0</v>
      </c>
      <c r="B1" s="40" t="s">
        <v>5</v>
      </c>
      <c r="C1" s="40" t="s">
        <v>7</v>
      </c>
      <c r="D1" s="33" t="s">
        <v>6</v>
      </c>
      <c r="E1" s="33" t="s">
        <v>47</v>
      </c>
      <c r="F1" s="33"/>
      <c r="G1" s="33"/>
      <c r="H1" s="33"/>
      <c r="I1" s="33" t="s">
        <v>46</v>
      </c>
      <c r="J1" s="33" t="s">
        <v>3</v>
      </c>
      <c r="K1" s="34" t="s">
        <v>2</v>
      </c>
    </row>
    <row r="2" spans="1:11" s="1" customFormat="1" ht="21" customHeight="1" thickBot="1" x14ac:dyDescent="0.25">
      <c r="A2" s="39"/>
      <c r="B2" s="41"/>
      <c r="C2" s="41"/>
      <c r="D2" s="41"/>
      <c r="E2" s="5">
        <v>1</v>
      </c>
      <c r="F2" s="5">
        <v>2</v>
      </c>
      <c r="G2" s="5">
        <v>3</v>
      </c>
      <c r="H2" s="5" t="s">
        <v>4</v>
      </c>
      <c r="I2" s="41"/>
      <c r="J2" s="41"/>
      <c r="K2" s="35"/>
    </row>
    <row r="3" spans="1:11" ht="15" x14ac:dyDescent="0.2">
      <c r="A3" s="45" t="s">
        <v>9</v>
      </c>
      <c r="B3" s="46"/>
      <c r="C3" s="46"/>
      <c r="D3" s="46"/>
      <c r="E3" s="46"/>
      <c r="F3" s="46"/>
      <c r="G3" s="46"/>
      <c r="H3" s="46"/>
    </row>
    <row r="4" spans="1:11" x14ac:dyDescent="0.2">
      <c r="A4" s="12" t="s">
        <v>10</v>
      </c>
      <c r="B4" s="12" t="s">
        <v>11</v>
      </c>
      <c r="C4" s="12" t="s">
        <v>12</v>
      </c>
      <c r="D4" s="12" t="s">
        <v>13</v>
      </c>
      <c r="E4" s="14" t="s">
        <v>48</v>
      </c>
      <c r="F4" s="14" t="s">
        <v>49</v>
      </c>
      <c r="G4" s="13" t="s">
        <v>50</v>
      </c>
      <c r="H4" s="13"/>
      <c r="I4" s="20" t="str">
        <f>"95,0"</f>
        <v>95,0</v>
      </c>
      <c r="J4" s="21" t="str">
        <f>"82,8875"</f>
        <v>82,8875</v>
      </c>
      <c r="K4" s="12" t="s">
        <v>17</v>
      </c>
    </row>
    <row r="6" spans="1:11" ht="15" x14ac:dyDescent="0.2">
      <c r="A6" s="43" t="s">
        <v>24</v>
      </c>
      <c r="B6" s="44"/>
      <c r="C6" s="44"/>
      <c r="D6" s="44"/>
      <c r="E6" s="44"/>
      <c r="F6" s="44"/>
      <c r="G6" s="44"/>
      <c r="H6" s="44"/>
    </row>
    <row r="7" spans="1:11" x14ac:dyDescent="0.2">
      <c r="A7" s="6" t="s">
        <v>25</v>
      </c>
      <c r="B7" s="6" t="s">
        <v>26</v>
      </c>
      <c r="C7" s="6" t="s">
        <v>27</v>
      </c>
      <c r="D7" s="6" t="s">
        <v>28</v>
      </c>
      <c r="E7" s="8" t="s">
        <v>51</v>
      </c>
      <c r="F7" s="8" t="s">
        <v>14</v>
      </c>
      <c r="G7" s="7" t="s">
        <v>52</v>
      </c>
      <c r="H7" s="7"/>
      <c r="I7" s="16" t="str">
        <f>"165,0"</f>
        <v>165,0</v>
      </c>
      <c r="J7" s="17" t="str">
        <f>"103,1415"</f>
        <v>103,1415</v>
      </c>
      <c r="K7" s="6" t="s">
        <v>32</v>
      </c>
    </row>
    <row r="8" spans="1:11" x14ac:dyDescent="0.2">
      <c r="A8" s="28" t="s">
        <v>53</v>
      </c>
      <c r="B8" s="28" t="s">
        <v>54</v>
      </c>
      <c r="C8" s="28" t="s">
        <v>55</v>
      </c>
      <c r="D8" s="28" t="s">
        <v>56</v>
      </c>
      <c r="E8" s="30" t="s">
        <v>51</v>
      </c>
      <c r="F8" s="30" t="s">
        <v>57</v>
      </c>
      <c r="G8" s="29" t="s">
        <v>14</v>
      </c>
      <c r="H8" s="29"/>
      <c r="I8" s="31" t="str">
        <f>"160,0"</f>
        <v>160,0</v>
      </c>
      <c r="J8" s="32" t="str">
        <f>"103,7760"</f>
        <v>103,7760</v>
      </c>
      <c r="K8" s="28" t="s">
        <v>32</v>
      </c>
    </row>
    <row r="9" spans="1:11" x14ac:dyDescent="0.2">
      <c r="A9" s="28" t="s">
        <v>58</v>
      </c>
      <c r="B9" s="28" t="s">
        <v>59</v>
      </c>
      <c r="C9" s="28" t="s">
        <v>60</v>
      </c>
      <c r="D9" s="28" t="s">
        <v>13</v>
      </c>
      <c r="E9" s="29" t="s">
        <v>61</v>
      </c>
      <c r="F9" s="29" t="s">
        <v>61</v>
      </c>
      <c r="G9" s="29" t="s">
        <v>61</v>
      </c>
      <c r="H9" s="29"/>
      <c r="I9" s="31" t="str">
        <f>"0.00"</f>
        <v>0.00</v>
      </c>
      <c r="J9" s="32" t="str">
        <f>"0,0000"</f>
        <v>0,0000</v>
      </c>
      <c r="K9" s="28" t="s">
        <v>62</v>
      </c>
    </row>
    <row r="10" spans="1:11" x14ac:dyDescent="0.2">
      <c r="A10" s="9" t="s">
        <v>63</v>
      </c>
      <c r="B10" s="9" t="s">
        <v>64</v>
      </c>
      <c r="C10" s="9" t="s">
        <v>55</v>
      </c>
      <c r="D10" s="9" t="s">
        <v>56</v>
      </c>
      <c r="E10" s="11" t="s">
        <v>51</v>
      </c>
      <c r="F10" s="11" t="s">
        <v>57</v>
      </c>
      <c r="G10" s="10" t="s">
        <v>14</v>
      </c>
      <c r="H10" s="10"/>
      <c r="I10" s="18" t="str">
        <f>"160,0"</f>
        <v>160,0</v>
      </c>
      <c r="J10" s="19" t="str">
        <f>"113,3234"</f>
        <v>113,3234</v>
      </c>
      <c r="K10" s="9" t="s">
        <v>32</v>
      </c>
    </row>
    <row r="12" spans="1:11" ht="15" x14ac:dyDescent="0.2">
      <c r="A12" s="43" t="s">
        <v>65</v>
      </c>
      <c r="B12" s="44"/>
      <c r="C12" s="44"/>
      <c r="D12" s="44"/>
      <c r="E12" s="44"/>
      <c r="F12" s="44"/>
      <c r="G12" s="44"/>
      <c r="H12" s="44"/>
    </row>
    <row r="13" spans="1:11" x14ac:dyDescent="0.2">
      <c r="A13" s="12" t="s">
        <v>66</v>
      </c>
      <c r="B13" s="12" t="s">
        <v>67</v>
      </c>
      <c r="C13" s="12" t="s">
        <v>68</v>
      </c>
      <c r="D13" s="12" t="s">
        <v>69</v>
      </c>
      <c r="E13" s="14" t="s">
        <v>16</v>
      </c>
      <c r="F13" s="14" t="s">
        <v>70</v>
      </c>
      <c r="G13" s="13" t="s">
        <v>71</v>
      </c>
      <c r="H13" s="13"/>
      <c r="I13" s="20" t="str">
        <f>"187,5"</f>
        <v>187,5</v>
      </c>
      <c r="J13" s="21" t="str">
        <f>"112,1625"</f>
        <v>112,1625</v>
      </c>
      <c r="K13" s="12" t="s">
        <v>32</v>
      </c>
    </row>
    <row r="15" spans="1:11" ht="15" x14ac:dyDescent="0.2">
      <c r="A15" s="43" t="s">
        <v>33</v>
      </c>
      <c r="B15" s="44"/>
      <c r="C15" s="44"/>
      <c r="D15" s="44"/>
      <c r="E15" s="44"/>
      <c r="F15" s="44"/>
      <c r="G15" s="44"/>
      <c r="H15" s="44"/>
    </row>
    <row r="16" spans="1:11" x14ac:dyDescent="0.2">
      <c r="A16" s="6" t="s">
        <v>72</v>
      </c>
      <c r="B16" s="6" t="s">
        <v>73</v>
      </c>
      <c r="C16" s="6" t="s">
        <v>74</v>
      </c>
      <c r="D16" s="6" t="s">
        <v>13</v>
      </c>
      <c r="E16" s="8" t="s">
        <v>39</v>
      </c>
      <c r="F16" s="8" t="s">
        <v>75</v>
      </c>
      <c r="G16" s="7" t="s">
        <v>76</v>
      </c>
      <c r="H16" s="7"/>
      <c r="I16" s="16" t="str">
        <f>"245,0"</f>
        <v>245,0</v>
      </c>
      <c r="J16" s="17" t="str">
        <f>"136,3425"</f>
        <v>136,3425</v>
      </c>
      <c r="K16" s="6" t="s">
        <v>77</v>
      </c>
    </row>
    <row r="17" spans="1:11" x14ac:dyDescent="0.2">
      <c r="A17" s="28" t="s">
        <v>78</v>
      </c>
      <c r="B17" s="28" t="s">
        <v>79</v>
      </c>
      <c r="C17" s="28" t="s">
        <v>80</v>
      </c>
      <c r="D17" s="28" t="s">
        <v>13</v>
      </c>
      <c r="E17" s="30" t="s">
        <v>81</v>
      </c>
      <c r="F17" s="29" t="s">
        <v>82</v>
      </c>
      <c r="G17" s="29" t="s">
        <v>82</v>
      </c>
      <c r="H17" s="29"/>
      <c r="I17" s="31" t="str">
        <f>"190,0"</f>
        <v>190,0</v>
      </c>
      <c r="J17" s="32" t="str">
        <f>"105,3550"</f>
        <v>105,3550</v>
      </c>
      <c r="K17" s="28" t="s">
        <v>32</v>
      </c>
    </row>
    <row r="18" spans="1:11" x14ac:dyDescent="0.2">
      <c r="A18" s="28" t="s">
        <v>83</v>
      </c>
      <c r="B18" s="28" t="s">
        <v>84</v>
      </c>
      <c r="C18" s="28" t="s">
        <v>85</v>
      </c>
      <c r="D18" s="28" t="s">
        <v>13</v>
      </c>
      <c r="E18" s="30" t="s">
        <v>86</v>
      </c>
      <c r="F18" s="29" t="s">
        <v>81</v>
      </c>
      <c r="G18" s="29" t="s">
        <v>81</v>
      </c>
      <c r="H18" s="29"/>
      <c r="I18" s="31" t="str">
        <f>"175,0"</f>
        <v>175,0</v>
      </c>
      <c r="J18" s="32" t="str">
        <f>"98,6300"</f>
        <v>98,6300</v>
      </c>
      <c r="K18" s="28" t="s">
        <v>32</v>
      </c>
    </row>
    <row r="19" spans="1:11" x14ac:dyDescent="0.2">
      <c r="A19" s="28" t="s">
        <v>87</v>
      </c>
      <c r="B19" s="28" t="s">
        <v>88</v>
      </c>
      <c r="C19" s="28" t="s">
        <v>89</v>
      </c>
      <c r="D19" s="28" t="s">
        <v>13</v>
      </c>
      <c r="E19" s="30" t="s">
        <v>86</v>
      </c>
      <c r="F19" s="29" t="s">
        <v>90</v>
      </c>
      <c r="G19" s="29"/>
      <c r="H19" s="29"/>
      <c r="I19" s="31" t="str">
        <f>"175,0"</f>
        <v>175,0</v>
      </c>
      <c r="J19" s="32" t="str">
        <f>"97,0025"</f>
        <v>97,0025</v>
      </c>
      <c r="K19" s="28" t="s">
        <v>32</v>
      </c>
    </row>
    <row r="20" spans="1:11" x14ac:dyDescent="0.2">
      <c r="A20" s="28" t="s">
        <v>72</v>
      </c>
      <c r="B20" s="28" t="s">
        <v>91</v>
      </c>
      <c r="C20" s="28" t="s">
        <v>74</v>
      </c>
      <c r="D20" s="28" t="s">
        <v>13</v>
      </c>
      <c r="E20" s="30" t="s">
        <v>39</v>
      </c>
      <c r="F20" s="30" t="s">
        <v>75</v>
      </c>
      <c r="G20" s="29" t="s">
        <v>76</v>
      </c>
      <c r="H20" s="29"/>
      <c r="I20" s="31" t="str">
        <f>"245,0"</f>
        <v>245,0</v>
      </c>
      <c r="J20" s="32" t="str">
        <f>"136,7515"</f>
        <v>136,7515</v>
      </c>
      <c r="K20" s="28" t="s">
        <v>77</v>
      </c>
    </row>
    <row r="21" spans="1:11" x14ac:dyDescent="0.2">
      <c r="A21" s="9" t="s">
        <v>92</v>
      </c>
      <c r="B21" s="9" t="s">
        <v>93</v>
      </c>
      <c r="C21" s="9" t="s">
        <v>94</v>
      </c>
      <c r="D21" s="9" t="s">
        <v>13</v>
      </c>
      <c r="E21" s="10" t="s">
        <v>90</v>
      </c>
      <c r="F21" s="10"/>
      <c r="G21" s="10"/>
      <c r="H21" s="10"/>
      <c r="I21" s="18" t="str">
        <f>"0.00"</f>
        <v>0.00</v>
      </c>
      <c r="J21" s="19"/>
      <c r="K21" s="9" t="s">
        <v>95</v>
      </c>
    </row>
    <row r="23" spans="1:11" ht="15" x14ac:dyDescent="0.2">
      <c r="A23" s="43" t="s">
        <v>41</v>
      </c>
      <c r="B23" s="44"/>
      <c r="C23" s="44"/>
      <c r="D23" s="44"/>
      <c r="E23" s="44"/>
      <c r="F23" s="44"/>
      <c r="G23" s="44"/>
      <c r="H23" s="44"/>
    </row>
    <row r="24" spans="1:11" x14ac:dyDescent="0.2">
      <c r="A24" s="6" t="s">
        <v>96</v>
      </c>
      <c r="B24" s="6" t="s">
        <v>43</v>
      </c>
      <c r="C24" s="6" t="s">
        <v>44</v>
      </c>
      <c r="D24" s="6" t="s">
        <v>21</v>
      </c>
      <c r="E24" s="8" t="s">
        <v>86</v>
      </c>
      <c r="F24" s="8" t="s">
        <v>97</v>
      </c>
      <c r="G24" s="7" t="s">
        <v>71</v>
      </c>
      <c r="H24" s="7"/>
      <c r="I24" s="16" t="str">
        <f>"185,0"</f>
        <v>185,0</v>
      </c>
      <c r="J24" s="17" t="str">
        <f>"100,8250"</f>
        <v>100,8250</v>
      </c>
      <c r="K24" s="6" t="s">
        <v>32</v>
      </c>
    </row>
    <row r="25" spans="1:11" x14ac:dyDescent="0.2">
      <c r="A25" s="9" t="s">
        <v>98</v>
      </c>
      <c r="B25" s="9" t="s">
        <v>99</v>
      </c>
      <c r="C25" s="9" t="s">
        <v>100</v>
      </c>
      <c r="D25" s="9" t="s">
        <v>13</v>
      </c>
      <c r="E25" s="11" t="s">
        <v>57</v>
      </c>
      <c r="F25" s="10" t="s">
        <v>52</v>
      </c>
      <c r="G25" s="10" t="s">
        <v>52</v>
      </c>
      <c r="H25" s="10"/>
      <c r="I25" s="18" t="str">
        <f>"160,0"</f>
        <v>160,0</v>
      </c>
      <c r="J25" s="19" t="str">
        <f>"86,0160"</f>
        <v>86,0160</v>
      </c>
      <c r="K25" s="9" t="s">
        <v>101</v>
      </c>
    </row>
    <row r="27" spans="1:11" ht="15" x14ac:dyDescent="0.2">
      <c r="A27" s="43" t="s">
        <v>102</v>
      </c>
      <c r="B27" s="44"/>
      <c r="C27" s="44"/>
      <c r="D27" s="44"/>
      <c r="E27" s="44"/>
      <c r="F27" s="44"/>
      <c r="G27" s="44"/>
      <c r="H27" s="44"/>
    </row>
    <row r="28" spans="1:11" x14ac:dyDescent="0.2">
      <c r="A28" s="6" t="s">
        <v>103</v>
      </c>
      <c r="B28" s="6" t="s">
        <v>104</v>
      </c>
      <c r="C28" s="6" t="s">
        <v>105</v>
      </c>
      <c r="D28" s="6" t="s">
        <v>13</v>
      </c>
      <c r="E28" s="8" t="s">
        <v>16</v>
      </c>
      <c r="F28" s="8" t="s">
        <v>81</v>
      </c>
      <c r="G28" s="7" t="s">
        <v>106</v>
      </c>
      <c r="H28" s="7"/>
      <c r="I28" s="16" t="str">
        <f>"190,0"</f>
        <v>190,0</v>
      </c>
      <c r="J28" s="17" t="str">
        <f>"101,5550"</f>
        <v>101,5550</v>
      </c>
      <c r="K28" s="6" t="s">
        <v>107</v>
      </c>
    </row>
    <row r="29" spans="1:11" x14ac:dyDescent="0.2">
      <c r="A29" s="9" t="s">
        <v>108</v>
      </c>
      <c r="B29" s="9" t="s">
        <v>109</v>
      </c>
      <c r="C29" s="9" t="s">
        <v>110</v>
      </c>
      <c r="D29" s="9" t="s">
        <v>21</v>
      </c>
      <c r="E29" s="11" t="s">
        <v>111</v>
      </c>
      <c r="F29" s="10" t="s">
        <v>112</v>
      </c>
      <c r="G29" s="11" t="s">
        <v>112</v>
      </c>
      <c r="H29" s="10"/>
      <c r="I29" s="18" t="str">
        <f>"205,0"</f>
        <v>205,0</v>
      </c>
      <c r="J29" s="19" t="str">
        <f>"162,7438"</f>
        <v>162,7438</v>
      </c>
      <c r="K29" s="9"/>
    </row>
  </sheetData>
  <mergeCells count="14">
    <mergeCell ref="I1:I2"/>
    <mergeCell ref="J1:J2"/>
    <mergeCell ref="K1:K2"/>
    <mergeCell ref="A3:H3"/>
    <mergeCell ref="A1:A2"/>
    <mergeCell ref="B1:B2"/>
    <mergeCell ref="C1:C2"/>
    <mergeCell ref="D1:D2"/>
    <mergeCell ref="E1:H1"/>
    <mergeCell ref="A6:H6"/>
    <mergeCell ref="A12:H12"/>
    <mergeCell ref="A15:H15"/>
    <mergeCell ref="A23:H23"/>
    <mergeCell ref="A27:H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AWPA pl raw</vt:lpstr>
      <vt:lpstr>AWPA pl std</vt:lpstr>
      <vt:lpstr>AWPA sq raw</vt:lpstr>
      <vt:lpstr>AWPA bp oh</vt:lpstr>
      <vt:lpstr>AWPA bp raw</vt:lpstr>
      <vt:lpstr>AWPA dl raw</vt:lpstr>
      <vt:lpstr>AWPA SC</vt:lpstr>
      <vt:lpstr>WPA pl raw</vt:lpstr>
      <vt:lpstr>WPA bp raw</vt:lpstr>
      <vt:lpstr>WPA dl raw</vt:lpstr>
      <vt:lpstr>WPA bp oh</vt:lpstr>
      <vt:lpstr>WPA SC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Pete Kravtsov</cp:lastModifiedBy>
  <cp:lastPrinted>2015-07-16T19:10:53Z</cp:lastPrinted>
  <dcterms:created xsi:type="dcterms:W3CDTF">2002-06-16T13:36:44Z</dcterms:created>
  <dcterms:modified xsi:type="dcterms:W3CDTF">2021-12-09T16:12:44Z</dcterms:modified>
</cp:coreProperties>
</file>