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Декабрь/"/>
    </mc:Choice>
  </mc:AlternateContent>
  <xr:revisionPtr revIDLastSave="0" documentId="13_ncr:1_{01AE5A95-80DA-3A4F-8945-49D8BEA0830B}" xr6:coauthVersionLast="45" xr6:coauthVersionMax="45" xr10:uidLastSave="{00000000-0000-0000-0000-000000000000}"/>
  <bookViews>
    <workbookView xWindow="480" yWindow="460" windowWidth="28320" windowHeight="16000" firstSheet="15" activeTab="17" xr2:uid="{00000000-000D-0000-FFFF-FFFF00000000}"/>
  </bookViews>
  <sheets>
    <sheet name="WRPF ПЛ без экипировки ДК" sheetId="7" r:id="rId1"/>
    <sheet name="WRPF ПЛ без экипировки" sheetId="6" r:id="rId2"/>
    <sheet name="WRPF ПЛ в бинтах" sheetId="5" r:id="rId3"/>
    <sheet name="WRPF Двоеборье без экип ДК" sheetId="19" r:id="rId4"/>
    <sheet name="WRPF Двоеборье без экип" sheetId="18" r:id="rId5"/>
    <sheet name="WRPF Жим лежа без экип ДК" sheetId="10" r:id="rId6"/>
    <sheet name="WRPF Жим лежа без экип" sheetId="9" r:id="rId7"/>
    <sheet name="WEPF Жим однослой ДК" sheetId="13" r:id="rId8"/>
    <sheet name="WEPF Жим однослой" sheetId="12" r:id="rId9"/>
    <sheet name="WEPF Жим софт однопетельная ДК" sheetId="11" r:id="rId10"/>
    <sheet name="WEPF Жим софт однопетельная" sheetId="8" r:id="rId11"/>
    <sheet name="WEPF Жим софт многопетельнаяДК" sheetId="15" r:id="rId12"/>
    <sheet name="WEPF Жим софт многопетельная" sheetId="14" r:id="rId13"/>
    <sheet name="WRPF Жим СФО" sheetId="52" r:id="rId14"/>
    <sheet name="WRPF Тяга без экипировки ДК" sheetId="17" r:id="rId15"/>
    <sheet name="WRPF Тяга без экипировки" sheetId="16" r:id="rId16"/>
    <sheet name="WRPF Подъем на бицепс" sheetId="23" r:id="rId17"/>
    <sheet name="ФЖД Любители ДК жим на макс." sheetId="30" r:id="rId18"/>
    <sheet name="ФЖД Армейский жим на макс" sheetId="32" r:id="rId19"/>
    <sheet name="ФЖД Военный жим на макс." sheetId="31" r:id="rId20"/>
  </sheets>
  <definedNames>
    <definedName name="_FilterDatabase" localSheetId="2" hidden="1">'WRPF ПЛ в бинтах'!$A$1:$S$3</definedName>
  </definedNames>
  <calcPr calcId="125725" calcCompleted="0"/>
</workbook>
</file>

<file path=xl/calcChain.xml><?xml version="1.0" encoding="utf-8"?>
<calcChain xmlns="http://schemas.openxmlformats.org/spreadsheetml/2006/main">
  <c r="L6" i="52" l="1"/>
  <c r="K6" i="52"/>
  <c r="L9" i="32"/>
  <c r="K9" i="32"/>
  <c r="L6" i="32"/>
  <c r="K6" i="32"/>
  <c r="L6" i="31"/>
  <c r="K6" i="31"/>
  <c r="L6" i="30"/>
  <c r="K6" i="30"/>
  <c r="L19" i="23"/>
  <c r="K19" i="23"/>
  <c r="L16" i="23"/>
  <c r="K16" i="23"/>
  <c r="L13" i="23"/>
  <c r="K13" i="23"/>
  <c r="L12" i="23"/>
  <c r="K12" i="23"/>
  <c r="L9" i="23"/>
  <c r="K9" i="23"/>
  <c r="L6" i="23"/>
  <c r="K6" i="23"/>
  <c r="P25" i="19"/>
  <c r="O25" i="19"/>
  <c r="P22" i="19"/>
  <c r="O22" i="19"/>
  <c r="P19" i="19"/>
  <c r="P16" i="19"/>
  <c r="P13" i="19"/>
  <c r="O13" i="19"/>
  <c r="P12" i="19"/>
  <c r="O12" i="19"/>
  <c r="P9" i="19"/>
  <c r="O9" i="19"/>
  <c r="P6" i="19"/>
  <c r="O6" i="19"/>
  <c r="P14" i="18"/>
  <c r="P13" i="18"/>
  <c r="O13" i="18"/>
  <c r="P12" i="18"/>
  <c r="O12" i="18"/>
  <c r="P9" i="18"/>
  <c r="O9" i="18"/>
  <c r="P6" i="18"/>
  <c r="O6" i="18"/>
  <c r="L31" i="17"/>
  <c r="K31" i="17"/>
  <c r="L28" i="17"/>
  <c r="K28" i="17"/>
  <c r="L25" i="17"/>
  <c r="K25" i="17"/>
  <c r="L24" i="17"/>
  <c r="K24" i="17"/>
  <c r="L21" i="17"/>
  <c r="K21" i="17"/>
  <c r="L20" i="17"/>
  <c r="K20" i="17"/>
  <c r="L19" i="17"/>
  <c r="K19" i="17"/>
  <c r="L16" i="17"/>
  <c r="K16" i="17"/>
  <c r="L15" i="17"/>
  <c r="K15" i="17"/>
  <c r="L12" i="17"/>
  <c r="K12" i="17"/>
  <c r="L9" i="17"/>
  <c r="K9" i="17"/>
  <c r="L8" i="17"/>
  <c r="K8" i="17"/>
  <c r="L7" i="17"/>
  <c r="K7" i="17"/>
  <c r="L6" i="17"/>
  <c r="K6" i="17"/>
  <c r="L15" i="16"/>
  <c r="K15" i="16"/>
  <c r="L14" i="16"/>
  <c r="K14" i="16"/>
  <c r="L13" i="16"/>
  <c r="K13" i="16"/>
  <c r="L10" i="16"/>
  <c r="K10" i="16"/>
  <c r="L9" i="16"/>
  <c r="K9" i="16"/>
  <c r="L6" i="16"/>
  <c r="K6" i="16"/>
  <c r="L7" i="15"/>
  <c r="K7" i="15"/>
  <c r="L6" i="15"/>
  <c r="K6" i="15"/>
  <c r="L10" i="14"/>
  <c r="K10" i="14"/>
  <c r="L7" i="14"/>
  <c r="K7" i="14"/>
  <c r="L6" i="14"/>
  <c r="K6" i="14"/>
  <c r="L9" i="13"/>
  <c r="K9" i="13"/>
  <c r="L6" i="13"/>
  <c r="K6" i="13"/>
  <c r="L6" i="12"/>
  <c r="K6" i="12"/>
  <c r="L37" i="11"/>
  <c r="K37" i="11"/>
  <c r="L36" i="11"/>
  <c r="K36" i="11"/>
  <c r="L33" i="11"/>
  <c r="K33" i="11"/>
  <c r="L32" i="11"/>
  <c r="K32" i="11"/>
  <c r="L29" i="11"/>
  <c r="L26" i="11"/>
  <c r="K26" i="11"/>
  <c r="L25" i="11"/>
  <c r="L22" i="11"/>
  <c r="K22" i="11"/>
  <c r="L21" i="11"/>
  <c r="K21" i="11"/>
  <c r="L18" i="11"/>
  <c r="K18" i="11"/>
  <c r="L15" i="11"/>
  <c r="K15" i="11"/>
  <c r="L12" i="11"/>
  <c r="K12" i="11"/>
  <c r="L11" i="11"/>
  <c r="K11" i="11"/>
  <c r="L8" i="11"/>
  <c r="K8" i="11"/>
  <c r="L7" i="11"/>
  <c r="K7" i="11"/>
  <c r="L6" i="11"/>
  <c r="K6" i="11"/>
  <c r="L71" i="10"/>
  <c r="K71" i="10"/>
  <c r="L68" i="10"/>
  <c r="K68" i="10"/>
  <c r="L67" i="10"/>
  <c r="K67" i="10"/>
  <c r="L66" i="10"/>
  <c r="K66" i="10"/>
  <c r="L65" i="10"/>
  <c r="K65" i="10"/>
  <c r="L62" i="10"/>
  <c r="K62" i="10"/>
  <c r="L61" i="10"/>
  <c r="K61" i="10"/>
  <c r="L60" i="10"/>
  <c r="K60" i="10"/>
  <c r="L57" i="10"/>
  <c r="K57" i="10"/>
  <c r="L56" i="10"/>
  <c r="K56" i="10"/>
  <c r="L55" i="10"/>
  <c r="K55" i="10"/>
  <c r="L54" i="10"/>
  <c r="K54" i="10"/>
  <c r="L51" i="10"/>
  <c r="K51" i="10"/>
  <c r="L50" i="10"/>
  <c r="K50" i="10"/>
  <c r="L49" i="10"/>
  <c r="K49" i="10"/>
  <c r="L48" i="10"/>
  <c r="K48" i="10"/>
  <c r="L47" i="10"/>
  <c r="K47" i="10"/>
  <c r="L46" i="10"/>
  <c r="K46" i="10"/>
  <c r="L45" i="10"/>
  <c r="K45" i="10"/>
  <c r="L42" i="10"/>
  <c r="K42" i="10"/>
  <c r="L41" i="10"/>
  <c r="K41" i="10"/>
  <c r="L40" i="10"/>
  <c r="K40" i="10"/>
  <c r="L39" i="10"/>
  <c r="K39" i="10"/>
  <c r="L38" i="10"/>
  <c r="K38" i="10"/>
  <c r="L37" i="10"/>
  <c r="K37" i="10"/>
  <c r="L36" i="10"/>
  <c r="K36" i="10"/>
  <c r="L35" i="10"/>
  <c r="K35" i="10"/>
  <c r="L32" i="10"/>
  <c r="K32" i="10"/>
  <c r="L31" i="10"/>
  <c r="K31" i="10"/>
  <c r="L28" i="10"/>
  <c r="K28" i="10"/>
  <c r="L25" i="10"/>
  <c r="K25" i="10"/>
  <c r="L22" i="10"/>
  <c r="K22" i="10"/>
  <c r="L21" i="10"/>
  <c r="K21" i="10"/>
  <c r="L18" i="10"/>
  <c r="K18" i="10"/>
  <c r="L15" i="10"/>
  <c r="K15" i="10"/>
  <c r="L12" i="10"/>
  <c r="K12" i="10"/>
  <c r="L11" i="10"/>
  <c r="K11" i="10"/>
  <c r="L10" i="10"/>
  <c r="K10" i="10"/>
  <c r="L7" i="10"/>
  <c r="K7" i="10"/>
  <c r="L6" i="10"/>
  <c r="K6" i="10"/>
  <c r="L48" i="9"/>
  <c r="K48" i="9"/>
  <c r="L45" i="9"/>
  <c r="K45" i="9"/>
  <c r="L44" i="9"/>
  <c r="K44" i="9"/>
  <c r="L43" i="9"/>
  <c r="K43" i="9"/>
  <c r="L42" i="9"/>
  <c r="K42" i="9"/>
  <c r="L41" i="9"/>
  <c r="K41" i="9"/>
  <c r="L40" i="9"/>
  <c r="K40" i="9"/>
  <c r="L39" i="9"/>
  <c r="K39" i="9"/>
  <c r="L36" i="9"/>
  <c r="K36" i="9"/>
  <c r="L35" i="9"/>
  <c r="K35" i="9"/>
  <c r="L32" i="9"/>
  <c r="K32" i="9"/>
  <c r="L31" i="9"/>
  <c r="K31" i="9"/>
  <c r="L30" i="9"/>
  <c r="K30" i="9"/>
  <c r="L27" i="9"/>
  <c r="L26" i="9"/>
  <c r="K26" i="9"/>
  <c r="L23" i="9"/>
  <c r="K23" i="9"/>
  <c r="L22" i="9"/>
  <c r="K22" i="9"/>
  <c r="L21" i="9"/>
  <c r="K21" i="9"/>
  <c r="L20" i="9"/>
  <c r="K20" i="9"/>
  <c r="L19" i="9"/>
  <c r="K19" i="9"/>
  <c r="L16" i="9"/>
  <c r="K16" i="9"/>
  <c r="L13" i="9"/>
  <c r="K13" i="9"/>
  <c r="L12" i="9"/>
  <c r="K12" i="9"/>
  <c r="L9" i="9"/>
  <c r="K9" i="9"/>
  <c r="L6" i="9"/>
  <c r="K6" i="9"/>
  <c r="L25" i="8"/>
  <c r="K25" i="8"/>
  <c r="L22" i="8"/>
  <c r="K22" i="8"/>
  <c r="L21" i="8"/>
  <c r="K21" i="8"/>
  <c r="L20" i="8"/>
  <c r="K20" i="8"/>
  <c r="L17" i="8"/>
  <c r="K17" i="8"/>
  <c r="L14" i="8"/>
  <c r="K14" i="8"/>
  <c r="L13" i="8"/>
  <c r="K13" i="8"/>
  <c r="L10" i="8"/>
  <c r="K10" i="8"/>
  <c r="L7" i="8"/>
  <c r="K7" i="8"/>
  <c r="L6" i="8"/>
  <c r="K6" i="8"/>
  <c r="T31" i="7"/>
  <c r="S31" i="7"/>
  <c r="T30" i="7"/>
  <c r="S30" i="7"/>
  <c r="T27" i="7"/>
  <c r="S27" i="7"/>
  <c r="T24" i="7"/>
  <c r="S24" i="7"/>
  <c r="T23" i="7"/>
  <c r="S23" i="7"/>
  <c r="T22" i="7"/>
  <c r="S22" i="7"/>
  <c r="T19" i="7"/>
  <c r="S19" i="7"/>
  <c r="T18" i="7"/>
  <c r="S18" i="7"/>
  <c r="T17" i="7"/>
  <c r="S17" i="7"/>
  <c r="T16" i="7"/>
  <c r="S16" i="7"/>
  <c r="T13" i="7"/>
  <c r="S13" i="7"/>
  <c r="T10" i="7"/>
  <c r="S10" i="7"/>
  <c r="T7" i="7"/>
  <c r="T6" i="7"/>
  <c r="S6" i="7"/>
  <c r="T20" i="6"/>
  <c r="S20" i="6"/>
  <c r="T17" i="6"/>
  <c r="S17" i="6"/>
  <c r="T14" i="6"/>
  <c r="S14" i="6"/>
  <c r="T13" i="6"/>
  <c r="S13" i="6"/>
  <c r="T12" i="6"/>
  <c r="S12" i="6"/>
  <c r="T9" i="6"/>
  <c r="S9" i="6"/>
  <c r="T6" i="6"/>
  <c r="S6" i="6"/>
  <c r="T13" i="5"/>
  <c r="S13" i="5"/>
  <c r="T10" i="5"/>
  <c r="S10" i="5"/>
  <c r="T9" i="5"/>
  <c r="S9" i="5"/>
  <c r="T6" i="5"/>
  <c r="S6" i="5"/>
</calcChain>
</file>

<file path=xl/sharedStrings.xml><?xml version="1.0" encoding="utf-8"?>
<sst xmlns="http://schemas.openxmlformats.org/spreadsheetml/2006/main" count="2274" uniqueCount="629">
  <si>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</si>
  <si>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</si>
  <si>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</si>
  <si>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</si>
  <si>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</si>
  <si>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</si>
  <si>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</si>
  <si>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>Приседание</t>
  </si>
  <si>
    <t>Жим лёжа</t>
  </si>
  <si>
    <t>Становая тяга</t>
  </si>
  <si>
    <t>ВЕСОВАЯ КАТЕГОРИЯ   90</t>
  </si>
  <si>
    <t>Шарапов Андрей</t>
  </si>
  <si>
    <t>Мастера 40-49 (25.11.1978)/43</t>
  </si>
  <si>
    <t>89,60</t>
  </si>
  <si>
    <t>280,0</t>
  </si>
  <si>
    <t>295,0</t>
  </si>
  <si>
    <t>160,0</t>
  </si>
  <si>
    <t>170,0</t>
  </si>
  <si>
    <t>175,0</t>
  </si>
  <si>
    <t>270,0</t>
  </si>
  <si>
    <t>285,0</t>
  </si>
  <si>
    <t>ВЕСОВАЯ КАТЕГОРИЯ   100</t>
  </si>
  <si>
    <t>Клещерев Игорь</t>
  </si>
  <si>
    <t>Открытая (17.03.1992)/29</t>
  </si>
  <si>
    <t>97,50</t>
  </si>
  <si>
    <t>200,0</t>
  </si>
  <si>
    <t>212,5</t>
  </si>
  <si>
    <t>225,0</t>
  </si>
  <si>
    <t>137,5</t>
  </si>
  <si>
    <t>142,5</t>
  </si>
  <si>
    <t>147,5</t>
  </si>
  <si>
    <t>190,0</t>
  </si>
  <si>
    <t>207,5</t>
  </si>
  <si>
    <t>Потехин Игорь</t>
  </si>
  <si>
    <t>Мастера 50-59 (25.05.1969)/52</t>
  </si>
  <si>
    <t>99,80</t>
  </si>
  <si>
    <t>120,0</t>
  </si>
  <si>
    <t>135,0</t>
  </si>
  <si>
    <t>150,0</t>
  </si>
  <si>
    <t>100,0</t>
  </si>
  <si>
    <t>110,0</t>
  </si>
  <si>
    <t>140,0</t>
  </si>
  <si>
    <t>ВЕСОВАЯ КАТЕГОРИЯ   110</t>
  </si>
  <si>
    <t>Тарасов Дмитрий</t>
  </si>
  <si>
    <t>Открытая (21.12.1981)/39</t>
  </si>
  <si>
    <t>109,80</t>
  </si>
  <si>
    <t>290,0</t>
  </si>
  <si>
    <t>300,0</t>
  </si>
  <si>
    <t>180,0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</si>
  <si>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</si>
  <si>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</si>
  <si>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</si>
  <si>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</si>
  <si>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</si>
  <si>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</si>
  <si>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</si>
  <si>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</si>
  <si>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 xml:space="preserve">Мастера </t>
  </si>
  <si>
    <t xml:space="preserve">Мастера 40-49 </t>
  </si>
  <si>
    <t>90</t>
  </si>
  <si>
    <t>1</t>
  </si>
  <si>
    <t/>
  </si>
  <si>
    <t>ВЕСОВАЯ КАТЕГОРИЯ   67.5</t>
  </si>
  <si>
    <t>Курносова Юлия</t>
  </si>
  <si>
    <t>Открытая (09.01.1988)/33</t>
  </si>
  <si>
    <t>66,30</t>
  </si>
  <si>
    <t>60,0</t>
  </si>
  <si>
    <t>62,5</t>
  </si>
  <si>
    <t>65,0</t>
  </si>
  <si>
    <t>35,0</t>
  </si>
  <si>
    <t>37,5</t>
  </si>
  <si>
    <t>40,0</t>
  </si>
  <si>
    <t>70,0</t>
  </si>
  <si>
    <t>75,0</t>
  </si>
  <si>
    <t>80,0</t>
  </si>
  <si>
    <t>Степанов Владимир</t>
  </si>
  <si>
    <t>Открытая (27.10.1994)/27</t>
  </si>
  <si>
    <t>67,50</t>
  </si>
  <si>
    <t>152,5</t>
  </si>
  <si>
    <t>165,0</t>
  </si>
  <si>
    <t>172,5</t>
  </si>
  <si>
    <t>107,5</t>
  </si>
  <si>
    <t>112,5</t>
  </si>
  <si>
    <t>182,5</t>
  </si>
  <si>
    <t>187,5</t>
  </si>
  <si>
    <t xml:space="preserve">Продан С. </t>
  </si>
  <si>
    <t>Чичкин Сергей</t>
  </si>
  <si>
    <t>Открытая (15.07.1992)/29</t>
  </si>
  <si>
    <t>89,00</t>
  </si>
  <si>
    <t>232,5</t>
  </si>
  <si>
    <t>235,0</t>
  </si>
  <si>
    <t>155,0</t>
  </si>
  <si>
    <t>260,0</t>
  </si>
  <si>
    <t>272,5</t>
  </si>
  <si>
    <t>Тибейкин Дмитрий</t>
  </si>
  <si>
    <t>Открытая (08.07.1984)/37</t>
  </si>
  <si>
    <t>88,10</t>
  </si>
  <si>
    <t>220,0</t>
  </si>
  <si>
    <t>230,0</t>
  </si>
  <si>
    <t>240,0</t>
  </si>
  <si>
    <t>167,5</t>
  </si>
  <si>
    <t>242,5</t>
  </si>
  <si>
    <t>250,0</t>
  </si>
  <si>
    <t>Ковалев Максим</t>
  </si>
  <si>
    <t>Открытая (07.02.1995)/26</t>
  </si>
  <si>
    <t>87,40</t>
  </si>
  <si>
    <t>217,5</t>
  </si>
  <si>
    <t>245,0</t>
  </si>
  <si>
    <t>255,0</t>
  </si>
  <si>
    <t>Зайцев Владимир</t>
  </si>
  <si>
    <t>Мастера 70-79 (02.11.1949)/72</t>
  </si>
  <si>
    <t>99,90</t>
  </si>
  <si>
    <t>105,0</t>
  </si>
  <si>
    <t>115,0</t>
  </si>
  <si>
    <t>125,0</t>
  </si>
  <si>
    <t>85,0</t>
  </si>
  <si>
    <t>95,0</t>
  </si>
  <si>
    <t>Вацуро Дмитрий</t>
  </si>
  <si>
    <t>Открытая (26.01.1986)/35</t>
  </si>
  <si>
    <t>108,50</t>
  </si>
  <si>
    <t>117,5</t>
  </si>
  <si>
    <t>185,0</t>
  </si>
  <si>
    <t>2</t>
  </si>
  <si>
    <t>3</t>
  </si>
  <si>
    <t>ВЕСОВАЯ КАТЕГОРИЯ   56</t>
  </si>
  <si>
    <t>Бурочкина Мария</t>
  </si>
  <si>
    <t>Открытая (24.02.1990)/31</t>
  </si>
  <si>
    <t>56,00</t>
  </si>
  <si>
    <t>50,0</t>
  </si>
  <si>
    <t>55,0</t>
  </si>
  <si>
    <t>Найденова Евгения</t>
  </si>
  <si>
    <t>Открытая (07.12.1985)/36</t>
  </si>
  <si>
    <t>55,60</t>
  </si>
  <si>
    <t>92,5</t>
  </si>
  <si>
    <t>45,0</t>
  </si>
  <si>
    <t>90,0</t>
  </si>
  <si>
    <t>Потемкина Анастасия</t>
  </si>
  <si>
    <t>Открытая (19.12.1994)/26</t>
  </si>
  <si>
    <t>66,10</t>
  </si>
  <si>
    <t>ВЕСОВАЯ КАТЕГОРИЯ   82.5</t>
  </si>
  <si>
    <t>Чиркова Елена</t>
  </si>
  <si>
    <t>Открытая (16.05.1989)/32</t>
  </si>
  <si>
    <t>81,20</t>
  </si>
  <si>
    <t>52,5</t>
  </si>
  <si>
    <t>ВЕСОВАЯ КАТЕГОРИЯ   75</t>
  </si>
  <si>
    <t>Алтунин Николай</t>
  </si>
  <si>
    <t>Открытая (24.07.1977)/44</t>
  </si>
  <si>
    <t>73,80</t>
  </si>
  <si>
    <t>130,0</t>
  </si>
  <si>
    <t>227,5</t>
  </si>
  <si>
    <t>Кравченко Сергей</t>
  </si>
  <si>
    <t>Открытая (21.08.1991)/30</t>
  </si>
  <si>
    <t>74,10</t>
  </si>
  <si>
    <t>195,0</t>
  </si>
  <si>
    <t>202,5</t>
  </si>
  <si>
    <t xml:space="preserve">Климанов Я. </t>
  </si>
  <si>
    <t>Коркин Владислав</t>
  </si>
  <si>
    <t>Открытая (23.12.1993)/27</t>
  </si>
  <si>
    <t>74,70</t>
  </si>
  <si>
    <t>205,0</t>
  </si>
  <si>
    <t>215,0</t>
  </si>
  <si>
    <t>Лопатин Виталий</t>
  </si>
  <si>
    <t>Открытая (28.02.1996)/25</t>
  </si>
  <si>
    <t>69,00</t>
  </si>
  <si>
    <t>Дементьев Илья</t>
  </si>
  <si>
    <t>Юноши 14-16 (02.08.2005)/16</t>
  </si>
  <si>
    <t>78,30</t>
  </si>
  <si>
    <t>Чернявский Вадим</t>
  </si>
  <si>
    <t>Юниоры (04.08.1998)/23</t>
  </si>
  <si>
    <t>80,60</t>
  </si>
  <si>
    <t xml:space="preserve">Егорова О. </t>
  </si>
  <si>
    <t>Кузнецов Павел</t>
  </si>
  <si>
    <t>Открытая (11.01.1989)/32</t>
  </si>
  <si>
    <t>80,90</t>
  </si>
  <si>
    <t>Тресков Виктор</t>
  </si>
  <si>
    <t>Открытая (06.01.1971)/50</t>
  </si>
  <si>
    <t>98,00</t>
  </si>
  <si>
    <t>210,0</t>
  </si>
  <si>
    <t>ВЕСОВАЯ КАТЕГОРИЯ   125</t>
  </si>
  <si>
    <t>Таркин Александр</t>
  </si>
  <si>
    <t>Открытая (17.03.1983)/38</t>
  </si>
  <si>
    <t>119,20</t>
  </si>
  <si>
    <t>Крыцков Николай</t>
  </si>
  <si>
    <t>Открытая (19.06.1982)/39</t>
  </si>
  <si>
    <t>116,40</t>
  </si>
  <si>
    <t>177,5</t>
  </si>
  <si>
    <t>265,0</t>
  </si>
  <si>
    <t>82.5</t>
  </si>
  <si>
    <t>75</t>
  </si>
  <si>
    <t>560,0</t>
  </si>
  <si>
    <t>403,5920</t>
  </si>
  <si>
    <t>125</t>
  </si>
  <si>
    <t>657,5</t>
  </si>
  <si>
    <t>380,8240</t>
  </si>
  <si>
    <t>660,0</t>
  </si>
  <si>
    <t>380,0280</t>
  </si>
  <si>
    <t>-</t>
  </si>
  <si>
    <t>4</t>
  </si>
  <si>
    <t>Замятина Наталья</t>
  </si>
  <si>
    <t>Открытая (14.04.1980)/41</t>
  </si>
  <si>
    <t>70,80</t>
  </si>
  <si>
    <t>Мастера 40-49 (14.04.1980)/41</t>
  </si>
  <si>
    <t>Карлов Виталий</t>
  </si>
  <si>
    <t>Открытая (15.07.1987)/34</t>
  </si>
  <si>
    <t>75,00</t>
  </si>
  <si>
    <t>Плотников Владимир</t>
  </si>
  <si>
    <t>Открытая (24.06.1981)/40</t>
  </si>
  <si>
    <t>81,60</t>
  </si>
  <si>
    <t>Мастера 40-49 (24.06.1981)/40</t>
  </si>
  <si>
    <t>Грищенко Андрей</t>
  </si>
  <si>
    <t>Открытая (19.06.1996)/25</t>
  </si>
  <si>
    <t>88,90</t>
  </si>
  <si>
    <t>Федосеев Дмитрий</t>
  </si>
  <si>
    <t>Открытая (06.06.1978)/43</t>
  </si>
  <si>
    <t>117,20</t>
  </si>
  <si>
    <t>275,0</t>
  </si>
  <si>
    <t>Кулагин Андрей</t>
  </si>
  <si>
    <t>Мастера 40-49 (16.09.1978)/43</t>
  </si>
  <si>
    <t>116,20</t>
  </si>
  <si>
    <t>312,5</t>
  </si>
  <si>
    <t>Мастера 40-49 (06.06.1978)/43</t>
  </si>
  <si>
    <t>ВЕСОВАЯ КАТЕГОРИЯ   140</t>
  </si>
  <si>
    <t>Мишин Артур</t>
  </si>
  <si>
    <t>Открытая (29.06.1990)/31</t>
  </si>
  <si>
    <t>130,90</t>
  </si>
  <si>
    <t xml:space="preserve">Результат </t>
  </si>
  <si>
    <t>Результат</t>
  </si>
  <si>
    <t>ВЕСОВАЯ КАТЕГОРИЯ   52</t>
  </si>
  <si>
    <t>Янковский Никита</t>
  </si>
  <si>
    <t>Юноши 14-16 (10.04.2007)/14</t>
  </si>
  <si>
    <t>43,60</t>
  </si>
  <si>
    <t>47,5</t>
  </si>
  <si>
    <t>ВЕСОВАЯ КАТЕГОРИЯ   60</t>
  </si>
  <si>
    <t>Эргашев Илхом</t>
  </si>
  <si>
    <t>Открытая (16.12.1996)/24</t>
  </si>
  <si>
    <t>59,90</t>
  </si>
  <si>
    <t>Чугунов Тимур</t>
  </si>
  <si>
    <t>Открытая (15.10.1996)/25</t>
  </si>
  <si>
    <t>66,20</t>
  </si>
  <si>
    <t>132,5</t>
  </si>
  <si>
    <t>Воровкин Максим</t>
  </si>
  <si>
    <t>Мастера 40-49 (31.03.1980)/41</t>
  </si>
  <si>
    <t>62,90</t>
  </si>
  <si>
    <t>Давыдов Евгений</t>
  </si>
  <si>
    <t>Открытая (24.09.1996)/25</t>
  </si>
  <si>
    <t>72,20</t>
  </si>
  <si>
    <t xml:space="preserve">Гугняков А. </t>
  </si>
  <si>
    <t>Иваев Руслан</t>
  </si>
  <si>
    <t>Открытая (08.09.1986)/35</t>
  </si>
  <si>
    <t>82,10</t>
  </si>
  <si>
    <t>Шмелев Вячеслав</t>
  </si>
  <si>
    <t>Мастера 40-49 (13.01.1980)/41</t>
  </si>
  <si>
    <t>81,70</t>
  </si>
  <si>
    <t>Щанькин Михаил</t>
  </si>
  <si>
    <t>Мастера 40-49 (22.04.1975)/46</t>
  </si>
  <si>
    <t>82,50</t>
  </si>
  <si>
    <t>Яковлев Максим</t>
  </si>
  <si>
    <t>Открытая (17.06.1982)/39</t>
  </si>
  <si>
    <t>89,90</t>
  </si>
  <si>
    <t>Ковалев Анатолий</t>
  </si>
  <si>
    <t>Мастера 80+ (11.08.1936)/85</t>
  </si>
  <si>
    <t>90,00</t>
  </si>
  <si>
    <t>Шмыров Максим</t>
  </si>
  <si>
    <t>Открытая (07.11.1988)/33</t>
  </si>
  <si>
    <t>97,00</t>
  </si>
  <si>
    <t>Нефедов Михаил</t>
  </si>
  <si>
    <t>Мастера 40-49 (07.05.1972)/49</t>
  </si>
  <si>
    <t>100,00</t>
  </si>
  <si>
    <t xml:space="preserve">Гаржа Л. </t>
  </si>
  <si>
    <t>Фахретдинов Ринат</t>
  </si>
  <si>
    <t>Мастера 40-49 (20.03.1980)/41</t>
  </si>
  <si>
    <t>94,40</t>
  </si>
  <si>
    <t>Подторжнов Алексей</t>
  </si>
  <si>
    <t>Открытая (06.04.1979)/42</t>
  </si>
  <si>
    <t>107,90</t>
  </si>
  <si>
    <t>Потапов Денис</t>
  </si>
  <si>
    <t>Открытая (05.02.1990)/31</t>
  </si>
  <si>
    <t>108,00</t>
  </si>
  <si>
    <t>Ефимкин Данила</t>
  </si>
  <si>
    <t>Юниоры (29.08.2001)/20</t>
  </si>
  <si>
    <t>123,50</t>
  </si>
  <si>
    <t>Открытая (16.09.1978)/43</t>
  </si>
  <si>
    <t>Хомяков Виталий</t>
  </si>
  <si>
    <t>Открытая (19.05.1996)/25</t>
  </si>
  <si>
    <t>122,40</t>
  </si>
  <si>
    <t>Магер Дмитрий</t>
  </si>
  <si>
    <t>Открытая (19.07.1989)/32</t>
  </si>
  <si>
    <t>117,10</t>
  </si>
  <si>
    <t xml:space="preserve">Суслов Николай </t>
  </si>
  <si>
    <t>Саяпин Георгий</t>
  </si>
  <si>
    <t>Открытая (21.06.1997)/24</t>
  </si>
  <si>
    <t>118,50</t>
  </si>
  <si>
    <t>ВЕСОВАЯ КАТЕГОРИЯ   140+</t>
  </si>
  <si>
    <t>Сурков Алексей</t>
  </si>
  <si>
    <t>Мастера 40-49 (15.08.1978)/43</t>
  </si>
  <si>
    <t>148,30</t>
  </si>
  <si>
    <t xml:space="preserve">Губанов А. </t>
  </si>
  <si>
    <t>140,5288</t>
  </si>
  <si>
    <t>120,9420</t>
  </si>
  <si>
    <t>120,2040</t>
  </si>
  <si>
    <t>144,4636</t>
  </si>
  <si>
    <t>123,3358</t>
  </si>
  <si>
    <t>111,7495</t>
  </si>
  <si>
    <t>Хитрина Дарья</t>
  </si>
  <si>
    <t>Девушки 14-16 (25.07.2011)/10</t>
  </si>
  <si>
    <t>52,00</t>
  </si>
  <si>
    <t>27,5</t>
  </si>
  <si>
    <t>30,0</t>
  </si>
  <si>
    <t>32,5</t>
  </si>
  <si>
    <t>Кожуховская Ирина</t>
  </si>
  <si>
    <t>Открытая (05.07.1986)/35</t>
  </si>
  <si>
    <t>51,70</t>
  </si>
  <si>
    <t>67,5</t>
  </si>
  <si>
    <t xml:space="preserve">Гусев А. </t>
  </si>
  <si>
    <t>Ефремова Елена</t>
  </si>
  <si>
    <t>Открытая (01.04.1987)/34</t>
  </si>
  <si>
    <t>55,20</t>
  </si>
  <si>
    <t>57,5</t>
  </si>
  <si>
    <t>Костенко Ирина</t>
  </si>
  <si>
    <t>Открытая (15.11.1986)/35</t>
  </si>
  <si>
    <t>53,80</t>
  </si>
  <si>
    <t>42,5</t>
  </si>
  <si>
    <t xml:space="preserve">Шмелев В. </t>
  </si>
  <si>
    <t>Емануйлова Наталья</t>
  </si>
  <si>
    <t>Мастера 40-49 (13.08.1981)/40</t>
  </si>
  <si>
    <t>Ефимова Ольга</t>
  </si>
  <si>
    <t>Открытая (30.05.1983)/38</t>
  </si>
  <si>
    <t>59,20</t>
  </si>
  <si>
    <t>82,5</t>
  </si>
  <si>
    <t>Кулешов Никита</t>
  </si>
  <si>
    <t>Юноши 14-16 (06.05.2008)/13</t>
  </si>
  <si>
    <t>37,50</t>
  </si>
  <si>
    <t>Головин Иван</t>
  </si>
  <si>
    <t>Юноши 17-19 (28.12.2003)/17</t>
  </si>
  <si>
    <t>65,80</t>
  </si>
  <si>
    <t>Курбаков Дмитрий</t>
  </si>
  <si>
    <t>Юноши 17-19 (07.11.2003)/18</t>
  </si>
  <si>
    <t>64,60</t>
  </si>
  <si>
    <t>77,5</t>
  </si>
  <si>
    <t>Журиленко Богдан</t>
  </si>
  <si>
    <t>Юноши 17-19 (23.01.2003)/18</t>
  </si>
  <si>
    <t>73,70</t>
  </si>
  <si>
    <t>Луценко Сергей</t>
  </si>
  <si>
    <t>Юноши 17-19 (01.08.2002)/19</t>
  </si>
  <si>
    <t>74,00</t>
  </si>
  <si>
    <t>Власов Александр</t>
  </si>
  <si>
    <t>Юниоры (18.10.1998)/23</t>
  </si>
  <si>
    <t>72,70</t>
  </si>
  <si>
    <t>145,0</t>
  </si>
  <si>
    <t>Гугняков Александр</t>
  </si>
  <si>
    <t>Открытая (17.09.1974)/47</t>
  </si>
  <si>
    <t>72,60</t>
  </si>
  <si>
    <t>157,5</t>
  </si>
  <si>
    <t>Шушаркин Евгений</t>
  </si>
  <si>
    <t>Открытая (03.08.1990)/31</t>
  </si>
  <si>
    <t>Пронин Алексей</t>
  </si>
  <si>
    <t>Открытая (04.01.1990)/31</t>
  </si>
  <si>
    <t>73,40</t>
  </si>
  <si>
    <t>122,5</t>
  </si>
  <si>
    <t>Подгорнов Олег</t>
  </si>
  <si>
    <t>Открытая (02.12.1987)/34</t>
  </si>
  <si>
    <t>74,50</t>
  </si>
  <si>
    <t>Ступин Александр</t>
  </si>
  <si>
    <t>Открытая (27.07.1996)/25</t>
  </si>
  <si>
    <t>Грибанов Герман</t>
  </si>
  <si>
    <t>Открытая (06.08.1997)/24</t>
  </si>
  <si>
    <t>80,20</t>
  </si>
  <si>
    <t>Осипов Алексей</t>
  </si>
  <si>
    <t>Открытая (21.07.1993)/28</t>
  </si>
  <si>
    <t>80,30</t>
  </si>
  <si>
    <t>Хмелевских Дмитрий</t>
  </si>
  <si>
    <t>Открытая (20.09.1988)/33</t>
  </si>
  <si>
    <t>77,20</t>
  </si>
  <si>
    <t>Князев Андрей</t>
  </si>
  <si>
    <t>Открытая (10.03.1982)/39</t>
  </si>
  <si>
    <t>79,60</t>
  </si>
  <si>
    <t>Дмитриев Валентин</t>
  </si>
  <si>
    <t>Открытая (02.06.1992)/29</t>
  </si>
  <si>
    <t>81,10</t>
  </si>
  <si>
    <t>Карпухин Павел</t>
  </si>
  <si>
    <t>Открытая (16.10.1987)/34</t>
  </si>
  <si>
    <t>88,40</t>
  </si>
  <si>
    <t>Аистов Артем</t>
  </si>
  <si>
    <t>Открытая (11.05.1996)/25</t>
  </si>
  <si>
    <t>85,00</t>
  </si>
  <si>
    <t>102,5</t>
  </si>
  <si>
    <t>Максимов Виктор</t>
  </si>
  <si>
    <t>Мастера 40-49 (25.03.1975)/46</t>
  </si>
  <si>
    <t>89,30</t>
  </si>
  <si>
    <t>Семенов Андрей</t>
  </si>
  <si>
    <t>Мастера 50-59 (07.09.1963)/58</t>
  </si>
  <si>
    <t>84,30</t>
  </si>
  <si>
    <t>Зарипов Рафаиль</t>
  </si>
  <si>
    <t>Юниоры (16.04.2001)/20</t>
  </si>
  <si>
    <t>99,70</t>
  </si>
  <si>
    <t>Безруков Владимир</t>
  </si>
  <si>
    <t>Открытая (22.04.1984)/37</t>
  </si>
  <si>
    <t>96,50</t>
  </si>
  <si>
    <t>162,5</t>
  </si>
  <si>
    <t>Мустаев Тимур</t>
  </si>
  <si>
    <t>Открытая (25.01.1987)/34</t>
  </si>
  <si>
    <t>98,90</t>
  </si>
  <si>
    <t>Адамов Владимир</t>
  </si>
  <si>
    <t>Открытая (25.04.1986)/35</t>
  </si>
  <si>
    <t>121,80</t>
  </si>
  <si>
    <t>Богданов Алексей</t>
  </si>
  <si>
    <t>Мастера 40-49 (25.07.1981)/40</t>
  </si>
  <si>
    <t>157,0</t>
  </si>
  <si>
    <t>Носанов Дмитрий</t>
  </si>
  <si>
    <t>Юниоры (19.11.2000)/21</t>
  </si>
  <si>
    <t>128,00</t>
  </si>
  <si>
    <t>121,7625</t>
  </si>
  <si>
    <t>119,9765</t>
  </si>
  <si>
    <t>115,9920</t>
  </si>
  <si>
    <t>5</t>
  </si>
  <si>
    <t>6</t>
  </si>
  <si>
    <t>Алькова Диана</t>
  </si>
  <si>
    <t>Юниорки (25.08.2001)/20</t>
  </si>
  <si>
    <t>55,90</t>
  </si>
  <si>
    <t>Открытая (25.08.2001)/20</t>
  </si>
  <si>
    <t>Горожанина Ольга</t>
  </si>
  <si>
    <t>Открытая (05.11.1983)/38</t>
  </si>
  <si>
    <t>Мелконян Тигран</t>
  </si>
  <si>
    <t>Юниоры (29.09.1999)/22</t>
  </si>
  <si>
    <t>65,60</t>
  </si>
  <si>
    <t>Красильников Виталий</t>
  </si>
  <si>
    <t>Мастера 40-49 (08.05.1981)/40</t>
  </si>
  <si>
    <t>Бондаренко Роман</t>
  </si>
  <si>
    <t>Мастера 40-49 (18.07.1977)/44</t>
  </si>
  <si>
    <t>Хитрин Дмитрий</t>
  </si>
  <si>
    <t>Мастера 40-49 (26.02.1977)/44</t>
  </si>
  <si>
    <t>98,80</t>
  </si>
  <si>
    <t>Усачев Илья</t>
  </si>
  <si>
    <t>110,00</t>
  </si>
  <si>
    <t>Бакунц Гагик</t>
  </si>
  <si>
    <t>Открытая (22.03.1990)/31</t>
  </si>
  <si>
    <t>109,20</t>
  </si>
  <si>
    <t>262,5</t>
  </si>
  <si>
    <t>Мухортов Дмитрий</t>
  </si>
  <si>
    <t>Открытая (01.02.1987)/34</t>
  </si>
  <si>
    <t>105,30</t>
  </si>
  <si>
    <t>Репин Дмитрий</t>
  </si>
  <si>
    <t>Открытая (26.04.1987)/34</t>
  </si>
  <si>
    <t>197,5</t>
  </si>
  <si>
    <t>Мамедов Эмин</t>
  </si>
  <si>
    <t>Мастера 40-49 (31.08.1974)/47</t>
  </si>
  <si>
    <t>114,00</t>
  </si>
  <si>
    <t>390,0</t>
  </si>
  <si>
    <t>410,0</t>
  </si>
  <si>
    <t>Есин Иван</t>
  </si>
  <si>
    <t>Мастера 80+ (25.12.1938)/82</t>
  </si>
  <si>
    <t>71,90</t>
  </si>
  <si>
    <t>Кислов Дмитрий</t>
  </si>
  <si>
    <t>Открытая (27.01.1982)/39</t>
  </si>
  <si>
    <t>92,70</t>
  </si>
  <si>
    <t>Теплов Денис</t>
  </si>
  <si>
    <t>Открытая (21.12.1993)/27</t>
  </si>
  <si>
    <t>108,20</t>
  </si>
  <si>
    <t>310,0</t>
  </si>
  <si>
    <t>Шерстюк Александр</t>
  </si>
  <si>
    <t>Открытая (26.07.1989)/32</t>
  </si>
  <si>
    <t>104,60</t>
  </si>
  <si>
    <t>Новлянский Виктор</t>
  </si>
  <si>
    <t>Мастера 50-59 (01.11.1965)/56</t>
  </si>
  <si>
    <t>105,60</t>
  </si>
  <si>
    <t>Кнутова Татьяна</t>
  </si>
  <si>
    <t>Открытая (16.06.1972)/49</t>
  </si>
  <si>
    <t>65,00</t>
  </si>
  <si>
    <t>Карпухова Марина</t>
  </si>
  <si>
    <t>Открытая (04.06.1989)/32</t>
  </si>
  <si>
    <t>63,10</t>
  </si>
  <si>
    <t>Мастера 40-49 (16.06.1972)/49</t>
  </si>
  <si>
    <t>Григорьев Семён</t>
  </si>
  <si>
    <t>Открытая (07.11.1989)/32</t>
  </si>
  <si>
    <t>73,00</t>
  </si>
  <si>
    <t>Федотов Иван</t>
  </si>
  <si>
    <t>Юноши 17-19 (13.03.2004)/17</t>
  </si>
  <si>
    <t>Мельников Павел</t>
  </si>
  <si>
    <t>Открытая (24.01.1991)/30</t>
  </si>
  <si>
    <t>Федоров Александр</t>
  </si>
  <si>
    <t>Открытая (03.06.1992)/29</t>
  </si>
  <si>
    <t>Щепалин Павел</t>
  </si>
  <si>
    <t>Открытая (12.04.1984)/37</t>
  </si>
  <si>
    <t>89,50</t>
  </si>
  <si>
    <t>Гридин Роман</t>
  </si>
  <si>
    <t>Мастера 40-49 (28.01.1972)/49</t>
  </si>
  <si>
    <t>86,00</t>
  </si>
  <si>
    <t>Заряев Алексей</t>
  </si>
  <si>
    <t>Мастера 40-49 (21.01.1973)/48</t>
  </si>
  <si>
    <t>96,60</t>
  </si>
  <si>
    <t>Жирнов Андрей</t>
  </si>
  <si>
    <t>Мастера 40-49 (16.01.1976)/45</t>
  </si>
  <si>
    <t>Губанов Александр</t>
  </si>
  <si>
    <t>Мастера 70-79 (06.02.1951)/70</t>
  </si>
  <si>
    <t>71,10</t>
  </si>
  <si>
    <t>87,5</t>
  </si>
  <si>
    <t>Павлов Дмитрий</t>
  </si>
  <si>
    <t>Открытая (17.05.1986)/35</t>
  </si>
  <si>
    <t>Мельников Владимир</t>
  </si>
  <si>
    <t>Открытая (03.10.1985)/36</t>
  </si>
  <si>
    <t>88,00</t>
  </si>
  <si>
    <t>Исаев Андрей</t>
  </si>
  <si>
    <t>Мастера 50-59 (30.03.1970)/51</t>
  </si>
  <si>
    <t>85,40</t>
  </si>
  <si>
    <t>Садыков Дамир</t>
  </si>
  <si>
    <t>Юноши 17-19 (13.11.2004)/17</t>
  </si>
  <si>
    <t>73,60</t>
  </si>
  <si>
    <t>97,5</t>
  </si>
  <si>
    <t>Ключников Леонид</t>
  </si>
  <si>
    <t>Открытая (11.08.1985)/36</t>
  </si>
  <si>
    <t>99,10</t>
  </si>
  <si>
    <t>Гусев Андрей</t>
  </si>
  <si>
    <t>Мастера 40-49 (29.08.1977)/44</t>
  </si>
  <si>
    <t>105,40</t>
  </si>
  <si>
    <t>222,5</t>
  </si>
  <si>
    <t>Красиков Игорь</t>
  </si>
  <si>
    <t>Мастера 40-49 (31.01.1981)/40</t>
  </si>
  <si>
    <t>122,80</t>
  </si>
  <si>
    <t>Егорова Ольга</t>
  </si>
  <si>
    <t>63,20</t>
  </si>
  <si>
    <t>22,5</t>
  </si>
  <si>
    <t>25,0</t>
  </si>
  <si>
    <t>Малахов Сергей</t>
  </si>
  <si>
    <t>Открытая (20.08.1991)/30</t>
  </si>
  <si>
    <t>66,80</t>
  </si>
  <si>
    <t>72,5</t>
  </si>
  <si>
    <t>Черкасов Андрей</t>
  </si>
  <si>
    <t>Открытая (28.05.1997)/24</t>
  </si>
  <si>
    <t>88,70</t>
  </si>
  <si>
    <t>Солдатов Максим</t>
  </si>
  <si>
    <t>Открытая (27.09.1982)/39</t>
  </si>
  <si>
    <t>Чемидронов Александр</t>
  </si>
  <si>
    <t>96,20</t>
  </si>
  <si>
    <t>ВЕСОВАЯ КАТЕГОРИЯ   130</t>
  </si>
  <si>
    <t>122,70</t>
  </si>
  <si>
    <t xml:space="preserve">Арусланов Ш. </t>
  </si>
  <si>
    <t>Жим стоя</t>
  </si>
  <si>
    <t>ВЕСОВАЯ КАТЕГОРИЯ   80</t>
  </si>
  <si>
    <t>Сапегин Дмитрий</t>
  </si>
  <si>
    <t>Открытая (19.07.1993)/28</t>
  </si>
  <si>
    <t>75,90</t>
  </si>
  <si>
    <t xml:space="preserve">Греднев М. </t>
  </si>
  <si>
    <t>Попов Антон</t>
  </si>
  <si>
    <t>Губанов А.</t>
  </si>
  <si>
    <t>Открытый Кубок Европы
WRPF Жим лежа СФО
Самара/Самарская область, 11 декабря 2021 года</t>
  </si>
  <si>
    <t>Кубок Восточной Европы
ФЖД Армейский жим на максимум
Самара/Самарская область, 11 декабря 2021 года</t>
  </si>
  <si>
    <t>Кубок Восточной Европы
ФЖД Военный жим на максимум
Самара/Самарская область, 11 декабря 2021 года</t>
  </si>
  <si>
    <t>Кубок Восточной Европы
ФЖД Любители с ДК жим на максимум
Самара/Самарская область, 11 декабря 2021 года</t>
  </si>
  <si>
    <t>Открытый Кубок Европы
WRPF Строгий подъем штанги на бицепс
Самара/Самарская область, 11 декабря 2021 года</t>
  </si>
  <si>
    <t>Открытый Кубок Европы
WRPF любители Силовое двоеборье без экипировки ДК
Самара/Самарская область, 11 декабря 2021 года</t>
  </si>
  <si>
    <t>Открытый Кубок Европы
WRPF любители Силовое двоеборье без экипировки
Самара/Самарская область, 11 декабря 2021 года</t>
  </si>
  <si>
    <t>Открытый Кубок Европы
WRPF любители Становая тяга без экипировки ДК
Самара/Самарская область, 11 декабря 2021 года</t>
  </si>
  <si>
    <t>Открытый Кубок Европы
WRPF любители Становая тяга без экипировки
Самара/Самарская область, 11 декабря 2021 года</t>
  </si>
  <si>
    <t>Открытый Кубок Европы
WEPF Жим лежа в многопетельной софт экипировке ДК
Самара/Самарская область, 11 декабря 2021 года</t>
  </si>
  <si>
    <t>Открытый Кубок Европы
WEPF Жим лежа в многопетельной софт экипировке
Самара/Самарская область, 11 декабря 2021 года</t>
  </si>
  <si>
    <t>Открытый Кубок Европы
WEPF любители Жим лежа в однослойной экипировке ДК
Самара/Самарская область, 11 декабря 2021 года</t>
  </si>
  <si>
    <t>Открытый Кубок Европы
WEPF любители Жим лежа в однослойной экипировке
Самара/Самарская область, 11 декабря 2021 года</t>
  </si>
  <si>
    <t>Открытый Кубок Европы
WEPF Жим лежа в однопетельной софт экипировке ДК
Самара/Самарская область, 11 декабря 2021 года</t>
  </si>
  <si>
    <t>Открытый Кубок Европы
WRPF любители Жим лежа без экипировки ДК
Самара/Самарская область, 11 декабря 2021 года</t>
  </si>
  <si>
    <t>Открытый Кубок Европы
WRPF любители Жим лежа без экипировки
Самара/Самарская область, 11 декабря 2021 года</t>
  </si>
  <si>
    <t>Открытый Кубок Европы
WEPF Жим лежа в однопетельной софт экипировке
Самара/Самарская область, 11 декабря 2021 года</t>
  </si>
  <si>
    <t>Открытый Кубок Европы
WRPF любители Пауэрлифтинг без экипировки ДК
Самара/Самарская область, 11 декабря 2021 года</t>
  </si>
  <si>
    <t>Открытый Кубок Европы
WRPF любители Пауэрлифтинг без экипировки
Самара/Самарская область, 11 декабря 2021 года</t>
  </si>
  <si>
    <t>Открытый Кубок Европы
WRPF любители Пауэрлифтинг классический в бинтах
Самара/Самарская область, 11 декабря 2021 года</t>
  </si>
  <si>
    <t>Весовая категория</t>
  </si>
  <si>
    <t>Мастера 45-49 (25.03.1973)/48</t>
  </si>
  <si>
    <t>Мастера 55-59 (07.09.1963)/58</t>
  </si>
  <si>
    <t>Мастера 40-49 (14.03.1975)/46</t>
  </si>
  <si>
    <t>Юноши 13-19 (24.02.2003)/18</t>
  </si>
  <si>
    <t xml:space="preserve">Поздняков В. </t>
  </si>
  <si>
    <t xml:space="preserve">Замятин И. </t>
  </si>
  <si>
    <t xml:space="preserve">Трухтанов П. </t>
  </si>
  <si>
    <t xml:space="preserve">Образцов С. </t>
  </si>
  <si>
    <t xml:space="preserve">Аверьянов В. </t>
  </si>
  <si>
    <t xml:space="preserve">Шмыров М. </t>
  </si>
  <si>
    <t xml:space="preserve">Мельников В. </t>
  </si>
  <si>
    <t xml:space="preserve">Луцук В. </t>
  </si>
  <si>
    <t xml:space="preserve">Алтунин Н. </t>
  </si>
  <si>
    <t xml:space="preserve">Балашов В., Шарафисламов А. </t>
  </si>
  <si>
    <t xml:space="preserve">Луговой А., Ли А. </t>
  </si>
  <si>
    <t xml:space="preserve">Мишин А. </t>
  </si>
  <si>
    <t xml:space="preserve">Хитрин Д. </t>
  </si>
  <si>
    <t xml:space="preserve">Кутуков А. </t>
  </si>
  <si>
    <t xml:space="preserve">Бобух Д. </t>
  </si>
  <si>
    <t xml:space="preserve">Григорьев С. </t>
  </si>
  <si>
    <t xml:space="preserve">Новлянский В. </t>
  </si>
  <si>
    <t xml:space="preserve">Зубов Р. </t>
  </si>
  <si>
    <t xml:space="preserve">Войцеховский Ю. </t>
  </si>
  <si>
    <t>Замятин И.</t>
  </si>
  <si>
    <t xml:space="preserve">Брославский В. </t>
  </si>
  <si>
    <t xml:space="preserve">Стецко Ю. </t>
  </si>
  <si>
    <t>Лученинов С.</t>
  </si>
  <si>
    <t xml:space="preserve">Загайнов М. </t>
  </si>
  <si>
    <t>Луговой А.</t>
  </si>
  <si>
    <t>Жим</t>
  </si>
  <si>
    <t xml:space="preserve">
Дата рождения/Возраст</t>
  </si>
  <si>
    <t>Возрастная группа</t>
  </si>
  <si>
    <t>№</t>
  </si>
  <si>
    <t xml:space="preserve">Самара </t>
  </si>
  <si>
    <t xml:space="preserve">Саратов </t>
  </si>
  <si>
    <t xml:space="preserve"> Кинель-Черкассы</t>
  </si>
  <si>
    <t xml:space="preserve">Кинель </t>
  </si>
  <si>
    <t xml:space="preserve"> Новокуйбышевск</t>
  </si>
  <si>
    <t xml:space="preserve"> Оренбург</t>
  </si>
  <si>
    <t xml:space="preserve"> Самара </t>
  </si>
  <si>
    <t xml:space="preserve">Тольятти </t>
  </si>
  <si>
    <t xml:space="preserve">Ульяновск </t>
  </si>
  <si>
    <t xml:space="preserve"> Новокуйбышевск </t>
  </si>
  <si>
    <t xml:space="preserve">Октябрьск </t>
  </si>
  <si>
    <t xml:space="preserve"> Октябрьск </t>
  </si>
  <si>
    <t xml:space="preserve">Чапаевск </t>
  </si>
  <si>
    <t xml:space="preserve"> Сызрань </t>
  </si>
  <si>
    <t xml:space="preserve">Казань </t>
  </si>
  <si>
    <t xml:space="preserve">Сызрань </t>
  </si>
  <si>
    <t xml:space="preserve">Отрадный </t>
  </si>
  <si>
    <t xml:space="preserve">Новокуйбышевск </t>
  </si>
  <si>
    <t xml:space="preserve"> Ореховка </t>
  </si>
  <si>
    <t>Новокуйбышевск</t>
  </si>
  <si>
    <t xml:space="preserve"> Черноречье </t>
  </si>
  <si>
    <t xml:space="preserve">Уфа </t>
  </si>
  <si>
    <t>O</t>
  </si>
  <si>
    <t>T1</t>
  </si>
  <si>
    <t>J</t>
  </si>
  <si>
    <t>M4</t>
  </si>
  <si>
    <t>M1</t>
  </si>
  <si>
    <t>M2</t>
  </si>
  <si>
    <t>T2</t>
  </si>
  <si>
    <t>M5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</si>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</sst>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U42"/>
  <sheetViews>
    <sheetView workbookViewId="0">
      <selection activeCell="E32" sqref="E32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3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39" bestFit="1" customWidth="1"/>
    <col min="20" max="20" width="8.5" style="6" bestFit="1" customWidth="1"/>
    <col min="21" max="21" width="26.6640625" style="5" bestFit="1" customWidth="1"/>
    <col min="22" max="16384" width="9.1640625" style="3"/>
  </cols>
  <sheetData>
    <row r="1" spans="1:21" s="2" customFormat="1" ht="29" customHeight="1">
      <c r="A1" s="56" t="s">
        <v>561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9"/>
    </row>
    <row r="2" spans="1:21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3"/>
    </row>
    <row r="3" spans="1:21" s="1" customFormat="1" ht="12.75" customHeight="1">
      <c r="A3" s="64" t="s">
        <v>597</v>
      </c>
      <c r="B3" s="54" t="s">
        <v>0</v>
      </c>
      <c r="C3" s="66" t="s">
        <v>595</v>
      </c>
      <c r="D3" s="66" t="s">
        <v>5</v>
      </c>
      <c r="E3" s="48" t="s">
        <v>596</v>
      </c>
      <c r="F3" s="48" t="s">
        <v>6</v>
      </c>
      <c r="G3" s="48" t="s">
        <v>7</v>
      </c>
      <c r="H3" s="48"/>
      <c r="I3" s="48"/>
      <c r="J3" s="48"/>
      <c r="K3" s="48" t="s">
        <v>8</v>
      </c>
      <c r="L3" s="48"/>
      <c r="M3" s="48"/>
      <c r="N3" s="48"/>
      <c r="O3" s="48" t="s">
        <v>9</v>
      </c>
      <c r="P3" s="48"/>
      <c r="Q3" s="48"/>
      <c r="R3" s="48"/>
      <c r="S3" s="46" t="s">
        <v>1</v>
      </c>
      <c r="T3" s="48" t="s">
        <v>3</v>
      </c>
      <c r="U3" s="50" t="s">
        <v>2</v>
      </c>
    </row>
    <row r="4" spans="1:21" s="1" customFormat="1" ht="21" customHeight="1" thickBot="1">
      <c r="A4" s="65"/>
      <c r="B4" s="55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7"/>
      <c r="T4" s="49"/>
      <c r="U4" s="51"/>
    </row>
    <row r="5" spans="1:21" ht="16">
      <c r="A5" s="52" t="s">
        <v>124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10" t="s">
        <v>60</v>
      </c>
      <c r="B6" s="9" t="s">
        <v>125</v>
      </c>
      <c r="C6" s="9" t="s">
        <v>126</v>
      </c>
      <c r="D6" s="9" t="s">
        <v>127</v>
      </c>
      <c r="E6" s="9" t="s">
        <v>620</v>
      </c>
      <c r="F6" s="9" t="s">
        <v>598</v>
      </c>
      <c r="G6" s="21" t="s">
        <v>73</v>
      </c>
      <c r="H6" s="21" t="s">
        <v>73</v>
      </c>
      <c r="I6" s="20" t="s">
        <v>73</v>
      </c>
      <c r="J6" s="10"/>
      <c r="K6" s="20" t="s">
        <v>128</v>
      </c>
      <c r="L6" s="21" t="s">
        <v>129</v>
      </c>
      <c r="M6" s="21" t="s">
        <v>129</v>
      </c>
      <c r="N6" s="10"/>
      <c r="O6" s="20" t="s">
        <v>74</v>
      </c>
      <c r="P6" s="21" t="s">
        <v>116</v>
      </c>
      <c r="Q6" s="20" t="s">
        <v>39</v>
      </c>
      <c r="R6" s="10"/>
      <c r="S6" s="40" t="str">
        <f>"225,0"</f>
        <v>225,0</v>
      </c>
      <c r="T6" s="10" t="str">
        <f>"264,7350"</f>
        <v>264,7350</v>
      </c>
      <c r="U6" s="9"/>
    </row>
    <row r="7" spans="1:21">
      <c r="A7" s="12" t="s">
        <v>196</v>
      </c>
      <c r="B7" s="11" t="s">
        <v>130</v>
      </c>
      <c r="C7" s="11" t="s">
        <v>131</v>
      </c>
      <c r="D7" s="11" t="s">
        <v>132</v>
      </c>
      <c r="E7" s="11" t="s">
        <v>620</v>
      </c>
      <c r="F7" s="11" t="s">
        <v>598</v>
      </c>
      <c r="G7" s="23" t="s">
        <v>133</v>
      </c>
      <c r="H7" s="23" t="s">
        <v>133</v>
      </c>
      <c r="I7" s="23" t="s">
        <v>133</v>
      </c>
      <c r="J7" s="12"/>
      <c r="K7" s="23"/>
      <c r="L7" s="12"/>
      <c r="M7" s="12"/>
      <c r="N7" s="12"/>
      <c r="O7" s="23"/>
      <c r="P7" s="12"/>
      <c r="Q7" s="12"/>
      <c r="R7" s="12"/>
      <c r="S7" s="41">
        <v>0</v>
      </c>
      <c r="T7" s="12" t="str">
        <f>"0,0000"</f>
        <v>0,0000</v>
      </c>
      <c r="U7" s="11" t="s">
        <v>573</v>
      </c>
    </row>
    <row r="8" spans="1:21">
      <c r="B8" s="5" t="s">
        <v>61</v>
      </c>
    </row>
    <row r="9" spans="1:21" ht="16">
      <c r="A9" s="45" t="s">
        <v>62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21">
      <c r="A10" s="8" t="s">
        <v>60</v>
      </c>
      <c r="B10" s="7" t="s">
        <v>136</v>
      </c>
      <c r="C10" s="7" t="s">
        <v>137</v>
      </c>
      <c r="D10" s="7" t="s">
        <v>138</v>
      </c>
      <c r="E10" s="7" t="s">
        <v>620</v>
      </c>
      <c r="F10" s="7" t="s">
        <v>599</v>
      </c>
      <c r="G10" s="18" t="s">
        <v>113</v>
      </c>
      <c r="H10" s="18" t="s">
        <v>36</v>
      </c>
      <c r="I10" s="19" t="s">
        <v>114</v>
      </c>
      <c r="J10" s="8"/>
      <c r="K10" s="18" t="s">
        <v>72</v>
      </c>
      <c r="L10" s="19" t="s">
        <v>73</v>
      </c>
      <c r="M10" s="19" t="s">
        <v>73</v>
      </c>
      <c r="N10" s="8"/>
      <c r="O10" s="18" t="s">
        <v>38</v>
      </c>
      <c r="P10" s="19" t="s">
        <v>16</v>
      </c>
      <c r="Q10" s="18" t="s">
        <v>16</v>
      </c>
      <c r="R10" s="8"/>
      <c r="S10" s="38" t="str">
        <f>"350,0"</f>
        <v>350,0</v>
      </c>
      <c r="T10" s="8" t="str">
        <f>"362,6700"</f>
        <v>362,6700</v>
      </c>
      <c r="U10" s="7"/>
    </row>
    <row r="11" spans="1:21">
      <c r="B11" s="5" t="s">
        <v>61</v>
      </c>
    </row>
    <row r="12" spans="1:21" ht="16">
      <c r="A12" s="45" t="s">
        <v>139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</row>
    <row r="13" spans="1:21">
      <c r="A13" s="8" t="s">
        <v>60</v>
      </c>
      <c r="B13" s="7" t="s">
        <v>140</v>
      </c>
      <c r="C13" s="7" t="s">
        <v>141</v>
      </c>
      <c r="D13" s="7" t="s">
        <v>142</v>
      </c>
      <c r="E13" s="7" t="s">
        <v>620</v>
      </c>
      <c r="F13" s="7" t="s">
        <v>598</v>
      </c>
      <c r="G13" s="18" t="s">
        <v>39</v>
      </c>
      <c r="H13" s="18" t="s">
        <v>40</v>
      </c>
      <c r="I13" s="18" t="s">
        <v>113</v>
      </c>
      <c r="J13" s="8"/>
      <c r="K13" s="18" t="s">
        <v>128</v>
      </c>
      <c r="L13" s="18" t="s">
        <v>143</v>
      </c>
      <c r="M13" s="18" t="s">
        <v>129</v>
      </c>
      <c r="N13" s="8"/>
      <c r="O13" s="18" t="s">
        <v>41</v>
      </c>
      <c r="P13" s="18" t="s">
        <v>38</v>
      </c>
      <c r="Q13" s="19" t="s">
        <v>91</v>
      </c>
      <c r="R13" s="8"/>
      <c r="S13" s="38" t="str">
        <f>"320,0"</f>
        <v>320,0</v>
      </c>
      <c r="T13" s="8" t="str">
        <f>"290,4320"</f>
        <v>290,4320</v>
      </c>
      <c r="U13" s="7" t="s">
        <v>570</v>
      </c>
    </row>
    <row r="14" spans="1:21">
      <c r="B14" s="5" t="s">
        <v>61</v>
      </c>
    </row>
    <row r="15" spans="1:21" ht="16">
      <c r="A15" s="45" t="s">
        <v>144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21">
      <c r="A16" s="10" t="s">
        <v>60</v>
      </c>
      <c r="B16" s="9" t="s">
        <v>145</v>
      </c>
      <c r="C16" s="9" t="s">
        <v>146</v>
      </c>
      <c r="D16" s="9" t="s">
        <v>147</v>
      </c>
      <c r="E16" s="9" t="s">
        <v>620</v>
      </c>
      <c r="F16" s="9" t="s">
        <v>600</v>
      </c>
      <c r="G16" s="20" t="s">
        <v>48</v>
      </c>
      <c r="H16" s="20" t="s">
        <v>121</v>
      </c>
      <c r="I16" s="20" t="s">
        <v>31</v>
      </c>
      <c r="J16" s="10"/>
      <c r="K16" s="20" t="s">
        <v>148</v>
      </c>
      <c r="L16" s="20" t="s">
        <v>37</v>
      </c>
      <c r="M16" s="20" t="s">
        <v>28</v>
      </c>
      <c r="N16" s="10"/>
      <c r="O16" s="20" t="s">
        <v>97</v>
      </c>
      <c r="P16" s="20" t="s">
        <v>149</v>
      </c>
      <c r="Q16" s="20" t="s">
        <v>89</v>
      </c>
      <c r="R16" s="10"/>
      <c r="S16" s="40" t="str">
        <f>"560,0"</f>
        <v>560,0</v>
      </c>
      <c r="T16" s="10" t="str">
        <f>"403,5920"</f>
        <v>403,5920</v>
      </c>
      <c r="U16" s="9"/>
    </row>
    <row r="17" spans="1:21">
      <c r="A17" s="25" t="s">
        <v>122</v>
      </c>
      <c r="B17" s="24" t="s">
        <v>150</v>
      </c>
      <c r="C17" s="24" t="s">
        <v>151</v>
      </c>
      <c r="D17" s="24" t="s">
        <v>152</v>
      </c>
      <c r="E17" s="24" t="s">
        <v>620</v>
      </c>
      <c r="F17" s="24" t="s">
        <v>598</v>
      </c>
      <c r="G17" s="26" t="s">
        <v>121</v>
      </c>
      <c r="H17" s="26" t="s">
        <v>153</v>
      </c>
      <c r="I17" s="27" t="s">
        <v>25</v>
      </c>
      <c r="J17" s="25"/>
      <c r="K17" s="26" t="s">
        <v>82</v>
      </c>
      <c r="L17" s="27" t="s">
        <v>113</v>
      </c>
      <c r="M17" s="27" t="s">
        <v>113</v>
      </c>
      <c r="N17" s="25"/>
      <c r="O17" s="26" t="s">
        <v>153</v>
      </c>
      <c r="P17" s="26" t="s">
        <v>154</v>
      </c>
      <c r="Q17" s="27" t="s">
        <v>32</v>
      </c>
      <c r="R17" s="25"/>
      <c r="S17" s="42" t="str">
        <f>"510,0"</f>
        <v>510,0</v>
      </c>
      <c r="T17" s="25" t="str">
        <f>"366,4860"</f>
        <v>366,4860</v>
      </c>
      <c r="U17" s="24" t="s">
        <v>155</v>
      </c>
    </row>
    <row r="18" spans="1:21">
      <c r="A18" s="25" t="s">
        <v>123</v>
      </c>
      <c r="B18" s="24" t="s">
        <v>156</v>
      </c>
      <c r="C18" s="24" t="s">
        <v>157</v>
      </c>
      <c r="D18" s="24" t="s">
        <v>158</v>
      </c>
      <c r="E18" s="24" t="s">
        <v>620</v>
      </c>
      <c r="F18" s="24" t="s">
        <v>601</v>
      </c>
      <c r="G18" s="27" t="s">
        <v>91</v>
      </c>
      <c r="H18" s="26" t="s">
        <v>16</v>
      </c>
      <c r="I18" s="27" t="s">
        <v>79</v>
      </c>
      <c r="J18" s="25"/>
      <c r="K18" s="27" t="s">
        <v>113</v>
      </c>
      <c r="L18" s="26" t="s">
        <v>113</v>
      </c>
      <c r="M18" s="26" t="s">
        <v>120</v>
      </c>
      <c r="N18" s="25"/>
      <c r="O18" s="27" t="s">
        <v>159</v>
      </c>
      <c r="P18" s="26" t="s">
        <v>160</v>
      </c>
      <c r="Q18" s="26" t="s">
        <v>97</v>
      </c>
      <c r="R18" s="25"/>
      <c r="S18" s="42" t="str">
        <f>"497,5"</f>
        <v>497,5</v>
      </c>
      <c r="T18" s="25" t="str">
        <f>"355,5135"</f>
        <v>355,5135</v>
      </c>
      <c r="U18" s="24"/>
    </row>
    <row r="19" spans="1:21">
      <c r="A19" s="12" t="s">
        <v>197</v>
      </c>
      <c r="B19" s="11" t="s">
        <v>161</v>
      </c>
      <c r="C19" s="11" t="s">
        <v>162</v>
      </c>
      <c r="D19" s="11" t="s">
        <v>163</v>
      </c>
      <c r="E19" s="11" t="s">
        <v>620</v>
      </c>
      <c r="F19" s="11" t="s">
        <v>602</v>
      </c>
      <c r="G19" s="23" t="s">
        <v>36</v>
      </c>
      <c r="H19" s="23" t="s">
        <v>36</v>
      </c>
      <c r="I19" s="22" t="s">
        <v>36</v>
      </c>
      <c r="J19" s="12"/>
      <c r="K19" s="22" t="s">
        <v>74</v>
      </c>
      <c r="L19" s="23" t="s">
        <v>135</v>
      </c>
      <c r="M19" s="23" t="s">
        <v>135</v>
      </c>
      <c r="N19" s="12"/>
      <c r="O19" s="22" t="s">
        <v>16</v>
      </c>
      <c r="P19" s="23" t="s">
        <v>48</v>
      </c>
      <c r="Q19" s="23" t="s">
        <v>48</v>
      </c>
      <c r="R19" s="12"/>
      <c r="S19" s="41" t="str">
        <f>"360,0"</f>
        <v>360,0</v>
      </c>
      <c r="T19" s="12" t="str">
        <f>"272,8080"</f>
        <v>272,8080</v>
      </c>
      <c r="U19" s="11"/>
    </row>
    <row r="20" spans="1:21">
      <c r="B20" s="5" t="s">
        <v>61</v>
      </c>
    </row>
    <row r="21" spans="1:21" ht="16">
      <c r="A21" s="45" t="s">
        <v>139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1:21">
      <c r="A22" s="10" t="s">
        <v>60</v>
      </c>
      <c r="B22" s="9" t="s">
        <v>164</v>
      </c>
      <c r="C22" s="9" t="s">
        <v>165</v>
      </c>
      <c r="D22" s="9" t="s">
        <v>166</v>
      </c>
      <c r="E22" s="9" t="s">
        <v>621</v>
      </c>
      <c r="F22" s="9" t="s">
        <v>603</v>
      </c>
      <c r="G22" s="20" t="s">
        <v>38</v>
      </c>
      <c r="H22" s="21" t="s">
        <v>79</v>
      </c>
      <c r="I22" s="20" t="s">
        <v>79</v>
      </c>
      <c r="J22" s="10"/>
      <c r="K22" s="20" t="s">
        <v>39</v>
      </c>
      <c r="L22" s="20" t="s">
        <v>40</v>
      </c>
      <c r="M22" s="21" t="s">
        <v>120</v>
      </c>
      <c r="N22" s="10"/>
      <c r="O22" s="20" t="s">
        <v>48</v>
      </c>
      <c r="P22" s="21" t="s">
        <v>153</v>
      </c>
      <c r="Q22" s="21" t="s">
        <v>25</v>
      </c>
      <c r="R22" s="10"/>
      <c r="S22" s="40" t="str">
        <f>"455,0"</f>
        <v>455,0</v>
      </c>
      <c r="T22" s="10" t="str">
        <f>"314,9510"</f>
        <v>314,9510</v>
      </c>
      <c r="U22" s="9" t="s">
        <v>590</v>
      </c>
    </row>
    <row r="23" spans="1:21">
      <c r="A23" s="25" t="s">
        <v>60</v>
      </c>
      <c r="B23" s="24" t="s">
        <v>167</v>
      </c>
      <c r="C23" s="24" t="s">
        <v>168</v>
      </c>
      <c r="D23" s="24" t="s">
        <v>169</v>
      </c>
      <c r="E23" s="24" t="s">
        <v>622</v>
      </c>
      <c r="F23" s="24" t="s">
        <v>598</v>
      </c>
      <c r="G23" s="26" t="s">
        <v>38</v>
      </c>
      <c r="H23" s="27" t="s">
        <v>79</v>
      </c>
      <c r="I23" s="26" t="s">
        <v>79</v>
      </c>
      <c r="J23" s="25"/>
      <c r="K23" s="26" t="s">
        <v>72</v>
      </c>
      <c r="L23" s="26" t="s">
        <v>74</v>
      </c>
      <c r="M23" s="26" t="s">
        <v>135</v>
      </c>
      <c r="N23" s="25"/>
      <c r="O23" s="26" t="s">
        <v>148</v>
      </c>
      <c r="P23" s="26" t="s">
        <v>38</v>
      </c>
      <c r="Q23" s="27" t="s">
        <v>79</v>
      </c>
      <c r="R23" s="25"/>
      <c r="S23" s="42" t="str">
        <f>"405,0"</f>
        <v>405,0</v>
      </c>
      <c r="T23" s="25" t="str">
        <f>"275,1975"</f>
        <v>275,1975</v>
      </c>
      <c r="U23" s="24" t="s">
        <v>170</v>
      </c>
    </row>
    <row r="24" spans="1:21">
      <c r="A24" s="12" t="s">
        <v>60</v>
      </c>
      <c r="B24" s="11" t="s">
        <v>171</v>
      </c>
      <c r="C24" s="11" t="s">
        <v>172</v>
      </c>
      <c r="D24" s="11" t="s">
        <v>173</v>
      </c>
      <c r="E24" s="11" t="s">
        <v>620</v>
      </c>
      <c r="F24" s="11" t="s">
        <v>598</v>
      </c>
      <c r="G24" s="23" t="s">
        <v>17</v>
      </c>
      <c r="H24" s="23" t="s">
        <v>17</v>
      </c>
      <c r="I24" s="22" t="s">
        <v>17</v>
      </c>
      <c r="J24" s="12"/>
      <c r="K24" s="22" t="s">
        <v>40</v>
      </c>
      <c r="L24" s="22" t="s">
        <v>113</v>
      </c>
      <c r="M24" s="22" t="s">
        <v>120</v>
      </c>
      <c r="N24" s="12"/>
      <c r="O24" s="22" t="s">
        <v>48</v>
      </c>
      <c r="P24" s="22" t="s">
        <v>31</v>
      </c>
      <c r="Q24" s="22" t="s">
        <v>25</v>
      </c>
      <c r="R24" s="12"/>
      <c r="S24" s="41" t="str">
        <f>"487,5"</f>
        <v>487,5</v>
      </c>
      <c r="T24" s="12" t="str">
        <f>"330,4763"</f>
        <v>330,4763</v>
      </c>
      <c r="U24" s="11"/>
    </row>
    <row r="25" spans="1:21">
      <c r="B25" s="5" t="s">
        <v>61</v>
      </c>
    </row>
    <row r="26" spans="1:21" ht="16">
      <c r="A26" s="45" t="s">
        <v>21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1:21">
      <c r="A27" s="8" t="s">
        <v>60</v>
      </c>
      <c r="B27" s="7" t="s">
        <v>174</v>
      </c>
      <c r="C27" s="7" t="s">
        <v>175</v>
      </c>
      <c r="D27" s="7" t="s">
        <v>176</v>
      </c>
      <c r="E27" s="7" t="s">
        <v>620</v>
      </c>
      <c r="F27" s="7" t="s">
        <v>604</v>
      </c>
      <c r="G27" s="18" t="s">
        <v>48</v>
      </c>
      <c r="H27" s="18" t="s">
        <v>25</v>
      </c>
      <c r="I27" s="19" t="s">
        <v>177</v>
      </c>
      <c r="J27" s="8"/>
      <c r="K27" s="18" t="s">
        <v>114</v>
      </c>
      <c r="L27" s="19" t="s">
        <v>37</v>
      </c>
      <c r="M27" s="19" t="s">
        <v>37</v>
      </c>
      <c r="N27" s="8"/>
      <c r="O27" s="18" t="s">
        <v>25</v>
      </c>
      <c r="P27" s="18" t="s">
        <v>160</v>
      </c>
      <c r="Q27" s="18" t="s">
        <v>27</v>
      </c>
      <c r="R27" s="8"/>
      <c r="S27" s="38" t="str">
        <f>"550,0"</f>
        <v>550,0</v>
      </c>
      <c r="T27" s="8" t="str">
        <f>"337,4800"</f>
        <v>337,4800</v>
      </c>
      <c r="U27" s="7"/>
    </row>
    <row r="28" spans="1:21">
      <c r="B28" s="5" t="s">
        <v>61</v>
      </c>
    </row>
    <row r="29" spans="1:21" ht="16">
      <c r="A29" s="45" t="s">
        <v>178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</row>
    <row r="30" spans="1:21">
      <c r="A30" s="10" t="s">
        <v>60</v>
      </c>
      <c r="B30" s="9" t="s">
        <v>179</v>
      </c>
      <c r="C30" s="9" t="s">
        <v>180</v>
      </c>
      <c r="D30" s="9" t="s">
        <v>181</v>
      </c>
      <c r="E30" s="9" t="s">
        <v>620</v>
      </c>
      <c r="F30" s="9" t="s">
        <v>605</v>
      </c>
      <c r="G30" s="20" t="s">
        <v>177</v>
      </c>
      <c r="H30" s="20" t="s">
        <v>97</v>
      </c>
      <c r="I30" s="21" t="s">
        <v>98</v>
      </c>
      <c r="J30" s="10"/>
      <c r="K30" s="20" t="s">
        <v>17</v>
      </c>
      <c r="L30" s="20" t="s">
        <v>48</v>
      </c>
      <c r="M30" s="21" t="s">
        <v>121</v>
      </c>
      <c r="N30" s="10"/>
      <c r="O30" s="20" t="s">
        <v>99</v>
      </c>
      <c r="P30" s="20" t="s">
        <v>102</v>
      </c>
      <c r="Q30" s="20" t="s">
        <v>92</v>
      </c>
      <c r="R30" s="10"/>
      <c r="S30" s="40" t="str">
        <f>"660,0"</f>
        <v>660,0</v>
      </c>
      <c r="T30" s="10" t="str">
        <f>"380,0280"</f>
        <v>380,0280</v>
      </c>
      <c r="U30" s="9"/>
    </row>
    <row r="31" spans="1:21">
      <c r="A31" s="12" t="s">
        <v>122</v>
      </c>
      <c r="B31" s="11" t="s">
        <v>182</v>
      </c>
      <c r="C31" s="11" t="s">
        <v>183</v>
      </c>
      <c r="D31" s="11" t="s">
        <v>184</v>
      </c>
      <c r="E31" s="11" t="s">
        <v>620</v>
      </c>
      <c r="F31" s="11" t="s">
        <v>598</v>
      </c>
      <c r="G31" s="23" t="s">
        <v>25</v>
      </c>
      <c r="H31" s="22" t="s">
        <v>25</v>
      </c>
      <c r="I31" s="22" t="s">
        <v>160</v>
      </c>
      <c r="J31" s="12"/>
      <c r="K31" s="22" t="s">
        <v>185</v>
      </c>
      <c r="L31" s="12"/>
      <c r="M31" s="12"/>
      <c r="N31" s="12"/>
      <c r="O31" s="22" t="s">
        <v>98</v>
      </c>
      <c r="P31" s="22" t="s">
        <v>102</v>
      </c>
      <c r="Q31" s="22" t="s">
        <v>186</v>
      </c>
      <c r="R31" s="12"/>
      <c r="S31" s="41" t="str">
        <f>"657,5"</f>
        <v>657,5</v>
      </c>
      <c r="T31" s="12" t="str">
        <f>"380,8240"</f>
        <v>380,8240</v>
      </c>
      <c r="U31" s="11"/>
    </row>
    <row r="32" spans="1:21">
      <c r="B32" s="5" t="s">
        <v>61</v>
      </c>
    </row>
    <row r="33" spans="2:6">
      <c r="B33" s="5" t="s">
        <v>61</v>
      </c>
    </row>
    <row r="34" spans="2:6">
      <c r="B34" s="5" t="s">
        <v>61</v>
      </c>
    </row>
    <row r="35" spans="2:6" ht="18">
      <c r="B35" s="13" t="s">
        <v>49</v>
      </c>
      <c r="C35" s="13"/>
      <c r="F35" s="3"/>
    </row>
    <row r="36" spans="2:6" ht="16">
      <c r="B36" s="14" t="s">
        <v>50</v>
      </c>
      <c r="C36" s="14"/>
      <c r="F36" s="3"/>
    </row>
    <row r="37" spans="2:6" ht="14">
      <c r="B37" s="15"/>
      <c r="C37" s="16" t="s">
        <v>51</v>
      </c>
      <c r="F37" s="3"/>
    </row>
    <row r="38" spans="2:6" ht="14">
      <c r="B38" s="17" t="s">
        <v>52</v>
      </c>
      <c r="C38" s="17" t="s">
        <v>53</v>
      </c>
      <c r="D38" s="17" t="s">
        <v>54</v>
      </c>
      <c r="E38" s="17" t="s">
        <v>55</v>
      </c>
      <c r="F38" s="17" t="s">
        <v>56</v>
      </c>
    </row>
    <row r="39" spans="2:6">
      <c r="B39" s="5" t="s">
        <v>145</v>
      </c>
      <c r="C39" s="5" t="s">
        <v>51</v>
      </c>
      <c r="D39" s="6" t="s">
        <v>188</v>
      </c>
      <c r="E39" s="6" t="s">
        <v>189</v>
      </c>
      <c r="F39" s="6" t="s">
        <v>190</v>
      </c>
    </row>
    <row r="40" spans="2:6">
      <c r="B40" s="5" t="s">
        <v>182</v>
      </c>
      <c r="C40" s="5" t="s">
        <v>51</v>
      </c>
      <c r="D40" s="6" t="s">
        <v>191</v>
      </c>
      <c r="E40" s="6" t="s">
        <v>192</v>
      </c>
      <c r="F40" s="6" t="s">
        <v>193</v>
      </c>
    </row>
    <row r="41" spans="2:6">
      <c r="B41" s="5" t="s">
        <v>179</v>
      </c>
      <c r="C41" s="5" t="s">
        <v>51</v>
      </c>
      <c r="D41" s="6" t="s">
        <v>191</v>
      </c>
      <c r="E41" s="6" t="s">
        <v>194</v>
      </c>
      <c r="F41" s="6" t="s">
        <v>195</v>
      </c>
    </row>
    <row r="42" spans="2:6">
      <c r="B42" s="5" t="s">
        <v>61</v>
      </c>
    </row>
  </sheetData>
  <mergeCells count="20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9:R29"/>
    <mergeCell ref="S3:S4"/>
    <mergeCell ref="T3:T4"/>
    <mergeCell ref="U3:U4"/>
    <mergeCell ref="A5:R5"/>
    <mergeCell ref="B3:B4"/>
    <mergeCell ref="A9:R9"/>
    <mergeCell ref="A12:R12"/>
    <mergeCell ref="A15:R15"/>
    <mergeCell ref="A21:R21"/>
    <mergeCell ref="A26:R2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38"/>
  <sheetViews>
    <sheetView topLeftCell="A10" workbookViewId="0">
      <selection activeCell="E38" sqref="E38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1.6640625" style="5" customWidth="1"/>
    <col min="7" max="9" width="5.5" style="6" customWidth="1"/>
    <col min="10" max="10" width="4.83203125" style="6" customWidth="1"/>
    <col min="11" max="11" width="10.5" style="39" bestFit="1" customWidth="1"/>
    <col min="12" max="12" width="8.5" style="6" bestFit="1" customWidth="1"/>
    <col min="13" max="13" width="24.33203125" style="5" customWidth="1"/>
    <col min="14" max="16384" width="9.1640625" style="3"/>
  </cols>
  <sheetData>
    <row r="1" spans="1:13" s="2" customFormat="1" ht="29" customHeight="1">
      <c r="A1" s="56" t="s">
        <v>557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597</v>
      </c>
      <c r="B3" s="54" t="s">
        <v>0</v>
      </c>
      <c r="C3" s="66" t="s">
        <v>595</v>
      </c>
      <c r="D3" s="66" t="s">
        <v>5</v>
      </c>
      <c r="E3" s="48" t="s">
        <v>596</v>
      </c>
      <c r="F3" s="48" t="s">
        <v>6</v>
      </c>
      <c r="G3" s="48" t="s">
        <v>8</v>
      </c>
      <c r="H3" s="48"/>
      <c r="I3" s="48"/>
      <c r="J3" s="48"/>
      <c r="K3" s="46" t="s">
        <v>226</v>
      </c>
      <c r="L3" s="48" t="s">
        <v>3</v>
      </c>
      <c r="M3" s="50" t="s">
        <v>2</v>
      </c>
    </row>
    <row r="4" spans="1:13" s="1" customFormat="1" ht="21" customHeight="1" thickBot="1">
      <c r="A4" s="65"/>
      <c r="B4" s="55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7"/>
      <c r="L4" s="49"/>
      <c r="M4" s="51"/>
    </row>
    <row r="5" spans="1:13" ht="16">
      <c r="A5" s="52" t="s">
        <v>124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0" t="s">
        <v>60</v>
      </c>
      <c r="B6" s="9" t="s">
        <v>416</v>
      </c>
      <c r="C6" s="9" t="s">
        <v>417</v>
      </c>
      <c r="D6" s="9" t="s">
        <v>418</v>
      </c>
      <c r="E6" s="9" t="s">
        <v>622</v>
      </c>
      <c r="F6" s="9" t="s">
        <v>598</v>
      </c>
      <c r="G6" s="20" t="s">
        <v>135</v>
      </c>
      <c r="H6" s="21" t="s">
        <v>39</v>
      </c>
      <c r="I6" s="21" t="s">
        <v>39</v>
      </c>
      <c r="J6" s="10"/>
      <c r="K6" s="40" t="str">
        <f>"90,0"</f>
        <v>90,0</v>
      </c>
      <c r="L6" s="10" t="str">
        <f>"94,0860"</f>
        <v>94,0860</v>
      </c>
      <c r="M6" s="9" t="s">
        <v>569</v>
      </c>
    </row>
    <row r="7" spans="1:13">
      <c r="A7" s="25" t="s">
        <v>60</v>
      </c>
      <c r="B7" s="24" t="s">
        <v>416</v>
      </c>
      <c r="C7" s="24" t="s">
        <v>419</v>
      </c>
      <c r="D7" s="24" t="s">
        <v>418</v>
      </c>
      <c r="E7" s="24" t="s">
        <v>620</v>
      </c>
      <c r="F7" s="24" t="s">
        <v>598</v>
      </c>
      <c r="G7" s="26" t="s">
        <v>135</v>
      </c>
      <c r="H7" s="27" t="s">
        <v>39</v>
      </c>
      <c r="I7" s="27" t="s">
        <v>39</v>
      </c>
      <c r="J7" s="25"/>
      <c r="K7" s="42" t="str">
        <f>"90,0"</f>
        <v>90,0</v>
      </c>
      <c r="L7" s="25" t="str">
        <f>"94,0860"</f>
        <v>94,0860</v>
      </c>
      <c r="M7" s="24" t="s">
        <v>569</v>
      </c>
    </row>
    <row r="8" spans="1:13">
      <c r="A8" s="12" t="s">
        <v>122</v>
      </c>
      <c r="B8" s="11" t="s">
        <v>420</v>
      </c>
      <c r="C8" s="11" t="s">
        <v>421</v>
      </c>
      <c r="D8" s="11" t="s">
        <v>132</v>
      </c>
      <c r="E8" s="11" t="s">
        <v>620</v>
      </c>
      <c r="F8" s="11" t="s">
        <v>606</v>
      </c>
      <c r="G8" s="22" t="s">
        <v>129</v>
      </c>
      <c r="H8" s="23" t="s">
        <v>66</v>
      </c>
      <c r="I8" s="22" t="s">
        <v>67</v>
      </c>
      <c r="J8" s="12"/>
      <c r="K8" s="41" t="str">
        <f>"62,5"</f>
        <v>62,5</v>
      </c>
      <c r="L8" s="12" t="str">
        <f>"65,6250"</f>
        <v>65,6250</v>
      </c>
      <c r="M8" s="11"/>
    </row>
    <row r="9" spans="1:13">
      <c r="B9" s="5" t="s">
        <v>61</v>
      </c>
    </row>
    <row r="10" spans="1:13" ht="16">
      <c r="A10" s="45" t="s">
        <v>144</v>
      </c>
      <c r="B10" s="45"/>
      <c r="C10" s="45"/>
      <c r="D10" s="45"/>
      <c r="E10" s="45"/>
      <c r="F10" s="45"/>
      <c r="G10" s="45"/>
      <c r="H10" s="45"/>
      <c r="I10" s="45"/>
      <c r="J10" s="45"/>
    </row>
    <row r="11" spans="1:13">
      <c r="A11" s="10" t="s">
        <v>60</v>
      </c>
      <c r="B11" s="9" t="s">
        <v>198</v>
      </c>
      <c r="C11" s="9" t="s">
        <v>199</v>
      </c>
      <c r="D11" s="9" t="s">
        <v>200</v>
      </c>
      <c r="E11" s="9" t="s">
        <v>620</v>
      </c>
      <c r="F11" s="9" t="s">
        <v>598</v>
      </c>
      <c r="G11" s="20" t="s">
        <v>40</v>
      </c>
      <c r="H11" s="21" t="s">
        <v>36</v>
      </c>
      <c r="I11" s="20" t="s">
        <v>36</v>
      </c>
      <c r="J11" s="10"/>
      <c r="K11" s="40" t="str">
        <f>"120,0"</f>
        <v>120,0</v>
      </c>
      <c r="L11" s="10" t="str">
        <f>"104,3460"</f>
        <v>104,3460</v>
      </c>
      <c r="M11" s="9" t="s">
        <v>570</v>
      </c>
    </row>
    <row r="12" spans="1:13">
      <c r="A12" s="12" t="s">
        <v>60</v>
      </c>
      <c r="B12" s="11" t="s">
        <v>198</v>
      </c>
      <c r="C12" s="11" t="s">
        <v>201</v>
      </c>
      <c r="D12" s="11" t="s">
        <v>200</v>
      </c>
      <c r="E12" s="11" t="s">
        <v>624</v>
      </c>
      <c r="F12" s="11" t="s">
        <v>598</v>
      </c>
      <c r="G12" s="22" t="s">
        <v>40</v>
      </c>
      <c r="H12" s="23" t="s">
        <v>36</v>
      </c>
      <c r="I12" s="22" t="s">
        <v>36</v>
      </c>
      <c r="J12" s="12"/>
      <c r="K12" s="41" t="str">
        <f>"120,0"</f>
        <v>120,0</v>
      </c>
      <c r="L12" s="12" t="str">
        <f>"105,3895"</f>
        <v>105,3895</v>
      </c>
      <c r="M12" s="11" t="s">
        <v>570</v>
      </c>
    </row>
    <row r="13" spans="1:13">
      <c r="B13" s="5" t="s">
        <v>61</v>
      </c>
    </row>
    <row r="14" spans="1:13" ht="16">
      <c r="A14" s="45" t="s">
        <v>62</v>
      </c>
      <c r="B14" s="45"/>
      <c r="C14" s="45"/>
      <c r="D14" s="45"/>
      <c r="E14" s="45"/>
      <c r="F14" s="45"/>
      <c r="G14" s="45"/>
      <c r="H14" s="45"/>
      <c r="I14" s="45"/>
      <c r="J14" s="45"/>
    </row>
    <row r="15" spans="1:13">
      <c r="A15" s="8" t="s">
        <v>60</v>
      </c>
      <c r="B15" s="7" t="s">
        <v>422</v>
      </c>
      <c r="C15" s="7" t="s">
        <v>423</v>
      </c>
      <c r="D15" s="7" t="s">
        <v>424</v>
      </c>
      <c r="E15" s="7" t="s">
        <v>622</v>
      </c>
      <c r="F15" s="7" t="s">
        <v>598</v>
      </c>
      <c r="G15" s="18" t="s">
        <v>16</v>
      </c>
      <c r="H15" s="18" t="s">
        <v>17</v>
      </c>
      <c r="I15" s="19" t="s">
        <v>48</v>
      </c>
      <c r="J15" s="8"/>
      <c r="K15" s="38" t="str">
        <f>"170,0"</f>
        <v>170,0</v>
      </c>
      <c r="L15" s="8" t="str">
        <f>"130,3985"</f>
        <v>130,3985</v>
      </c>
      <c r="M15" s="7" t="s">
        <v>576</v>
      </c>
    </row>
    <row r="16" spans="1:13">
      <c r="B16" s="5" t="s">
        <v>61</v>
      </c>
    </row>
    <row r="17" spans="1:13" ht="16">
      <c r="A17" s="45" t="s">
        <v>144</v>
      </c>
      <c r="B17" s="45"/>
      <c r="C17" s="45"/>
      <c r="D17" s="45"/>
      <c r="E17" s="45"/>
      <c r="F17" s="45"/>
      <c r="G17" s="45"/>
      <c r="H17" s="45"/>
      <c r="I17" s="45"/>
      <c r="J17" s="45"/>
    </row>
    <row r="18" spans="1:13">
      <c r="A18" s="8" t="s">
        <v>60</v>
      </c>
      <c r="B18" s="7" t="s">
        <v>425</v>
      </c>
      <c r="C18" s="7" t="s">
        <v>426</v>
      </c>
      <c r="D18" s="7" t="s">
        <v>361</v>
      </c>
      <c r="E18" s="7" t="s">
        <v>624</v>
      </c>
      <c r="F18" s="7" t="s">
        <v>613</v>
      </c>
      <c r="G18" s="18" t="s">
        <v>25</v>
      </c>
      <c r="H18" s="18" t="s">
        <v>26</v>
      </c>
      <c r="I18" s="19" t="s">
        <v>97</v>
      </c>
      <c r="J18" s="8"/>
      <c r="K18" s="38" t="str">
        <f>"212,5"</f>
        <v>212,5</v>
      </c>
      <c r="L18" s="8" t="str">
        <f>"147,0394"</f>
        <v>147,0394</v>
      </c>
      <c r="M18" s="7"/>
    </row>
    <row r="19" spans="1:13">
      <c r="B19" s="5" t="s">
        <v>61</v>
      </c>
    </row>
    <row r="20" spans="1:13" ht="16">
      <c r="A20" s="45" t="s">
        <v>139</v>
      </c>
      <c r="B20" s="45"/>
      <c r="C20" s="45"/>
      <c r="D20" s="45"/>
      <c r="E20" s="45"/>
      <c r="F20" s="45"/>
      <c r="G20" s="45"/>
      <c r="H20" s="45"/>
      <c r="I20" s="45"/>
      <c r="J20" s="45"/>
    </row>
    <row r="21" spans="1:13">
      <c r="A21" s="10" t="s">
        <v>60</v>
      </c>
      <c r="B21" s="9" t="s">
        <v>205</v>
      </c>
      <c r="C21" s="9" t="s">
        <v>206</v>
      </c>
      <c r="D21" s="9" t="s">
        <v>207</v>
      </c>
      <c r="E21" s="9" t="s">
        <v>620</v>
      </c>
      <c r="F21" s="9" t="s">
        <v>598</v>
      </c>
      <c r="G21" s="20" t="s">
        <v>31</v>
      </c>
      <c r="H21" s="20" t="s">
        <v>154</v>
      </c>
      <c r="I21" s="10"/>
      <c r="J21" s="10"/>
      <c r="K21" s="40" t="str">
        <f>"202,5"</f>
        <v>202,5</v>
      </c>
      <c r="L21" s="10" t="str">
        <f>"131,4731"</f>
        <v>131,4731</v>
      </c>
      <c r="M21" s="9"/>
    </row>
    <row r="22" spans="1:13">
      <c r="A22" s="12" t="s">
        <v>60</v>
      </c>
      <c r="B22" s="11" t="s">
        <v>205</v>
      </c>
      <c r="C22" s="11" t="s">
        <v>208</v>
      </c>
      <c r="D22" s="11" t="s">
        <v>207</v>
      </c>
      <c r="E22" s="11" t="s">
        <v>624</v>
      </c>
      <c r="F22" s="11" t="s">
        <v>598</v>
      </c>
      <c r="G22" s="22" t="s">
        <v>31</v>
      </c>
      <c r="H22" s="22" t="s">
        <v>154</v>
      </c>
      <c r="I22" s="12"/>
      <c r="J22" s="12"/>
      <c r="K22" s="41" t="str">
        <f>"202,5"</f>
        <v>202,5</v>
      </c>
      <c r="L22" s="12" t="str">
        <f>"131,4731"</f>
        <v>131,4731</v>
      </c>
      <c r="M22" s="11"/>
    </row>
    <row r="23" spans="1:13">
      <c r="B23" s="5" t="s">
        <v>61</v>
      </c>
    </row>
    <row r="24" spans="1:13" ht="16">
      <c r="A24" s="45" t="s">
        <v>10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3">
      <c r="A25" s="10" t="s">
        <v>196</v>
      </c>
      <c r="B25" s="9" t="s">
        <v>379</v>
      </c>
      <c r="C25" s="9" t="s">
        <v>380</v>
      </c>
      <c r="D25" s="9" t="s">
        <v>381</v>
      </c>
      <c r="E25" s="9" t="s">
        <v>620</v>
      </c>
      <c r="F25" s="9" t="s">
        <v>611</v>
      </c>
      <c r="G25" s="21" t="s">
        <v>92</v>
      </c>
      <c r="H25" s="21" t="s">
        <v>92</v>
      </c>
      <c r="I25" s="21" t="s">
        <v>92</v>
      </c>
      <c r="J25" s="10"/>
      <c r="K25" s="40">
        <v>9</v>
      </c>
      <c r="L25" s="10" t="str">
        <f>"0,0000"</f>
        <v>0,0000</v>
      </c>
      <c r="M25" s="9"/>
    </row>
    <row r="26" spans="1:13">
      <c r="A26" s="12" t="s">
        <v>60</v>
      </c>
      <c r="B26" s="11" t="s">
        <v>427</v>
      </c>
      <c r="C26" s="11" t="s">
        <v>428</v>
      </c>
      <c r="D26" s="11" t="s">
        <v>88</v>
      </c>
      <c r="E26" s="11" t="s">
        <v>624</v>
      </c>
      <c r="F26" s="11" t="s">
        <v>605</v>
      </c>
      <c r="G26" s="22" t="s">
        <v>79</v>
      </c>
      <c r="H26" s="22" t="s">
        <v>17</v>
      </c>
      <c r="I26" s="23" t="s">
        <v>18</v>
      </c>
      <c r="J26" s="12"/>
      <c r="K26" s="41" t="str">
        <f>"170,0"</f>
        <v>170,0</v>
      </c>
      <c r="L26" s="12" t="str">
        <f>"109,1698"</f>
        <v>109,1698</v>
      </c>
      <c r="M26" s="11" t="s">
        <v>580</v>
      </c>
    </row>
    <row r="27" spans="1:13">
      <c r="B27" s="5" t="s">
        <v>61</v>
      </c>
    </row>
    <row r="28" spans="1:13" ht="16">
      <c r="A28" s="45" t="s">
        <v>21</v>
      </c>
      <c r="B28" s="45"/>
      <c r="C28" s="45"/>
      <c r="D28" s="45"/>
      <c r="E28" s="45"/>
      <c r="F28" s="45"/>
      <c r="G28" s="45"/>
      <c r="H28" s="45"/>
      <c r="I28" s="45"/>
      <c r="J28" s="45"/>
    </row>
    <row r="29" spans="1:13">
      <c r="A29" s="8" t="s">
        <v>196</v>
      </c>
      <c r="B29" s="7" t="s">
        <v>429</v>
      </c>
      <c r="C29" s="7" t="s">
        <v>430</v>
      </c>
      <c r="D29" s="7" t="s">
        <v>431</v>
      </c>
      <c r="E29" s="7" t="s">
        <v>624</v>
      </c>
      <c r="F29" s="7" t="s">
        <v>598</v>
      </c>
      <c r="G29" s="19" t="s">
        <v>154</v>
      </c>
      <c r="H29" s="19" t="s">
        <v>154</v>
      </c>
      <c r="I29" s="19" t="s">
        <v>154</v>
      </c>
      <c r="J29" s="8"/>
      <c r="K29" s="38">
        <v>0</v>
      </c>
      <c r="L29" s="8" t="str">
        <f>"0,0000"</f>
        <v>0,0000</v>
      </c>
      <c r="M29" s="7"/>
    </row>
    <row r="30" spans="1:13">
      <c r="B30" s="5" t="s">
        <v>61</v>
      </c>
    </row>
    <row r="31" spans="1:13" ht="16">
      <c r="A31" s="45" t="s">
        <v>42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3">
      <c r="A32" s="10" t="s">
        <v>60</v>
      </c>
      <c r="B32" s="9" t="s">
        <v>432</v>
      </c>
      <c r="C32" s="9" t="s">
        <v>118</v>
      </c>
      <c r="D32" s="9" t="s">
        <v>433</v>
      </c>
      <c r="E32" s="9" t="s">
        <v>620</v>
      </c>
      <c r="F32" s="9" t="s">
        <v>598</v>
      </c>
      <c r="G32" s="20" t="s">
        <v>102</v>
      </c>
      <c r="H32" s="20" t="s">
        <v>186</v>
      </c>
      <c r="I32" s="20" t="s">
        <v>215</v>
      </c>
      <c r="J32" s="10"/>
      <c r="K32" s="40" t="str">
        <f>"275,0"</f>
        <v>275,0</v>
      </c>
      <c r="L32" s="10" t="str">
        <f>"154,6875"</f>
        <v>154,6875</v>
      </c>
      <c r="M32" s="9" t="s">
        <v>572</v>
      </c>
    </row>
    <row r="33" spans="1:13">
      <c r="A33" s="12" t="s">
        <v>122</v>
      </c>
      <c r="B33" s="11" t="s">
        <v>434</v>
      </c>
      <c r="C33" s="11" t="s">
        <v>435</v>
      </c>
      <c r="D33" s="11" t="s">
        <v>436</v>
      </c>
      <c r="E33" s="11" t="s">
        <v>620</v>
      </c>
      <c r="F33" s="11" t="s">
        <v>598</v>
      </c>
      <c r="G33" s="22" t="s">
        <v>160</v>
      </c>
      <c r="H33" s="22" t="s">
        <v>107</v>
      </c>
      <c r="I33" s="12"/>
      <c r="J33" s="12"/>
      <c r="K33" s="41" t="str">
        <f>"245,0"</f>
        <v>245,0</v>
      </c>
      <c r="L33" s="12" t="str">
        <f>"138,0943"</f>
        <v>138,0943</v>
      </c>
      <c r="M33" s="11"/>
    </row>
    <row r="34" spans="1:13">
      <c r="B34" s="5" t="s">
        <v>61</v>
      </c>
    </row>
    <row r="35" spans="1:13" ht="16">
      <c r="A35" s="45" t="s">
        <v>178</v>
      </c>
      <c r="B35" s="45"/>
      <c r="C35" s="45"/>
      <c r="D35" s="45"/>
      <c r="E35" s="45"/>
      <c r="F35" s="45"/>
      <c r="G35" s="45"/>
      <c r="H35" s="45"/>
      <c r="I35" s="45"/>
      <c r="J35" s="45"/>
    </row>
    <row r="36" spans="1:13">
      <c r="A36" s="10" t="s">
        <v>60</v>
      </c>
      <c r="B36" s="9" t="s">
        <v>212</v>
      </c>
      <c r="C36" s="9" t="s">
        <v>213</v>
      </c>
      <c r="D36" s="9" t="s">
        <v>214</v>
      </c>
      <c r="E36" s="9" t="s">
        <v>620</v>
      </c>
      <c r="F36" s="9" t="s">
        <v>598</v>
      </c>
      <c r="G36" s="20" t="s">
        <v>102</v>
      </c>
      <c r="H36" s="20" t="s">
        <v>437</v>
      </c>
      <c r="I36" s="20" t="s">
        <v>215</v>
      </c>
      <c r="J36" s="10"/>
      <c r="K36" s="40" t="str">
        <f>"275,0"</f>
        <v>275,0</v>
      </c>
      <c r="L36" s="10" t="str">
        <f>"152,3087"</f>
        <v>152,3087</v>
      </c>
      <c r="M36" s="9"/>
    </row>
    <row r="37" spans="1:13">
      <c r="A37" s="12" t="s">
        <v>60</v>
      </c>
      <c r="B37" s="11" t="s">
        <v>212</v>
      </c>
      <c r="C37" s="11" t="s">
        <v>220</v>
      </c>
      <c r="D37" s="11" t="s">
        <v>214</v>
      </c>
      <c r="E37" s="11" t="s">
        <v>624</v>
      </c>
      <c r="F37" s="11" t="s">
        <v>598</v>
      </c>
      <c r="G37" s="22" t="s">
        <v>102</v>
      </c>
      <c r="H37" s="22" t="s">
        <v>437</v>
      </c>
      <c r="I37" s="22" t="s">
        <v>215</v>
      </c>
      <c r="J37" s="12"/>
      <c r="K37" s="41" t="str">
        <f>"275,0"</f>
        <v>275,0</v>
      </c>
      <c r="L37" s="12" t="str">
        <f>"157,0303"</f>
        <v>157,0303</v>
      </c>
      <c r="M37" s="11"/>
    </row>
    <row r="38" spans="1:13">
      <c r="B38" s="5" t="s">
        <v>61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1:J31"/>
    <mergeCell ref="A35:J35"/>
    <mergeCell ref="B3:B4"/>
    <mergeCell ref="A10:J10"/>
    <mergeCell ref="A14:J14"/>
    <mergeCell ref="A17:J17"/>
    <mergeCell ref="A20:J20"/>
    <mergeCell ref="A24:J24"/>
    <mergeCell ref="A28:J2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2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3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3.1640625" style="5" bestFit="1" customWidth="1"/>
    <col min="14" max="16384" width="9.1640625" style="3"/>
  </cols>
  <sheetData>
    <row r="1" spans="1:13" s="2" customFormat="1" ht="29" customHeight="1">
      <c r="A1" s="56" t="s">
        <v>560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597</v>
      </c>
      <c r="B3" s="54" t="s">
        <v>0</v>
      </c>
      <c r="C3" s="66" t="s">
        <v>595</v>
      </c>
      <c r="D3" s="66" t="s">
        <v>5</v>
      </c>
      <c r="E3" s="48" t="s">
        <v>596</v>
      </c>
      <c r="F3" s="48" t="s">
        <v>6</v>
      </c>
      <c r="G3" s="48" t="s">
        <v>8</v>
      </c>
      <c r="H3" s="48"/>
      <c r="I3" s="48"/>
      <c r="J3" s="48"/>
      <c r="K3" s="48" t="s">
        <v>226</v>
      </c>
      <c r="L3" s="48" t="s">
        <v>3</v>
      </c>
      <c r="M3" s="50" t="s">
        <v>2</v>
      </c>
    </row>
    <row r="4" spans="1:13" s="1" customFormat="1" ht="21" customHeight="1" thickBot="1">
      <c r="A4" s="65"/>
      <c r="B4" s="55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144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0" t="s">
        <v>60</v>
      </c>
      <c r="B6" s="9" t="s">
        <v>198</v>
      </c>
      <c r="C6" s="9" t="s">
        <v>199</v>
      </c>
      <c r="D6" s="9" t="s">
        <v>200</v>
      </c>
      <c r="E6" s="9" t="s">
        <v>620</v>
      </c>
      <c r="F6" s="9" t="s">
        <v>598</v>
      </c>
      <c r="G6" s="20" t="s">
        <v>40</v>
      </c>
      <c r="H6" s="21" t="s">
        <v>36</v>
      </c>
      <c r="I6" s="20" t="s">
        <v>36</v>
      </c>
      <c r="J6" s="10"/>
      <c r="K6" s="10" t="str">
        <f>"120,0"</f>
        <v>120,0</v>
      </c>
      <c r="L6" s="10" t="str">
        <f>"104,3460"</f>
        <v>104,3460</v>
      </c>
      <c r="M6" s="9" t="s">
        <v>588</v>
      </c>
    </row>
    <row r="7" spans="1:13">
      <c r="A7" s="12" t="s">
        <v>60</v>
      </c>
      <c r="B7" s="11" t="s">
        <v>198</v>
      </c>
      <c r="C7" s="11" t="s">
        <v>201</v>
      </c>
      <c r="D7" s="11" t="s">
        <v>200</v>
      </c>
      <c r="E7" s="11" t="s">
        <v>624</v>
      </c>
      <c r="F7" s="11" t="s">
        <v>598</v>
      </c>
      <c r="G7" s="22" t="s">
        <v>40</v>
      </c>
      <c r="H7" s="23" t="s">
        <v>36</v>
      </c>
      <c r="I7" s="22" t="s">
        <v>36</v>
      </c>
      <c r="J7" s="12"/>
      <c r="K7" s="12" t="str">
        <f>"120,0"</f>
        <v>120,0</v>
      </c>
      <c r="L7" s="12" t="str">
        <f>"105,3895"</f>
        <v>105,3895</v>
      </c>
      <c r="M7" s="11" t="s">
        <v>588</v>
      </c>
    </row>
    <row r="8" spans="1:13">
      <c r="B8" s="5" t="s">
        <v>61</v>
      </c>
    </row>
    <row r="9" spans="1:13" ht="16">
      <c r="A9" s="45" t="s">
        <v>144</v>
      </c>
      <c r="B9" s="45"/>
      <c r="C9" s="45"/>
      <c r="D9" s="45"/>
      <c r="E9" s="45"/>
      <c r="F9" s="45"/>
      <c r="G9" s="45"/>
      <c r="H9" s="45"/>
      <c r="I9" s="45"/>
      <c r="J9" s="45"/>
    </row>
    <row r="10" spans="1:13">
      <c r="A10" s="8" t="s">
        <v>60</v>
      </c>
      <c r="B10" s="7" t="s">
        <v>202</v>
      </c>
      <c r="C10" s="7" t="s">
        <v>203</v>
      </c>
      <c r="D10" s="7" t="s">
        <v>204</v>
      </c>
      <c r="E10" s="7" t="s">
        <v>620</v>
      </c>
      <c r="F10" s="7" t="s">
        <v>598</v>
      </c>
      <c r="G10" s="18" t="s">
        <v>48</v>
      </c>
      <c r="H10" s="18" t="s">
        <v>31</v>
      </c>
      <c r="I10" s="19" t="s">
        <v>106</v>
      </c>
      <c r="J10" s="8"/>
      <c r="K10" s="8" t="str">
        <f>"190,0"</f>
        <v>190,0</v>
      </c>
      <c r="L10" s="8" t="str">
        <f>"130,8245"</f>
        <v>130,8245</v>
      </c>
      <c r="M10" s="7"/>
    </row>
    <row r="11" spans="1:13">
      <c r="B11" s="5" t="s">
        <v>61</v>
      </c>
    </row>
    <row r="12" spans="1:13" ht="16">
      <c r="A12" s="45" t="s">
        <v>139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3">
      <c r="A13" s="10" t="s">
        <v>60</v>
      </c>
      <c r="B13" s="9" t="s">
        <v>205</v>
      </c>
      <c r="C13" s="9" t="s">
        <v>206</v>
      </c>
      <c r="D13" s="9" t="s">
        <v>207</v>
      </c>
      <c r="E13" s="9" t="s">
        <v>620</v>
      </c>
      <c r="F13" s="9" t="s">
        <v>598</v>
      </c>
      <c r="G13" s="20" t="s">
        <v>31</v>
      </c>
      <c r="H13" s="20" t="s">
        <v>154</v>
      </c>
      <c r="I13" s="10"/>
      <c r="J13" s="10"/>
      <c r="K13" s="10" t="str">
        <f>"202,5"</f>
        <v>202,5</v>
      </c>
      <c r="L13" s="10" t="str">
        <f>"131,4731"</f>
        <v>131,4731</v>
      </c>
      <c r="M13" s="9"/>
    </row>
    <row r="14" spans="1:13">
      <c r="A14" s="12" t="s">
        <v>60</v>
      </c>
      <c r="B14" s="11" t="s">
        <v>205</v>
      </c>
      <c r="C14" s="11" t="s">
        <v>208</v>
      </c>
      <c r="D14" s="11" t="s">
        <v>207</v>
      </c>
      <c r="E14" s="11" t="s">
        <v>624</v>
      </c>
      <c r="F14" s="11" t="s">
        <v>598</v>
      </c>
      <c r="G14" s="22" t="s">
        <v>31</v>
      </c>
      <c r="H14" s="22" t="s">
        <v>154</v>
      </c>
      <c r="I14" s="12"/>
      <c r="J14" s="12"/>
      <c r="K14" s="12" t="str">
        <f>"202,5"</f>
        <v>202,5</v>
      </c>
      <c r="L14" s="12" t="str">
        <f>"131,4731"</f>
        <v>131,4731</v>
      </c>
      <c r="M14" s="11"/>
    </row>
    <row r="15" spans="1:13">
      <c r="B15" s="5" t="s">
        <v>61</v>
      </c>
    </row>
    <row r="16" spans="1:13" ht="16">
      <c r="A16" s="45" t="s">
        <v>10</v>
      </c>
      <c r="B16" s="45"/>
      <c r="C16" s="45"/>
      <c r="D16" s="45"/>
      <c r="E16" s="45"/>
      <c r="F16" s="45"/>
      <c r="G16" s="45"/>
      <c r="H16" s="45"/>
      <c r="I16" s="45"/>
      <c r="J16" s="45"/>
    </row>
    <row r="17" spans="1:13">
      <c r="A17" s="8" t="s">
        <v>60</v>
      </c>
      <c r="B17" s="7" t="s">
        <v>209</v>
      </c>
      <c r="C17" s="7" t="s">
        <v>210</v>
      </c>
      <c r="D17" s="7" t="s">
        <v>211</v>
      </c>
      <c r="E17" s="7" t="s">
        <v>620</v>
      </c>
      <c r="F17" s="7" t="s">
        <v>605</v>
      </c>
      <c r="G17" s="18" t="s">
        <v>90</v>
      </c>
      <c r="H17" s="19" t="s">
        <v>108</v>
      </c>
      <c r="I17" s="19" t="s">
        <v>108</v>
      </c>
      <c r="J17" s="8"/>
      <c r="K17" s="8" t="str">
        <f>"235,0"</f>
        <v>235,0</v>
      </c>
      <c r="L17" s="8" t="str">
        <f>"144,7718"</f>
        <v>144,7718</v>
      </c>
      <c r="M17" s="7" t="s">
        <v>589</v>
      </c>
    </row>
    <row r="18" spans="1:13">
      <c r="B18" s="5" t="s">
        <v>61</v>
      </c>
    </row>
    <row r="19" spans="1:13" ht="16">
      <c r="A19" s="45" t="s">
        <v>178</v>
      </c>
      <c r="B19" s="45"/>
      <c r="C19" s="45"/>
      <c r="D19" s="45"/>
      <c r="E19" s="45"/>
      <c r="F19" s="45"/>
      <c r="G19" s="45"/>
      <c r="H19" s="45"/>
      <c r="I19" s="45"/>
      <c r="J19" s="45"/>
    </row>
    <row r="20" spans="1:13">
      <c r="A20" s="10" t="s">
        <v>60</v>
      </c>
      <c r="B20" s="9" t="s">
        <v>212</v>
      </c>
      <c r="C20" s="9" t="s">
        <v>213</v>
      </c>
      <c r="D20" s="9" t="s">
        <v>214</v>
      </c>
      <c r="E20" s="9" t="s">
        <v>620</v>
      </c>
      <c r="F20" s="28" t="s">
        <v>598</v>
      </c>
      <c r="G20" s="34" t="s">
        <v>102</v>
      </c>
      <c r="H20" s="20" t="s">
        <v>437</v>
      </c>
      <c r="I20" s="36" t="s">
        <v>215</v>
      </c>
      <c r="J20" s="31"/>
      <c r="K20" s="10" t="str">
        <f>"275,0"</f>
        <v>275,0</v>
      </c>
      <c r="L20" s="10" t="str">
        <f>"152,3087"</f>
        <v>152,3087</v>
      </c>
      <c r="M20" s="9"/>
    </row>
    <row r="21" spans="1:13">
      <c r="A21" s="25" t="s">
        <v>60</v>
      </c>
      <c r="B21" s="24" t="s">
        <v>216</v>
      </c>
      <c r="C21" s="24" t="s">
        <v>217</v>
      </c>
      <c r="D21" s="24" t="s">
        <v>218</v>
      </c>
      <c r="E21" s="24" t="s">
        <v>624</v>
      </c>
      <c r="F21" s="29" t="s">
        <v>598</v>
      </c>
      <c r="G21" s="35" t="s">
        <v>14</v>
      </c>
      <c r="H21" s="26" t="s">
        <v>47</v>
      </c>
      <c r="I21" s="43" t="s">
        <v>219</v>
      </c>
      <c r="J21" s="32"/>
      <c r="K21" s="25" t="str">
        <f>"312,5"</f>
        <v>312,5</v>
      </c>
      <c r="L21" s="25" t="str">
        <f>"178,7818"</f>
        <v>178,7818</v>
      </c>
      <c r="M21" s="24"/>
    </row>
    <row r="22" spans="1:13">
      <c r="A22" s="12" t="s">
        <v>122</v>
      </c>
      <c r="B22" s="11" t="s">
        <v>212</v>
      </c>
      <c r="C22" s="11" t="s">
        <v>220</v>
      </c>
      <c r="D22" s="11" t="s">
        <v>214</v>
      </c>
      <c r="E22" s="11" t="s">
        <v>624</v>
      </c>
      <c r="F22" s="30" t="s">
        <v>598</v>
      </c>
      <c r="G22" s="37" t="s">
        <v>102</v>
      </c>
      <c r="H22" s="22" t="s">
        <v>437</v>
      </c>
      <c r="I22" s="44" t="s">
        <v>215</v>
      </c>
      <c r="J22" s="33"/>
      <c r="K22" s="12" t="str">
        <f>"275,0"</f>
        <v>275,0</v>
      </c>
      <c r="L22" s="12" t="str">
        <f>"157,0303"</f>
        <v>157,0303</v>
      </c>
      <c r="M22" s="11"/>
    </row>
    <row r="23" spans="1:13">
      <c r="B23" s="5" t="s">
        <v>61</v>
      </c>
    </row>
    <row r="24" spans="1:13" ht="16">
      <c r="A24" s="45" t="s">
        <v>221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3">
      <c r="A25" s="8" t="s">
        <v>60</v>
      </c>
      <c r="B25" s="7" t="s">
        <v>222</v>
      </c>
      <c r="C25" s="7" t="s">
        <v>223</v>
      </c>
      <c r="D25" s="7" t="s">
        <v>224</v>
      </c>
      <c r="E25" s="7" t="s">
        <v>620</v>
      </c>
      <c r="F25" s="7" t="s">
        <v>605</v>
      </c>
      <c r="G25" s="18" t="s">
        <v>102</v>
      </c>
      <c r="H25" s="18" t="s">
        <v>92</v>
      </c>
      <c r="I25" s="19" t="s">
        <v>186</v>
      </c>
      <c r="J25" s="8"/>
      <c r="K25" s="8" t="str">
        <f>"260,0"</f>
        <v>260,0</v>
      </c>
      <c r="L25" s="8" t="str">
        <f>"140,2518"</f>
        <v>140,2518</v>
      </c>
      <c r="M25" s="7"/>
    </row>
    <row r="26" spans="1:13">
      <c r="B26" s="5" t="s">
        <v>61</v>
      </c>
    </row>
    <row r="27" spans="1:13">
      <c r="B27" s="5" t="s">
        <v>61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4:J24"/>
    <mergeCell ref="A5:J5"/>
    <mergeCell ref="A9:J9"/>
    <mergeCell ref="A12:J12"/>
    <mergeCell ref="A16:J16"/>
    <mergeCell ref="A19:J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8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21.332031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56" t="s">
        <v>553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597</v>
      </c>
      <c r="B3" s="54" t="s">
        <v>0</v>
      </c>
      <c r="C3" s="66" t="s">
        <v>595</v>
      </c>
      <c r="D3" s="66" t="s">
        <v>5</v>
      </c>
      <c r="E3" s="48" t="s">
        <v>596</v>
      </c>
      <c r="F3" s="48" t="s">
        <v>6</v>
      </c>
      <c r="G3" s="48" t="s">
        <v>8</v>
      </c>
      <c r="H3" s="48"/>
      <c r="I3" s="48"/>
      <c r="J3" s="48"/>
      <c r="K3" s="48" t="s">
        <v>226</v>
      </c>
      <c r="L3" s="48" t="s">
        <v>3</v>
      </c>
      <c r="M3" s="50" t="s">
        <v>2</v>
      </c>
    </row>
    <row r="4" spans="1:13" s="1" customFormat="1" ht="21" customHeight="1" thickBot="1">
      <c r="A4" s="65"/>
      <c r="B4" s="55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139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0" t="s">
        <v>60</v>
      </c>
      <c r="B6" s="9" t="s">
        <v>205</v>
      </c>
      <c r="C6" s="9" t="s">
        <v>206</v>
      </c>
      <c r="D6" s="9" t="s">
        <v>207</v>
      </c>
      <c r="E6" s="9" t="s">
        <v>620</v>
      </c>
      <c r="F6" s="9" t="s">
        <v>598</v>
      </c>
      <c r="G6" s="20" t="s">
        <v>154</v>
      </c>
      <c r="H6" s="10"/>
      <c r="I6" s="10"/>
      <c r="J6" s="10"/>
      <c r="K6" s="10" t="str">
        <f>"202,5"</f>
        <v>202,5</v>
      </c>
      <c r="L6" s="10" t="str">
        <f>"131,4731"</f>
        <v>131,4731</v>
      </c>
      <c r="M6" s="9"/>
    </row>
    <row r="7" spans="1:13">
      <c r="A7" s="12" t="s">
        <v>60</v>
      </c>
      <c r="B7" s="11" t="s">
        <v>205</v>
      </c>
      <c r="C7" s="11" t="s">
        <v>208</v>
      </c>
      <c r="D7" s="11" t="s">
        <v>207</v>
      </c>
      <c r="E7" s="11" t="s">
        <v>624</v>
      </c>
      <c r="F7" s="11" t="s">
        <v>598</v>
      </c>
      <c r="G7" s="22" t="s">
        <v>154</v>
      </c>
      <c r="H7" s="12"/>
      <c r="I7" s="12"/>
      <c r="J7" s="12"/>
      <c r="K7" s="12" t="str">
        <f>"202,5"</f>
        <v>202,5</v>
      </c>
      <c r="L7" s="12" t="str">
        <f>"131,4731"</f>
        <v>131,4731</v>
      </c>
      <c r="M7" s="11"/>
    </row>
    <row r="8" spans="1:13">
      <c r="B8" s="5" t="s">
        <v>61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1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6.5" style="5" bestFit="1" customWidth="1"/>
    <col min="14" max="16384" width="9.1640625" style="3"/>
  </cols>
  <sheetData>
    <row r="1" spans="1:13" s="2" customFormat="1" ht="29" customHeight="1">
      <c r="A1" s="56" t="s">
        <v>554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597</v>
      </c>
      <c r="B3" s="54" t="s">
        <v>0</v>
      </c>
      <c r="C3" s="66" t="s">
        <v>595</v>
      </c>
      <c r="D3" s="66" t="s">
        <v>5</v>
      </c>
      <c r="E3" s="48" t="s">
        <v>596</v>
      </c>
      <c r="F3" s="48" t="s">
        <v>6</v>
      </c>
      <c r="G3" s="48" t="s">
        <v>8</v>
      </c>
      <c r="H3" s="48"/>
      <c r="I3" s="48"/>
      <c r="J3" s="48"/>
      <c r="K3" s="48" t="s">
        <v>226</v>
      </c>
      <c r="L3" s="48" t="s">
        <v>3</v>
      </c>
      <c r="M3" s="50" t="s">
        <v>2</v>
      </c>
    </row>
    <row r="4" spans="1:13" s="1" customFormat="1" ht="21" customHeight="1" thickBot="1">
      <c r="A4" s="65"/>
      <c r="B4" s="55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139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0" t="s">
        <v>60</v>
      </c>
      <c r="B6" s="9" t="s">
        <v>205</v>
      </c>
      <c r="C6" s="9" t="s">
        <v>206</v>
      </c>
      <c r="D6" s="9" t="s">
        <v>207</v>
      </c>
      <c r="E6" s="9" t="s">
        <v>620</v>
      </c>
      <c r="F6" s="9" t="s">
        <v>598</v>
      </c>
      <c r="G6" s="20" t="s">
        <v>154</v>
      </c>
      <c r="H6" s="10"/>
      <c r="I6" s="10"/>
      <c r="J6" s="10"/>
      <c r="K6" s="10" t="str">
        <f>"202,5"</f>
        <v>202,5</v>
      </c>
      <c r="L6" s="10" t="str">
        <f>"131,4731"</f>
        <v>131,4731</v>
      </c>
      <c r="M6" s="9"/>
    </row>
    <row r="7" spans="1:13">
      <c r="A7" s="12" t="s">
        <v>60</v>
      </c>
      <c r="B7" s="11" t="s">
        <v>205</v>
      </c>
      <c r="C7" s="11" t="s">
        <v>208</v>
      </c>
      <c r="D7" s="11" t="s">
        <v>207</v>
      </c>
      <c r="E7" s="11" t="s">
        <v>624</v>
      </c>
      <c r="F7" s="11" t="s">
        <v>598</v>
      </c>
      <c r="G7" s="22" t="s">
        <v>154</v>
      </c>
      <c r="H7" s="12"/>
      <c r="I7" s="12"/>
      <c r="J7" s="12"/>
      <c r="K7" s="12" t="str">
        <f>"202,5"</f>
        <v>202,5</v>
      </c>
      <c r="L7" s="12" t="str">
        <f>"131,4731"</f>
        <v>131,4731</v>
      </c>
      <c r="M7" s="11"/>
    </row>
    <row r="8" spans="1:13">
      <c r="B8" s="5" t="s">
        <v>61</v>
      </c>
    </row>
    <row r="9" spans="1:13" ht="16">
      <c r="A9" s="45" t="s">
        <v>178</v>
      </c>
      <c r="B9" s="45"/>
      <c r="C9" s="45"/>
      <c r="D9" s="45"/>
      <c r="E9" s="45"/>
      <c r="F9" s="45"/>
      <c r="G9" s="45"/>
      <c r="H9" s="45"/>
      <c r="I9" s="45"/>
      <c r="J9" s="45"/>
    </row>
    <row r="10" spans="1:13">
      <c r="A10" s="8" t="s">
        <v>60</v>
      </c>
      <c r="B10" s="7" t="s">
        <v>444</v>
      </c>
      <c r="C10" s="7" t="s">
        <v>445</v>
      </c>
      <c r="D10" s="7" t="s">
        <v>446</v>
      </c>
      <c r="E10" s="7" t="s">
        <v>624</v>
      </c>
      <c r="F10" s="7" t="s">
        <v>605</v>
      </c>
      <c r="G10" s="19" t="s">
        <v>447</v>
      </c>
      <c r="H10" s="18" t="s">
        <v>447</v>
      </c>
      <c r="I10" s="19" t="s">
        <v>448</v>
      </c>
      <c r="J10" s="8"/>
      <c r="K10" s="8" t="str">
        <f>"390,0"</f>
        <v>390,0</v>
      </c>
      <c r="L10" s="8" t="str">
        <f>"235,1905"</f>
        <v>235,1905</v>
      </c>
      <c r="M10" s="7" t="s">
        <v>579</v>
      </c>
    </row>
    <row r="11" spans="1:13">
      <c r="B11" s="5" t="s">
        <v>61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9:J9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3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" style="5" customWidth="1"/>
    <col min="14" max="16384" width="9.1640625" style="3"/>
  </cols>
  <sheetData>
    <row r="1" spans="1:13" s="2" customFormat="1" ht="29" customHeight="1">
      <c r="A1" s="56" t="s">
        <v>544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597</v>
      </c>
      <c r="B3" s="54" t="s">
        <v>0</v>
      </c>
      <c r="C3" s="66" t="s">
        <v>595</v>
      </c>
      <c r="D3" s="66" t="s">
        <v>5</v>
      </c>
      <c r="E3" s="48" t="s">
        <v>596</v>
      </c>
      <c r="F3" s="48" t="s">
        <v>6</v>
      </c>
      <c r="G3" s="48" t="s">
        <v>8</v>
      </c>
      <c r="H3" s="48"/>
      <c r="I3" s="48"/>
      <c r="J3" s="48"/>
      <c r="K3" s="48" t="s">
        <v>226</v>
      </c>
      <c r="L3" s="48" t="s">
        <v>3</v>
      </c>
      <c r="M3" s="50" t="s">
        <v>2</v>
      </c>
    </row>
    <row r="4" spans="1:13" s="1" customFormat="1" ht="21" customHeight="1" thickBot="1">
      <c r="A4" s="65"/>
      <c r="B4" s="55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232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60</v>
      </c>
      <c r="B6" s="7" t="s">
        <v>542</v>
      </c>
      <c r="C6" s="7" t="s">
        <v>172</v>
      </c>
      <c r="D6" s="7" t="s">
        <v>235</v>
      </c>
      <c r="E6" s="7" t="s">
        <v>620</v>
      </c>
      <c r="F6" s="7" t="s">
        <v>617</v>
      </c>
      <c r="G6" s="18" t="s">
        <v>113</v>
      </c>
      <c r="H6" s="18" t="s">
        <v>114</v>
      </c>
      <c r="I6" s="19" t="s">
        <v>148</v>
      </c>
      <c r="J6" s="8"/>
      <c r="K6" s="8" t="str">
        <f>"125,0"</f>
        <v>125,0</v>
      </c>
      <c r="L6" s="8" t="str">
        <f>"104,2750"</f>
        <v>104,2750</v>
      </c>
      <c r="M6" s="7" t="s">
        <v>543</v>
      </c>
    </row>
    <row r="7" spans="1:13">
      <c r="B7" s="5" t="s">
        <v>61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32"/>
  <sheetViews>
    <sheetView workbookViewId="0">
      <selection activeCell="E32" sqref="E32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5.1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1640625" style="5" bestFit="1" customWidth="1"/>
    <col min="14" max="16384" width="9.1640625" style="3"/>
  </cols>
  <sheetData>
    <row r="1" spans="1:13" s="2" customFormat="1" ht="29" customHeight="1">
      <c r="A1" s="56" t="s">
        <v>551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597</v>
      </c>
      <c r="B3" s="54" t="s">
        <v>0</v>
      </c>
      <c r="C3" s="66" t="s">
        <v>595</v>
      </c>
      <c r="D3" s="66" t="s">
        <v>5</v>
      </c>
      <c r="E3" s="48" t="s">
        <v>596</v>
      </c>
      <c r="F3" s="48" t="s">
        <v>6</v>
      </c>
      <c r="G3" s="48" t="s">
        <v>9</v>
      </c>
      <c r="H3" s="48"/>
      <c r="I3" s="48"/>
      <c r="J3" s="48"/>
      <c r="K3" s="48" t="s">
        <v>226</v>
      </c>
      <c r="L3" s="48" t="s">
        <v>3</v>
      </c>
      <c r="M3" s="50" t="s">
        <v>2</v>
      </c>
    </row>
    <row r="4" spans="1:13" s="1" customFormat="1" ht="21" customHeight="1" thickBot="1">
      <c r="A4" s="65"/>
      <c r="B4" s="55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62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0" t="s">
        <v>60</v>
      </c>
      <c r="B6" s="9" t="s">
        <v>465</v>
      </c>
      <c r="C6" s="9" t="s">
        <v>466</v>
      </c>
      <c r="D6" s="9" t="s">
        <v>467</v>
      </c>
      <c r="E6" s="9" t="s">
        <v>620</v>
      </c>
      <c r="F6" s="9" t="s">
        <v>598</v>
      </c>
      <c r="G6" s="20" t="s">
        <v>91</v>
      </c>
      <c r="H6" s="20" t="s">
        <v>398</v>
      </c>
      <c r="I6" s="20" t="s">
        <v>79</v>
      </c>
      <c r="J6" s="10"/>
      <c r="K6" s="10" t="str">
        <f>"165,0"</f>
        <v>165,0</v>
      </c>
      <c r="L6" s="10" t="str">
        <f>"173,1015"</f>
        <v>173,1015</v>
      </c>
      <c r="M6" s="9" t="s">
        <v>571</v>
      </c>
    </row>
    <row r="7" spans="1:13">
      <c r="A7" s="25" t="s">
        <v>122</v>
      </c>
      <c r="B7" s="24" t="s">
        <v>136</v>
      </c>
      <c r="C7" s="24" t="s">
        <v>137</v>
      </c>
      <c r="D7" s="24" t="s">
        <v>138</v>
      </c>
      <c r="E7" s="24" t="s">
        <v>620</v>
      </c>
      <c r="F7" s="24" t="s">
        <v>599</v>
      </c>
      <c r="G7" s="26" t="s">
        <v>38</v>
      </c>
      <c r="H7" s="27" t="s">
        <v>16</v>
      </c>
      <c r="I7" s="26" t="s">
        <v>16</v>
      </c>
      <c r="J7" s="25"/>
      <c r="K7" s="25" t="str">
        <f>"160,0"</f>
        <v>160,0</v>
      </c>
      <c r="L7" s="25" t="str">
        <f>"165,7920"</f>
        <v>165,7920</v>
      </c>
      <c r="M7" s="24"/>
    </row>
    <row r="8" spans="1:13">
      <c r="A8" s="25" t="s">
        <v>123</v>
      </c>
      <c r="B8" s="24" t="s">
        <v>468</v>
      </c>
      <c r="C8" s="24" t="s">
        <v>469</v>
      </c>
      <c r="D8" s="24" t="s">
        <v>470</v>
      </c>
      <c r="E8" s="24" t="s">
        <v>620</v>
      </c>
      <c r="F8" s="24" t="s">
        <v>598</v>
      </c>
      <c r="G8" s="27" t="s">
        <v>73</v>
      </c>
      <c r="H8" s="26" t="s">
        <v>73</v>
      </c>
      <c r="I8" s="26" t="s">
        <v>115</v>
      </c>
      <c r="J8" s="25"/>
      <c r="K8" s="25" t="str">
        <f>"85,0"</f>
        <v>85,0</v>
      </c>
      <c r="L8" s="25" t="str">
        <f>"91,1795"</f>
        <v>91,1795</v>
      </c>
      <c r="M8" s="24" t="s">
        <v>573</v>
      </c>
    </row>
    <row r="9" spans="1:13">
      <c r="A9" s="12" t="s">
        <v>60</v>
      </c>
      <c r="B9" s="11" t="s">
        <v>465</v>
      </c>
      <c r="C9" s="11" t="s">
        <v>471</v>
      </c>
      <c r="D9" s="11" t="s">
        <v>467</v>
      </c>
      <c r="E9" s="11" t="s">
        <v>624</v>
      </c>
      <c r="F9" s="11" t="s">
        <v>598</v>
      </c>
      <c r="G9" s="22" t="s">
        <v>91</v>
      </c>
      <c r="H9" s="22" t="s">
        <v>398</v>
      </c>
      <c r="I9" s="22" t="s">
        <v>79</v>
      </c>
      <c r="J9" s="12"/>
      <c r="K9" s="12" t="str">
        <f>"165,0"</f>
        <v>165,0</v>
      </c>
      <c r="L9" s="12" t="str">
        <f>"195,9509"</f>
        <v>195,9509</v>
      </c>
      <c r="M9" s="11" t="s">
        <v>571</v>
      </c>
    </row>
    <row r="10" spans="1:13">
      <c r="B10" s="5" t="s">
        <v>61</v>
      </c>
    </row>
    <row r="11" spans="1:13" ht="16">
      <c r="A11" s="45" t="s">
        <v>139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3">
      <c r="A12" s="8" t="s">
        <v>60</v>
      </c>
      <c r="B12" s="7" t="s">
        <v>140</v>
      </c>
      <c r="C12" s="7" t="s">
        <v>141</v>
      </c>
      <c r="D12" s="7" t="s">
        <v>142</v>
      </c>
      <c r="E12" s="7" t="s">
        <v>620</v>
      </c>
      <c r="F12" s="7" t="s">
        <v>598</v>
      </c>
      <c r="G12" s="18" t="s">
        <v>41</v>
      </c>
      <c r="H12" s="18" t="s">
        <v>38</v>
      </c>
      <c r="I12" s="19" t="s">
        <v>91</v>
      </c>
      <c r="J12" s="8"/>
      <c r="K12" s="8" t="str">
        <f>"150,0"</f>
        <v>150,0</v>
      </c>
      <c r="L12" s="8" t="str">
        <f>"136,1400"</f>
        <v>136,1400</v>
      </c>
      <c r="M12" s="7" t="s">
        <v>570</v>
      </c>
    </row>
    <row r="13" spans="1:13">
      <c r="B13" s="5" t="s">
        <v>61</v>
      </c>
    </row>
    <row r="14" spans="1:13" ht="16">
      <c r="A14" s="45" t="s">
        <v>144</v>
      </c>
      <c r="B14" s="45"/>
      <c r="C14" s="45"/>
      <c r="D14" s="45"/>
      <c r="E14" s="45"/>
      <c r="F14" s="45"/>
      <c r="G14" s="45"/>
      <c r="H14" s="45"/>
      <c r="I14" s="45"/>
      <c r="J14" s="45"/>
    </row>
    <row r="15" spans="1:13">
      <c r="A15" s="10" t="s">
        <v>60</v>
      </c>
      <c r="B15" s="9" t="s">
        <v>156</v>
      </c>
      <c r="C15" s="9" t="s">
        <v>157</v>
      </c>
      <c r="D15" s="9" t="s">
        <v>158</v>
      </c>
      <c r="E15" s="9" t="s">
        <v>620</v>
      </c>
      <c r="F15" s="9" t="s">
        <v>601</v>
      </c>
      <c r="G15" s="21" t="s">
        <v>159</v>
      </c>
      <c r="H15" s="20" t="s">
        <v>160</v>
      </c>
      <c r="I15" s="20" t="s">
        <v>97</v>
      </c>
      <c r="J15" s="10"/>
      <c r="K15" s="10" t="str">
        <f>"220,0"</f>
        <v>220,0</v>
      </c>
      <c r="L15" s="10" t="str">
        <f>"157,2120"</f>
        <v>157,2120</v>
      </c>
      <c r="M15" s="9"/>
    </row>
    <row r="16" spans="1:13">
      <c r="A16" s="12" t="s">
        <v>122</v>
      </c>
      <c r="B16" s="11" t="s">
        <v>472</v>
      </c>
      <c r="C16" s="11" t="s">
        <v>473</v>
      </c>
      <c r="D16" s="11" t="s">
        <v>474</v>
      </c>
      <c r="E16" s="11" t="s">
        <v>620</v>
      </c>
      <c r="F16" s="11" t="s">
        <v>598</v>
      </c>
      <c r="G16" s="22" t="s">
        <v>17</v>
      </c>
      <c r="H16" s="23" t="s">
        <v>31</v>
      </c>
      <c r="I16" s="12"/>
      <c r="J16" s="12"/>
      <c r="K16" s="12" t="str">
        <f>"170,0"</f>
        <v>170,0</v>
      </c>
      <c r="L16" s="12" t="str">
        <f>"123,4880"</f>
        <v>123,4880</v>
      </c>
      <c r="M16" s="11"/>
    </row>
    <row r="17" spans="1:13">
      <c r="B17" s="5" t="s">
        <v>61</v>
      </c>
    </row>
    <row r="18" spans="1:13" ht="16">
      <c r="A18" s="45" t="s">
        <v>139</v>
      </c>
      <c r="B18" s="45"/>
      <c r="C18" s="45"/>
      <c r="D18" s="45"/>
      <c r="E18" s="45"/>
      <c r="F18" s="45"/>
      <c r="G18" s="45"/>
      <c r="H18" s="45"/>
      <c r="I18" s="45"/>
      <c r="J18" s="45"/>
    </row>
    <row r="19" spans="1:13">
      <c r="A19" s="10" t="s">
        <v>60</v>
      </c>
      <c r="B19" s="9" t="s">
        <v>475</v>
      </c>
      <c r="C19" s="9" t="s">
        <v>476</v>
      </c>
      <c r="D19" s="9" t="s">
        <v>173</v>
      </c>
      <c r="E19" s="9" t="s">
        <v>626</v>
      </c>
      <c r="F19" s="9" t="s">
        <v>598</v>
      </c>
      <c r="G19" s="21" t="s">
        <v>348</v>
      </c>
      <c r="H19" s="20" t="s">
        <v>348</v>
      </c>
      <c r="I19" s="20" t="s">
        <v>91</v>
      </c>
      <c r="J19" s="10"/>
      <c r="K19" s="10" t="str">
        <f>"155,0"</f>
        <v>155,0</v>
      </c>
      <c r="L19" s="10" t="str">
        <f>"105,0745"</f>
        <v>105,0745</v>
      </c>
      <c r="M19" s="9" t="s">
        <v>574</v>
      </c>
    </row>
    <row r="20" spans="1:13">
      <c r="A20" s="25" t="s">
        <v>60</v>
      </c>
      <c r="B20" s="24" t="s">
        <v>477</v>
      </c>
      <c r="C20" s="24" t="s">
        <v>478</v>
      </c>
      <c r="D20" s="24" t="s">
        <v>375</v>
      </c>
      <c r="E20" s="24" t="s">
        <v>620</v>
      </c>
      <c r="F20" s="24" t="s">
        <v>598</v>
      </c>
      <c r="G20" s="26" t="s">
        <v>48</v>
      </c>
      <c r="H20" s="26" t="s">
        <v>31</v>
      </c>
      <c r="I20" s="26" t="s">
        <v>177</v>
      </c>
      <c r="J20" s="25"/>
      <c r="K20" s="25" t="str">
        <f>"210,0"</f>
        <v>210,0</v>
      </c>
      <c r="L20" s="25" t="str">
        <f>"143,8290"</f>
        <v>143,8290</v>
      </c>
      <c r="M20" s="24" t="s">
        <v>575</v>
      </c>
    </row>
    <row r="21" spans="1:13">
      <c r="A21" s="12" t="s">
        <v>122</v>
      </c>
      <c r="B21" s="11" t="s">
        <v>479</v>
      </c>
      <c r="C21" s="11" t="s">
        <v>480</v>
      </c>
      <c r="D21" s="11" t="s">
        <v>252</v>
      </c>
      <c r="E21" s="11" t="s">
        <v>620</v>
      </c>
      <c r="F21" s="11" t="s">
        <v>598</v>
      </c>
      <c r="G21" s="22" t="s">
        <v>48</v>
      </c>
      <c r="H21" s="22" t="s">
        <v>31</v>
      </c>
      <c r="I21" s="22" t="s">
        <v>154</v>
      </c>
      <c r="J21" s="12"/>
      <c r="K21" s="12" t="str">
        <f>"202,5"</f>
        <v>202,5</v>
      </c>
      <c r="L21" s="12" t="str">
        <f>"136,4648"</f>
        <v>136,4648</v>
      </c>
      <c r="M21" s="11"/>
    </row>
    <row r="22" spans="1:13">
      <c r="B22" s="5" t="s">
        <v>61</v>
      </c>
    </row>
    <row r="23" spans="1:13" ht="16">
      <c r="A23" s="45" t="s">
        <v>10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3">
      <c r="A24" s="10" t="s">
        <v>60</v>
      </c>
      <c r="B24" s="9" t="s">
        <v>481</v>
      </c>
      <c r="C24" s="9" t="s">
        <v>482</v>
      </c>
      <c r="D24" s="9" t="s">
        <v>483</v>
      </c>
      <c r="E24" s="9" t="s">
        <v>620</v>
      </c>
      <c r="F24" s="9" t="s">
        <v>598</v>
      </c>
      <c r="G24" s="20" t="s">
        <v>16</v>
      </c>
      <c r="H24" s="21" t="s">
        <v>17</v>
      </c>
      <c r="I24" s="21" t="s">
        <v>17</v>
      </c>
      <c r="J24" s="10"/>
      <c r="K24" s="10" t="str">
        <f>"160,0"</f>
        <v>160,0</v>
      </c>
      <c r="L24" s="10" t="str">
        <f>"102,4320"</f>
        <v>102,4320</v>
      </c>
      <c r="M24" s="9"/>
    </row>
    <row r="25" spans="1:13">
      <c r="A25" s="12" t="s">
        <v>60</v>
      </c>
      <c r="B25" s="11" t="s">
        <v>484</v>
      </c>
      <c r="C25" s="11" t="s">
        <v>485</v>
      </c>
      <c r="D25" s="11" t="s">
        <v>486</v>
      </c>
      <c r="E25" s="11" t="s">
        <v>624</v>
      </c>
      <c r="F25" s="11" t="s">
        <v>598</v>
      </c>
      <c r="G25" s="22" t="s">
        <v>91</v>
      </c>
      <c r="H25" s="22" t="s">
        <v>79</v>
      </c>
      <c r="I25" s="22" t="s">
        <v>18</v>
      </c>
      <c r="J25" s="12"/>
      <c r="K25" s="12" t="str">
        <f>"175,0"</f>
        <v>175,0</v>
      </c>
      <c r="L25" s="12" t="str">
        <f>"129,5574"</f>
        <v>129,5574</v>
      </c>
      <c r="M25" s="11" t="s">
        <v>576</v>
      </c>
    </row>
    <row r="26" spans="1:13">
      <c r="B26" s="5" t="s">
        <v>61</v>
      </c>
    </row>
    <row r="27" spans="1:13" ht="16">
      <c r="A27" s="45" t="s">
        <v>21</v>
      </c>
      <c r="B27" s="45"/>
      <c r="C27" s="45"/>
      <c r="D27" s="45"/>
      <c r="E27" s="45"/>
      <c r="F27" s="45"/>
      <c r="G27" s="45"/>
      <c r="H27" s="45"/>
      <c r="I27" s="45"/>
      <c r="J27" s="45"/>
    </row>
    <row r="28" spans="1:13">
      <c r="A28" s="8" t="s">
        <v>60</v>
      </c>
      <c r="B28" s="7" t="s">
        <v>487</v>
      </c>
      <c r="C28" s="7" t="s">
        <v>488</v>
      </c>
      <c r="D28" s="7" t="s">
        <v>489</v>
      </c>
      <c r="E28" s="7" t="s">
        <v>624</v>
      </c>
      <c r="F28" s="7" t="s">
        <v>598</v>
      </c>
      <c r="G28" s="19" t="s">
        <v>153</v>
      </c>
      <c r="H28" s="18" t="s">
        <v>25</v>
      </c>
      <c r="I28" s="18" t="s">
        <v>177</v>
      </c>
      <c r="J28" s="8"/>
      <c r="K28" s="8" t="str">
        <f>"210,0"</f>
        <v>210,0</v>
      </c>
      <c r="L28" s="8" t="str">
        <f>"144,4346"</f>
        <v>144,4346</v>
      </c>
      <c r="M28" s="7"/>
    </row>
    <row r="29" spans="1:13">
      <c r="B29" s="5" t="s">
        <v>61</v>
      </c>
    </row>
    <row r="30" spans="1:13" ht="16">
      <c r="A30" s="45" t="s">
        <v>42</v>
      </c>
      <c r="B30" s="45"/>
      <c r="C30" s="45"/>
      <c r="D30" s="45"/>
      <c r="E30" s="45"/>
      <c r="F30" s="45"/>
      <c r="G30" s="45"/>
      <c r="H30" s="45"/>
      <c r="I30" s="45"/>
      <c r="J30" s="45"/>
    </row>
    <row r="31" spans="1:13">
      <c r="A31" s="8" t="s">
        <v>60</v>
      </c>
      <c r="B31" s="7" t="s">
        <v>490</v>
      </c>
      <c r="C31" s="7" t="s">
        <v>491</v>
      </c>
      <c r="D31" s="7" t="s">
        <v>457</v>
      </c>
      <c r="E31" s="7" t="s">
        <v>624</v>
      </c>
      <c r="F31" s="7" t="s">
        <v>600</v>
      </c>
      <c r="G31" s="18" t="s">
        <v>25</v>
      </c>
      <c r="H31" s="18" t="s">
        <v>97</v>
      </c>
      <c r="I31" s="18" t="s">
        <v>98</v>
      </c>
      <c r="J31" s="8"/>
      <c r="K31" s="8" t="str">
        <f>"230,0"</f>
        <v>230,0</v>
      </c>
      <c r="L31" s="8" t="str">
        <f>"144,2321"</f>
        <v>144,2321</v>
      </c>
      <c r="M31" s="7" t="s">
        <v>577</v>
      </c>
    </row>
    <row r="32" spans="1:13">
      <c r="B32" s="5" t="s">
        <v>61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30:J30"/>
    <mergeCell ref="K3:K4"/>
    <mergeCell ref="L3:L4"/>
    <mergeCell ref="M3:M4"/>
    <mergeCell ref="A5:J5"/>
    <mergeCell ref="B3:B4"/>
    <mergeCell ref="A11:J11"/>
    <mergeCell ref="A14:J14"/>
    <mergeCell ref="A18:J18"/>
    <mergeCell ref="A23:J23"/>
    <mergeCell ref="A27:J2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1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1.8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30.5" style="5" bestFit="1" customWidth="1"/>
    <col min="14" max="16384" width="9.1640625" style="3"/>
  </cols>
  <sheetData>
    <row r="1" spans="1:13" s="2" customFormat="1" ht="29" customHeight="1">
      <c r="A1" s="56" t="s">
        <v>552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597</v>
      </c>
      <c r="B3" s="54" t="s">
        <v>0</v>
      </c>
      <c r="C3" s="66" t="s">
        <v>595</v>
      </c>
      <c r="D3" s="66" t="s">
        <v>5</v>
      </c>
      <c r="E3" s="48" t="s">
        <v>596</v>
      </c>
      <c r="F3" s="48" t="s">
        <v>6</v>
      </c>
      <c r="G3" s="48" t="s">
        <v>9</v>
      </c>
      <c r="H3" s="48"/>
      <c r="I3" s="48"/>
      <c r="J3" s="48"/>
      <c r="K3" s="48" t="s">
        <v>226</v>
      </c>
      <c r="L3" s="48" t="s">
        <v>3</v>
      </c>
      <c r="M3" s="50" t="s">
        <v>2</v>
      </c>
    </row>
    <row r="4" spans="1:13" s="1" customFormat="1" ht="21" customHeight="1" thickBot="1">
      <c r="A4" s="65"/>
      <c r="B4" s="55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144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60</v>
      </c>
      <c r="B6" s="7" t="s">
        <v>449</v>
      </c>
      <c r="C6" s="7" t="s">
        <v>450</v>
      </c>
      <c r="D6" s="7" t="s">
        <v>451</v>
      </c>
      <c r="E6" s="7" t="s">
        <v>627</v>
      </c>
      <c r="F6" s="7" t="s">
        <v>598</v>
      </c>
      <c r="G6" s="18" t="s">
        <v>135</v>
      </c>
      <c r="H6" s="18" t="s">
        <v>39</v>
      </c>
      <c r="I6" s="19" t="s">
        <v>40</v>
      </c>
      <c r="J6" s="8"/>
      <c r="K6" s="8" t="str">
        <f>"100,0"</f>
        <v>100,0</v>
      </c>
      <c r="L6" s="8" t="str">
        <f>"151,3070"</f>
        <v>151,3070</v>
      </c>
      <c r="M6" s="7"/>
    </row>
    <row r="7" spans="1:13">
      <c r="B7" s="5" t="s">
        <v>61</v>
      </c>
    </row>
    <row r="8" spans="1:13" ht="16">
      <c r="A8" s="45" t="s">
        <v>21</v>
      </c>
      <c r="B8" s="45"/>
      <c r="C8" s="45"/>
      <c r="D8" s="45"/>
      <c r="E8" s="45"/>
      <c r="F8" s="45"/>
      <c r="G8" s="45"/>
      <c r="H8" s="45"/>
      <c r="I8" s="45"/>
      <c r="J8" s="45"/>
    </row>
    <row r="9" spans="1:13">
      <c r="A9" s="10" t="s">
        <v>60</v>
      </c>
      <c r="B9" s="9" t="s">
        <v>452</v>
      </c>
      <c r="C9" s="9" t="s">
        <v>453</v>
      </c>
      <c r="D9" s="9" t="s">
        <v>454</v>
      </c>
      <c r="E9" s="9" t="s">
        <v>620</v>
      </c>
      <c r="F9" s="9" t="s">
        <v>598</v>
      </c>
      <c r="G9" s="20" t="s">
        <v>19</v>
      </c>
      <c r="H9" s="20" t="s">
        <v>46</v>
      </c>
      <c r="I9" s="21" t="s">
        <v>47</v>
      </c>
      <c r="J9" s="10"/>
      <c r="K9" s="10" t="str">
        <f>"290,0"</f>
        <v>290,0</v>
      </c>
      <c r="L9" s="10" t="str">
        <f>"182,4680"</f>
        <v>182,4680</v>
      </c>
      <c r="M9" s="9"/>
    </row>
    <row r="10" spans="1:13">
      <c r="A10" s="12" t="s">
        <v>60</v>
      </c>
      <c r="B10" s="11" t="s">
        <v>109</v>
      </c>
      <c r="C10" s="11" t="s">
        <v>110</v>
      </c>
      <c r="D10" s="11" t="s">
        <v>111</v>
      </c>
      <c r="E10" s="11" t="s">
        <v>623</v>
      </c>
      <c r="F10" s="11" t="s">
        <v>598</v>
      </c>
      <c r="G10" s="23" t="s">
        <v>91</v>
      </c>
      <c r="H10" s="23" t="s">
        <v>91</v>
      </c>
      <c r="I10" s="22" t="s">
        <v>91</v>
      </c>
      <c r="J10" s="12"/>
      <c r="K10" s="12" t="str">
        <f>"155,0"</f>
        <v>155,0</v>
      </c>
      <c r="L10" s="12" t="str">
        <f>"167,9679"</f>
        <v>167,9679</v>
      </c>
      <c r="M10" s="11"/>
    </row>
    <row r="11" spans="1:13">
      <c r="B11" s="5" t="s">
        <v>61</v>
      </c>
    </row>
    <row r="12" spans="1:13" ht="16">
      <c r="A12" s="45" t="s">
        <v>42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3">
      <c r="A13" s="10" t="s">
        <v>60</v>
      </c>
      <c r="B13" s="9" t="s">
        <v>455</v>
      </c>
      <c r="C13" s="9" t="s">
        <v>456</v>
      </c>
      <c r="D13" s="9" t="s">
        <v>457</v>
      </c>
      <c r="E13" s="9" t="s">
        <v>620</v>
      </c>
      <c r="F13" s="9" t="s">
        <v>598</v>
      </c>
      <c r="G13" s="20" t="s">
        <v>15</v>
      </c>
      <c r="H13" s="21" t="s">
        <v>458</v>
      </c>
      <c r="I13" s="21" t="s">
        <v>458</v>
      </c>
      <c r="J13" s="10"/>
      <c r="K13" s="10" t="str">
        <f>"295,0"</f>
        <v>295,0</v>
      </c>
      <c r="L13" s="10" t="str">
        <f>"174,5220"</f>
        <v>174,5220</v>
      </c>
      <c r="M13" s="9" t="s">
        <v>573</v>
      </c>
    </row>
    <row r="14" spans="1:13">
      <c r="A14" s="25" t="s">
        <v>122</v>
      </c>
      <c r="B14" s="24" t="s">
        <v>459</v>
      </c>
      <c r="C14" s="24" t="s">
        <v>460</v>
      </c>
      <c r="D14" s="24" t="s">
        <v>461</v>
      </c>
      <c r="E14" s="24" t="s">
        <v>620</v>
      </c>
      <c r="F14" s="24" t="s">
        <v>598</v>
      </c>
      <c r="G14" s="26" t="s">
        <v>99</v>
      </c>
      <c r="H14" s="26" t="s">
        <v>102</v>
      </c>
      <c r="I14" s="26" t="s">
        <v>92</v>
      </c>
      <c r="J14" s="25"/>
      <c r="K14" s="25" t="str">
        <f>"260,0"</f>
        <v>260,0</v>
      </c>
      <c r="L14" s="25" t="str">
        <f>"155,5840"</f>
        <v>155,5840</v>
      </c>
      <c r="M14" s="24"/>
    </row>
    <row r="15" spans="1:13">
      <c r="A15" s="12" t="s">
        <v>60</v>
      </c>
      <c r="B15" s="11" t="s">
        <v>462</v>
      </c>
      <c r="C15" s="11" t="s">
        <v>463</v>
      </c>
      <c r="D15" s="11" t="s">
        <v>464</v>
      </c>
      <c r="E15" s="11" t="s">
        <v>625</v>
      </c>
      <c r="F15" s="11" t="s">
        <v>598</v>
      </c>
      <c r="G15" s="22" t="s">
        <v>154</v>
      </c>
      <c r="H15" s="23" t="s">
        <v>177</v>
      </c>
      <c r="I15" s="22" t="s">
        <v>160</v>
      </c>
      <c r="J15" s="12"/>
      <c r="K15" s="12" t="str">
        <f>"215,0"</f>
        <v>215,0</v>
      </c>
      <c r="L15" s="12" t="str">
        <f>"163,2317"</f>
        <v>163,2317</v>
      </c>
      <c r="M15" s="11" t="s">
        <v>578</v>
      </c>
    </row>
    <row r="16" spans="1:13">
      <c r="B16" s="5" t="s">
        <v>61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B3:B4"/>
    <mergeCell ref="K3:K4"/>
    <mergeCell ref="L3:L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20"/>
  <sheetViews>
    <sheetView workbookViewId="0">
      <selection activeCell="E20" sqref="E20"/>
    </sheetView>
  </sheetViews>
  <sheetFormatPr baseColWidth="10" defaultColWidth="9.1640625" defaultRowHeight="13"/>
  <cols>
    <col min="1" max="1" width="7.5" style="5" bestFit="1" customWidth="1"/>
    <col min="2" max="2" width="22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6640625" style="5" customWidth="1"/>
    <col min="7" max="10" width="5.5" style="6" customWidth="1"/>
    <col min="11" max="11" width="10.5" style="6" bestFit="1" customWidth="1"/>
    <col min="12" max="12" width="10.33203125" style="6" customWidth="1"/>
    <col min="13" max="13" width="19.83203125" style="5" customWidth="1"/>
    <col min="14" max="16384" width="9.1640625" style="3"/>
  </cols>
  <sheetData>
    <row r="1" spans="1:13" s="2" customFormat="1" ht="29" customHeight="1">
      <c r="A1" s="56" t="s">
        <v>548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597</v>
      </c>
      <c r="B3" s="54" t="s">
        <v>0</v>
      </c>
      <c r="C3" s="66" t="s">
        <v>595</v>
      </c>
      <c r="D3" s="66" t="s">
        <v>5</v>
      </c>
      <c r="E3" s="48" t="s">
        <v>596</v>
      </c>
      <c r="F3" s="48" t="s">
        <v>6</v>
      </c>
      <c r="G3" s="48" t="s">
        <v>594</v>
      </c>
      <c r="H3" s="48"/>
      <c r="I3" s="48"/>
      <c r="J3" s="48"/>
      <c r="K3" s="48" t="s">
        <v>226</v>
      </c>
      <c r="L3" s="48" t="s">
        <v>3</v>
      </c>
      <c r="M3" s="50" t="s">
        <v>2</v>
      </c>
    </row>
    <row r="4" spans="1:13" s="1" customFormat="1" ht="21" customHeight="1" thickBot="1">
      <c r="A4" s="65"/>
      <c r="B4" s="55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62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60</v>
      </c>
      <c r="B6" s="7" t="s">
        <v>518</v>
      </c>
      <c r="C6" s="7" t="s">
        <v>567</v>
      </c>
      <c r="D6" s="7" t="s">
        <v>519</v>
      </c>
      <c r="E6" s="7" t="s">
        <v>624</v>
      </c>
      <c r="F6" s="7" t="s">
        <v>598</v>
      </c>
      <c r="G6" s="18" t="s">
        <v>520</v>
      </c>
      <c r="H6" s="18" t="s">
        <v>521</v>
      </c>
      <c r="I6" s="18" t="s">
        <v>306</v>
      </c>
      <c r="J6" s="8"/>
      <c r="K6" s="8" t="str">
        <f>"27,5"</f>
        <v>27,5</v>
      </c>
      <c r="L6" s="8" t="str">
        <f>"27,8266"</f>
        <v>27,8266</v>
      </c>
      <c r="M6" s="7"/>
    </row>
    <row r="7" spans="1:13">
      <c r="B7" s="5" t="s">
        <v>61</v>
      </c>
    </row>
    <row r="8" spans="1:13" ht="16">
      <c r="A8" s="45" t="s">
        <v>62</v>
      </c>
      <c r="B8" s="45"/>
      <c r="C8" s="45"/>
      <c r="D8" s="45"/>
      <c r="E8" s="45"/>
      <c r="F8" s="45"/>
      <c r="G8" s="45"/>
      <c r="H8" s="45"/>
      <c r="I8" s="45"/>
      <c r="J8" s="45"/>
    </row>
    <row r="9" spans="1:13">
      <c r="A9" s="8" t="s">
        <v>60</v>
      </c>
      <c r="B9" s="7" t="s">
        <v>522</v>
      </c>
      <c r="C9" s="7" t="s">
        <v>523</v>
      </c>
      <c r="D9" s="7" t="s">
        <v>524</v>
      </c>
      <c r="E9" s="7" t="s">
        <v>620</v>
      </c>
      <c r="F9" s="7" t="s">
        <v>618</v>
      </c>
      <c r="G9" s="18" t="s">
        <v>72</v>
      </c>
      <c r="H9" s="19" t="s">
        <v>525</v>
      </c>
      <c r="I9" s="18" t="s">
        <v>525</v>
      </c>
      <c r="J9" s="8"/>
      <c r="K9" s="8" t="str">
        <f>"72,5"</f>
        <v>72,5</v>
      </c>
      <c r="L9" s="8" t="str">
        <f>"54,7448"</f>
        <v>54,7448</v>
      </c>
      <c r="M9" s="7"/>
    </row>
    <row r="10" spans="1:13">
      <c r="B10" s="5" t="s">
        <v>61</v>
      </c>
    </row>
    <row r="11" spans="1:13" ht="16">
      <c r="A11" s="45" t="s">
        <v>10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3">
      <c r="A12" s="10" t="s">
        <v>60</v>
      </c>
      <c r="B12" s="9" t="s">
        <v>526</v>
      </c>
      <c r="C12" s="9" t="s">
        <v>527</v>
      </c>
      <c r="D12" s="9" t="s">
        <v>528</v>
      </c>
      <c r="E12" s="9" t="s">
        <v>620</v>
      </c>
      <c r="F12" s="9" t="s">
        <v>606</v>
      </c>
      <c r="G12" s="20" t="s">
        <v>72</v>
      </c>
      <c r="H12" s="21" t="s">
        <v>73</v>
      </c>
      <c r="I12" s="20" t="s">
        <v>73</v>
      </c>
      <c r="J12" s="10"/>
      <c r="K12" s="10" t="str">
        <f>"75,0"</f>
        <v>75,0</v>
      </c>
      <c r="L12" s="10" t="str">
        <f>"46,2638"</f>
        <v>46,2638</v>
      </c>
      <c r="M12" s="9"/>
    </row>
    <row r="13" spans="1:13">
      <c r="A13" s="12" t="s">
        <v>122</v>
      </c>
      <c r="B13" s="11" t="s">
        <v>529</v>
      </c>
      <c r="C13" s="11" t="s">
        <v>530</v>
      </c>
      <c r="D13" s="11" t="s">
        <v>486</v>
      </c>
      <c r="E13" s="11" t="s">
        <v>620</v>
      </c>
      <c r="F13" s="11" t="s">
        <v>598</v>
      </c>
      <c r="G13" s="22" t="s">
        <v>68</v>
      </c>
      <c r="H13" s="22" t="s">
        <v>525</v>
      </c>
      <c r="I13" s="23" t="s">
        <v>73</v>
      </c>
      <c r="J13" s="12"/>
      <c r="K13" s="12" t="str">
        <f>"72,5"</f>
        <v>72,5</v>
      </c>
      <c r="L13" s="12" t="str">
        <f>"45,5372"</f>
        <v>45,5372</v>
      </c>
      <c r="M13" s="11" t="s">
        <v>571</v>
      </c>
    </row>
    <row r="14" spans="1:13">
      <c r="B14" s="5" t="s">
        <v>61</v>
      </c>
    </row>
    <row r="15" spans="1:13" ht="16">
      <c r="A15" s="45" t="s">
        <v>21</v>
      </c>
      <c r="B15" s="45"/>
      <c r="C15" s="45"/>
      <c r="D15" s="45"/>
      <c r="E15" s="45"/>
      <c r="F15" s="45"/>
      <c r="G15" s="45"/>
      <c r="H15" s="45"/>
      <c r="I15" s="45"/>
      <c r="J15" s="45"/>
    </row>
    <row r="16" spans="1:13">
      <c r="A16" s="8" t="s">
        <v>60</v>
      </c>
      <c r="B16" s="7" t="s">
        <v>531</v>
      </c>
      <c r="C16" s="7" t="s">
        <v>568</v>
      </c>
      <c r="D16" s="7" t="s">
        <v>532</v>
      </c>
      <c r="E16" s="7" t="s">
        <v>628</v>
      </c>
      <c r="F16" s="7" t="s">
        <v>598</v>
      </c>
      <c r="G16" s="19" t="s">
        <v>134</v>
      </c>
      <c r="H16" s="19" t="s">
        <v>134</v>
      </c>
      <c r="I16" s="18" t="s">
        <v>134</v>
      </c>
      <c r="J16" s="8"/>
      <c r="K16" s="8" t="str">
        <f>"45,0"</f>
        <v>45,0</v>
      </c>
      <c r="L16" s="8" t="str">
        <f>"26,6130"</f>
        <v>26,6130</v>
      </c>
      <c r="M16" s="7"/>
    </row>
    <row r="17" spans="1:13">
      <c r="B17" s="5" t="s">
        <v>61</v>
      </c>
    </row>
    <row r="18" spans="1:13" ht="16">
      <c r="A18" s="45" t="s">
        <v>178</v>
      </c>
      <c r="B18" s="45"/>
      <c r="C18" s="45"/>
      <c r="D18" s="45"/>
      <c r="E18" s="45"/>
      <c r="F18" s="45"/>
      <c r="G18" s="45"/>
      <c r="H18" s="45"/>
      <c r="I18" s="45"/>
      <c r="J18" s="45"/>
    </row>
    <row r="19" spans="1:13">
      <c r="A19" s="8" t="s">
        <v>60</v>
      </c>
      <c r="B19" s="7" t="s">
        <v>282</v>
      </c>
      <c r="C19" s="7" t="s">
        <v>283</v>
      </c>
      <c r="D19" s="7" t="s">
        <v>284</v>
      </c>
      <c r="E19" s="7" t="s">
        <v>620</v>
      </c>
      <c r="F19" s="7" t="s">
        <v>598</v>
      </c>
      <c r="G19" s="18" t="s">
        <v>68</v>
      </c>
      <c r="H19" s="18" t="s">
        <v>72</v>
      </c>
      <c r="I19" s="18" t="s">
        <v>73</v>
      </c>
      <c r="J19" s="8"/>
      <c r="K19" s="8" t="str">
        <f>"75,0"</f>
        <v>75,0</v>
      </c>
      <c r="L19" s="8" t="str">
        <f>"41,1337"</f>
        <v>41,1337</v>
      </c>
      <c r="M19" s="7" t="s">
        <v>570</v>
      </c>
    </row>
    <row r="20" spans="1:13">
      <c r="B20" s="5" t="s">
        <v>61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5:J15"/>
    <mergeCell ref="A18:J18"/>
    <mergeCell ref="B3:B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7"/>
  <sheetViews>
    <sheetView tabSelected="1"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1.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2.5" style="5" customWidth="1"/>
    <col min="14" max="16384" width="9.1640625" style="3"/>
  </cols>
  <sheetData>
    <row r="1" spans="1:13" s="2" customFormat="1" ht="29" customHeight="1">
      <c r="A1" s="56" t="s">
        <v>547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597</v>
      </c>
      <c r="B3" s="54" t="s">
        <v>0</v>
      </c>
      <c r="C3" s="66" t="s">
        <v>595</v>
      </c>
      <c r="D3" s="66" t="s">
        <v>5</v>
      </c>
      <c r="E3" s="48" t="s">
        <v>596</v>
      </c>
      <c r="F3" s="48" t="s">
        <v>6</v>
      </c>
      <c r="G3" s="48" t="s">
        <v>8</v>
      </c>
      <c r="H3" s="48"/>
      <c r="I3" s="48"/>
      <c r="J3" s="48"/>
      <c r="K3" s="48" t="s">
        <v>226</v>
      </c>
      <c r="L3" s="48" t="s">
        <v>3</v>
      </c>
      <c r="M3" s="50" t="s">
        <v>2</v>
      </c>
    </row>
    <row r="4" spans="1:13" s="1" customFormat="1" ht="21" customHeight="1" thickBot="1">
      <c r="A4" s="65"/>
      <c r="B4" s="55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10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60</v>
      </c>
      <c r="B6" s="7" t="s">
        <v>389</v>
      </c>
      <c r="C6" s="7" t="s">
        <v>566</v>
      </c>
      <c r="D6" s="7" t="s">
        <v>391</v>
      </c>
      <c r="E6" s="7" t="s">
        <v>623</v>
      </c>
      <c r="F6" s="7" t="s">
        <v>598</v>
      </c>
      <c r="G6" s="18" t="s">
        <v>36</v>
      </c>
      <c r="H6" s="8"/>
      <c r="I6" s="8"/>
      <c r="J6" s="8"/>
      <c r="K6" s="8" t="str">
        <f>"120,0"</f>
        <v>120,0</v>
      </c>
      <c r="L6" s="8" t="str">
        <f>"104,9404"</f>
        <v>104,9404</v>
      </c>
      <c r="M6" s="7"/>
    </row>
    <row r="7" spans="1:13">
      <c r="B7" s="5" t="s">
        <v>61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8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1.33203125" style="5" customWidth="1"/>
    <col min="14" max="16384" width="9.1640625" style="3"/>
  </cols>
  <sheetData>
    <row r="1" spans="1:13" s="2" customFormat="1" ht="29" customHeight="1">
      <c r="A1" s="56" t="s">
        <v>545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597</v>
      </c>
      <c r="B3" s="54" t="s">
        <v>0</v>
      </c>
      <c r="C3" s="66" t="s">
        <v>595</v>
      </c>
      <c r="D3" s="66" t="s">
        <v>5</v>
      </c>
      <c r="E3" s="48" t="s">
        <v>596</v>
      </c>
      <c r="F3" s="48" t="s">
        <v>6</v>
      </c>
      <c r="G3" s="48" t="s">
        <v>536</v>
      </c>
      <c r="H3" s="48"/>
      <c r="I3" s="48"/>
      <c r="J3" s="48"/>
      <c r="K3" s="48" t="s">
        <v>226</v>
      </c>
      <c r="L3" s="48" t="s">
        <v>3</v>
      </c>
      <c r="M3" s="50" t="s">
        <v>2</v>
      </c>
    </row>
    <row r="4" spans="1:13" s="1" customFormat="1" ht="21" customHeight="1" thickBot="1">
      <c r="A4" s="65"/>
      <c r="B4" s="55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537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60</v>
      </c>
      <c r="B6" s="7" t="s">
        <v>538</v>
      </c>
      <c r="C6" s="7" t="s">
        <v>539</v>
      </c>
      <c r="D6" s="7" t="s">
        <v>540</v>
      </c>
      <c r="E6" s="7" t="s">
        <v>620</v>
      </c>
      <c r="F6" s="7" t="s">
        <v>619</v>
      </c>
      <c r="G6" s="18" t="s">
        <v>74</v>
      </c>
      <c r="H6" s="18" t="s">
        <v>135</v>
      </c>
      <c r="I6" s="19" t="s">
        <v>507</v>
      </c>
      <c r="J6" s="8"/>
      <c r="K6" s="8" t="str">
        <f>"90,0"</f>
        <v>90,0</v>
      </c>
      <c r="L6" s="8" t="str">
        <f>"63,6030"</f>
        <v>63,6030</v>
      </c>
      <c r="M6" s="7"/>
    </row>
    <row r="7" spans="1:13">
      <c r="B7" s="5" t="s">
        <v>61</v>
      </c>
    </row>
    <row r="8" spans="1:13" ht="16">
      <c r="A8" s="45" t="s">
        <v>10</v>
      </c>
      <c r="B8" s="45"/>
      <c r="C8" s="45"/>
      <c r="D8" s="45"/>
      <c r="E8" s="45"/>
      <c r="F8" s="45"/>
      <c r="G8" s="45"/>
      <c r="H8" s="45"/>
      <c r="I8" s="45"/>
      <c r="J8" s="45"/>
    </row>
    <row r="9" spans="1:13">
      <c r="A9" s="8" t="s">
        <v>60</v>
      </c>
      <c r="B9" s="7" t="s">
        <v>529</v>
      </c>
      <c r="C9" s="7" t="s">
        <v>530</v>
      </c>
      <c r="D9" s="7" t="s">
        <v>486</v>
      </c>
      <c r="E9" s="7" t="s">
        <v>620</v>
      </c>
      <c r="F9" s="7" t="s">
        <v>598</v>
      </c>
      <c r="G9" s="18" t="s">
        <v>115</v>
      </c>
      <c r="H9" s="18" t="s">
        <v>133</v>
      </c>
      <c r="I9" s="19" t="s">
        <v>39</v>
      </c>
      <c r="J9" s="8"/>
      <c r="K9" s="8" t="str">
        <f>"92,5"</f>
        <v>92,5</v>
      </c>
      <c r="L9" s="8" t="str">
        <f>"60,4950"</f>
        <v>60,4950</v>
      </c>
      <c r="M9" s="7" t="s">
        <v>571</v>
      </c>
    </row>
    <row r="10" spans="1:13">
      <c r="B10" s="5" t="s">
        <v>61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U21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1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7.6640625" style="5" bestFit="1" customWidth="1"/>
    <col min="22" max="16384" width="9.1640625" style="3"/>
  </cols>
  <sheetData>
    <row r="1" spans="1:21" s="2" customFormat="1" ht="29" customHeight="1">
      <c r="A1" s="56" t="s">
        <v>562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9"/>
    </row>
    <row r="2" spans="1:21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3"/>
    </row>
    <row r="3" spans="1:21" s="1" customFormat="1" ht="12.75" customHeight="1">
      <c r="A3" s="64" t="s">
        <v>597</v>
      </c>
      <c r="B3" s="54" t="s">
        <v>0</v>
      </c>
      <c r="C3" s="66" t="s">
        <v>595</v>
      </c>
      <c r="D3" s="66" t="s">
        <v>5</v>
      </c>
      <c r="E3" s="48" t="s">
        <v>596</v>
      </c>
      <c r="F3" s="48" t="s">
        <v>6</v>
      </c>
      <c r="G3" s="48" t="s">
        <v>7</v>
      </c>
      <c r="H3" s="48"/>
      <c r="I3" s="48"/>
      <c r="J3" s="48"/>
      <c r="K3" s="48" t="s">
        <v>8</v>
      </c>
      <c r="L3" s="48"/>
      <c r="M3" s="48"/>
      <c r="N3" s="48"/>
      <c r="O3" s="48" t="s">
        <v>9</v>
      </c>
      <c r="P3" s="48"/>
      <c r="Q3" s="48"/>
      <c r="R3" s="48"/>
      <c r="S3" s="48" t="s">
        <v>1</v>
      </c>
      <c r="T3" s="48" t="s">
        <v>3</v>
      </c>
      <c r="U3" s="50" t="s">
        <v>2</v>
      </c>
    </row>
    <row r="4" spans="1:21" s="1" customFormat="1" ht="21" customHeight="1" thickBot="1">
      <c r="A4" s="65"/>
      <c r="B4" s="55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49"/>
      <c r="U4" s="51"/>
    </row>
    <row r="5" spans="1:21" ht="16">
      <c r="A5" s="52" t="s">
        <v>62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8" t="s">
        <v>60</v>
      </c>
      <c r="B6" s="7" t="s">
        <v>63</v>
      </c>
      <c r="C6" s="7" t="s">
        <v>64</v>
      </c>
      <c r="D6" s="7" t="s">
        <v>65</v>
      </c>
      <c r="E6" s="7" t="s">
        <v>620</v>
      </c>
      <c r="F6" s="7" t="s">
        <v>598</v>
      </c>
      <c r="G6" s="18" t="s">
        <v>66</v>
      </c>
      <c r="H6" s="18" t="s">
        <v>67</v>
      </c>
      <c r="I6" s="18" t="s">
        <v>68</v>
      </c>
      <c r="J6" s="8"/>
      <c r="K6" s="18" t="s">
        <v>69</v>
      </c>
      <c r="L6" s="18" t="s">
        <v>70</v>
      </c>
      <c r="M6" s="18" t="s">
        <v>71</v>
      </c>
      <c r="N6" s="8"/>
      <c r="O6" s="18" t="s">
        <v>72</v>
      </c>
      <c r="P6" s="18" t="s">
        <v>73</v>
      </c>
      <c r="Q6" s="18" t="s">
        <v>74</v>
      </c>
      <c r="R6" s="8"/>
      <c r="S6" s="8" t="str">
        <f>"185,0"</f>
        <v>185,0</v>
      </c>
      <c r="T6" s="8" t="str">
        <f>"191,2715"</f>
        <v>191,2715</v>
      </c>
      <c r="U6" s="7" t="s">
        <v>591</v>
      </c>
    </row>
    <row r="7" spans="1:21">
      <c r="B7" s="5" t="s">
        <v>61</v>
      </c>
    </row>
    <row r="8" spans="1:21" ht="16">
      <c r="A8" s="45" t="s">
        <v>62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21">
      <c r="A9" s="8" t="s">
        <v>60</v>
      </c>
      <c r="B9" s="7" t="s">
        <v>75</v>
      </c>
      <c r="C9" s="7" t="s">
        <v>76</v>
      </c>
      <c r="D9" s="7" t="s">
        <v>77</v>
      </c>
      <c r="E9" s="7" t="s">
        <v>620</v>
      </c>
      <c r="F9" s="7" t="s">
        <v>606</v>
      </c>
      <c r="G9" s="18" t="s">
        <v>78</v>
      </c>
      <c r="H9" s="18" t="s">
        <v>79</v>
      </c>
      <c r="I9" s="19" t="s">
        <v>80</v>
      </c>
      <c r="J9" s="8"/>
      <c r="K9" s="18" t="s">
        <v>39</v>
      </c>
      <c r="L9" s="18" t="s">
        <v>81</v>
      </c>
      <c r="M9" s="19" t="s">
        <v>82</v>
      </c>
      <c r="N9" s="8"/>
      <c r="O9" s="18" t="s">
        <v>17</v>
      </c>
      <c r="P9" s="18" t="s">
        <v>83</v>
      </c>
      <c r="Q9" s="19" t="s">
        <v>84</v>
      </c>
      <c r="R9" s="8"/>
      <c r="S9" s="8" t="str">
        <f>"455,0"</f>
        <v>455,0</v>
      </c>
      <c r="T9" s="8" t="str">
        <f>"350,8050"</f>
        <v>350,8050</v>
      </c>
      <c r="U9" s="7" t="s">
        <v>85</v>
      </c>
    </row>
    <row r="10" spans="1:21">
      <c r="B10" s="5" t="s">
        <v>61</v>
      </c>
    </row>
    <row r="11" spans="1:21" ht="16">
      <c r="A11" s="45" t="s">
        <v>10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21">
      <c r="A12" s="10" t="s">
        <v>60</v>
      </c>
      <c r="B12" s="9" t="s">
        <v>86</v>
      </c>
      <c r="C12" s="9" t="s">
        <v>87</v>
      </c>
      <c r="D12" s="9" t="s">
        <v>88</v>
      </c>
      <c r="E12" s="9" t="s">
        <v>620</v>
      </c>
      <c r="F12" s="9" t="s">
        <v>598</v>
      </c>
      <c r="G12" s="20" t="s">
        <v>27</v>
      </c>
      <c r="H12" s="20" t="s">
        <v>89</v>
      </c>
      <c r="I12" s="20" t="s">
        <v>90</v>
      </c>
      <c r="J12" s="10"/>
      <c r="K12" s="20" t="s">
        <v>91</v>
      </c>
      <c r="L12" s="20" t="s">
        <v>16</v>
      </c>
      <c r="M12" s="20" t="s">
        <v>79</v>
      </c>
      <c r="N12" s="10"/>
      <c r="O12" s="20" t="s">
        <v>92</v>
      </c>
      <c r="P12" s="20" t="s">
        <v>19</v>
      </c>
      <c r="Q12" s="21" t="s">
        <v>93</v>
      </c>
      <c r="R12" s="10"/>
      <c r="S12" s="10" t="str">
        <f>"670,0"</f>
        <v>670,0</v>
      </c>
      <c r="T12" s="10" t="str">
        <f>"430,2070"</f>
        <v>430,2070</v>
      </c>
      <c r="U12" s="9"/>
    </row>
    <row r="13" spans="1:21">
      <c r="A13" s="25" t="s">
        <v>122</v>
      </c>
      <c r="B13" s="24" t="s">
        <v>94</v>
      </c>
      <c r="C13" s="24" t="s">
        <v>95</v>
      </c>
      <c r="D13" s="24" t="s">
        <v>96</v>
      </c>
      <c r="E13" s="24" t="s">
        <v>620</v>
      </c>
      <c r="F13" s="24" t="s">
        <v>598</v>
      </c>
      <c r="G13" s="26" t="s">
        <v>97</v>
      </c>
      <c r="H13" s="26" t="s">
        <v>98</v>
      </c>
      <c r="I13" s="27" t="s">
        <v>99</v>
      </c>
      <c r="J13" s="25"/>
      <c r="K13" s="26" t="s">
        <v>100</v>
      </c>
      <c r="L13" s="26" t="s">
        <v>17</v>
      </c>
      <c r="M13" s="26" t="s">
        <v>18</v>
      </c>
      <c r="N13" s="25"/>
      <c r="O13" s="26" t="s">
        <v>101</v>
      </c>
      <c r="P13" s="26" t="s">
        <v>102</v>
      </c>
      <c r="Q13" s="27" t="s">
        <v>92</v>
      </c>
      <c r="R13" s="25"/>
      <c r="S13" s="25" t="str">
        <f>"655,0"</f>
        <v>655,0</v>
      </c>
      <c r="T13" s="25" t="str">
        <f>"422,8025"</f>
        <v>422,8025</v>
      </c>
      <c r="U13" s="24"/>
    </row>
    <row r="14" spans="1:21">
      <c r="A14" s="12" t="s">
        <v>123</v>
      </c>
      <c r="B14" s="11" t="s">
        <v>103</v>
      </c>
      <c r="C14" s="11" t="s">
        <v>104</v>
      </c>
      <c r="D14" s="11" t="s">
        <v>105</v>
      </c>
      <c r="E14" s="11" t="s">
        <v>620</v>
      </c>
      <c r="F14" s="11" t="s">
        <v>598</v>
      </c>
      <c r="G14" s="22" t="s">
        <v>31</v>
      </c>
      <c r="H14" s="22" t="s">
        <v>25</v>
      </c>
      <c r="I14" s="23" t="s">
        <v>106</v>
      </c>
      <c r="J14" s="12"/>
      <c r="K14" s="22" t="s">
        <v>38</v>
      </c>
      <c r="L14" s="22" t="s">
        <v>16</v>
      </c>
      <c r="M14" s="23" t="s">
        <v>17</v>
      </c>
      <c r="N14" s="12"/>
      <c r="O14" s="23" t="s">
        <v>90</v>
      </c>
      <c r="P14" s="22" t="s">
        <v>107</v>
      </c>
      <c r="Q14" s="23" t="s">
        <v>108</v>
      </c>
      <c r="R14" s="12"/>
      <c r="S14" s="12" t="str">
        <f>"605,0"</f>
        <v>605,0</v>
      </c>
      <c r="T14" s="12" t="str">
        <f>"392,2215"</f>
        <v>392,2215</v>
      </c>
      <c r="U14" s="11" t="s">
        <v>268</v>
      </c>
    </row>
    <row r="15" spans="1:21">
      <c r="B15" s="5" t="s">
        <v>61</v>
      </c>
    </row>
    <row r="16" spans="1:21" ht="16">
      <c r="A16" s="45" t="s">
        <v>21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21">
      <c r="A17" s="8" t="s">
        <v>60</v>
      </c>
      <c r="B17" s="7" t="s">
        <v>109</v>
      </c>
      <c r="C17" s="7" t="s">
        <v>110</v>
      </c>
      <c r="D17" s="7" t="s">
        <v>111</v>
      </c>
      <c r="E17" s="7" t="s">
        <v>623</v>
      </c>
      <c r="F17" s="7" t="s">
        <v>598</v>
      </c>
      <c r="G17" s="18" t="s">
        <v>112</v>
      </c>
      <c r="H17" s="18" t="s">
        <v>113</v>
      </c>
      <c r="I17" s="18" t="s">
        <v>114</v>
      </c>
      <c r="J17" s="8"/>
      <c r="K17" s="18" t="s">
        <v>115</v>
      </c>
      <c r="L17" s="18" t="s">
        <v>116</v>
      </c>
      <c r="M17" s="18" t="s">
        <v>112</v>
      </c>
      <c r="N17" s="8"/>
      <c r="O17" s="19" t="s">
        <v>91</v>
      </c>
      <c r="P17" s="19" t="s">
        <v>91</v>
      </c>
      <c r="Q17" s="18" t="s">
        <v>91</v>
      </c>
      <c r="R17" s="8"/>
      <c r="S17" s="8" t="str">
        <f>"385,0"</f>
        <v>385,0</v>
      </c>
      <c r="T17" s="8" t="str">
        <f>"417,2106"</f>
        <v>417,2106</v>
      </c>
      <c r="U17" s="7"/>
    </row>
    <row r="18" spans="1:21">
      <c r="B18" s="5" t="s">
        <v>61</v>
      </c>
    </row>
    <row r="19" spans="1:21" ht="16">
      <c r="A19" s="45" t="s">
        <v>42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spans="1:21">
      <c r="A20" s="8" t="s">
        <v>60</v>
      </c>
      <c r="B20" s="7" t="s">
        <v>117</v>
      </c>
      <c r="C20" s="7" t="s">
        <v>118</v>
      </c>
      <c r="D20" s="7" t="s">
        <v>119</v>
      </c>
      <c r="E20" s="7" t="s">
        <v>620</v>
      </c>
      <c r="F20" s="7" t="s">
        <v>598</v>
      </c>
      <c r="G20" s="18" t="s">
        <v>16</v>
      </c>
      <c r="H20" s="18" t="s">
        <v>100</v>
      </c>
      <c r="I20" s="18" t="s">
        <v>80</v>
      </c>
      <c r="J20" s="8"/>
      <c r="K20" s="19" t="s">
        <v>40</v>
      </c>
      <c r="L20" s="18" t="s">
        <v>40</v>
      </c>
      <c r="M20" s="18" t="s">
        <v>120</v>
      </c>
      <c r="N20" s="8"/>
      <c r="O20" s="18" t="s">
        <v>79</v>
      </c>
      <c r="P20" s="18" t="s">
        <v>18</v>
      </c>
      <c r="Q20" s="18" t="s">
        <v>121</v>
      </c>
      <c r="R20" s="8"/>
      <c r="S20" s="8" t="str">
        <f>"475,0"</f>
        <v>475,0</v>
      </c>
      <c r="T20" s="8" t="str">
        <f>"280,7250"</f>
        <v>280,7250</v>
      </c>
      <c r="U20" s="7" t="s">
        <v>592</v>
      </c>
    </row>
    <row r="21" spans="1:21">
      <c r="B21" s="5" t="s">
        <v>61</v>
      </c>
    </row>
  </sheetData>
  <mergeCells count="18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6:R16"/>
    <mergeCell ref="A19:R19"/>
    <mergeCell ref="B3:B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.3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8.6640625" style="5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56" t="s">
        <v>546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597</v>
      </c>
      <c r="B3" s="54" t="s">
        <v>0</v>
      </c>
      <c r="C3" s="66" t="s">
        <v>595</v>
      </c>
      <c r="D3" s="66" t="s">
        <v>5</v>
      </c>
      <c r="E3" s="48" t="s">
        <v>596</v>
      </c>
      <c r="F3" s="48" t="s">
        <v>6</v>
      </c>
      <c r="G3" s="48" t="s">
        <v>8</v>
      </c>
      <c r="H3" s="48"/>
      <c r="I3" s="48"/>
      <c r="J3" s="48"/>
      <c r="K3" s="48" t="s">
        <v>226</v>
      </c>
      <c r="L3" s="48" t="s">
        <v>3</v>
      </c>
      <c r="M3" s="50" t="s">
        <v>2</v>
      </c>
    </row>
    <row r="4" spans="1:13" s="1" customFormat="1" ht="21" customHeight="1" thickBot="1">
      <c r="A4" s="65"/>
      <c r="B4" s="55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533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60</v>
      </c>
      <c r="B6" s="7" t="s">
        <v>511</v>
      </c>
      <c r="C6" s="7" t="s">
        <v>565</v>
      </c>
      <c r="D6" s="7" t="s">
        <v>534</v>
      </c>
      <c r="E6" s="7" t="s">
        <v>625</v>
      </c>
      <c r="F6" s="7" t="s">
        <v>598</v>
      </c>
      <c r="G6" s="18" t="s">
        <v>17</v>
      </c>
      <c r="H6" s="19" t="s">
        <v>80</v>
      </c>
      <c r="I6" s="8"/>
      <c r="J6" s="8"/>
      <c r="K6" s="8" t="str">
        <f>"170,0"</f>
        <v>170,0</v>
      </c>
      <c r="L6" s="8" t="str">
        <f>"108,3443"</f>
        <v>108,3443</v>
      </c>
      <c r="M6" s="7" t="s">
        <v>535</v>
      </c>
    </row>
    <row r="7" spans="1:13">
      <c r="B7" s="5" t="s">
        <v>61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Лист5">
    <pageSetUpPr fitToPage="1"/>
  </sheetPr>
  <dimension ref="A1:U14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8.66406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332031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1.1640625" style="5" bestFit="1" customWidth="1"/>
    <col min="22" max="16384" width="9.1640625" style="3"/>
  </cols>
  <sheetData>
    <row r="1" spans="1:21" s="2" customFormat="1" ht="29" customHeight="1">
      <c r="A1" s="56" t="s">
        <v>563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9"/>
    </row>
    <row r="2" spans="1:21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3"/>
    </row>
    <row r="3" spans="1:21" s="1" customFormat="1" ht="12.75" customHeight="1">
      <c r="A3" s="64" t="s">
        <v>597</v>
      </c>
      <c r="B3" s="54" t="s">
        <v>0</v>
      </c>
      <c r="C3" s="66" t="s">
        <v>595</v>
      </c>
      <c r="D3" s="66" t="s">
        <v>5</v>
      </c>
      <c r="E3" s="48" t="s">
        <v>596</v>
      </c>
      <c r="F3" s="48" t="s">
        <v>6</v>
      </c>
      <c r="G3" s="48" t="s">
        <v>7</v>
      </c>
      <c r="H3" s="48"/>
      <c r="I3" s="48"/>
      <c r="J3" s="48"/>
      <c r="K3" s="48" t="s">
        <v>8</v>
      </c>
      <c r="L3" s="48"/>
      <c r="M3" s="48"/>
      <c r="N3" s="48"/>
      <c r="O3" s="48" t="s">
        <v>9</v>
      </c>
      <c r="P3" s="48"/>
      <c r="Q3" s="48"/>
      <c r="R3" s="48"/>
      <c r="S3" s="48" t="s">
        <v>1</v>
      </c>
      <c r="T3" s="48" t="s">
        <v>3</v>
      </c>
      <c r="U3" s="50" t="s">
        <v>2</v>
      </c>
    </row>
    <row r="4" spans="1:21" s="1" customFormat="1" ht="21" customHeight="1" thickBot="1">
      <c r="A4" s="65"/>
      <c r="B4" s="55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49"/>
      <c r="U4" s="51"/>
    </row>
    <row r="5" spans="1:21" ht="16">
      <c r="A5" s="52" t="s">
        <v>10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8" t="s">
        <v>60</v>
      </c>
      <c r="B6" s="7" t="s">
        <v>11</v>
      </c>
      <c r="C6" s="7" t="s">
        <v>12</v>
      </c>
      <c r="D6" s="7" t="s">
        <v>13</v>
      </c>
      <c r="E6" s="7" t="s">
        <v>624</v>
      </c>
      <c r="F6" s="7" t="s">
        <v>605</v>
      </c>
      <c r="G6" s="18" t="s">
        <v>14</v>
      </c>
      <c r="H6" s="19" t="s">
        <v>15</v>
      </c>
      <c r="I6" s="19" t="s">
        <v>15</v>
      </c>
      <c r="J6" s="8"/>
      <c r="K6" s="18" t="s">
        <v>16</v>
      </c>
      <c r="L6" s="18" t="s">
        <v>17</v>
      </c>
      <c r="M6" s="19" t="s">
        <v>18</v>
      </c>
      <c r="N6" s="8"/>
      <c r="O6" s="18" t="s">
        <v>19</v>
      </c>
      <c r="P6" s="18" t="s">
        <v>20</v>
      </c>
      <c r="Q6" s="18" t="s">
        <v>15</v>
      </c>
      <c r="R6" s="8"/>
      <c r="S6" s="8" t="str">
        <f>"745,0"</f>
        <v>745,0</v>
      </c>
      <c r="T6" s="8" t="str">
        <f>"489,9972"</f>
        <v>489,9972</v>
      </c>
      <c r="U6" s="7"/>
    </row>
    <row r="7" spans="1:21">
      <c r="B7" s="5" t="s">
        <v>61</v>
      </c>
    </row>
    <row r="8" spans="1:21" ht="16">
      <c r="A8" s="45" t="s">
        <v>21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21">
      <c r="A9" s="10" t="s">
        <v>60</v>
      </c>
      <c r="B9" s="9" t="s">
        <v>22</v>
      </c>
      <c r="C9" s="9" t="s">
        <v>23</v>
      </c>
      <c r="D9" s="9" t="s">
        <v>24</v>
      </c>
      <c r="E9" s="9" t="s">
        <v>620</v>
      </c>
      <c r="F9" s="9" t="s">
        <v>598</v>
      </c>
      <c r="G9" s="20" t="s">
        <v>25</v>
      </c>
      <c r="H9" s="20" t="s">
        <v>26</v>
      </c>
      <c r="I9" s="21" t="s">
        <v>27</v>
      </c>
      <c r="J9" s="10"/>
      <c r="K9" s="20" t="s">
        <v>28</v>
      </c>
      <c r="L9" s="20" t="s">
        <v>29</v>
      </c>
      <c r="M9" s="21" t="s">
        <v>30</v>
      </c>
      <c r="N9" s="10"/>
      <c r="O9" s="21" t="s">
        <v>31</v>
      </c>
      <c r="P9" s="20" t="s">
        <v>25</v>
      </c>
      <c r="Q9" s="20" t="s">
        <v>32</v>
      </c>
      <c r="R9" s="10"/>
      <c r="S9" s="10" t="str">
        <f>"562,5"</f>
        <v>562,5</v>
      </c>
      <c r="T9" s="10" t="str">
        <f>"345,9375"</f>
        <v>345,9375</v>
      </c>
      <c r="U9" s="9" t="s">
        <v>573</v>
      </c>
    </row>
    <row r="10" spans="1:21">
      <c r="A10" s="12" t="s">
        <v>60</v>
      </c>
      <c r="B10" s="11" t="s">
        <v>33</v>
      </c>
      <c r="C10" s="11" t="s">
        <v>34</v>
      </c>
      <c r="D10" s="11" t="s">
        <v>35</v>
      </c>
      <c r="E10" s="11" t="s">
        <v>625</v>
      </c>
      <c r="F10" s="11" t="s">
        <v>605</v>
      </c>
      <c r="G10" s="22" t="s">
        <v>36</v>
      </c>
      <c r="H10" s="22" t="s">
        <v>37</v>
      </c>
      <c r="I10" s="23" t="s">
        <v>38</v>
      </c>
      <c r="J10" s="12"/>
      <c r="K10" s="22" t="s">
        <v>39</v>
      </c>
      <c r="L10" s="23" t="s">
        <v>40</v>
      </c>
      <c r="M10" s="12"/>
      <c r="N10" s="12"/>
      <c r="O10" s="22" t="s">
        <v>41</v>
      </c>
      <c r="P10" s="22" t="s">
        <v>16</v>
      </c>
      <c r="Q10" s="22" t="s">
        <v>17</v>
      </c>
      <c r="R10" s="12"/>
      <c r="S10" s="12" t="str">
        <f>"405,0"</f>
        <v>405,0</v>
      </c>
      <c r="T10" s="12" t="str">
        <f>"292,8157"</f>
        <v>292,8157</v>
      </c>
      <c r="U10" s="11" t="s">
        <v>593</v>
      </c>
    </row>
    <row r="11" spans="1:21">
      <c r="B11" s="5" t="s">
        <v>61</v>
      </c>
    </row>
    <row r="12" spans="1:21" ht="16">
      <c r="A12" s="45" t="s">
        <v>42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</row>
    <row r="13" spans="1:21">
      <c r="A13" s="8" t="s">
        <v>60</v>
      </c>
      <c r="B13" s="7" t="s">
        <v>43</v>
      </c>
      <c r="C13" s="7" t="s">
        <v>44</v>
      </c>
      <c r="D13" s="7" t="s">
        <v>45</v>
      </c>
      <c r="E13" s="7" t="s">
        <v>620</v>
      </c>
      <c r="F13" s="7" t="s">
        <v>605</v>
      </c>
      <c r="G13" s="18" t="s">
        <v>14</v>
      </c>
      <c r="H13" s="19" t="s">
        <v>46</v>
      </c>
      <c r="I13" s="19" t="s">
        <v>47</v>
      </c>
      <c r="J13" s="8"/>
      <c r="K13" s="18" t="s">
        <v>48</v>
      </c>
      <c r="L13" s="18" t="s">
        <v>31</v>
      </c>
      <c r="M13" s="8"/>
      <c r="N13" s="8"/>
      <c r="O13" s="18" t="s">
        <v>14</v>
      </c>
      <c r="P13" s="18" t="s">
        <v>47</v>
      </c>
      <c r="Q13" s="8"/>
      <c r="R13" s="8"/>
      <c r="S13" s="8" t="str">
        <f>"770,0"</f>
        <v>770,0</v>
      </c>
      <c r="T13" s="8" t="str">
        <f>"453,3760"</f>
        <v>453,3760</v>
      </c>
      <c r="U13" s="7"/>
    </row>
    <row r="14" spans="1:21">
      <c r="B14" s="5" t="s">
        <v>61</v>
      </c>
    </row>
  </sheetData>
  <mergeCells count="16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A8:R8"/>
    <mergeCell ref="A12:R12"/>
    <mergeCell ref="B3:B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Q26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2.832031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1.16406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39" bestFit="1" customWidth="1"/>
    <col min="16" max="16" width="8.5" style="6" bestFit="1" customWidth="1"/>
    <col min="17" max="17" width="21.1640625" style="5" bestFit="1" customWidth="1"/>
    <col min="18" max="16384" width="9.1640625" style="3"/>
  </cols>
  <sheetData>
    <row r="1" spans="1:17" s="2" customFormat="1" ht="29" customHeight="1">
      <c r="A1" s="56" t="s">
        <v>549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9"/>
    </row>
    <row r="2" spans="1:17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/>
    </row>
    <row r="3" spans="1:17" s="1" customFormat="1" ht="12.75" customHeight="1">
      <c r="A3" s="64" t="s">
        <v>597</v>
      </c>
      <c r="B3" s="54" t="s">
        <v>0</v>
      </c>
      <c r="C3" s="66" t="s">
        <v>595</v>
      </c>
      <c r="D3" s="66" t="s">
        <v>5</v>
      </c>
      <c r="E3" s="48" t="s">
        <v>596</v>
      </c>
      <c r="F3" s="48" t="s">
        <v>6</v>
      </c>
      <c r="G3" s="48" t="s">
        <v>8</v>
      </c>
      <c r="H3" s="48"/>
      <c r="I3" s="48"/>
      <c r="J3" s="48"/>
      <c r="K3" s="48" t="s">
        <v>9</v>
      </c>
      <c r="L3" s="48"/>
      <c r="M3" s="48"/>
      <c r="N3" s="48"/>
      <c r="O3" s="46" t="s">
        <v>1</v>
      </c>
      <c r="P3" s="48" t="s">
        <v>3</v>
      </c>
      <c r="Q3" s="50" t="s">
        <v>2</v>
      </c>
    </row>
    <row r="4" spans="1:17" s="1" customFormat="1" ht="21" customHeight="1" thickBot="1">
      <c r="A4" s="65"/>
      <c r="B4" s="55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7"/>
      <c r="P4" s="49"/>
      <c r="Q4" s="51"/>
    </row>
    <row r="5" spans="1:17" ht="16">
      <c r="A5" s="52" t="s">
        <v>124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7">
      <c r="A6" s="8" t="s">
        <v>60</v>
      </c>
      <c r="B6" s="7" t="s">
        <v>130</v>
      </c>
      <c r="C6" s="7" t="s">
        <v>131</v>
      </c>
      <c r="D6" s="7" t="s">
        <v>132</v>
      </c>
      <c r="E6" s="7" t="s">
        <v>620</v>
      </c>
      <c r="F6" s="7" t="s">
        <v>598</v>
      </c>
      <c r="G6" s="18" t="s">
        <v>71</v>
      </c>
      <c r="H6" s="18" t="s">
        <v>134</v>
      </c>
      <c r="I6" s="18" t="s">
        <v>231</v>
      </c>
      <c r="J6" s="8"/>
      <c r="K6" s="18" t="s">
        <v>115</v>
      </c>
      <c r="L6" s="18" t="s">
        <v>116</v>
      </c>
      <c r="M6" s="19" t="s">
        <v>385</v>
      </c>
      <c r="N6" s="8"/>
      <c r="O6" s="38" t="str">
        <f>"142,5"</f>
        <v>142,5</v>
      </c>
      <c r="P6" s="8" t="str">
        <f>"168,6060"</f>
        <v>168,6060</v>
      </c>
      <c r="Q6" s="7" t="s">
        <v>573</v>
      </c>
    </row>
    <row r="7" spans="1:17">
      <c r="B7" s="5" t="s">
        <v>61</v>
      </c>
    </row>
    <row r="8" spans="1:17" ht="16">
      <c r="A8" s="45" t="s">
        <v>62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7">
      <c r="A9" s="8" t="s">
        <v>60</v>
      </c>
      <c r="B9" s="7" t="s">
        <v>465</v>
      </c>
      <c r="C9" s="7" t="s">
        <v>466</v>
      </c>
      <c r="D9" s="7" t="s">
        <v>467</v>
      </c>
      <c r="E9" s="7" t="s">
        <v>620</v>
      </c>
      <c r="F9" s="7" t="s">
        <v>598</v>
      </c>
      <c r="G9" s="19" t="s">
        <v>68</v>
      </c>
      <c r="H9" s="18" t="s">
        <v>68</v>
      </c>
      <c r="I9" s="18" t="s">
        <v>73</v>
      </c>
      <c r="J9" s="8"/>
      <c r="K9" s="18" t="s">
        <v>91</v>
      </c>
      <c r="L9" s="18" t="s">
        <v>398</v>
      </c>
      <c r="M9" s="18" t="s">
        <v>79</v>
      </c>
      <c r="N9" s="8"/>
      <c r="O9" s="38" t="str">
        <f>"240,0"</f>
        <v>240,0</v>
      </c>
      <c r="P9" s="8" t="str">
        <f>"251,7840"</f>
        <v>251,7840</v>
      </c>
      <c r="Q9" s="7" t="s">
        <v>571</v>
      </c>
    </row>
    <row r="10" spans="1:17">
      <c r="B10" s="5" t="s">
        <v>61</v>
      </c>
    </row>
    <row r="11" spans="1:17" ht="16">
      <c r="A11" s="45" t="s">
        <v>144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7">
      <c r="A12" s="10" t="s">
        <v>60</v>
      </c>
      <c r="B12" s="9" t="s">
        <v>504</v>
      </c>
      <c r="C12" s="9" t="s">
        <v>505</v>
      </c>
      <c r="D12" s="9" t="s">
        <v>506</v>
      </c>
      <c r="E12" s="9" t="s">
        <v>626</v>
      </c>
      <c r="F12" s="9" t="s">
        <v>598</v>
      </c>
      <c r="G12" s="20" t="s">
        <v>385</v>
      </c>
      <c r="H12" s="21" t="s">
        <v>40</v>
      </c>
      <c r="I12" s="20" t="s">
        <v>82</v>
      </c>
      <c r="J12" s="10"/>
      <c r="K12" s="20" t="s">
        <v>121</v>
      </c>
      <c r="L12" s="21" t="s">
        <v>25</v>
      </c>
      <c r="M12" s="21" t="s">
        <v>25</v>
      </c>
      <c r="N12" s="10"/>
      <c r="O12" s="40" t="str">
        <f>"297,5"</f>
        <v>297,5</v>
      </c>
      <c r="P12" s="10" t="str">
        <f>"214,8248"</f>
        <v>214,8248</v>
      </c>
      <c r="Q12" s="9"/>
    </row>
    <row r="13" spans="1:17">
      <c r="A13" s="12" t="s">
        <v>60</v>
      </c>
      <c r="B13" s="11" t="s">
        <v>156</v>
      </c>
      <c r="C13" s="11" t="s">
        <v>157</v>
      </c>
      <c r="D13" s="11" t="s">
        <v>158</v>
      </c>
      <c r="E13" s="11" t="s">
        <v>620</v>
      </c>
      <c r="F13" s="11" t="s">
        <v>601</v>
      </c>
      <c r="G13" s="23" t="s">
        <v>113</v>
      </c>
      <c r="H13" s="22" t="s">
        <v>113</v>
      </c>
      <c r="I13" s="22" t="s">
        <v>120</v>
      </c>
      <c r="J13" s="12"/>
      <c r="K13" s="23" t="s">
        <v>159</v>
      </c>
      <c r="L13" s="22" t="s">
        <v>160</v>
      </c>
      <c r="M13" s="22" t="s">
        <v>97</v>
      </c>
      <c r="N13" s="12"/>
      <c r="O13" s="41" t="str">
        <f>"337,5"</f>
        <v>337,5</v>
      </c>
      <c r="P13" s="12" t="str">
        <f>"241,1775"</f>
        <v>241,1775</v>
      </c>
      <c r="Q13" s="11"/>
    </row>
    <row r="14" spans="1:17">
      <c r="B14" s="5" t="s">
        <v>61</v>
      </c>
    </row>
    <row r="15" spans="1:17" ht="16">
      <c r="A15" s="45" t="s">
        <v>139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</row>
    <row r="16" spans="1:17">
      <c r="A16" s="8" t="s">
        <v>196</v>
      </c>
      <c r="B16" s="7" t="s">
        <v>475</v>
      </c>
      <c r="C16" s="7" t="s">
        <v>476</v>
      </c>
      <c r="D16" s="7" t="s">
        <v>173</v>
      </c>
      <c r="E16" s="7" t="s">
        <v>626</v>
      </c>
      <c r="F16" s="7" t="s">
        <v>598</v>
      </c>
      <c r="G16" s="19" t="s">
        <v>116</v>
      </c>
      <c r="H16" s="19" t="s">
        <v>507</v>
      </c>
      <c r="I16" s="19" t="s">
        <v>507</v>
      </c>
      <c r="J16" s="8"/>
      <c r="K16" s="19"/>
      <c r="L16" s="8"/>
      <c r="M16" s="8"/>
      <c r="N16" s="8"/>
      <c r="O16" s="38">
        <v>0</v>
      </c>
      <c r="P16" s="8" t="str">
        <f>"0,0000"</f>
        <v>0,0000</v>
      </c>
      <c r="Q16" s="7" t="s">
        <v>574</v>
      </c>
    </row>
    <row r="17" spans="1:17">
      <c r="B17" s="5" t="s">
        <v>61</v>
      </c>
    </row>
    <row r="18" spans="1:17" ht="16">
      <c r="A18" s="45" t="s">
        <v>21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1:17">
      <c r="A19" s="8" t="s">
        <v>196</v>
      </c>
      <c r="B19" s="7" t="s">
        <v>508</v>
      </c>
      <c r="C19" s="7" t="s">
        <v>509</v>
      </c>
      <c r="D19" s="7" t="s">
        <v>510</v>
      </c>
      <c r="E19" s="7" t="s">
        <v>620</v>
      </c>
      <c r="F19" s="7" t="s">
        <v>598</v>
      </c>
      <c r="G19" s="19" t="s">
        <v>37</v>
      </c>
      <c r="H19" s="19" t="s">
        <v>37</v>
      </c>
      <c r="I19" s="19" t="s">
        <v>37</v>
      </c>
      <c r="J19" s="8"/>
      <c r="K19" s="19"/>
      <c r="L19" s="8"/>
      <c r="M19" s="8"/>
      <c r="N19" s="8"/>
      <c r="O19" s="38">
        <v>0</v>
      </c>
      <c r="P19" s="8" t="str">
        <f>"0,0000"</f>
        <v>0,0000</v>
      </c>
      <c r="Q19" s="7" t="s">
        <v>573</v>
      </c>
    </row>
    <row r="20" spans="1:17">
      <c r="B20" s="5" t="s">
        <v>61</v>
      </c>
    </row>
    <row r="21" spans="1:17" ht="16">
      <c r="A21" s="45" t="s">
        <v>42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7">
      <c r="A22" s="8" t="s">
        <v>60</v>
      </c>
      <c r="B22" s="7" t="s">
        <v>511</v>
      </c>
      <c r="C22" s="7" t="s">
        <v>512</v>
      </c>
      <c r="D22" s="7" t="s">
        <v>513</v>
      </c>
      <c r="E22" s="7" t="s">
        <v>624</v>
      </c>
      <c r="F22" s="7" t="s">
        <v>598</v>
      </c>
      <c r="G22" s="18" t="s">
        <v>28</v>
      </c>
      <c r="H22" s="18" t="s">
        <v>29</v>
      </c>
      <c r="I22" s="19" t="s">
        <v>30</v>
      </c>
      <c r="J22" s="8"/>
      <c r="K22" s="18" t="s">
        <v>177</v>
      </c>
      <c r="L22" s="18" t="s">
        <v>514</v>
      </c>
      <c r="M22" s="18" t="s">
        <v>149</v>
      </c>
      <c r="N22" s="8"/>
      <c r="O22" s="38" t="str">
        <f>"370,0"</f>
        <v>370,0</v>
      </c>
      <c r="P22" s="8" t="str">
        <f>"230,5319"</f>
        <v>230,5319</v>
      </c>
      <c r="Q22" s="7" t="s">
        <v>573</v>
      </c>
    </row>
    <row r="23" spans="1:17">
      <c r="B23" s="5" t="s">
        <v>61</v>
      </c>
    </row>
    <row r="24" spans="1:17" ht="16">
      <c r="A24" s="45" t="s">
        <v>178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1:17">
      <c r="A25" s="8" t="s">
        <v>60</v>
      </c>
      <c r="B25" s="7" t="s">
        <v>515</v>
      </c>
      <c r="C25" s="7" t="s">
        <v>516</v>
      </c>
      <c r="D25" s="7" t="s">
        <v>517</v>
      </c>
      <c r="E25" s="7" t="s">
        <v>624</v>
      </c>
      <c r="F25" s="7" t="s">
        <v>598</v>
      </c>
      <c r="G25" s="19" t="s">
        <v>91</v>
      </c>
      <c r="H25" s="18" t="s">
        <v>91</v>
      </c>
      <c r="I25" s="19" t="s">
        <v>16</v>
      </c>
      <c r="J25" s="8"/>
      <c r="K25" s="18" t="s">
        <v>177</v>
      </c>
      <c r="L25" s="18" t="s">
        <v>27</v>
      </c>
      <c r="M25" s="18" t="s">
        <v>90</v>
      </c>
      <c r="N25" s="8"/>
      <c r="O25" s="38" t="str">
        <f>"390,0"</f>
        <v>390,0</v>
      </c>
      <c r="P25" s="8" t="str">
        <f>"223,0800"</f>
        <v>223,0800</v>
      </c>
      <c r="Q25" s="7" t="s">
        <v>573</v>
      </c>
    </row>
    <row r="26" spans="1:17">
      <c r="B26" s="5" t="s">
        <v>61</v>
      </c>
    </row>
  </sheetData>
  <mergeCells count="19">
    <mergeCell ref="A1:Q2"/>
    <mergeCell ref="A3:A4"/>
    <mergeCell ref="C3:C4"/>
    <mergeCell ref="D3:D4"/>
    <mergeCell ref="E3:E4"/>
    <mergeCell ref="F3:F4"/>
    <mergeCell ref="G3:J3"/>
    <mergeCell ref="K3:N3"/>
    <mergeCell ref="A24:N24"/>
    <mergeCell ref="O3:O4"/>
    <mergeCell ref="P3:P4"/>
    <mergeCell ref="Q3:Q4"/>
    <mergeCell ref="A5:N5"/>
    <mergeCell ref="B3:B4"/>
    <mergeCell ref="A8:N8"/>
    <mergeCell ref="A11:N11"/>
    <mergeCell ref="A15:N15"/>
    <mergeCell ref="A18:N18"/>
    <mergeCell ref="A21:N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15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16406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39" bestFit="1" customWidth="1"/>
    <col min="16" max="16" width="8.5" style="6" bestFit="1" customWidth="1"/>
    <col min="17" max="17" width="20.5" style="5" bestFit="1" customWidth="1"/>
    <col min="18" max="16384" width="9.1640625" style="3"/>
  </cols>
  <sheetData>
    <row r="1" spans="1:17" s="2" customFormat="1" ht="29" customHeight="1">
      <c r="A1" s="56" t="s">
        <v>550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9"/>
    </row>
    <row r="2" spans="1:17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/>
    </row>
    <row r="3" spans="1:17" s="1" customFormat="1" ht="12.75" customHeight="1">
      <c r="A3" s="64" t="s">
        <v>597</v>
      </c>
      <c r="B3" s="54" t="s">
        <v>0</v>
      </c>
      <c r="C3" s="66" t="s">
        <v>595</v>
      </c>
      <c r="D3" s="66" t="s">
        <v>5</v>
      </c>
      <c r="E3" s="48" t="s">
        <v>596</v>
      </c>
      <c r="F3" s="48" t="s">
        <v>6</v>
      </c>
      <c r="G3" s="48" t="s">
        <v>8</v>
      </c>
      <c r="H3" s="48"/>
      <c r="I3" s="48"/>
      <c r="J3" s="48"/>
      <c r="K3" s="48" t="s">
        <v>9</v>
      </c>
      <c r="L3" s="48"/>
      <c r="M3" s="48"/>
      <c r="N3" s="48"/>
      <c r="O3" s="46" t="s">
        <v>1</v>
      </c>
      <c r="P3" s="48" t="s">
        <v>3</v>
      </c>
      <c r="Q3" s="50" t="s">
        <v>2</v>
      </c>
    </row>
    <row r="4" spans="1:17" s="1" customFormat="1" ht="21" customHeight="1" thickBot="1">
      <c r="A4" s="65"/>
      <c r="B4" s="55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7"/>
      <c r="P4" s="49"/>
      <c r="Q4" s="51"/>
    </row>
    <row r="5" spans="1:17" ht="16">
      <c r="A5" s="52" t="s">
        <v>144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7">
      <c r="A6" s="8" t="s">
        <v>60</v>
      </c>
      <c r="B6" s="7" t="s">
        <v>492</v>
      </c>
      <c r="C6" s="7" t="s">
        <v>493</v>
      </c>
      <c r="D6" s="7" t="s">
        <v>494</v>
      </c>
      <c r="E6" s="7" t="s">
        <v>623</v>
      </c>
      <c r="F6" s="7" t="s">
        <v>598</v>
      </c>
      <c r="G6" s="18" t="s">
        <v>74</v>
      </c>
      <c r="H6" s="18" t="s">
        <v>115</v>
      </c>
      <c r="I6" s="19" t="s">
        <v>495</v>
      </c>
      <c r="J6" s="8"/>
      <c r="K6" s="19" t="s">
        <v>39</v>
      </c>
      <c r="L6" s="18" t="s">
        <v>39</v>
      </c>
      <c r="M6" s="18" t="s">
        <v>40</v>
      </c>
      <c r="N6" s="8"/>
      <c r="O6" s="38" t="str">
        <f>"195,0"</f>
        <v>195,0</v>
      </c>
      <c r="P6" s="8" t="str">
        <f>"245,5089"</f>
        <v>245,5089</v>
      </c>
      <c r="Q6" s="7"/>
    </row>
    <row r="7" spans="1:17">
      <c r="B7" s="5" t="s">
        <v>61</v>
      </c>
    </row>
    <row r="8" spans="1:17" ht="16">
      <c r="A8" s="45" t="s">
        <v>139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7">
      <c r="A9" s="8" t="s">
        <v>60</v>
      </c>
      <c r="B9" s="7" t="s">
        <v>496</v>
      </c>
      <c r="C9" s="7" t="s">
        <v>497</v>
      </c>
      <c r="D9" s="7" t="s">
        <v>375</v>
      </c>
      <c r="E9" s="7" t="s">
        <v>620</v>
      </c>
      <c r="F9" s="7" t="s">
        <v>598</v>
      </c>
      <c r="G9" s="18" t="s">
        <v>113</v>
      </c>
      <c r="H9" s="18" t="s">
        <v>114</v>
      </c>
      <c r="I9" s="19" t="s">
        <v>37</v>
      </c>
      <c r="J9" s="8"/>
      <c r="K9" s="18" t="s">
        <v>348</v>
      </c>
      <c r="L9" s="19" t="s">
        <v>91</v>
      </c>
      <c r="M9" s="18" t="s">
        <v>16</v>
      </c>
      <c r="N9" s="8"/>
      <c r="O9" s="38" t="str">
        <f>"285,0"</f>
        <v>285,0</v>
      </c>
      <c r="P9" s="8" t="str">
        <f>"195,1965"</f>
        <v>195,1965</v>
      </c>
      <c r="Q9" s="7" t="s">
        <v>575</v>
      </c>
    </row>
    <row r="10" spans="1:17">
      <c r="B10" s="5" t="s">
        <v>61</v>
      </c>
    </row>
    <row r="11" spans="1:17" ht="16">
      <c r="A11" s="45" t="s">
        <v>10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7">
      <c r="A12" s="10" t="s">
        <v>60</v>
      </c>
      <c r="B12" s="9" t="s">
        <v>498</v>
      </c>
      <c r="C12" s="9" t="s">
        <v>499</v>
      </c>
      <c r="D12" s="9" t="s">
        <v>500</v>
      </c>
      <c r="E12" s="9" t="s">
        <v>620</v>
      </c>
      <c r="F12" s="9" t="s">
        <v>598</v>
      </c>
      <c r="G12" s="20" t="s">
        <v>41</v>
      </c>
      <c r="H12" s="20" t="s">
        <v>38</v>
      </c>
      <c r="I12" s="20" t="s">
        <v>79</v>
      </c>
      <c r="J12" s="10"/>
      <c r="K12" s="20" t="s">
        <v>97</v>
      </c>
      <c r="L12" s="20" t="s">
        <v>107</v>
      </c>
      <c r="M12" s="20" t="s">
        <v>19</v>
      </c>
      <c r="N12" s="10"/>
      <c r="O12" s="40" t="str">
        <f>"435,0"</f>
        <v>435,0</v>
      </c>
      <c r="P12" s="10" t="str">
        <f>"280,9665"</f>
        <v>280,9665</v>
      </c>
      <c r="Q12" s="9" t="s">
        <v>268</v>
      </c>
    </row>
    <row r="13" spans="1:17">
      <c r="A13" s="25" t="s">
        <v>122</v>
      </c>
      <c r="B13" s="24" t="s">
        <v>86</v>
      </c>
      <c r="C13" s="24" t="s">
        <v>87</v>
      </c>
      <c r="D13" s="24" t="s">
        <v>88</v>
      </c>
      <c r="E13" s="24" t="s">
        <v>620</v>
      </c>
      <c r="F13" s="24" t="s">
        <v>598</v>
      </c>
      <c r="G13" s="26" t="s">
        <v>91</v>
      </c>
      <c r="H13" s="26" t="s">
        <v>16</v>
      </c>
      <c r="I13" s="26" t="s">
        <v>79</v>
      </c>
      <c r="J13" s="25"/>
      <c r="K13" s="26" t="s">
        <v>92</v>
      </c>
      <c r="L13" s="26" t="s">
        <v>19</v>
      </c>
      <c r="M13" s="27" t="s">
        <v>93</v>
      </c>
      <c r="N13" s="25"/>
      <c r="O13" s="42" t="str">
        <f>"435,0"</f>
        <v>435,0</v>
      </c>
      <c r="P13" s="25" t="str">
        <f>"279,3135"</f>
        <v>279,3135</v>
      </c>
      <c r="Q13" s="24"/>
    </row>
    <row r="14" spans="1:17">
      <c r="A14" s="12" t="s">
        <v>196</v>
      </c>
      <c r="B14" s="11" t="s">
        <v>501</v>
      </c>
      <c r="C14" s="11" t="s">
        <v>502</v>
      </c>
      <c r="D14" s="11" t="s">
        <v>503</v>
      </c>
      <c r="E14" s="11" t="s">
        <v>625</v>
      </c>
      <c r="F14" s="11" t="s">
        <v>607</v>
      </c>
      <c r="G14" s="22" t="s">
        <v>116</v>
      </c>
      <c r="H14" s="23" t="s">
        <v>39</v>
      </c>
      <c r="I14" s="22" t="s">
        <v>39</v>
      </c>
      <c r="J14" s="12"/>
      <c r="K14" s="23" t="s">
        <v>114</v>
      </c>
      <c r="L14" s="23" t="s">
        <v>114</v>
      </c>
      <c r="M14" s="23" t="s">
        <v>114</v>
      </c>
      <c r="N14" s="12"/>
      <c r="O14" s="41">
        <v>0</v>
      </c>
      <c r="P14" s="12" t="str">
        <f>"0,0000"</f>
        <v>0,0000</v>
      </c>
      <c r="Q14" s="11" t="s">
        <v>296</v>
      </c>
    </row>
    <row r="15" spans="1:17">
      <c r="B15" s="5" t="s">
        <v>61</v>
      </c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B3:B4"/>
    <mergeCell ref="O3:O4"/>
    <mergeCell ref="P3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M81"/>
  <sheetViews>
    <sheetView topLeftCell="A45" workbookViewId="0">
      <selection activeCell="E72" sqref="E72"/>
    </sheetView>
  </sheetViews>
  <sheetFormatPr baseColWidth="10" defaultColWidth="9.1640625" defaultRowHeight="13"/>
  <cols>
    <col min="1" max="1" width="7.5" style="5" bestFit="1" customWidth="1"/>
    <col min="2" max="2" width="26" style="5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18.6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9.6640625" style="5" bestFit="1" customWidth="1"/>
    <col min="14" max="16384" width="9.1640625" style="3"/>
  </cols>
  <sheetData>
    <row r="1" spans="1:13" s="2" customFormat="1" ht="29" customHeight="1">
      <c r="A1" s="56" t="s">
        <v>558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597</v>
      </c>
      <c r="B3" s="54" t="s">
        <v>0</v>
      </c>
      <c r="C3" s="66" t="s">
        <v>595</v>
      </c>
      <c r="D3" s="66" t="s">
        <v>5</v>
      </c>
      <c r="E3" s="48" t="s">
        <v>596</v>
      </c>
      <c r="F3" s="48" t="s">
        <v>6</v>
      </c>
      <c r="G3" s="48" t="s">
        <v>8</v>
      </c>
      <c r="H3" s="48"/>
      <c r="I3" s="48"/>
      <c r="J3" s="48"/>
      <c r="K3" s="48" t="s">
        <v>226</v>
      </c>
      <c r="L3" s="48" t="s">
        <v>3</v>
      </c>
      <c r="M3" s="50" t="s">
        <v>2</v>
      </c>
    </row>
    <row r="4" spans="1:13" s="1" customFormat="1" ht="21" customHeight="1" thickBot="1">
      <c r="A4" s="65"/>
      <c r="B4" s="55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227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0" t="s">
        <v>60</v>
      </c>
      <c r="B6" s="9" t="s">
        <v>303</v>
      </c>
      <c r="C6" s="9" t="s">
        <v>304</v>
      </c>
      <c r="D6" s="9" t="s">
        <v>305</v>
      </c>
      <c r="E6" s="9" t="s">
        <v>621</v>
      </c>
      <c r="F6" s="9" t="s">
        <v>598</v>
      </c>
      <c r="G6" s="20" t="s">
        <v>306</v>
      </c>
      <c r="H6" s="20" t="s">
        <v>307</v>
      </c>
      <c r="I6" s="20" t="s">
        <v>308</v>
      </c>
      <c r="J6" s="10"/>
      <c r="K6" s="10" t="str">
        <f>"32,5"</f>
        <v>32,5</v>
      </c>
      <c r="L6" s="10" t="str">
        <f>"40,5145"</f>
        <v>40,5145</v>
      </c>
      <c r="M6" s="9" t="s">
        <v>581</v>
      </c>
    </row>
    <row r="7" spans="1:13">
      <c r="A7" s="12" t="s">
        <v>60</v>
      </c>
      <c r="B7" s="11" t="s">
        <v>309</v>
      </c>
      <c r="C7" s="11" t="s">
        <v>310</v>
      </c>
      <c r="D7" s="11" t="s">
        <v>311</v>
      </c>
      <c r="E7" s="11" t="s">
        <v>620</v>
      </c>
      <c r="F7" s="11" t="s">
        <v>598</v>
      </c>
      <c r="G7" s="22" t="s">
        <v>67</v>
      </c>
      <c r="H7" s="22" t="s">
        <v>312</v>
      </c>
      <c r="I7" s="12"/>
      <c r="J7" s="12"/>
      <c r="K7" s="12" t="str">
        <f>"67,5"</f>
        <v>67,5</v>
      </c>
      <c r="L7" s="12" t="str">
        <f>"84,5235"</f>
        <v>84,5235</v>
      </c>
      <c r="M7" s="11" t="s">
        <v>313</v>
      </c>
    </row>
    <row r="8" spans="1:13">
      <c r="B8" s="5" t="s">
        <v>61</v>
      </c>
    </row>
    <row r="9" spans="1:13" ht="16">
      <c r="A9" s="45" t="s">
        <v>124</v>
      </c>
      <c r="B9" s="45"/>
      <c r="C9" s="45"/>
      <c r="D9" s="45"/>
      <c r="E9" s="45"/>
      <c r="F9" s="45"/>
      <c r="G9" s="45"/>
      <c r="H9" s="45"/>
      <c r="I9" s="45"/>
      <c r="J9" s="45"/>
    </row>
    <row r="10" spans="1:13">
      <c r="A10" s="10" t="s">
        <v>60</v>
      </c>
      <c r="B10" s="9" t="s">
        <v>314</v>
      </c>
      <c r="C10" s="9" t="s">
        <v>315</v>
      </c>
      <c r="D10" s="9" t="s">
        <v>316</v>
      </c>
      <c r="E10" s="9" t="s">
        <v>620</v>
      </c>
      <c r="F10" s="9" t="s">
        <v>598</v>
      </c>
      <c r="G10" s="20" t="s">
        <v>317</v>
      </c>
      <c r="H10" s="20" t="s">
        <v>67</v>
      </c>
      <c r="I10" s="21" t="s">
        <v>68</v>
      </c>
      <c r="J10" s="10"/>
      <c r="K10" s="10" t="str">
        <f>"62,5"</f>
        <v>62,5</v>
      </c>
      <c r="L10" s="10" t="str">
        <f>"74,3750"</f>
        <v>74,3750</v>
      </c>
      <c r="M10" s="9" t="s">
        <v>313</v>
      </c>
    </row>
    <row r="11" spans="1:13">
      <c r="A11" s="25" t="s">
        <v>122</v>
      </c>
      <c r="B11" s="24" t="s">
        <v>318</v>
      </c>
      <c r="C11" s="24" t="s">
        <v>319</v>
      </c>
      <c r="D11" s="24" t="s">
        <v>320</v>
      </c>
      <c r="E11" s="24" t="s">
        <v>620</v>
      </c>
      <c r="F11" s="24" t="s">
        <v>598</v>
      </c>
      <c r="G11" s="26" t="s">
        <v>71</v>
      </c>
      <c r="H11" s="27" t="s">
        <v>321</v>
      </c>
      <c r="I11" s="27" t="s">
        <v>321</v>
      </c>
      <c r="J11" s="25"/>
      <c r="K11" s="25" t="str">
        <f>"40,0"</f>
        <v>40,0</v>
      </c>
      <c r="L11" s="25" t="str">
        <f>"48,5640"</f>
        <v>48,5640</v>
      </c>
      <c r="M11" s="24" t="s">
        <v>322</v>
      </c>
    </row>
    <row r="12" spans="1:13">
      <c r="A12" s="12" t="s">
        <v>60</v>
      </c>
      <c r="B12" s="11" t="s">
        <v>323</v>
      </c>
      <c r="C12" s="11" t="s">
        <v>324</v>
      </c>
      <c r="D12" s="11" t="s">
        <v>127</v>
      </c>
      <c r="E12" s="11" t="s">
        <v>624</v>
      </c>
      <c r="F12" s="11" t="s">
        <v>608</v>
      </c>
      <c r="G12" s="22" t="s">
        <v>129</v>
      </c>
      <c r="H12" s="23" t="s">
        <v>67</v>
      </c>
      <c r="I12" s="23" t="s">
        <v>67</v>
      </c>
      <c r="J12" s="12"/>
      <c r="K12" s="12" t="str">
        <f>"55,0"</f>
        <v>55,0</v>
      </c>
      <c r="L12" s="12" t="str">
        <f>"64,7130"</f>
        <v>64,7130</v>
      </c>
      <c r="M12" s="11" t="s">
        <v>582</v>
      </c>
    </row>
    <row r="13" spans="1:13">
      <c r="B13" s="5" t="s">
        <v>61</v>
      </c>
    </row>
    <row r="14" spans="1:13" ht="16">
      <c r="A14" s="45" t="s">
        <v>232</v>
      </c>
      <c r="B14" s="45"/>
      <c r="C14" s="45"/>
      <c r="D14" s="45"/>
      <c r="E14" s="45"/>
      <c r="F14" s="45"/>
      <c r="G14" s="45"/>
      <c r="H14" s="45"/>
      <c r="I14" s="45"/>
      <c r="J14" s="45"/>
    </row>
    <row r="15" spans="1:13">
      <c r="A15" s="8" t="s">
        <v>60</v>
      </c>
      <c r="B15" s="7" t="s">
        <v>325</v>
      </c>
      <c r="C15" s="7" t="s">
        <v>326</v>
      </c>
      <c r="D15" s="7" t="s">
        <v>327</v>
      </c>
      <c r="E15" s="7" t="s">
        <v>620</v>
      </c>
      <c r="F15" s="7" t="s">
        <v>598</v>
      </c>
      <c r="G15" s="18" t="s">
        <v>71</v>
      </c>
      <c r="H15" s="19" t="s">
        <v>134</v>
      </c>
      <c r="I15" s="18" t="s">
        <v>134</v>
      </c>
      <c r="J15" s="8"/>
      <c r="K15" s="8" t="str">
        <f>"45,0"</f>
        <v>45,0</v>
      </c>
      <c r="L15" s="8" t="str">
        <f>"50,6970"</f>
        <v>50,6970</v>
      </c>
      <c r="M15" s="7" t="s">
        <v>573</v>
      </c>
    </row>
    <row r="16" spans="1:13">
      <c r="B16" s="5" t="s">
        <v>61</v>
      </c>
    </row>
    <row r="17" spans="1:13" ht="16">
      <c r="A17" s="45" t="s">
        <v>62</v>
      </c>
      <c r="B17" s="45"/>
      <c r="C17" s="45"/>
      <c r="D17" s="45"/>
      <c r="E17" s="45"/>
      <c r="F17" s="45"/>
      <c r="G17" s="45"/>
      <c r="H17" s="45"/>
      <c r="I17" s="45"/>
      <c r="J17" s="45"/>
    </row>
    <row r="18" spans="1:13">
      <c r="A18" s="8" t="s">
        <v>60</v>
      </c>
      <c r="B18" s="7" t="s">
        <v>136</v>
      </c>
      <c r="C18" s="7" t="s">
        <v>137</v>
      </c>
      <c r="D18" s="7" t="s">
        <v>138</v>
      </c>
      <c r="E18" s="7" t="s">
        <v>620</v>
      </c>
      <c r="F18" s="7" t="s">
        <v>599</v>
      </c>
      <c r="G18" s="18" t="s">
        <v>72</v>
      </c>
      <c r="H18" s="19" t="s">
        <v>73</v>
      </c>
      <c r="I18" s="19" t="s">
        <v>73</v>
      </c>
      <c r="J18" s="8"/>
      <c r="K18" s="8" t="str">
        <f>"70,0"</f>
        <v>70,0</v>
      </c>
      <c r="L18" s="8" t="str">
        <f>"72,5340"</f>
        <v>72,5340</v>
      </c>
      <c r="M18" s="7"/>
    </row>
    <row r="19" spans="1:13">
      <c r="B19" s="5" t="s">
        <v>61</v>
      </c>
    </row>
    <row r="20" spans="1:13" ht="16">
      <c r="A20" s="45" t="s">
        <v>144</v>
      </c>
      <c r="B20" s="45"/>
      <c r="C20" s="45"/>
      <c r="D20" s="45"/>
      <c r="E20" s="45"/>
      <c r="F20" s="45"/>
      <c r="G20" s="45"/>
      <c r="H20" s="45"/>
      <c r="I20" s="45"/>
      <c r="J20" s="45"/>
    </row>
    <row r="21" spans="1:13">
      <c r="A21" s="10" t="s">
        <v>60</v>
      </c>
      <c r="B21" s="9" t="s">
        <v>198</v>
      </c>
      <c r="C21" s="9" t="s">
        <v>199</v>
      </c>
      <c r="D21" s="9" t="s">
        <v>200</v>
      </c>
      <c r="E21" s="9" t="s">
        <v>620</v>
      </c>
      <c r="F21" s="9" t="s">
        <v>598</v>
      </c>
      <c r="G21" s="20" t="s">
        <v>74</v>
      </c>
      <c r="H21" s="20" t="s">
        <v>328</v>
      </c>
      <c r="I21" s="20" t="s">
        <v>115</v>
      </c>
      <c r="J21" s="21" t="s">
        <v>135</v>
      </c>
      <c r="K21" s="10" t="str">
        <f>"85,0"</f>
        <v>85,0</v>
      </c>
      <c r="L21" s="10" t="str">
        <f>"83,9035"</f>
        <v>83,9035</v>
      </c>
      <c r="M21" s="9" t="s">
        <v>570</v>
      </c>
    </row>
    <row r="22" spans="1:13">
      <c r="A22" s="12" t="s">
        <v>60</v>
      </c>
      <c r="B22" s="11" t="s">
        <v>198</v>
      </c>
      <c r="C22" s="11" t="s">
        <v>201</v>
      </c>
      <c r="D22" s="11" t="s">
        <v>200</v>
      </c>
      <c r="E22" s="11" t="s">
        <v>624</v>
      </c>
      <c r="F22" s="11" t="s">
        <v>598</v>
      </c>
      <c r="G22" s="22" t="s">
        <v>74</v>
      </c>
      <c r="H22" s="22" t="s">
        <v>328</v>
      </c>
      <c r="I22" s="22" t="s">
        <v>115</v>
      </c>
      <c r="J22" s="23" t="s">
        <v>135</v>
      </c>
      <c r="K22" s="12" t="str">
        <f>"85,0"</f>
        <v>85,0</v>
      </c>
      <c r="L22" s="12" t="str">
        <f>"84,3230"</f>
        <v>84,3230</v>
      </c>
      <c r="M22" s="11" t="s">
        <v>570</v>
      </c>
    </row>
    <row r="23" spans="1:13">
      <c r="B23" s="5" t="s">
        <v>61</v>
      </c>
    </row>
    <row r="24" spans="1:13" ht="16">
      <c r="A24" s="45" t="s">
        <v>227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3">
      <c r="A25" s="8" t="s">
        <v>60</v>
      </c>
      <c r="B25" s="7" t="s">
        <v>329</v>
      </c>
      <c r="C25" s="7" t="s">
        <v>330</v>
      </c>
      <c r="D25" s="7" t="s">
        <v>331</v>
      </c>
      <c r="E25" s="7" t="s">
        <v>621</v>
      </c>
      <c r="F25" s="7" t="s">
        <v>598</v>
      </c>
      <c r="G25" s="18" t="s">
        <v>307</v>
      </c>
      <c r="H25" s="18" t="s">
        <v>69</v>
      </c>
      <c r="I25" s="18" t="s">
        <v>70</v>
      </c>
      <c r="J25" s="8"/>
      <c r="K25" s="8" t="str">
        <f>"37,5"</f>
        <v>37,5</v>
      </c>
      <c r="L25" s="8" t="str">
        <f>"50,0775"</f>
        <v>50,0775</v>
      </c>
      <c r="M25" s="7" t="s">
        <v>581</v>
      </c>
    </row>
    <row r="26" spans="1:13">
      <c r="B26" s="5" t="s">
        <v>61</v>
      </c>
    </row>
    <row r="27" spans="1:13" ht="16">
      <c r="A27" s="45" t="s">
        <v>232</v>
      </c>
      <c r="B27" s="45"/>
      <c r="C27" s="45"/>
      <c r="D27" s="45"/>
      <c r="E27" s="45"/>
      <c r="F27" s="45"/>
      <c r="G27" s="45"/>
      <c r="H27" s="45"/>
      <c r="I27" s="45"/>
      <c r="J27" s="45"/>
    </row>
    <row r="28" spans="1:13">
      <c r="A28" s="8" t="s">
        <v>60</v>
      </c>
      <c r="B28" s="7" t="s">
        <v>233</v>
      </c>
      <c r="C28" s="7" t="s">
        <v>234</v>
      </c>
      <c r="D28" s="7" t="s">
        <v>235</v>
      </c>
      <c r="E28" s="7" t="s">
        <v>620</v>
      </c>
      <c r="F28" s="7" t="s">
        <v>598</v>
      </c>
      <c r="G28" s="18" t="s">
        <v>40</v>
      </c>
      <c r="H28" s="18" t="s">
        <v>36</v>
      </c>
      <c r="I28" s="18" t="s">
        <v>148</v>
      </c>
      <c r="J28" s="8"/>
      <c r="K28" s="8" t="str">
        <f>"130,0"</f>
        <v>130,0</v>
      </c>
      <c r="L28" s="8" t="str">
        <f>"111,0460"</f>
        <v>111,0460</v>
      </c>
      <c r="M28" s="7"/>
    </row>
    <row r="29" spans="1:13">
      <c r="B29" s="5" t="s">
        <v>61</v>
      </c>
    </row>
    <row r="30" spans="1:13" ht="16">
      <c r="A30" s="45" t="s">
        <v>62</v>
      </c>
      <c r="B30" s="45"/>
      <c r="C30" s="45"/>
      <c r="D30" s="45"/>
      <c r="E30" s="45"/>
      <c r="F30" s="45"/>
      <c r="G30" s="45"/>
      <c r="H30" s="45"/>
      <c r="I30" s="45"/>
      <c r="J30" s="45"/>
    </row>
    <row r="31" spans="1:13">
      <c r="A31" s="10" t="s">
        <v>60</v>
      </c>
      <c r="B31" s="9" t="s">
        <v>332</v>
      </c>
      <c r="C31" s="9" t="s">
        <v>333</v>
      </c>
      <c r="D31" s="9" t="s">
        <v>334</v>
      </c>
      <c r="E31" s="9" t="s">
        <v>626</v>
      </c>
      <c r="F31" s="9" t="s">
        <v>598</v>
      </c>
      <c r="G31" s="20" t="s">
        <v>120</v>
      </c>
      <c r="H31" s="21" t="s">
        <v>114</v>
      </c>
      <c r="I31" s="21" t="s">
        <v>114</v>
      </c>
      <c r="J31" s="10"/>
      <c r="K31" s="10" t="str">
        <f>"117,5"</f>
        <v>117,5</v>
      </c>
      <c r="L31" s="10" t="str">
        <f>"92,4960"</f>
        <v>92,4960</v>
      </c>
      <c r="M31" s="9" t="s">
        <v>535</v>
      </c>
    </row>
    <row r="32" spans="1:13">
      <c r="A32" s="12" t="s">
        <v>122</v>
      </c>
      <c r="B32" s="11" t="s">
        <v>335</v>
      </c>
      <c r="C32" s="11" t="s">
        <v>336</v>
      </c>
      <c r="D32" s="11" t="s">
        <v>337</v>
      </c>
      <c r="E32" s="11" t="s">
        <v>626</v>
      </c>
      <c r="F32" s="11" t="s">
        <v>598</v>
      </c>
      <c r="G32" s="22" t="s">
        <v>72</v>
      </c>
      <c r="H32" s="22" t="s">
        <v>338</v>
      </c>
      <c r="I32" s="22" t="s">
        <v>74</v>
      </c>
      <c r="J32" s="12"/>
      <c r="K32" s="12" t="str">
        <f>"80,0"</f>
        <v>80,0</v>
      </c>
      <c r="L32" s="12" t="str">
        <f>"63,9440"</f>
        <v>63,9440</v>
      </c>
      <c r="M32" s="11" t="s">
        <v>535</v>
      </c>
    </row>
    <row r="33" spans="1:13">
      <c r="B33" s="5" t="s">
        <v>61</v>
      </c>
    </row>
    <row r="34" spans="1:13" ht="16">
      <c r="A34" s="45" t="s">
        <v>144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3">
      <c r="A35" s="10" t="s">
        <v>60</v>
      </c>
      <c r="B35" s="9" t="s">
        <v>339</v>
      </c>
      <c r="C35" s="9" t="s">
        <v>340</v>
      </c>
      <c r="D35" s="9" t="s">
        <v>341</v>
      </c>
      <c r="E35" s="9" t="s">
        <v>626</v>
      </c>
      <c r="F35" s="9" t="s">
        <v>605</v>
      </c>
      <c r="G35" s="21" t="s">
        <v>82</v>
      </c>
      <c r="H35" s="20" t="s">
        <v>113</v>
      </c>
      <c r="I35" s="21" t="s">
        <v>120</v>
      </c>
      <c r="J35" s="10"/>
      <c r="K35" s="10" t="str">
        <f>"115,0"</f>
        <v>115,0</v>
      </c>
      <c r="L35" s="10" t="str">
        <f>"82,9610"</f>
        <v>82,9610</v>
      </c>
      <c r="M35" s="9" t="s">
        <v>583</v>
      </c>
    </row>
    <row r="36" spans="1:13">
      <c r="A36" s="25" t="s">
        <v>122</v>
      </c>
      <c r="B36" s="24" t="s">
        <v>342</v>
      </c>
      <c r="C36" s="24" t="s">
        <v>343</v>
      </c>
      <c r="D36" s="24" t="s">
        <v>344</v>
      </c>
      <c r="E36" s="24" t="s">
        <v>626</v>
      </c>
      <c r="F36" s="24" t="s">
        <v>598</v>
      </c>
      <c r="G36" s="26" t="s">
        <v>40</v>
      </c>
      <c r="H36" s="27" t="s">
        <v>120</v>
      </c>
      <c r="I36" s="27" t="s">
        <v>120</v>
      </c>
      <c r="J36" s="25"/>
      <c r="K36" s="25" t="str">
        <f>"110,0"</f>
        <v>110,0</v>
      </c>
      <c r="L36" s="25" t="str">
        <f>"79,1230"</f>
        <v>79,1230</v>
      </c>
      <c r="M36" s="24" t="s">
        <v>581</v>
      </c>
    </row>
    <row r="37" spans="1:13">
      <c r="A37" s="25" t="s">
        <v>60</v>
      </c>
      <c r="B37" s="24" t="s">
        <v>345</v>
      </c>
      <c r="C37" s="24" t="s">
        <v>346</v>
      </c>
      <c r="D37" s="24" t="s">
        <v>347</v>
      </c>
      <c r="E37" s="24" t="s">
        <v>622</v>
      </c>
      <c r="F37" s="24" t="s">
        <v>606</v>
      </c>
      <c r="G37" s="26" t="s">
        <v>348</v>
      </c>
      <c r="H37" s="26" t="s">
        <v>38</v>
      </c>
      <c r="I37" s="26" t="s">
        <v>91</v>
      </c>
      <c r="J37" s="25"/>
      <c r="K37" s="25" t="str">
        <f>"155,0"</f>
        <v>155,0</v>
      </c>
      <c r="L37" s="25" t="str">
        <f>"112,9175"</f>
        <v>112,9175</v>
      </c>
      <c r="M37" s="24"/>
    </row>
    <row r="38" spans="1:13">
      <c r="A38" s="25" t="s">
        <v>60</v>
      </c>
      <c r="B38" s="24" t="s">
        <v>349</v>
      </c>
      <c r="C38" s="24" t="s">
        <v>350</v>
      </c>
      <c r="D38" s="24" t="s">
        <v>351</v>
      </c>
      <c r="E38" s="24" t="s">
        <v>620</v>
      </c>
      <c r="F38" s="24" t="s">
        <v>598</v>
      </c>
      <c r="G38" s="26" t="s">
        <v>38</v>
      </c>
      <c r="H38" s="26" t="s">
        <v>352</v>
      </c>
      <c r="I38" s="27" t="s">
        <v>16</v>
      </c>
      <c r="J38" s="25"/>
      <c r="K38" s="25" t="str">
        <f>"157,5"</f>
        <v>157,5</v>
      </c>
      <c r="L38" s="25" t="str">
        <f>"114,8648"</f>
        <v>114,8648</v>
      </c>
      <c r="M38" s="24"/>
    </row>
    <row r="39" spans="1:13">
      <c r="A39" s="25" t="s">
        <v>122</v>
      </c>
      <c r="B39" s="24" t="s">
        <v>353</v>
      </c>
      <c r="C39" s="24" t="s">
        <v>354</v>
      </c>
      <c r="D39" s="24" t="s">
        <v>204</v>
      </c>
      <c r="E39" s="24" t="s">
        <v>620</v>
      </c>
      <c r="F39" s="24" t="s">
        <v>598</v>
      </c>
      <c r="G39" s="26" t="s">
        <v>41</v>
      </c>
      <c r="H39" s="27" t="s">
        <v>38</v>
      </c>
      <c r="I39" s="27" t="s">
        <v>38</v>
      </c>
      <c r="J39" s="25"/>
      <c r="K39" s="25" t="str">
        <f>"140,0"</f>
        <v>140,0</v>
      </c>
      <c r="L39" s="25" t="str">
        <f>"99,7640"</f>
        <v>99,7640</v>
      </c>
      <c r="M39" s="24" t="s">
        <v>573</v>
      </c>
    </row>
    <row r="40" spans="1:13">
      <c r="A40" s="25" t="s">
        <v>123</v>
      </c>
      <c r="B40" s="24" t="s">
        <v>355</v>
      </c>
      <c r="C40" s="24" t="s">
        <v>356</v>
      </c>
      <c r="D40" s="24" t="s">
        <v>357</v>
      </c>
      <c r="E40" s="24" t="s">
        <v>620</v>
      </c>
      <c r="F40" s="24" t="s">
        <v>598</v>
      </c>
      <c r="G40" s="26" t="s">
        <v>113</v>
      </c>
      <c r="H40" s="27" t="s">
        <v>358</v>
      </c>
      <c r="I40" s="26" t="s">
        <v>358</v>
      </c>
      <c r="J40" s="25"/>
      <c r="K40" s="25" t="str">
        <f>"122,5"</f>
        <v>122,5</v>
      </c>
      <c r="L40" s="25" t="str">
        <f>"88,6288"</f>
        <v>88,6288</v>
      </c>
      <c r="M40" s="24" t="s">
        <v>155</v>
      </c>
    </row>
    <row r="41" spans="1:13">
      <c r="A41" s="25" t="s">
        <v>197</v>
      </c>
      <c r="B41" s="24" t="s">
        <v>359</v>
      </c>
      <c r="C41" s="24" t="s">
        <v>360</v>
      </c>
      <c r="D41" s="24" t="s">
        <v>361</v>
      </c>
      <c r="E41" s="24" t="s">
        <v>620</v>
      </c>
      <c r="F41" s="24" t="s">
        <v>598</v>
      </c>
      <c r="G41" s="26" t="s">
        <v>120</v>
      </c>
      <c r="H41" s="27" t="s">
        <v>358</v>
      </c>
      <c r="I41" s="27" t="s">
        <v>358</v>
      </c>
      <c r="J41" s="25"/>
      <c r="K41" s="25" t="str">
        <f>"117,5"</f>
        <v>117,5</v>
      </c>
      <c r="L41" s="25" t="str">
        <f>"84,1183"</f>
        <v>84,1183</v>
      </c>
      <c r="M41" s="24" t="s">
        <v>535</v>
      </c>
    </row>
    <row r="42" spans="1:13">
      <c r="A42" s="12" t="s">
        <v>414</v>
      </c>
      <c r="B42" s="11" t="s">
        <v>362</v>
      </c>
      <c r="C42" s="11" t="s">
        <v>363</v>
      </c>
      <c r="D42" s="11" t="s">
        <v>341</v>
      </c>
      <c r="E42" s="11" t="s">
        <v>620</v>
      </c>
      <c r="F42" s="11" t="s">
        <v>609</v>
      </c>
      <c r="G42" s="22" t="s">
        <v>112</v>
      </c>
      <c r="H42" s="22" t="s">
        <v>40</v>
      </c>
      <c r="I42" s="23" t="s">
        <v>82</v>
      </c>
      <c r="J42" s="12"/>
      <c r="K42" s="12" t="str">
        <f>"110,0"</f>
        <v>110,0</v>
      </c>
      <c r="L42" s="12" t="str">
        <f>"79,3540"</f>
        <v>79,3540</v>
      </c>
      <c r="M42" s="11" t="s">
        <v>582</v>
      </c>
    </row>
    <row r="43" spans="1:13">
      <c r="B43" s="5" t="s">
        <v>61</v>
      </c>
    </row>
    <row r="44" spans="1:13" ht="16">
      <c r="A44" s="45" t="s">
        <v>139</v>
      </c>
      <c r="B44" s="45"/>
      <c r="C44" s="45"/>
      <c r="D44" s="45"/>
      <c r="E44" s="45"/>
      <c r="F44" s="45"/>
      <c r="G44" s="45"/>
      <c r="H44" s="45"/>
      <c r="I44" s="45"/>
      <c r="J44" s="45"/>
    </row>
    <row r="45" spans="1:13">
      <c r="A45" s="10" t="s">
        <v>60</v>
      </c>
      <c r="B45" s="9" t="s">
        <v>364</v>
      </c>
      <c r="C45" s="9" t="s">
        <v>365</v>
      </c>
      <c r="D45" s="9" t="s">
        <v>366</v>
      </c>
      <c r="E45" s="9" t="s">
        <v>620</v>
      </c>
      <c r="F45" s="9" t="s">
        <v>605</v>
      </c>
      <c r="G45" s="20" t="s">
        <v>16</v>
      </c>
      <c r="H45" s="20" t="s">
        <v>100</v>
      </c>
      <c r="I45" s="21" t="s">
        <v>80</v>
      </c>
      <c r="J45" s="10"/>
      <c r="K45" s="10" t="str">
        <f>"167,5"</f>
        <v>167,5</v>
      </c>
      <c r="L45" s="10" t="str">
        <f>"114,1680"</f>
        <v>114,1680</v>
      </c>
      <c r="M45" s="9"/>
    </row>
    <row r="46" spans="1:13">
      <c r="A46" s="25" t="s">
        <v>122</v>
      </c>
      <c r="B46" s="24" t="s">
        <v>367</v>
      </c>
      <c r="C46" s="24" t="s">
        <v>368</v>
      </c>
      <c r="D46" s="24" t="s">
        <v>369</v>
      </c>
      <c r="E46" s="24" t="s">
        <v>620</v>
      </c>
      <c r="F46" s="24" t="s">
        <v>610</v>
      </c>
      <c r="G46" s="26" t="s">
        <v>16</v>
      </c>
      <c r="H46" s="26" t="s">
        <v>79</v>
      </c>
      <c r="I46" s="26" t="s">
        <v>100</v>
      </c>
      <c r="J46" s="25"/>
      <c r="K46" s="25" t="str">
        <f>"167,5"</f>
        <v>167,5</v>
      </c>
      <c r="L46" s="25" t="str">
        <f>"114,0843"</f>
        <v>114,0843</v>
      </c>
      <c r="M46" s="24"/>
    </row>
    <row r="47" spans="1:13">
      <c r="A47" s="25" t="s">
        <v>123</v>
      </c>
      <c r="B47" s="24" t="s">
        <v>205</v>
      </c>
      <c r="C47" s="24" t="s">
        <v>206</v>
      </c>
      <c r="D47" s="24" t="s">
        <v>207</v>
      </c>
      <c r="E47" s="24" t="s">
        <v>620</v>
      </c>
      <c r="F47" s="24" t="s">
        <v>598</v>
      </c>
      <c r="G47" s="26" t="s">
        <v>38</v>
      </c>
      <c r="H47" s="27" t="s">
        <v>78</v>
      </c>
      <c r="I47" s="26" t="s">
        <v>78</v>
      </c>
      <c r="J47" s="25"/>
      <c r="K47" s="25" t="str">
        <f>"152,5"</f>
        <v>152,5</v>
      </c>
      <c r="L47" s="25" t="str">
        <f>"102,8460"</f>
        <v>102,8460</v>
      </c>
      <c r="M47" s="24"/>
    </row>
    <row r="48" spans="1:13">
      <c r="A48" s="25" t="s">
        <v>197</v>
      </c>
      <c r="B48" s="24" t="s">
        <v>370</v>
      </c>
      <c r="C48" s="24" t="s">
        <v>371</v>
      </c>
      <c r="D48" s="24" t="s">
        <v>372</v>
      </c>
      <c r="E48" s="24" t="s">
        <v>620</v>
      </c>
      <c r="F48" s="24" t="s">
        <v>598</v>
      </c>
      <c r="G48" s="26" t="s">
        <v>41</v>
      </c>
      <c r="H48" s="26" t="s">
        <v>348</v>
      </c>
      <c r="I48" s="26" t="s">
        <v>38</v>
      </c>
      <c r="J48" s="25"/>
      <c r="K48" s="25" t="str">
        <f>"150,0"</f>
        <v>150,0</v>
      </c>
      <c r="L48" s="25" t="str">
        <f>"104,8050"</f>
        <v>104,8050</v>
      </c>
      <c r="M48" s="24" t="s">
        <v>541</v>
      </c>
    </row>
    <row r="49" spans="1:13">
      <c r="A49" s="25" t="s">
        <v>414</v>
      </c>
      <c r="B49" s="24" t="s">
        <v>373</v>
      </c>
      <c r="C49" s="24" t="s">
        <v>374</v>
      </c>
      <c r="D49" s="24" t="s">
        <v>375</v>
      </c>
      <c r="E49" s="24" t="s">
        <v>620</v>
      </c>
      <c r="F49" s="24" t="s">
        <v>598</v>
      </c>
      <c r="G49" s="26" t="s">
        <v>239</v>
      </c>
      <c r="H49" s="26" t="s">
        <v>28</v>
      </c>
      <c r="I49" s="27" t="s">
        <v>348</v>
      </c>
      <c r="J49" s="25"/>
      <c r="K49" s="25" t="str">
        <f>"137,5"</f>
        <v>137,5</v>
      </c>
      <c r="L49" s="25" t="str">
        <f>"94,1737"</f>
        <v>94,1737</v>
      </c>
      <c r="M49" s="24" t="s">
        <v>535</v>
      </c>
    </row>
    <row r="50" spans="1:13">
      <c r="A50" s="25" t="s">
        <v>415</v>
      </c>
      <c r="B50" s="24" t="s">
        <v>376</v>
      </c>
      <c r="C50" s="24" t="s">
        <v>377</v>
      </c>
      <c r="D50" s="24" t="s">
        <v>378</v>
      </c>
      <c r="E50" s="24" t="s">
        <v>620</v>
      </c>
      <c r="F50" s="24" t="s">
        <v>598</v>
      </c>
      <c r="G50" s="26" t="s">
        <v>82</v>
      </c>
      <c r="H50" s="27" t="s">
        <v>113</v>
      </c>
      <c r="I50" s="27" t="s">
        <v>113</v>
      </c>
      <c r="J50" s="25"/>
      <c r="K50" s="25" t="str">
        <f>"112,5"</f>
        <v>112,5</v>
      </c>
      <c r="L50" s="25" t="str">
        <f>"76,1513"</f>
        <v>76,1513</v>
      </c>
      <c r="M50" s="24" t="s">
        <v>584</v>
      </c>
    </row>
    <row r="51" spans="1:13">
      <c r="A51" s="12" t="s">
        <v>60</v>
      </c>
      <c r="B51" s="11" t="s">
        <v>205</v>
      </c>
      <c r="C51" s="11" t="s">
        <v>208</v>
      </c>
      <c r="D51" s="11" t="s">
        <v>207</v>
      </c>
      <c r="E51" s="11" t="s">
        <v>624</v>
      </c>
      <c r="F51" s="11" t="s">
        <v>598</v>
      </c>
      <c r="G51" s="22" t="s">
        <v>38</v>
      </c>
      <c r="H51" s="23" t="s">
        <v>78</v>
      </c>
      <c r="I51" s="22" t="s">
        <v>78</v>
      </c>
      <c r="J51" s="12"/>
      <c r="K51" s="12" t="str">
        <f>"152,5"</f>
        <v>152,5</v>
      </c>
      <c r="L51" s="12" t="str">
        <f>"102,8460"</f>
        <v>102,8460</v>
      </c>
      <c r="M51" s="11"/>
    </row>
    <row r="52" spans="1:13">
      <c r="B52" s="5" t="s">
        <v>61</v>
      </c>
    </row>
    <row r="53" spans="1:13" ht="16">
      <c r="A53" s="45" t="s">
        <v>10</v>
      </c>
      <c r="B53" s="45"/>
      <c r="C53" s="45"/>
      <c r="D53" s="45"/>
      <c r="E53" s="45"/>
      <c r="F53" s="45"/>
      <c r="G53" s="45"/>
      <c r="H53" s="45"/>
      <c r="I53" s="45"/>
      <c r="J53" s="45"/>
    </row>
    <row r="54" spans="1:13">
      <c r="A54" s="10" t="s">
        <v>60</v>
      </c>
      <c r="B54" s="9" t="s">
        <v>379</v>
      </c>
      <c r="C54" s="9" t="s">
        <v>380</v>
      </c>
      <c r="D54" s="9" t="s">
        <v>381</v>
      </c>
      <c r="E54" s="9" t="s">
        <v>620</v>
      </c>
      <c r="F54" s="9" t="s">
        <v>611</v>
      </c>
      <c r="G54" s="20" t="s">
        <v>17</v>
      </c>
      <c r="H54" s="20" t="s">
        <v>48</v>
      </c>
      <c r="I54" s="21" t="s">
        <v>31</v>
      </c>
      <c r="J54" s="10"/>
      <c r="K54" s="10" t="str">
        <f>"180,0"</f>
        <v>180,0</v>
      </c>
      <c r="L54" s="10" t="str">
        <f>"115,9920"</f>
        <v>115,9920</v>
      </c>
      <c r="M54" s="9"/>
    </row>
    <row r="55" spans="1:13">
      <c r="A55" s="25" t="s">
        <v>122</v>
      </c>
      <c r="B55" s="24" t="s">
        <v>382</v>
      </c>
      <c r="C55" s="24" t="s">
        <v>383</v>
      </c>
      <c r="D55" s="24" t="s">
        <v>384</v>
      </c>
      <c r="E55" s="24" t="s">
        <v>620</v>
      </c>
      <c r="F55" s="24" t="s">
        <v>598</v>
      </c>
      <c r="G55" s="26" t="s">
        <v>385</v>
      </c>
      <c r="H55" s="26" t="s">
        <v>81</v>
      </c>
      <c r="I55" s="27" t="s">
        <v>36</v>
      </c>
      <c r="J55" s="25"/>
      <c r="K55" s="25" t="str">
        <f>"107,5"</f>
        <v>107,5</v>
      </c>
      <c r="L55" s="25" t="str">
        <f>"70,7672"</f>
        <v>70,7672</v>
      </c>
      <c r="M55" s="24"/>
    </row>
    <row r="56" spans="1:13">
      <c r="A56" s="25" t="s">
        <v>60</v>
      </c>
      <c r="B56" s="24" t="s">
        <v>386</v>
      </c>
      <c r="C56" s="24" t="s">
        <v>387</v>
      </c>
      <c r="D56" s="24" t="s">
        <v>388</v>
      </c>
      <c r="E56" s="24" t="s">
        <v>624</v>
      </c>
      <c r="F56" s="24" t="s">
        <v>598</v>
      </c>
      <c r="G56" s="26" t="s">
        <v>29</v>
      </c>
      <c r="H56" s="26" t="s">
        <v>348</v>
      </c>
      <c r="I56" s="27" t="s">
        <v>78</v>
      </c>
      <c r="J56" s="25"/>
      <c r="K56" s="25" t="str">
        <f>"145,0"</f>
        <v>145,0</v>
      </c>
      <c r="L56" s="25" t="str">
        <f>"100,1947"</f>
        <v>100,1947</v>
      </c>
      <c r="M56" s="24" t="s">
        <v>585</v>
      </c>
    </row>
    <row r="57" spans="1:13">
      <c r="A57" s="12" t="s">
        <v>60</v>
      </c>
      <c r="B57" s="11" t="s">
        <v>389</v>
      </c>
      <c r="C57" s="11" t="s">
        <v>390</v>
      </c>
      <c r="D57" s="11" t="s">
        <v>391</v>
      </c>
      <c r="E57" s="11" t="s">
        <v>625</v>
      </c>
      <c r="F57" s="11" t="s">
        <v>598</v>
      </c>
      <c r="G57" s="22" t="s">
        <v>40</v>
      </c>
      <c r="H57" s="22" t="s">
        <v>36</v>
      </c>
      <c r="I57" s="23" t="s">
        <v>114</v>
      </c>
      <c r="J57" s="12"/>
      <c r="K57" s="12" t="str">
        <f>"120,0"</f>
        <v>120,0</v>
      </c>
      <c r="L57" s="12" t="str">
        <f>"104,9404"</f>
        <v>104,9404</v>
      </c>
      <c r="M57" s="11"/>
    </row>
    <row r="58" spans="1:13">
      <c r="B58" s="5" t="s">
        <v>61</v>
      </c>
    </row>
    <row r="59" spans="1:13" ht="16">
      <c r="A59" s="45" t="s">
        <v>21</v>
      </c>
      <c r="B59" s="45"/>
      <c r="C59" s="45"/>
      <c r="D59" s="45"/>
      <c r="E59" s="45"/>
      <c r="F59" s="45"/>
      <c r="G59" s="45"/>
      <c r="H59" s="45"/>
      <c r="I59" s="45"/>
      <c r="J59" s="45"/>
    </row>
    <row r="60" spans="1:13">
      <c r="A60" s="10" t="s">
        <v>60</v>
      </c>
      <c r="B60" s="9" t="s">
        <v>392</v>
      </c>
      <c r="C60" s="9" t="s">
        <v>393</v>
      </c>
      <c r="D60" s="9" t="s">
        <v>394</v>
      </c>
      <c r="E60" s="9" t="s">
        <v>622</v>
      </c>
      <c r="F60" s="9" t="s">
        <v>598</v>
      </c>
      <c r="G60" s="20" t="s">
        <v>114</v>
      </c>
      <c r="H60" s="20" t="s">
        <v>37</v>
      </c>
      <c r="I60" s="20" t="s">
        <v>41</v>
      </c>
      <c r="J60" s="10"/>
      <c r="K60" s="10" t="str">
        <f>"140,0"</f>
        <v>140,0</v>
      </c>
      <c r="L60" s="10" t="str">
        <f>"85,3020"</f>
        <v>85,3020</v>
      </c>
      <c r="M60" s="9" t="s">
        <v>535</v>
      </c>
    </row>
    <row r="61" spans="1:13">
      <c r="A61" s="25" t="s">
        <v>60</v>
      </c>
      <c r="B61" s="24" t="s">
        <v>395</v>
      </c>
      <c r="C61" s="24" t="s">
        <v>396</v>
      </c>
      <c r="D61" s="24" t="s">
        <v>397</v>
      </c>
      <c r="E61" s="24" t="s">
        <v>620</v>
      </c>
      <c r="F61" s="24" t="s">
        <v>605</v>
      </c>
      <c r="G61" s="27" t="s">
        <v>38</v>
      </c>
      <c r="H61" s="26" t="s">
        <v>38</v>
      </c>
      <c r="I61" s="27" t="s">
        <v>398</v>
      </c>
      <c r="J61" s="25"/>
      <c r="K61" s="25" t="str">
        <f>"150,0"</f>
        <v>150,0</v>
      </c>
      <c r="L61" s="25" t="str">
        <f>"92,6550"</f>
        <v>92,6550</v>
      </c>
      <c r="M61" s="24"/>
    </row>
    <row r="62" spans="1:13">
      <c r="A62" s="12" t="s">
        <v>122</v>
      </c>
      <c r="B62" s="11" t="s">
        <v>399</v>
      </c>
      <c r="C62" s="11" t="s">
        <v>400</v>
      </c>
      <c r="D62" s="11" t="s">
        <v>401</v>
      </c>
      <c r="E62" s="11" t="s">
        <v>620</v>
      </c>
      <c r="F62" s="11" t="s">
        <v>612</v>
      </c>
      <c r="G62" s="22" t="s">
        <v>148</v>
      </c>
      <c r="H62" s="22" t="s">
        <v>41</v>
      </c>
      <c r="I62" s="23" t="s">
        <v>348</v>
      </c>
      <c r="J62" s="12"/>
      <c r="K62" s="12" t="str">
        <f>"140,0"</f>
        <v>140,0</v>
      </c>
      <c r="L62" s="12" t="str">
        <f>"85,5820"</f>
        <v>85,5820</v>
      </c>
      <c r="M62" s="11" t="s">
        <v>586</v>
      </c>
    </row>
    <row r="63" spans="1:13">
      <c r="B63" s="5" t="s">
        <v>61</v>
      </c>
    </row>
    <row r="64" spans="1:13" ht="16">
      <c r="A64" s="45" t="s">
        <v>178</v>
      </c>
      <c r="B64" s="45"/>
      <c r="C64" s="45"/>
      <c r="D64" s="45"/>
      <c r="E64" s="45"/>
      <c r="F64" s="45"/>
      <c r="G64" s="45"/>
      <c r="H64" s="45"/>
      <c r="I64" s="45"/>
      <c r="J64" s="45"/>
    </row>
    <row r="65" spans="1:13">
      <c r="A65" s="10" t="s">
        <v>60</v>
      </c>
      <c r="B65" s="9" t="s">
        <v>402</v>
      </c>
      <c r="C65" s="9" t="s">
        <v>403</v>
      </c>
      <c r="D65" s="9" t="s">
        <v>404</v>
      </c>
      <c r="E65" s="9" t="s">
        <v>620</v>
      </c>
      <c r="F65" s="9" t="s">
        <v>613</v>
      </c>
      <c r="G65" s="20" t="s">
        <v>153</v>
      </c>
      <c r="H65" s="20" t="s">
        <v>159</v>
      </c>
      <c r="I65" s="20" t="s">
        <v>26</v>
      </c>
      <c r="J65" s="10"/>
      <c r="K65" s="10" t="str">
        <f>"212,5"</f>
        <v>212,5</v>
      </c>
      <c r="L65" s="10" t="str">
        <f>"121,7625"</f>
        <v>121,7625</v>
      </c>
      <c r="M65" s="9"/>
    </row>
    <row r="66" spans="1:13">
      <c r="A66" s="25" t="s">
        <v>122</v>
      </c>
      <c r="B66" s="24" t="s">
        <v>212</v>
      </c>
      <c r="C66" s="24" t="s">
        <v>213</v>
      </c>
      <c r="D66" s="24" t="s">
        <v>214</v>
      </c>
      <c r="E66" s="24" t="s">
        <v>620</v>
      </c>
      <c r="F66" s="24" t="s">
        <v>598</v>
      </c>
      <c r="G66" s="27" t="s">
        <v>154</v>
      </c>
      <c r="H66" s="26" t="s">
        <v>154</v>
      </c>
      <c r="I66" s="26" t="s">
        <v>32</v>
      </c>
      <c r="J66" s="25"/>
      <c r="K66" s="25" t="str">
        <f>"207,5"</f>
        <v>207,5</v>
      </c>
      <c r="L66" s="25" t="str">
        <f>"119,9765"</f>
        <v>119,9765</v>
      </c>
      <c r="M66" s="24"/>
    </row>
    <row r="67" spans="1:13">
      <c r="A67" s="25" t="s">
        <v>60</v>
      </c>
      <c r="B67" s="24" t="s">
        <v>212</v>
      </c>
      <c r="C67" s="24" t="s">
        <v>220</v>
      </c>
      <c r="D67" s="24" t="s">
        <v>214</v>
      </c>
      <c r="E67" s="24" t="s">
        <v>624</v>
      </c>
      <c r="F67" s="24" t="s">
        <v>598</v>
      </c>
      <c r="G67" s="27" t="s">
        <v>154</v>
      </c>
      <c r="H67" s="26" t="s">
        <v>154</v>
      </c>
      <c r="I67" s="26" t="s">
        <v>32</v>
      </c>
      <c r="J67" s="25"/>
      <c r="K67" s="25" t="str">
        <f>"207,5"</f>
        <v>207,5</v>
      </c>
      <c r="L67" s="25" t="str">
        <f>"123,3358"</f>
        <v>123,3358</v>
      </c>
      <c r="M67" s="24"/>
    </row>
    <row r="68" spans="1:13">
      <c r="A68" s="12" t="s">
        <v>122</v>
      </c>
      <c r="B68" s="11" t="s">
        <v>405</v>
      </c>
      <c r="C68" s="11" t="s">
        <v>406</v>
      </c>
      <c r="D68" s="11" t="s">
        <v>218</v>
      </c>
      <c r="E68" s="11" t="s">
        <v>624</v>
      </c>
      <c r="F68" s="11" t="s">
        <v>598</v>
      </c>
      <c r="G68" s="22" t="s">
        <v>38</v>
      </c>
      <c r="H68" s="22" t="s">
        <v>407</v>
      </c>
      <c r="I68" s="23" t="s">
        <v>398</v>
      </c>
      <c r="J68" s="12"/>
      <c r="K68" s="12" t="str">
        <f>"157,0"</f>
        <v>157,0</v>
      </c>
      <c r="L68" s="12" t="str">
        <f>"90,9815"</f>
        <v>90,9815</v>
      </c>
      <c r="M68" s="11" t="s">
        <v>535</v>
      </c>
    </row>
    <row r="69" spans="1:13">
      <c r="B69" s="5" t="s">
        <v>61</v>
      </c>
    </row>
    <row r="70" spans="1:13" ht="16">
      <c r="A70" s="45" t="s">
        <v>221</v>
      </c>
      <c r="B70" s="45"/>
      <c r="C70" s="45"/>
      <c r="D70" s="45"/>
      <c r="E70" s="45"/>
      <c r="F70" s="45"/>
      <c r="G70" s="45"/>
      <c r="H70" s="45"/>
      <c r="I70" s="45"/>
      <c r="J70" s="45"/>
    </row>
    <row r="71" spans="1:13">
      <c r="A71" s="8" t="s">
        <v>60</v>
      </c>
      <c r="B71" s="7" t="s">
        <v>408</v>
      </c>
      <c r="C71" s="7" t="s">
        <v>409</v>
      </c>
      <c r="D71" s="7" t="s">
        <v>410</v>
      </c>
      <c r="E71" s="7" t="s">
        <v>622</v>
      </c>
      <c r="F71" s="7" t="s">
        <v>604</v>
      </c>
      <c r="G71" s="19" t="s">
        <v>18</v>
      </c>
      <c r="H71" s="18" t="s">
        <v>18</v>
      </c>
      <c r="I71" s="19" t="s">
        <v>83</v>
      </c>
      <c r="J71" s="8"/>
      <c r="K71" s="8" t="str">
        <f>"175,0"</f>
        <v>175,0</v>
      </c>
      <c r="L71" s="8" t="str">
        <f>"99,2600"</f>
        <v>99,2600</v>
      </c>
      <c r="M71" s="7" t="s">
        <v>313</v>
      </c>
    </row>
    <row r="72" spans="1:13">
      <c r="B72" s="5" t="s">
        <v>61</v>
      </c>
    </row>
    <row r="73" spans="1:13">
      <c r="B73" s="5" t="s">
        <v>61</v>
      </c>
    </row>
    <row r="74" spans="1:13">
      <c r="B74" s="5" t="s">
        <v>61</v>
      </c>
    </row>
    <row r="75" spans="1:13" ht="18">
      <c r="B75" s="13" t="s">
        <v>49</v>
      </c>
      <c r="C75" s="13"/>
      <c r="F75" s="3"/>
    </row>
    <row r="76" spans="1:13" ht="16">
      <c r="B76" s="14" t="s">
        <v>50</v>
      </c>
      <c r="C76" s="14"/>
      <c r="F76" s="3"/>
    </row>
    <row r="77" spans="1:13" ht="14">
      <c r="B77" s="15"/>
      <c r="C77" s="16" t="s">
        <v>51</v>
      </c>
      <c r="F77" s="3"/>
    </row>
    <row r="78" spans="1:13" ht="14">
      <c r="B78" s="17" t="s">
        <v>52</v>
      </c>
      <c r="C78" s="17" t="s">
        <v>53</v>
      </c>
      <c r="D78" s="17" t="s">
        <v>564</v>
      </c>
      <c r="E78" s="17" t="s">
        <v>225</v>
      </c>
      <c r="F78" s="17" t="s">
        <v>56</v>
      </c>
    </row>
    <row r="79" spans="1:13">
      <c r="B79" s="5" t="s">
        <v>402</v>
      </c>
      <c r="C79" s="5" t="s">
        <v>51</v>
      </c>
      <c r="D79" s="6" t="s">
        <v>191</v>
      </c>
      <c r="E79" s="6" t="s">
        <v>26</v>
      </c>
      <c r="F79" s="6" t="s">
        <v>411</v>
      </c>
    </row>
    <row r="80" spans="1:13">
      <c r="B80" s="5" t="s">
        <v>212</v>
      </c>
      <c r="C80" s="5" t="s">
        <v>51</v>
      </c>
      <c r="D80" s="6" t="s">
        <v>191</v>
      </c>
      <c r="E80" s="6" t="s">
        <v>32</v>
      </c>
      <c r="F80" s="6" t="s">
        <v>412</v>
      </c>
    </row>
    <row r="81" spans="2:6">
      <c r="B81" s="5" t="s">
        <v>379</v>
      </c>
      <c r="C81" s="5" t="s">
        <v>51</v>
      </c>
      <c r="D81" s="6" t="s">
        <v>59</v>
      </c>
      <c r="E81" s="6" t="s">
        <v>48</v>
      </c>
      <c r="F81" s="6" t="s">
        <v>413</v>
      </c>
    </row>
  </sheetData>
  <mergeCells count="25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70:J70"/>
    <mergeCell ref="B3:B4"/>
    <mergeCell ref="A30:J30"/>
    <mergeCell ref="A34:J34"/>
    <mergeCell ref="A44:J44"/>
    <mergeCell ref="A53:J53"/>
    <mergeCell ref="A59:J59"/>
    <mergeCell ref="A64:J64"/>
    <mergeCell ref="A9:J9"/>
    <mergeCell ref="A14:J14"/>
    <mergeCell ref="A17:J17"/>
    <mergeCell ref="A20:J20"/>
    <mergeCell ref="A24:J24"/>
    <mergeCell ref="A27:J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65"/>
  <sheetViews>
    <sheetView topLeftCell="A20" workbookViewId="0">
      <selection activeCell="E49" sqref="E49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1.1640625" style="5" bestFit="1" customWidth="1"/>
    <col min="7" max="9" width="5.5" style="6" customWidth="1"/>
    <col min="10" max="10" width="4.83203125" style="6" customWidth="1"/>
    <col min="11" max="11" width="10.5" style="39" bestFit="1" customWidth="1"/>
    <col min="12" max="12" width="8.5" style="6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56" t="s">
        <v>559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597</v>
      </c>
      <c r="B3" s="54" t="s">
        <v>0</v>
      </c>
      <c r="C3" s="66" t="s">
        <v>595</v>
      </c>
      <c r="D3" s="66" t="s">
        <v>5</v>
      </c>
      <c r="E3" s="48" t="s">
        <v>596</v>
      </c>
      <c r="F3" s="48" t="s">
        <v>6</v>
      </c>
      <c r="G3" s="48" t="s">
        <v>8</v>
      </c>
      <c r="H3" s="48"/>
      <c r="I3" s="48"/>
      <c r="J3" s="48"/>
      <c r="K3" s="46" t="s">
        <v>226</v>
      </c>
      <c r="L3" s="48" t="s">
        <v>3</v>
      </c>
      <c r="M3" s="50" t="s">
        <v>2</v>
      </c>
    </row>
    <row r="4" spans="1:13" s="1" customFormat="1" ht="21" customHeight="1" thickBot="1">
      <c r="A4" s="65"/>
      <c r="B4" s="55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7"/>
      <c r="L4" s="49"/>
      <c r="M4" s="51"/>
    </row>
    <row r="5" spans="1:13" ht="16">
      <c r="A5" s="52" t="s">
        <v>227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60</v>
      </c>
      <c r="B6" s="7" t="s">
        <v>228</v>
      </c>
      <c r="C6" s="7" t="s">
        <v>229</v>
      </c>
      <c r="D6" s="7" t="s">
        <v>230</v>
      </c>
      <c r="E6" s="7" t="s">
        <v>621</v>
      </c>
      <c r="F6" s="7" t="s">
        <v>598</v>
      </c>
      <c r="G6" s="18" t="s">
        <v>134</v>
      </c>
      <c r="H6" s="18" t="s">
        <v>231</v>
      </c>
      <c r="I6" s="19" t="s">
        <v>128</v>
      </c>
      <c r="J6" s="8"/>
      <c r="K6" s="38" t="str">
        <f>"47,5"</f>
        <v>47,5</v>
      </c>
      <c r="L6" s="8" t="str">
        <f>"56,8955"</f>
        <v>56,8955</v>
      </c>
      <c r="M6" s="7" t="s">
        <v>313</v>
      </c>
    </row>
    <row r="7" spans="1:13">
      <c r="B7" s="5" t="s">
        <v>61</v>
      </c>
    </row>
    <row r="8" spans="1:13" ht="16">
      <c r="A8" s="45" t="s">
        <v>232</v>
      </c>
      <c r="B8" s="45"/>
      <c r="C8" s="45"/>
      <c r="D8" s="45"/>
      <c r="E8" s="45"/>
      <c r="F8" s="45"/>
      <c r="G8" s="45"/>
      <c r="H8" s="45"/>
      <c r="I8" s="45"/>
      <c r="J8" s="45"/>
    </row>
    <row r="9" spans="1:13">
      <c r="A9" s="8" t="s">
        <v>60</v>
      </c>
      <c r="B9" s="7" t="s">
        <v>233</v>
      </c>
      <c r="C9" s="7" t="s">
        <v>234</v>
      </c>
      <c r="D9" s="7" t="s">
        <v>235</v>
      </c>
      <c r="E9" s="7" t="s">
        <v>620</v>
      </c>
      <c r="F9" s="7" t="s">
        <v>598</v>
      </c>
      <c r="G9" s="18" t="s">
        <v>148</v>
      </c>
      <c r="H9" s="8"/>
      <c r="I9" s="8"/>
      <c r="J9" s="8"/>
      <c r="K9" s="38" t="str">
        <f>"130,0"</f>
        <v>130,0</v>
      </c>
      <c r="L9" s="8" t="str">
        <f>"111,0460"</f>
        <v>111,0460</v>
      </c>
      <c r="M9" s="7"/>
    </row>
    <row r="10" spans="1:13">
      <c r="B10" s="5" t="s">
        <v>61</v>
      </c>
    </row>
    <row r="11" spans="1:13" ht="16">
      <c r="A11" s="45" t="s">
        <v>62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3">
      <c r="A12" s="10" t="s">
        <v>60</v>
      </c>
      <c r="B12" s="9" t="s">
        <v>236</v>
      </c>
      <c r="C12" s="9" t="s">
        <v>237</v>
      </c>
      <c r="D12" s="9" t="s">
        <v>238</v>
      </c>
      <c r="E12" s="9" t="s">
        <v>620</v>
      </c>
      <c r="F12" s="9" t="s">
        <v>604</v>
      </c>
      <c r="G12" s="20" t="s">
        <v>114</v>
      </c>
      <c r="H12" s="20" t="s">
        <v>239</v>
      </c>
      <c r="I12" s="20" t="s">
        <v>28</v>
      </c>
      <c r="J12" s="10"/>
      <c r="K12" s="40" t="str">
        <f>"137,5"</f>
        <v>137,5</v>
      </c>
      <c r="L12" s="10" t="str">
        <f>"107,6900"</f>
        <v>107,6900</v>
      </c>
      <c r="M12" s="9" t="s">
        <v>587</v>
      </c>
    </row>
    <row r="13" spans="1:13">
      <c r="A13" s="12" t="s">
        <v>60</v>
      </c>
      <c r="B13" s="11" t="s">
        <v>240</v>
      </c>
      <c r="C13" s="11" t="s">
        <v>241</v>
      </c>
      <c r="D13" s="11" t="s">
        <v>242</v>
      </c>
      <c r="E13" s="11" t="s">
        <v>624</v>
      </c>
      <c r="F13" s="11" t="s">
        <v>602</v>
      </c>
      <c r="G13" s="22" t="s">
        <v>134</v>
      </c>
      <c r="H13" s="22" t="s">
        <v>129</v>
      </c>
      <c r="I13" s="23" t="s">
        <v>68</v>
      </c>
      <c r="J13" s="12"/>
      <c r="K13" s="41" t="str">
        <f>"55,0"</f>
        <v>55,0</v>
      </c>
      <c r="L13" s="12" t="str">
        <f>"45,2039"</f>
        <v>45,2039</v>
      </c>
      <c r="M13" s="11" t="s">
        <v>296</v>
      </c>
    </row>
    <row r="14" spans="1:13">
      <c r="B14" s="5" t="s">
        <v>61</v>
      </c>
    </row>
    <row r="15" spans="1:13" ht="16">
      <c r="A15" s="45" t="s">
        <v>144</v>
      </c>
      <c r="B15" s="45"/>
      <c r="C15" s="45"/>
      <c r="D15" s="45"/>
      <c r="E15" s="45"/>
      <c r="F15" s="45"/>
      <c r="G15" s="45"/>
      <c r="H15" s="45"/>
      <c r="I15" s="45"/>
      <c r="J15" s="45"/>
    </row>
    <row r="16" spans="1:13">
      <c r="A16" s="8" t="s">
        <v>60</v>
      </c>
      <c r="B16" s="7" t="s">
        <v>243</v>
      </c>
      <c r="C16" s="7" t="s">
        <v>244</v>
      </c>
      <c r="D16" s="7" t="s">
        <v>245</v>
      </c>
      <c r="E16" s="7" t="s">
        <v>620</v>
      </c>
      <c r="F16" s="7" t="s">
        <v>598</v>
      </c>
      <c r="G16" s="18" t="s">
        <v>66</v>
      </c>
      <c r="H16" s="18" t="s">
        <v>72</v>
      </c>
      <c r="I16" s="19" t="s">
        <v>74</v>
      </c>
      <c r="J16" s="8"/>
      <c r="K16" s="38" t="str">
        <f>"70,0"</f>
        <v>70,0</v>
      </c>
      <c r="L16" s="8" t="str">
        <f>"51,2540"</f>
        <v>51,2540</v>
      </c>
      <c r="M16" s="7" t="s">
        <v>246</v>
      </c>
    </row>
    <row r="17" spans="1:13">
      <c r="B17" s="5" t="s">
        <v>61</v>
      </c>
    </row>
    <row r="18" spans="1:13" ht="16">
      <c r="A18" s="45" t="s">
        <v>139</v>
      </c>
      <c r="B18" s="45"/>
      <c r="C18" s="45"/>
      <c r="D18" s="45"/>
      <c r="E18" s="45"/>
      <c r="F18" s="45"/>
      <c r="G18" s="45"/>
      <c r="H18" s="45"/>
      <c r="I18" s="45"/>
      <c r="J18" s="45"/>
    </row>
    <row r="19" spans="1:13">
      <c r="A19" s="10" t="s">
        <v>60</v>
      </c>
      <c r="B19" s="9" t="s">
        <v>247</v>
      </c>
      <c r="C19" s="9" t="s">
        <v>248</v>
      </c>
      <c r="D19" s="9" t="s">
        <v>249</v>
      </c>
      <c r="E19" s="9" t="s">
        <v>620</v>
      </c>
      <c r="F19" s="9" t="s">
        <v>598</v>
      </c>
      <c r="G19" s="20" t="s">
        <v>16</v>
      </c>
      <c r="H19" s="20" t="s">
        <v>80</v>
      </c>
      <c r="I19" s="20" t="s">
        <v>48</v>
      </c>
      <c r="J19" s="10"/>
      <c r="K19" s="40" t="str">
        <f>"180,0"</f>
        <v>180,0</v>
      </c>
      <c r="L19" s="10" t="str">
        <f>"120,9420"</f>
        <v>120,9420</v>
      </c>
      <c r="M19" s="9" t="s">
        <v>573</v>
      </c>
    </row>
    <row r="20" spans="1:13">
      <c r="A20" s="25" t="s">
        <v>122</v>
      </c>
      <c r="B20" s="24" t="s">
        <v>205</v>
      </c>
      <c r="C20" s="24" t="s">
        <v>206</v>
      </c>
      <c r="D20" s="24" t="s">
        <v>207</v>
      </c>
      <c r="E20" s="24" t="s">
        <v>620</v>
      </c>
      <c r="F20" s="24" t="s">
        <v>598</v>
      </c>
      <c r="G20" s="26" t="s">
        <v>38</v>
      </c>
      <c r="H20" s="27" t="s">
        <v>78</v>
      </c>
      <c r="I20" s="26" t="s">
        <v>78</v>
      </c>
      <c r="J20" s="25"/>
      <c r="K20" s="42" t="str">
        <f>"152,5"</f>
        <v>152,5</v>
      </c>
      <c r="L20" s="25" t="str">
        <f>"102,8460"</f>
        <v>102,8460</v>
      </c>
      <c r="M20" s="24"/>
    </row>
    <row r="21" spans="1:13">
      <c r="A21" s="25" t="s">
        <v>60</v>
      </c>
      <c r="B21" s="24" t="s">
        <v>250</v>
      </c>
      <c r="C21" s="24" t="s">
        <v>251</v>
      </c>
      <c r="D21" s="24" t="s">
        <v>252</v>
      </c>
      <c r="E21" s="24" t="s">
        <v>624</v>
      </c>
      <c r="F21" s="24" t="s">
        <v>598</v>
      </c>
      <c r="G21" s="26" t="s">
        <v>38</v>
      </c>
      <c r="H21" s="26" t="s">
        <v>79</v>
      </c>
      <c r="I21" s="25"/>
      <c r="J21" s="25"/>
      <c r="K21" s="42" t="str">
        <f>"165,0"</f>
        <v>165,0</v>
      </c>
      <c r="L21" s="25" t="str">
        <f>"111,7495"</f>
        <v>111,7495</v>
      </c>
      <c r="M21" s="24"/>
    </row>
    <row r="22" spans="1:13">
      <c r="A22" s="25" t="s">
        <v>122</v>
      </c>
      <c r="B22" s="24" t="s">
        <v>205</v>
      </c>
      <c r="C22" s="24" t="s">
        <v>208</v>
      </c>
      <c r="D22" s="24" t="s">
        <v>207</v>
      </c>
      <c r="E22" s="24" t="s">
        <v>624</v>
      </c>
      <c r="F22" s="24" t="s">
        <v>598</v>
      </c>
      <c r="G22" s="26" t="s">
        <v>38</v>
      </c>
      <c r="H22" s="27" t="s">
        <v>78</v>
      </c>
      <c r="I22" s="26" t="s">
        <v>78</v>
      </c>
      <c r="J22" s="25"/>
      <c r="K22" s="42" t="str">
        <f>"152,5"</f>
        <v>152,5</v>
      </c>
      <c r="L22" s="25" t="str">
        <f>"102,8460"</f>
        <v>102,8460</v>
      </c>
      <c r="M22" s="24"/>
    </row>
    <row r="23" spans="1:13">
      <c r="A23" s="12" t="s">
        <v>123</v>
      </c>
      <c r="B23" s="11" t="s">
        <v>253</v>
      </c>
      <c r="C23" s="11" t="s">
        <v>254</v>
      </c>
      <c r="D23" s="11" t="s">
        <v>255</v>
      </c>
      <c r="E23" s="11" t="s">
        <v>624</v>
      </c>
      <c r="F23" s="11" t="s">
        <v>614</v>
      </c>
      <c r="G23" s="22" t="s">
        <v>38</v>
      </c>
      <c r="H23" s="23" t="s">
        <v>91</v>
      </c>
      <c r="I23" s="12"/>
      <c r="J23" s="12"/>
      <c r="K23" s="41" t="str">
        <f>"150,0"</f>
        <v>150,0</v>
      </c>
      <c r="L23" s="12" t="str">
        <f>"108,3228"</f>
        <v>108,3228</v>
      </c>
      <c r="M23" s="11"/>
    </row>
    <row r="24" spans="1:13">
      <c r="B24" s="5" t="s">
        <v>61</v>
      </c>
    </row>
    <row r="25" spans="1:13" ht="16">
      <c r="A25" s="45" t="s">
        <v>10</v>
      </c>
      <c r="B25" s="45"/>
      <c r="C25" s="45"/>
      <c r="D25" s="45"/>
      <c r="E25" s="45"/>
      <c r="F25" s="45"/>
      <c r="G25" s="45"/>
      <c r="H25" s="45"/>
      <c r="I25" s="45"/>
      <c r="J25" s="45"/>
    </row>
    <row r="26" spans="1:13">
      <c r="A26" s="10" t="s">
        <v>60</v>
      </c>
      <c r="B26" s="9" t="s">
        <v>256</v>
      </c>
      <c r="C26" s="9" t="s">
        <v>257</v>
      </c>
      <c r="D26" s="9" t="s">
        <v>258</v>
      </c>
      <c r="E26" s="9" t="s">
        <v>620</v>
      </c>
      <c r="F26" s="9" t="s">
        <v>598</v>
      </c>
      <c r="G26" s="20" t="s">
        <v>16</v>
      </c>
      <c r="H26" s="20" t="s">
        <v>17</v>
      </c>
      <c r="I26" s="21" t="s">
        <v>18</v>
      </c>
      <c r="J26" s="10"/>
      <c r="K26" s="40" t="str">
        <f>"170,0"</f>
        <v>170,0</v>
      </c>
      <c r="L26" s="10" t="str">
        <f>"108,5960"</f>
        <v>108,5960</v>
      </c>
      <c r="M26" s="9" t="s">
        <v>571</v>
      </c>
    </row>
    <row r="27" spans="1:13">
      <c r="A27" s="12" t="s">
        <v>196</v>
      </c>
      <c r="B27" s="11" t="s">
        <v>259</v>
      </c>
      <c r="C27" s="11" t="s">
        <v>260</v>
      </c>
      <c r="D27" s="11" t="s">
        <v>261</v>
      </c>
      <c r="E27" s="11" t="s">
        <v>627</v>
      </c>
      <c r="F27" s="11" t="s">
        <v>598</v>
      </c>
      <c r="G27" s="23" t="s">
        <v>74</v>
      </c>
      <c r="H27" s="12"/>
      <c r="I27" s="12"/>
      <c r="J27" s="12"/>
      <c r="K27" s="41">
        <v>0</v>
      </c>
      <c r="L27" s="12" t="str">
        <f>"0,0000"</f>
        <v>0,0000</v>
      </c>
      <c r="M27" s="11"/>
    </row>
    <row r="28" spans="1:13">
      <c r="B28" s="5" t="s">
        <v>61</v>
      </c>
    </row>
    <row r="29" spans="1:13" ht="16">
      <c r="A29" s="45" t="s">
        <v>21</v>
      </c>
      <c r="B29" s="45"/>
      <c r="C29" s="45"/>
      <c r="D29" s="45"/>
      <c r="E29" s="45"/>
      <c r="F29" s="45"/>
      <c r="G29" s="45"/>
      <c r="H29" s="45"/>
      <c r="I29" s="45"/>
      <c r="J29" s="45"/>
    </row>
    <row r="30" spans="1:13">
      <c r="A30" s="10" t="s">
        <v>60</v>
      </c>
      <c r="B30" s="9" t="s">
        <v>262</v>
      </c>
      <c r="C30" s="9" t="s">
        <v>263</v>
      </c>
      <c r="D30" s="9" t="s">
        <v>264</v>
      </c>
      <c r="E30" s="9" t="s">
        <v>620</v>
      </c>
      <c r="F30" s="9" t="s">
        <v>598</v>
      </c>
      <c r="G30" s="20" t="s">
        <v>16</v>
      </c>
      <c r="H30" s="20" t="s">
        <v>100</v>
      </c>
      <c r="I30" s="21" t="s">
        <v>80</v>
      </c>
      <c r="J30" s="10"/>
      <c r="K30" s="40" t="str">
        <f>"167,5"</f>
        <v>167,5</v>
      </c>
      <c r="L30" s="10" t="str">
        <f>"103,2302"</f>
        <v>103,2302</v>
      </c>
      <c r="M30" s="9"/>
    </row>
    <row r="31" spans="1:13">
      <c r="A31" s="25" t="s">
        <v>60</v>
      </c>
      <c r="B31" s="24" t="s">
        <v>265</v>
      </c>
      <c r="C31" s="24" t="s">
        <v>266</v>
      </c>
      <c r="D31" s="24" t="s">
        <v>267</v>
      </c>
      <c r="E31" s="24" t="s">
        <v>624</v>
      </c>
      <c r="F31" s="24" t="s">
        <v>598</v>
      </c>
      <c r="G31" s="26" t="s">
        <v>16</v>
      </c>
      <c r="H31" s="25"/>
      <c r="I31" s="25"/>
      <c r="J31" s="25"/>
      <c r="K31" s="42" t="str">
        <f>"160,0"</f>
        <v>160,0</v>
      </c>
      <c r="L31" s="25" t="str">
        <f>"110,2296"</f>
        <v>110,2296</v>
      </c>
      <c r="M31" s="24" t="s">
        <v>268</v>
      </c>
    </row>
    <row r="32" spans="1:13">
      <c r="A32" s="12" t="s">
        <v>122</v>
      </c>
      <c r="B32" s="11" t="s">
        <v>269</v>
      </c>
      <c r="C32" s="11" t="s">
        <v>270</v>
      </c>
      <c r="D32" s="11" t="s">
        <v>271</v>
      </c>
      <c r="E32" s="11" t="s">
        <v>624</v>
      </c>
      <c r="F32" s="11" t="s">
        <v>605</v>
      </c>
      <c r="G32" s="23" t="s">
        <v>29</v>
      </c>
      <c r="H32" s="22" t="s">
        <v>38</v>
      </c>
      <c r="I32" s="23" t="s">
        <v>91</v>
      </c>
      <c r="J32" s="12"/>
      <c r="K32" s="41" t="str">
        <f>"150,0"</f>
        <v>150,0</v>
      </c>
      <c r="L32" s="12" t="str">
        <f>"94,0378"</f>
        <v>94,0378</v>
      </c>
      <c r="M32" s="11"/>
    </row>
    <row r="33" spans="1:13">
      <c r="B33" s="5" t="s">
        <v>61</v>
      </c>
    </row>
    <row r="34" spans="1:13" ht="16">
      <c r="A34" s="45" t="s">
        <v>42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3">
      <c r="A35" s="10" t="s">
        <v>60</v>
      </c>
      <c r="B35" s="9" t="s">
        <v>272</v>
      </c>
      <c r="C35" s="9" t="s">
        <v>273</v>
      </c>
      <c r="D35" s="9" t="s">
        <v>274</v>
      </c>
      <c r="E35" s="9" t="s">
        <v>620</v>
      </c>
      <c r="F35" s="9" t="s">
        <v>599</v>
      </c>
      <c r="G35" s="21" t="s">
        <v>48</v>
      </c>
      <c r="H35" s="20" t="s">
        <v>48</v>
      </c>
      <c r="I35" s="21" t="s">
        <v>121</v>
      </c>
      <c r="J35" s="10"/>
      <c r="K35" s="40" t="str">
        <f>"180,0"</f>
        <v>180,0</v>
      </c>
      <c r="L35" s="10" t="str">
        <f>"106,5780"</f>
        <v>106,5780</v>
      </c>
      <c r="M35" s="9"/>
    </row>
    <row r="36" spans="1:13">
      <c r="A36" s="12" t="s">
        <v>122</v>
      </c>
      <c r="B36" s="11" t="s">
        <v>275</v>
      </c>
      <c r="C36" s="11" t="s">
        <v>276</v>
      </c>
      <c r="D36" s="11" t="s">
        <v>277</v>
      </c>
      <c r="E36" s="11" t="s">
        <v>620</v>
      </c>
      <c r="F36" s="11" t="s">
        <v>604</v>
      </c>
      <c r="G36" s="22" t="s">
        <v>17</v>
      </c>
      <c r="H36" s="22" t="s">
        <v>48</v>
      </c>
      <c r="I36" s="23" t="s">
        <v>83</v>
      </c>
      <c r="J36" s="12"/>
      <c r="K36" s="41" t="str">
        <f>"180,0"</f>
        <v>180,0</v>
      </c>
      <c r="L36" s="12" t="str">
        <f>"106,5420"</f>
        <v>106,5420</v>
      </c>
      <c r="M36" s="11"/>
    </row>
    <row r="37" spans="1:13">
      <c r="B37" s="5" t="s">
        <v>61</v>
      </c>
    </row>
    <row r="38" spans="1:13" ht="16">
      <c r="A38" s="45" t="s">
        <v>178</v>
      </c>
      <c r="B38" s="45"/>
      <c r="C38" s="45"/>
      <c r="D38" s="45"/>
      <c r="E38" s="45"/>
      <c r="F38" s="45"/>
      <c r="G38" s="45"/>
      <c r="H38" s="45"/>
      <c r="I38" s="45"/>
      <c r="J38" s="45"/>
    </row>
    <row r="39" spans="1:13">
      <c r="A39" s="10" t="s">
        <v>60</v>
      </c>
      <c r="B39" s="9" t="s">
        <v>278</v>
      </c>
      <c r="C39" s="9" t="s">
        <v>279</v>
      </c>
      <c r="D39" s="9" t="s">
        <v>280</v>
      </c>
      <c r="E39" s="9" t="s">
        <v>622</v>
      </c>
      <c r="F39" s="9" t="s">
        <v>598</v>
      </c>
      <c r="G39" s="20" t="s">
        <v>154</v>
      </c>
      <c r="H39" s="20" t="s">
        <v>32</v>
      </c>
      <c r="I39" s="20" t="s">
        <v>160</v>
      </c>
      <c r="J39" s="10"/>
      <c r="K39" s="40" t="str">
        <f>"215,0"</f>
        <v>215,0</v>
      </c>
      <c r="L39" s="10" t="str">
        <f>"122,8295"</f>
        <v>122,8295</v>
      </c>
      <c r="M39" s="9"/>
    </row>
    <row r="40" spans="1:13">
      <c r="A40" s="25" t="s">
        <v>60</v>
      </c>
      <c r="B40" s="24" t="s">
        <v>216</v>
      </c>
      <c r="C40" s="24" t="s">
        <v>281</v>
      </c>
      <c r="D40" s="24" t="s">
        <v>218</v>
      </c>
      <c r="E40" s="24" t="s">
        <v>620</v>
      </c>
      <c r="F40" s="24" t="s">
        <v>598</v>
      </c>
      <c r="G40" s="26" t="s">
        <v>27</v>
      </c>
      <c r="H40" s="26" t="s">
        <v>90</v>
      </c>
      <c r="I40" s="26" t="s">
        <v>101</v>
      </c>
      <c r="J40" s="25"/>
      <c r="K40" s="42" t="str">
        <f>"242,5"</f>
        <v>242,5</v>
      </c>
      <c r="L40" s="25" t="str">
        <f>"140,5288"</f>
        <v>140,5288</v>
      </c>
      <c r="M40" s="24"/>
    </row>
    <row r="41" spans="1:13">
      <c r="A41" s="25" t="s">
        <v>122</v>
      </c>
      <c r="B41" s="24" t="s">
        <v>282</v>
      </c>
      <c r="C41" s="24" t="s">
        <v>283</v>
      </c>
      <c r="D41" s="24" t="s">
        <v>284</v>
      </c>
      <c r="E41" s="24" t="s">
        <v>620</v>
      </c>
      <c r="F41" s="24" t="s">
        <v>598</v>
      </c>
      <c r="G41" s="26" t="s">
        <v>31</v>
      </c>
      <c r="H41" s="26" t="s">
        <v>154</v>
      </c>
      <c r="I41" s="26" t="s">
        <v>177</v>
      </c>
      <c r="J41" s="25"/>
      <c r="K41" s="42" t="str">
        <f>"210,0"</f>
        <v>210,0</v>
      </c>
      <c r="L41" s="25" t="str">
        <f>"120,2040"</f>
        <v>120,2040</v>
      </c>
      <c r="M41" s="24" t="s">
        <v>570</v>
      </c>
    </row>
    <row r="42" spans="1:13">
      <c r="A42" s="25" t="s">
        <v>123</v>
      </c>
      <c r="B42" s="24" t="s">
        <v>285</v>
      </c>
      <c r="C42" s="24" t="s">
        <v>286</v>
      </c>
      <c r="D42" s="24" t="s">
        <v>287</v>
      </c>
      <c r="E42" s="24" t="s">
        <v>620</v>
      </c>
      <c r="F42" s="24" t="s">
        <v>598</v>
      </c>
      <c r="G42" s="26" t="s">
        <v>154</v>
      </c>
      <c r="H42" s="27" t="s">
        <v>159</v>
      </c>
      <c r="I42" s="27" t="s">
        <v>159</v>
      </c>
      <c r="J42" s="25"/>
      <c r="K42" s="42" t="str">
        <f>"202,5"</f>
        <v>202,5</v>
      </c>
      <c r="L42" s="25" t="str">
        <f>"117,1057"</f>
        <v>117,1057</v>
      </c>
      <c r="M42" s="24" t="s">
        <v>288</v>
      </c>
    </row>
    <row r="43" spans="1:13">
      <c r="A43" s="25" t="s">
        <v>197</v>
      </c>
      <c r="B43" s="24" t="s">
        <v>289</v>
      </c>
      <c r="C43" s="24" t="s">
        <v>290</v>
      </c>
      <c r="D43" s="24" t="s">
        <v>291</v>
      </c>
      <c r="E43" s="24" t="s">
        <v>620</v>
      </c>
      <c r="F43" s="24" t="s">
        <v>598</v>
      </c>
      <c r="G43" s="27" t="s">
        <v>154</v>
      </c>
      <c r="H43" s="27" t="s">
        <v>154</v>
      </c>
      <c r="I43" s="26" t="s">
        <v>154</v>
      </c>
      <c r="J43" s="25"/>
      <c r="K43" s="42" t="str">
        <f>"202,5"</f>
        <v>202,5</v>
      </c>
      <c r="L43" s="25" t="str">
        <f>"116,7615"</f>
        <v>116,7615</v>
      </c>
      <c r="M43" s="24"/>
    </row>
    <row r="44" spans="1:13">
      <c r="A44" s="25" t="s">
        <v>60</v>
      </c>
      <c r="B44" s="24" t="s">
        <v>216</v>
      </c>
      <c r="C44" s="24" t="s">
        <v>217</v>
      </c>
      <c r="D44" s="24" t="s">
        <v>218</v>
      </c>
      <c r="E44" s="24" t="s">
        <v>624</v>
      </c>
      <c r="F44" s="24" t="s">
        <v>598</v>
      </c>
      <c r="G44" s="26" t="s">
        <v>27</v>
      </c>
      <c r="H44" s="26" t="s">
        <v>90</v>
      </c>
      <c r="I44" s="26" t="s">
        <v>101</v>
      </c>
      <c r="J44" s="25"/>
      <c r="K44" s="42" t="str">
        <f>"242,5"</f>
        <v>242,5</v>
      </c>
      <c r="L44" s="25" t="str">
        <f>"144,4636"</f>
        <v>144,4636</v>
      </c>
      <c r="M44" s="24"/>
    </row>
    <row r="45" spans="1:13">
      <c r="A45" s="12" t="s">
        <v>122</v>
      </c>
      <c r="B45" s="11" t="s">
        <v>212</v>
      </c>
      <c r="C45" s="11" t="s">
        <v>220</v>
      </c>
      <c r="D45" s="11" t="s">
        <v>214</v>
      </c>
      <c r="E45" s="11" t="s">
        <v>624</v>
      </c>
      <c r="F45" s="11" t="s">
        <v>598</v>
      </c>
      <c r="G45" s="23" t="s">
        <v>154</v>
      </c>
      <c r="H45" s="22" t="s">
        <v>154</v>
      </c>
      <c r="I45" s="22" t="s">
        <v>32</v>
      </c>
      <c r="J45" s="12"/>
      <c r="K45" s="41" t="str">
        <f>"207,5"</f>
        <v>207,5</v>
      </c>
      <c r="L45" s="12" t="str">
        <f>"123,3358"</f>
        <v>123,3358</v>
      </c>
      <c r="M45" s="11"/>
    </row>
    <row r="46" spans="1:13">
      <c r="B46" s="5" t="s">
        <v>61</v>
      </c>
    </row>
    <row r="47" spans="1:13" ht="16">
      <c r="A47" s="45" t="s">
        <v>292</v>
      </c>
      <c r="B47" s="45"/>
      <c r="C47" s="45"/>
      <c r="D47" s="45"/>
      <c r="E47" s="45"/>
      <c r="F47" s="45"/>
      <c r="G47" s="45"/>
      <c r="H47" s="45"/>
      <c r="I47" s="45"/>
      <c r="J47" s="45"/>
    </row>
    <row r="48" spans="1:13">
      <c r="A48" s="8" t="s">
        <v>60</v>
      </c>
      <c r="B48" s="7" t="s">
        <v>293</v>
      </c>
      <c r="C48" s="7" t="s">
        <v>294</v>
      </c>
      <c r="D48" s="7" t="s">
        <v>295</v>
      </c>
      <c r="E48" s="7" t="s">
        <v>624</v>
      </c>
      <c r="F48" s="7" t="s">
        <v>615</v>
      </c>
      <c r="G48" s="18" t="s">
        <v>116</v>
      </c>
      <c r="H48" s="18" t="s">
        <v>112</v>
      </c>
      <c r="I48" s="8"/>
      <c r="J48" s="8"/>
      <c r="K48" s="38" t="str">
        <f>"105,0"</f>
        <v>105,0</v>
      </c>
      <c r="L48" s="8" t="str">
        <f>"59,8203"</f>
        <v>59,8203</v>
      </c>
      <c r="M48" s="7" t="s">
        <v>296</v>
      </c>
    </row>
    <row r="49" spans="2:6">
      <c r="B49" s="5" t="s">
        <v>61</v>
      </c>
    </row>
    <row r="50" spans="2:6">
      <c r="B50" s="5" t="s">
        <v>61</v>
      </c>
    </row>
    <row r="51" spans="2:6">
      <c r="B51" s="5" t="s">
        <v>61</v>
      </c>
    </row>
    <row r="52" spans="2:6" ht="18">
      <c r="B52" s="13" t="s">
        <v>49</v>
      </c>
      <c r="C52" s="13"/>
      <c r="F52" s="3"/>
    </row>
    <row r="53" spans="2:6" ht="16">
      <c r="B53" s="14" t="s">
        <v>50</v>
      </c>
      <c r="C53" s="14"/>
      <c r="F53" s="3"/>
    </row>
    <row r="54" spans="2:6" ht="14">
      <c r="B54" s="15"/>
      <c r="C54" s="16" t="s">
        <v>51</v>
      </c>
      <c r="F54" s="3"/>
    </row>
    <row r="55" spans="2:6" ht="14">
      <c r="B55" s="17" t="s">
        <v>52</v>
      </c>
      <c r="C55" s="17" t="s">
        <v>53</v>
      </c>
      <c r="D55" s="17" t="s">
        <v>564</v>
      </c>
      <c r="E55" s="17" t="s">
        <v>225</v>
      </c>
      <c r="F55" s="17" t="s">
        <v>56</v>
      </c>
    </row>
    <row r="56" spans="2:6">
      <c r="B56" s="5" t="s">
        <v>216</v>
      </c>
      <c r="C56" s="5" t="s">
        <v>51</v>
      </c>
      <c r="D56" s="6" t="s">
        <v>191</v>
      </c>
      <c r="E56" s="6" t="s">
        <v>101</v>
      </c>
      <c r="F56" s="6" t="s">
        <v>297</v>
      </c>
    </row>
    <row r="57" spans="2:6">
      <c r="B57" s="5" t="s">
        <v>247</v>
      </c>
      <c r="C57" s="5" t="s">
        <v>51</v>
      </c>
      <c r="D57" s="6" t="s">
        <v>187</v>
      </c>
      <c r="E57" s="6" t="s">
        <v>48</v>
      </c>
      <c r="F57" s="6" t="s">
        <v>298</v>
      </c>
    </row>
    <row r="58" spans="2:6">
      <c r="B58" s="5" t="s">
        <v>282</v>
      </c>
      <c r="C58" s="5" t="s">
        <v>51</v>
      </c>
      <c r="D58" s="6" t="s">
        <v>191</v>
      </c>
      <c r="E58" s="6" t="s">
        <v>177</v>
      </c>
      <c r="F58" s="6" t="s">
        <v>299</v>
      </c>
    </row>
    <row r="60" spans="2:6" ht="14">
      <c r="B60" s="15"/>
      <c r="C60" s="16" t="s">
        <v>57</v>
      </c>
    </row>
    <row r="61" spans="2:6" ht="14">
      <c r="B61" s="17" t="s">
        <v>52</v>
      </c>
      <c r="C61" s="17" t="s">
        <v>53</v>
      </c>
      <c r="D61" s="17" t="s">
        <v>564</v>
      </c>
      <c r="E61" s="17" t="s">
        <v>225</v>
      </c>
      <c r="F61" s="17" t="s">
        <v>56</v>
      </c>
    </row>
    <row r="62" spans="2:6">
      <c r="B62" s="5" t="s">
        <v>216</v>
      </c>
      <c r="C62" s="5" t="s">
        <v>58</v>
      </c>
      <c r="D62" s="6" t="s">
        <v>191</v>
      </c>
      <c r="E62" s="6" t="s">
        <v>101</v>
      </c>
      <c r="F62" s="6" t="s">
        <v>300</v>
      </c>
    </row>
    <row r="63" spans="2:6">
      <c r="B63" s="5" t="s">
        <v>212</v>
      </c>
      <c r="C63" s="5" t="s">
        <v>58</v>
      </c>
      <c r="D63" s="6" t="s">
        <v>191</v>
      </c>
      <c r="E63" s="6" t="s">
        <v>32</v>
      </c>
      <c r="F63" s="6" t="s">
        <v>301</v>
      </c>
    </row>
    <row r="64" spans="2:6">
      <c r="B64" s="5" t="s">
        <v>250</v>
      </c>
      <c r="C64" s="5" t="s">
        <v>58</v>
      </c>
      <c r="D64" s="6" t="s">
        <v>187</v>
      </c>
      <c r="E64" s="6" t="s">
        <v>79</v>
      </c>
      <c r="F64" s="6" t="s">
        <v>302</v>
      </c>
    </row>
    <row r="65" spans="2:2">
      <c r="B65" s="5" t="s">
        <v>61</v>
      </c>
    </row>
  </sheetData>
  <mergeCells count="21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4:J34"/>
    <mergeCell ref="A38:J38"/>
    <mergeCell ref="A47:J47"/>
    <mergeCell ref="B3:B4"/>
    <mergeCell ref="A8:J8"/>
    <mergeCell ref="A11:J11"/>
    <mergeCell ref="A15:J15"/>
    <mergeCell ref="A18:J18"/>
    <mergeCell ref="A25:J25"/>
    <mergeCell ref="A29:J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1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0.8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1640625" style="5" customWidth="1"/>
    <col min="14" max="16384" width="9.1640625" style="3"/>
  </cols>
  <sheetData>
    <row r="1" spans="1:13" s="2" customFormat="1" ht="29" customHeight="1">
      <c r="A1" s="56" t="s">
        <v>555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597</v>
      </c>
      <c r="B3" s="54" t="s">
        <v>0</v>
      </c>
      <c r="C3" s="66" t="s">
        <v>595</v>
      </c>
      <c r="D3" s="66" t="s">
        <v>5</v>
      </c>
      <c r="E3" s="48" t="s">
        <v>596</v>
      </c>
      <c r="F3" s="48" t="s">
        <v>6</v>
      </c>
      <c r="G3" s="48" t="s">
        <v>8</v>
      </c>
      <c r="H3" s="48"/>
      <c r="I3" s="48"/>
      <c r="J3" s="48"/>
      <c r="K3" s="48" t="s">
        <v>226</v>
      </c>
      <c r="L3" s="48" t="s">
        <v>3</v>
      </c>
      <c r="M3" s="50" t="s">
        <v>2</v>
      </c>
    </row>
    <row r="4" spans="1:13" s="1" customFormat="1" ht="21" customHeight="1" thickBot="1">
      <c r="A4" s="65"/>
      <c r="B4" s="55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21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60</v>
      </c>
      <c r="B6" s="7" t="s">
        <v>441</v>
      </c>
      <c r="C6" s="7" t="s">
        <v>442</v>
      </c>
      <c r="D6" s="7" t="s">
        <v>35</v>
      </c>
      <c r="E6" s="7" t="s">
        <v>620</v>
      </c>
      <c r="F6" s="7" t="s">
        <v>606</v>
      </c>
      <c r="G6" s="18" t="s">
        <v>18</v>
      </c>
      <c r="H6" s="19" t="s">
        <v>443</v>
      </c>
      <c r="I6" s="19" t="s">
        <v>443</v>
      </c>
      <c r="J6" s="8"/>
      <c r="K6" s="8" t="str">
        <f>"175,0"</f>
        <v>175,0</v>
      </c>
      <c r="L6" s="8" t="str">
        <f>"106,5925"</f>
        <v>106,5925</v>
      </c>
      <c r="M6" s="7"/>
    </row>
    <row r="7" spans="1:13">
      <c r="B7" s="5" t="s">
        <v>61</v>
      </c>
    </row>
    <row r="8" spans="1:13" ht="16">
      <c r="A8" s="45" t="s">
        <v>42</v>
      </c>
      <c r="B8" s="45"/>
      <c r="C8" s="45"/>
      <c r="D8" s="45"/>
      <c r="E8" s="45"/>
      <c r="F8" s="45"/>
      <c r="G8" s="45"/>
      <c r="H8" s="45"/>
      <c r="I8" s="45"/>
      <c r="J8" s="45"/>
    </row>
    <row r="9" spans="1:13">
      <c r="A9" s="8" t="s">
        <v>60</v>
      </c>
      <c r="B9" s="7" t="s">
        <v>434</v>
      </c>
      <c r="C9" s="7" t="s">
        <v>435</v>
      </c>
      <c r="D9" s="7" t="s">
        <v>436</v>
      </c>
      <c r="E9" s="7" t="s">
        <v>620</v>
      </c>
      <c r="F9" s="7" t="s">
        <v>598</v>
      </c>
      <c r="G9" s="18" t="s">
        <v>31</v>
      </c>
      <c r="H9" s="18" t="s">
        <v>26</v>
      </c>
      <c r="I9" s="8"/>
      <c r="J9" s="8"/>
      <c r="K9" s="8" t="str">
        <f>"212,5"</f>
        <v>212,5</v>
      </c>
      <c r="L9" s="8" t="str">
        <f>"125,3325"</f>
        <v>125,3325</v>
      </c>
      <c r="M9" s="7"/>
    </row>
    <row r="10" spans="1:13">
      <c r="B10" s="5" t="s">
        <v>61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9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56" t="s">
        <v>556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" customFormat="1" ht="62" customHeight="1" thickBot="1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s="1" customFormat="1" ht="12.75" customHeight="1">
      <c r="A3" s="64" t="s">
        <v>597</v>
      </c>
      <c r="B3" s="54" t="s">
        <v>0</v>
      </c>
      <c r="C3" s="66" t="s">
        <v>595</v>
      </c>
      <c r="D3" s="66" t="s">
        <v>5</v>
      </c>
      <c r="E3" s="48" t="s">
        <v>596</v>
      </c>
      <c r="F3" s="48" t="s">
        <v>6</v>
      </c>
      <c r="G3" s="48" t="s">
        <v>8</v>
      </c>
      <c r="H3" s="48"/>
      <c r="I3" s="48"/>
      <c r="J3" s="48"/>
      <c r="K3" s="48" t="s">
        <v>226</v>
      </c>
      <c r="L3" s="48" t="s">
        <v>3</v>
      </c>
      <c r="M3" s="50" t="s">
        <v>2</v>
      </c>
    </row>
    <row r="4" spans="1:13" s="1" customFormat="1" ht="21" customHeight="1" thickBot="1">
      <c r="A4" s="65"/>
      <c r="B4" s="55"/>
      <c r="C4" s="49"/>
      <c r="D4" s="49"/>
      <c r="E4" s="49"/>
      <c r="F4" s="49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42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60</v>
      </c>
      <c r="B6" s="7" t="s">
        <v>438</v>
      </c>
      <c r="C6" s="7" t="s">
        <v>439</v>
      </c>
      <c r="D6" s="7" t="s">
        <v>440</v>
      </c>
      <c r="E6" s="7" t="s">
        <v>620</v>
      </c>
      <c r="F6" s="7" t="s">
        <v>616</v>
      </c>
      <c r="G6" s="18" t="s">
        <v>25</v>
      </c>
      <c r="H6" s="18" t="s">
        <v>177</v>
      </c>
      <c r="I6" s="19" t="s">
        <v>97</v>
      </c>
      <c r="J6" s="8"/>
      <c r="K6" s="8" t="str">
        <f>"210,0"</f>
        <v>210,0</v>
      </c>
      <c r="L6" s="8" t="str">
        <f>"125,3700"</f>
        <v>125,3700</v>
      </c>
      <c r="M6" s="7"/>
    </row>
    <row r="7" spans="1:13">
      <c r="B7" s="5" t="s">
        <v>61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WRPF ПЛ без экипировки ДК</vt:lpstr>
      <vt:lpstr>WRPF ПЛ без экипировки</vt:lpstr>
      <vt:lpstr>WRPF ПЛ в бинтах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однослой ДК</vt:lpstr>
      <vt:lpstr>WEPF Жим однослой</vt:lpstr>
      <vt:lpstr>WEPF Жим софт однопетельная ДК</vt:lpstr>
      <vt:lpstr>WEPF Жим софт однопетельная</vt:lpstr>
      <vt:lpstr>WEPF Жим софт многопетельнаяДК</vt:lpstr>
      <vt:lpstr>WEPF Жим софт многопетельная</vt:lpstr>
      <vt:lpstr>WRPF Жим СФО</vt:lpstr>
      <vt:lpstr>WRPF Тяга без экипировки ДК</vt:lpstr>
      <vt:lpstr>WRPF Тяга без экипировки</vt:lpstr>
      <vt:lpstr>WRPF Подъем на бицепс</vt:lpstr>
      <vt:lpstr>ФЖД Любители ДК жим на макс.</vt:lpstr>
      <vt:lpstr>ФЖД Армейский жим на макс</vt:lpstr>
      <vt:lpstr>ФЖД Военный жим на макс.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2021-12-13T20:20:41Z</dcterms:modified>
</cp:coreProperties>
</file>