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21EEE855-58A2-7141-BC8C-942A6079CAEA}" xr6:coauthVersionLast="45" xr6:coauthVersionMax="45" xr10:uidLastSave="{00000000-0000-0000-0000-000000000000}"/>
  <bookViews>
    <workbookView xWindow="0" yWindow="460" windowWidth="27440" windowHeight="16120" firstSheet="12" activeTab="17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в бинтах" sheetId="11" r:id="rId4"/>
    <sheet name="IPL Двоеборье без экип ДК" sheetId="34" r:id="rId5"/>
    <sheet name="IPL Двоеборье без экип" sheetId="33" r:id="rId6"/>
    <sheet name="IPL Присед без экипировки ДК" sheetId="30" r:id="rId7"/>
    <sheet name="IPL Жим без экипировки ДК" sheetId="14" r:id="rId8"/>
    <sheet name="IPL Жим без экипировки" sheetId="13" r:id="rId9"/>
    <sheet name="IPL Жим однослой" sheetId="15" r:id="rId10"/>
    <sheet name="СПР Жим софт однопетельная ДК" sheetId="45" r:id="rId11"/>
    <sheet name="СПР Жим софт однопетельная" sheetId="44" r:id="rId12"/>
    <sheet name="СПР Жим софт многопетельная" sheetId="46" r:id="rId13"/>
    <sheet name="IPL Тяга без экипировки ДК" sheetId="20" r:id="rId14"/>
    <sheet name="IPL Тяга без экипировки" sheetId="19" r:id="rId15"/>
    <sheet name="СПР Пауэрспорт ДК" sheetId="53" r:id="rId16"/>
    <sheet name="СПР Подъем на бицепс ДК" sheetId="51" r:id="rId17"/>
    <sheet name="СПР Подъем на бицепс" sheetId="5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53" l="1"/>
  <c r="O15" i="53"/>
  <c r="P12" i="53"/>
  <c r="O12" i="53"/>
  <c r="P9" i="53"/>
  <c r="O9" i="53"/>
  <c r="P6" i="53"/>
  <c r="O6" i="53"/>
  <c r="L28" i="51"/>
  <c r="K28" i="51"/>
  <c r="L25" i="51"/>
  <c r="K25" i="51"/>
  <c r="L24" i="51"/>
  <c r="K24" i="51"/>
  <c r="L23" i="51"/>
  <c r="K23" i="51"/>
  <c r="L20" i="51"/>
  <c r="K20" i="51"/>
  <c r="L17" i="51"/>
  <c r="K17" i="51"/>
  <c r="L16" i="51"/>
  <c r="K16" i="51"/>
  <c r="L13" i="51"/>
  <c r="K13" i="51"/>
  <c r="L12" i="51"/>
  <c r="K12" i="51"/>
  <c r="L11" i="51"/>
  <c r="K11" i="51"/>
  <c r="L10" i="51"/>
  <c r="K10" i="51"/>
  <c r="L9" i="51"/>
  <c r="K9" i="51"/>
  <c r="L6" i="51"/>
  <c r="K6" i="51"/>
  <c r="L6" i="50"/>
  <c r="K6" i="50"/>
  <c r="L9" i="46"/>
  <c r="L6" i="46"/>
  <c r="K6" i="46"/>
  <c r="L15" i="45"/>
  <c r="K15" i="45"/>
  <c r="L12" i="45"/>
  <c r="K12" i="45"/>
  <c r="L11" i="45"/>
  <c r="K11" i="45"/>
  <c r="L10" i="45"/>
  <c r="K10" i="45"/>
  <c r="L7" i="45"/>
  <c r="K7" i="45"/>
  <c r="L6" i="45"/>
  <c r="K6" i="45"/>
  <c r="L9" i="44"/>
  <c r="K9" i="44"/>
  <c r="L6" i="44"/>
  <c r="P23" i="34"/>
  <c r="O23" i="34"/>
  <c r="P20" i="34"/>
  <c r="O20" i="34"/>
  <c r="P19" i="34"/>
  <c r="O19" i="34"/>
  <c r="P16" i="34"/>
  <c r="O16" i="34"/>
  <c r="P13" i="34"/>
  <c r="O13" i="34"/>
  <c r="P10" i="34"/>
  <c r="O10" i="34"/>
  <c r="P9" i="34"/>
  <c r="O9" i="34"/>
  <c r="P6" i="34"/>
  <c r="O6" i="34"/>
  <c r="P7" i="33"/>
  <c r="O7" i="33"/>
  <c r="P6" i="33"/>
  <c r="O6" i="33"/>
  <c r="L9" i="30"/>
  <c r="L6" i="30"/>
  <c r="K6" i="30"/>
  <c r="L44" i="20"/>
  <c r="K44" i="20"/>
  <c r="L41" i="20"/>
  <c r="K41" i="20"/>
  <c r="L40" i="20"/>
  <c r="K40" i="20"/>
  <c r="L39" i="20"/>
  <c r="L36" i="20"/>
  <c r="K36" i="20"/>
  <c r="L35" i="20"/>
  <c r="K35" i="20"/>
  <c r="L32" i="20"/>
  <c r="K32" i="20"/>
  <c r="L31" i="20"/>
  <c r="K31" i="20"/>
  <c r="L28" i="20"/>
  <c r="K28" i="20"/>
  <c r="L25" i="20"/>
  <c r="K25" i="20"/>
  <c r="L24" i="20"/>
  <c r="K24" i="20"/>
  <c r="L21" i="20"/>
  <c r="K21" i="20"/>
  <c r="L18" i="20"/>
  <c r="K18" i="20"/>
  <c r="L15" i="20"/>
  <c r="K15" i="20"/>
  <c r="L14" i="20"/>
  <c r="K14" i="20"/>
  <c r="L13" i="20"/>
  <c r="K13" i="20"/>
  <c r="L10" i="20"/>
  <c r="K10" i="20"/>
  <c r="L9" i="20"/>
  <c r="K9" i="20"/>
  <c r="L8" i="20"/>
  <c r="K8" i="20"/>
  <c r="L7" i="20"/>
  <c r="K7" i="20"/>
  <c r="L6" i="20"/>
  <c r="K6" i="20"/>
  <c r="L27" i="19"/>
  <c r="K27" i="19"/>
  <c r="L24" i="19"/>
  <c r="K24" i="19"/>
  <c r="L21" i="19"/>
  <c r="K21" i="19"/>
  <c r="L20" i="19"/>
  <c r="K20" i="19"/>
  <c r="L19" i="19"/>
  <c r="K19" i="19"/>
  <c r="L16" i="19"/>
  <c r="K16" i="19"/>
  <c r="L15" i="19"/>
  <c r="K15" i="19"/>
  <c r="L12" i="19"/>
  <c r="K12" i="19"/>
  <c r="L9" i="19"/>
  <c r="K9" i="19"/>
  <c r="L6" i="19"/>
  <c r="K6" i="19"/>
  <c r="L12" i="15"/>
  <c r="K12" i="15"/>
  <c r="L9" i="15"/>
  <c r="K9" i="15"/>
  <c r="L6" i="15"/>
  <c r="K6" i="15"/>
  <c r="L82" i="14"/>
  <c r="K82" i="14"/>
  <c r="L81" i="14"/>
  <c r="K81" i="14"/>
  <c r="L80" i="14"/>
  <c r="K80" i="14"/>
  <c r="L77" i="14"/>
  <c r="K77" i="14"/>
  <c r="L76" i="14"/>
  <c r="K76" i="14"/>
  <c r="L75" i="14"/>
  <c r="L74" i="14"/>
  <c r="K74" i="14"/>
  <c r="L73" i="14"/>
  <c r="K73" i="14"/>
  <c r="L72" i="14"/>
  <c r="K72" i="14"/>
  <c r="L69" i="14"/>
  <c r="K69" i="14"/>
  <c r="L68" i="14"/>
  <c r="K68" i="14"/>
  <c r="L67" i="14"/>
  <c r="K67" i="14"/>
  <c r="L66" i="14"/>
  <c r="L63" i="14"/>
  <c r="K63" i="14"/>
  <c r="L62" i="14"/>
  <c r="K62" i="14"/>
  <c r="L61" i="14"/>
  <c r="K61" i="14"/>
  <c r="L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1" i="14"/>
  <c r="K41" i="14"/>
  <c r="L40" i="14"/>
  <c r="K40" i="14"/>
  <c r="L39" i="14"/>
  <c r="K39" i="14"/>
  <c r="L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6" i="14"/>
  <c r="K26" i="14"/>
  <c r="L23" i="14"/>
  <c r="K23" i="14"/>
  <c r="L22" i="14"/>
  <c r="K22" i="14"/>
  <c r="L21" i="14"/>
  <c r="K21" i="14"/>
  <c r="L18" i="14"/>
  <c r="K18" i="14"/>
  <c r="L17" i="14"/>
  <c r="K17" i="14"/>
  <c r="L14" i="14"/>
  <c r="K14" i="14"/>
  <c r="L13" i="14"/>
  <c r="K13" i="14"/>
  <c r="L12" i="14"/>
  <c r="K12" i="14"/>
  <c r="L11" i="14"/>
  <c r="K11" i="14"/>
  <c r="L10" i="14"/>
  <c r="K10" i="14"/>
  <c r="L7" i="14"/>
  <c r="K7" i="14"/>
  <c r="L6" i="14"/>
  <c r="K6" i="14"/>
  <c r="L33" i="13"/>
  <c r="K33" i="13"/>
  <c r="L30" i="13"/>
  <c r="K30" i="13"/>
  <c r="L27" i="13"/>
  <c r="K27" i="13"/>
  <c r="L24" i="13"/>
  <c r="K24" i="13"/>
  <c r="L21" i="13"/>
  <c r="K21" i="13"/>
  <c r="L20" i="13"/>
  <c r="K20" i="13"/>
  <c r="L19" i="13"/>
  <c r="L18" i="13"/>
  <c r="K18" i="13"/>
  <c r="L17" i="13"/>
  <c r="K17" i="13"/>
  <c r="L16" i="13"/>
  <c r="K16" i="13"/>
  <c r="L15" i="13"/>
  <c r="K15" i="13"/>
  <c r="L12" i="13"/>
  <c r="K12" i="13"/>
  <c r="L9" i="13"/>
  <c r="K9" i="13"/>
  <c r="L6" i="13"/>
  <c r="K6" i="13"/>
  <c r="T6" i="12"/>
  <c r="S6" i="12"/>
  <c r="T9" i="11"/>
  <c r="S9" i="11"/>
  <c r="T6" i="11"/>
  <c r="S6" i="11"/>
  <c r="T57" i="10"/>
  <c r="S57" i="10"/>
  <c r="T54" i="10"/>
  <c r="S54" i="10"/>
  <c r="T53" i="10"/>
  <c r="S53" i="10"/>
  <c r="T50" i="10"/>
  <c r="S50" i="10"/>
  <c r="T49" i="10"/>
  <c r="S49" i="10"/>
  <c r="T48" i="10"/>
  <c r="S48" i="10"/>
  <c r="T47" i="10"/>
  <c r="S47" i="10"/>
  <c r="T44" i="10"/>
  <c r="S44" i="10"/>
  <c r="T41" i="10"/>
  <c r="S41" i="10"/>
  <c r="T40" i="10"/>
  <c r="S40" i="10"/>
  <c r="T39" i="10"/>
  <c r="T38" i="10"/>
  <c r="S38" i="10"/>
  <c r="T35" i="10"/>
  <c r="S35" i="10"/>
  <c r="T32" i="10"/>
  <c r="S32" i="10"/>
  <c r="T29" i="10"/>
  <c r="S29" i="10"/>
  <c r="T28" i="10"/>
  <c r="S28" i="10"/>
  <c r="T25" i="10"/>
  <c r="S25" i="10"/>
  <c r="T24" i="10"/>
  <c r="T23" i="10"/>
  <c r="S23" i="10"/>
  <c r="T22" i="10"/>
  <c r="S22" i="10"/>
  <c r="T21" i="10"/>
  <c r="S21" i="10"/>
  <c r="T20" i="10"/>
  <c r="S20" i="10"/>
  <c r="T17" i="10"/>
  <c r="S17" i="10"/>
  <c r="T16" i="10"/>
  <c r="S16" i="10"/>
  <c r="T15" i="10"/>
  <c r="S15" i="10"/>
  <c r="T14" i="10"/>
  <c r="S14" i="10"/>
  <c r="T11" i="10"/>
  <c r="S11" i="10"/>
  <c r="T10" i="10"/>
  <c r="S10" i="10"/>
  <c r="T7" i="10"/>
  <c r="S7" i="10"/>
  <c r="T6" i="10"/>
  <c r="S6" i="10"/>
  <c r="T47" i="9"/>
  <c r="S47" i="9"/>
  <c r="T44" i="9"/>
  <c r="S44" i="9"/>
  <c r="T41" i="9"/>
  <c r="S41" i="9"/>
  <c r="T40" i="9"/>
  <c r="S40" i="9"/>
  <c r="T39" i="9"/>
  <c r="S39" i="9"/>
  <c r="T38" i="9"/>
  <c r="S38" i="9"/>
  <c r="T37" i="9"/>
  <c r="S37" i="9"/>
  <c r="T36" i="9"/>
  <c r="S36" i="9"/>
  <c r="T33" i="9"/>
  <c r="S33" i="9"/>
  <c r="T32" i="9"/>
  <c r="S32" i="9"/>
  <c r="T31" i="9"/>
  <c r="S31" i="9"/>
  <c r="T28" i="9"/>
  <c r="S28" i="9"/>
  <c r="T27" i="9"/>
  <c r="T24" i="9"/>
  <c r="S24" i="9"/>
  <c r="T21" i="9"/>
  <c r="S21" i="9"/>
  <c r="T18" i="9"/>
  <c r="S18" i="9"/>
  <c r="T17" i="9"/>
  <c r="S17" i="9"/>
  <c r="T16" i="9"/>
  <c r="S16" i="9"/>
  <c r="T13" i="9"/>
  <c r="S13" i="9"/>
  <c r="T10" i="9"/>
  <c r="S10" i="9"/>
  <c r="T9" i="9"/>
  <c r="S9" i="9"/>
  <c r="T6" i="9"/>
  <c r="S6" i="9"/>
</calcChain>
</file>

<file path=xl/sharedStrings.xml><?xml version="1.0" encoding="utf-8"?>
<sst xmlns="http://schemas.openxmlformats.org/spreadsheetml/2006/main" count="2934" uniqueCount="830">
  <si>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</si>
  <si>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</si>
  <si>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</si>
  <si>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</si>
  <si>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</si>
  <si>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</si>
  <si>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</si>
  <si>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</si>
  <si>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</si>
  <si>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</si>
  <si>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</si>
  <si>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</si>
  <si>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52</t>
  </si>
  <si>
    <t>Жук Юлия</t>
  </si>
  <si>
    <t>Открытая (01.04.1986)/35</t>
  </si>
  <si>
    <t>48,40</t>
  </si>
  <si>
    <t>102,5</t>
  </si>
  <si>
    <t>107,5</t>
  </si>
  <si>
    <t>112,5</t>
  </si>
  <si>
    <t>50,0</t>
  </si>
  <si>
    <t>52,5</t>
  </si>
  <si>
    <t>127,5</t>
  </si>
  <si>
    <t>135,0</t>
  </si>
  <si>
    <t>142,5</t>
  </si>
  <si>
    <t>ВЕСОВАЯ КАТЕГОРИЯ   56</t>
  </si>
  <si>
    <t>Устинова Виктория</t>
  </si>
  <si>
    <t>Открытая (14.01.1990)/31</t>
  </si>
  <si>
    <t>55,60</t>
  </si>
  <si>
    <t>87,5</t>
  </si>
  <si>
    <t>95,0</t>
  </si>
  <si>
    <t>100,0</t>
  </si>
  <si>
    <t>47,5</t>
  </si>
  <si>
    <t>110,0</t>
  </si>
  <si>
    <t>125,0</t>
  </si>
  <si>
    <t>132,5</t>
  </si>
  <si>
    <t>Ануфриева Елизавета</t>
  </si>
  <si>
    <t>Открытая (30.10.1988)/33</t>
  </si>
  <si>
    <t>55,90</t>
  </si>
  <si>
    <t>72,5</t>
  </si>
  <si>
    <t>77,5</t>
  </si>
  <si>
    <t>57,5</t>
  </si>
  <si>
    <t>60,0</t>
  </si>
  <si>
    <t>97,5</t>
  </si>
  <si>
    <t>105,0</t>
  </si>
  <si>
    <t>ВЕСОВАЯ КАТЕГОРИЯ   60</t>
  </si>
  <si>
    <t>Гатало Ирина</t>
  </si>
  <si>
    <t>Открытая (06.03.1989)/32</t>
  </si>
  <si>
    <t>60,00</t>
  </si>
  <si>
    <t>140,0</t>
  </si>
  <si>
    <t>150,0</t>
  </si>
  <si>
    <t>ВЕСОВАЯ КАТЕГОРИЯ   67.5</t>
  </si>
  <si>
    <t>Бондарчук Елена</t>
  </si>
  <si>
    <t>Открытая (18.06.1980)/41</t>
  </si>
  <si>
    <t>67,00</t>
  </si>
  <si>
    <t>145,0</t>
  </si>
  <si>
    <t>155,0</t>
  </si>
  <si>
    <t>162,5</t>
  </si>
  <si>
    <t>170,0</t>
  </si>
  <si>
    <t>182,5</t>
  </si>
  <si>
    <t>190,0</t>
  </si>
  <si>
    <t>Дадашева Патимат</t>
  </si>
  <si>
    <t>Открытая (12.05.2002)/19</t>
  </si>
  <si>
    <t>67,20</t>
  </si>
  <si>
    <t>55,0</t>
  </si>
  <si>
    <t>65,0</t>
  </si>
  <si>
    <t>32,5</t>
  </si>
  <si>
    <t>35,0</t>
  </si>
  <si>
    <t>ВЕСОВАЯ КАТЕГОРИЯ   90</t>
  </si>
  <si>
    <t>Дога Виктория</t>
  </si>
  <si>
    <t>Открытая (04.09.1982)/39</t>
  </si>
  <si>
    <t>87,50</t>
  </si>
  <si>
    <t>160,0</t>
  </si>
  <si>
    <t>180,0</t>
  </si>
  <si>
    <t>115,0</t>
  </si>
  <si>
    <t>120,0</t>
  </si>
  <si>
    <t>192,5</t>
  </si>
  <si>
    <t>205,0</t>
  </si>
  <si>
    <t xml:space="preserve">Таранухин Г. </t>
  </si>
  <si>
    <t>Яловой Станислав</t>
  </si>
  <si>
    <t>Открытая (23.07.2002)/19</t>
  </si>
  <si>
    <t>58,20</t>
  </si>
  <si>
    <t>130,0</t>
  </si>
  <si>
    <t>90,0</t>
  </si>
  <si>
    <t>165,0</t>
  </si>
  <si>
    <t>175,0</t>
  </si>
  <si>
    <t>ВЕСОВАЯ КАТЕГОРИЯ   75</t>
  </si>
  <si>
    <t>Фисенко Иван</t>
  </si>
  <si>
    <t>70,90</t>
  </si>
  <si>
    <t>75,0</t>
  </si>
  <si>
    <t>Карпенко Евгений</t>
  </si>
  <si>
    <t>Открытая (29.07.1996)/25</t>
  </si>
  <si>
    <t>68,40</t>
  </si>
  <si>
    <t>80,0</t>
  </si>
  <si>
    <t>85,0</t>
  </si>
  <si>
    <t>Кульпин Никита</t>
  </si>
  <si>
    <t>Открытая (11.10.1993)/28</t>
  </si>
  <si>
    <t>195,0</t>
  </si>
  <si>
    <t>212,5</t>
  </si>
  <si>
    <t>152,5</t>
  </si>
  <si>
    <t>235,0</t>
  </si>
  <si>
    <t>250,0</t>
  </si>
  <si>
    <t>260,0</t>
  </si>
  <si>
    <t>Мухин Александр</t>
  </si>
  <si>
    <t>Открытая (19.05.1996)/25</t>
  </si>
  <si>
    <t>87,60</t>
  </si>
  <si>
    <t xml:space="preserve">Троицк/Московская область </t>
  </si>
  <si>
    <t>185,0</t>
  </si>
  <si>
    <t>200,0</t>
  </si>
  <si>
    <t>210,0</t>
  </si>
  <si>
    <t>215,0</t>
  </si>
  <si>
    <t>Старовойтов Иван</t>
  </si>
  <si>
    <t>Открытая (26.03.1987)/34</t>
  </si>
  <si>
    <t>89,00</t>
  </si>
  <si>
    <t>167,5</t>
  </si>
  <si>
    <t>ВЕСОВАЯ КАТЕГОРИЯ   100</t>
  </si>
  <si>
    <t>Иниев Умар</t>
  </si>
  <si>
    <t>Открытая (25.12.1985)/36</t>
  </si>
  <si>
    <t>98,30</t>
  </si>
  <si>
    <t>310,0</t>
  </si>
  <si>
    <t>320,0</t>
  </si>
  <si>
    <t>325,0</t>
  </si>
  <si>
    <t>Денискин Сергей</t>
  </si>
  <si>
    <t>Открытая (28.08.1995)/26</t>
  </si>
  <si>
    <t>100,00</t>
  </si>
  <si>
    <t xml:space="preserve">Москва </t>
  </si>
  <si>
    <t>270,0</t>
  </si>
  <si>
    <t>275,0</t>
  </si>
  <si>
    <t>285,0</t>
  </si>
  <si>
    <t>Тулин Александр</t>
  </si>
  <si>
    <t>Открытая (30.06.1998)/23</t>
  </si>
  <si>
    <t>99,00</t>
  </si>
  <si>
    <t xml:space="preserve">Павловск/Воронежская область </t>
  </si>
  <si>
    <t>220,0</t>
  </si>
  <si>
    <t>230,0</t>
  </si>
  <si>
    <t>240,0</t>
  </si>
  <si>
    <t>265,0</t>
  </si>
  <si>
    <t>Миранков Роман</t>
  </si>
  <si>
    <t>Открытая (27.07.1987)/34</t>
  </si>
  <si>
    <t>99,90</t>
  </si>
  <si>
    <t>177,5</t>
  </si>
  <si>
    <t>262,5</t>
  </si>
  <si>
    <t>Михайлов Анатолий</t>
  </si>
  <si>
    <t>Открытая (08.10.1987)/34</t>
  </si>
  <si>
    <t>96,00</t>
  </si>
  <si>
    <t>225,0</t>
  </si>
  <si>
    <t>Бодряков Александр</t>
  </si>
  <si>
    <t>Открытая (10.04.1990)/31</t>
  </si>
  <si>
    <t>227,5</t>
  </si>
  <si>
    <t>147,5</t>
  </si>
  <si>
    <t>255,0</t>
  </si>
  <si>
    <t>ВЕСОВАЯ КАТЕГОРИЯ   110</t>
  </si>
  <si>
    <t>Антимонов Виктор</t>
  </si>
  <si>
    <t>Открытая (07.11.1984)/37</t>
  </si>
  <si>
    <t>107,50</t>
  </si>
  <si>
    <t>ВЕСОВАЯ КАТЕГОРИЯ   140</t>
  </si>
  <si>
    <t>Макаров Артур</t>
  </si>
  <si>
    <t>Открытая (10.07.1997)/24</t>
  </si>
  <si>
    <t>133,50</t>
  </si>
  <si>
    <t>280,0</t>
  </si>
  <si>
    <t>295,0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</si>
  <si>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</si>
  <si>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</si>
  <si>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</si>
  <si>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</si>
  <si>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</si>
  <si>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</si>
  <si>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</si>
  <si>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</si>
  <si>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>462,5</t>
  </si>
  <si>
    <t>474,5713</t>
  </si>
  <si>
    <t>90</t>
  </si>
  <si>
    <t>505,0</t>
  </si>
  <si>
    <t>441,6730</t>
  </si>
  <si>
    <t>52</t>
  </si>
  <si>
    <t>302,5</t>
  </si>
  <si>
    <t>398,1808</t>
  </si>
  <si>
    <t xml:space="preserve">Мастера </t>
  </si>
  <si>
    <t xml:space="preserve">Мужчины </t>
  </si>
  <si>
    <t>100</t>
  </si>
  <si>
    <t>850,0</t>
  </si>
  <si>
    <t>520,9650</t>
  </si>
  <si>
    <t>715,0</t>
  </si>
  <si>
    <t>435,1490</t>
  </si>
  <si>
    <t>140</t>
  </si>
  <si>
    <t>755,0</t>
  </si>
  <si>
    <t>425,0650</t>
  </si>
  <si>
    <t>1</t>
  </si>
  <si>
    <t>2</t>
  </si>
  <si>
    <t>-</t>
  </si>
  <si>
    <t>3</t>
  </si>
  <si>
    <t>4</t>
  </si>
  <si>
    <t>5</t>
  </si>
  <si>
    <t>6</t>
  </si>
  <si>
    <t>Пономарева Елена</t>
  </si>
  <si>
    <t>51,80</t>
  </si>
  <si>
    <t>40,0</t>
  </si>
  <si>
    <t>45,0</t>
  </si>
  <si>
    <t>Ткачева Елизавета</t>
  </si>
  <si>
    <t>Открытая (27.01.1996)/25</t>
  </si>
  <si>
    <t>70,0</t>
  </si>
  <si>
    <t>42,5</t>
  </si>
  <si>
    <t>Черкас Юлия</t>
  </si>
  <si>
    <t>Открытая (25.03.1985)/36</t>
  </si>
  <si>
    <t>54,40</t>
  </si>
  <si>
    <t>117,5</t>
  </si>
  <si>
    <t>Зисман Людмила</t>
  </si>
  <si>
    <t>Открытая (26.08.1983)/38</t>
  </si>
  <si>
    <t>55,20</t>
  </si>
  <si>
    <t xml:space="preserve">Кульпин Н. </t>
  </si>
  <si>
    <t>Чусовская Елизавета</t>
  </si>
  <si>
    <t>56,90</t>
  </si>
  <si>
    <t>Открытая (29.08.1998)/23</t>
  </si>
  <si>
    <t>Руденко Зинаида</t>
  </si>
  <si>
    <t>Открытая (07.09.1975)/46</t>
  </si>
  <si>
    <t>59,10</t>
  </si>
  <si>
    <t>62,5</t>
  </si>
  <si>
    <t>Натёкина Юлия</t>
  </si>
  <si>
    <t>Открытая (02.12.1994)/27</t>
  </si>
  <si>
    <t>59,00</t>
  </si>
  <si>
    <t xml:space="preserve">Тимофеев Д. </t>
  </si>
  <si>
    <t>Федосейкина Надежда</t>
  </si>
  <si>
    <t>64,80</t>
  </si>
  <si>
    <t xml:space="preserve">Кафаш М. </t>
  </si>
  <si>
    <t>Мишурина Елена</t>
  </si>
  <si>
    <t>Открытая (21.02.1983)/38</t>
  </si>
  <si>
    <t>65,70</t>
  </si>
  <si>
    <t>Пчелкина Светлана</t>
  </si>
  <si>
    <t>Открытая (18.08.1986)/35</t>
  </si>
  <si>
    <t>66,40</t>
  </si>
  <si>
    <t xml:space="preserve">Ермолаева Д. </t>
  </si>
  <si>
    <t>Лозыченко Александра</t>
  </si>
  <si>
    <t>Открытая (17.10.1991)/30</t>
  </si>
  <si>
    <t xml:space="preserve">Смирнов О. </t>
  </si>
  <si>
    <t>Фирсова Анастасия</t>
  </si>
  <si>
    <t>Открытая (14.09.1983)/38</t>
  </si>
  <si>
    <t>65,10</t>
  </si>
  <si>
    <t>92,5</t>
  </si>
  <si>
    <t>Григорьева Татьяна</t>
  </si>
  <si>
    <t>66,00</t>
  </si>
  <si>
    <t xml:space="preserve">Новгород/Новгородская область </t>
  </si>
  <si>
    <t xml:space="preserve">Лощилова О. </t>
  </si>
  <si>
    <t>Сайфулина Наталья</t>
  </si>
  <si>
    <t>Открытая (14.01.1982)/39</t>
  </si>
  <si>
    <t>69,70</t>
  </si>
  <si>
    <t xml:space="preserve">Норильск/Красноярский край </t>
  </si>
  <si>
    <t>82,5</t>
  </si>
  <si>
    <t>157,5</t>
  </si>
  <si>
    <t>Попова Анна</t>
  </si>
  <si>
    <t>Открытая (08.03.1998)/23</t>
  </si>
  <si>
    <t>73,20</t>
  </si>
  <si>
    <t>137,5</t>
  </si>
  <si>
    <t xml:space="preserve">Абрамов А. </t>
  </si>
  <si>
    <t>Качармин Дмитрий</t>
  </si>
  <si>
    <t>Открытая (09.08.1987)/34</t>
  </si>
  <si>
    <t>67,30</t>
  </si>
  <si>
    <t>Андреев Денис</t>
  </si>
  <si>
    <t>Открытая (16.07.1994)/27</t>
  </si>
  <si>
    <t>74,90</t>
  </si>
  <si>
    <t>ВЕСОВАЯ КАТЕГОРИЯ   82.5</t>
  </si>
  <si>
    <t>Соколов Антон</t>
  </si>
  <si>
    <t>Открытая (29.11.1996)/25</t>
  </si>
  <si>
    <t>79,80</t>
  </si>
  <si>
    <t>Усов Александр</t>
  </si>
  <si>
    <t>Открытая (19.04.1988)/33</t>
  </si>
  <si>
    <t>81,10</t>
  </si>
  <si>
    <t xml:space="preserve">Тверь/Тверская область </t>
  </si>
  <si>
    <t>Клюквин Евгений</t>
  </si>
  <si>
    <t>79,60</t>
  </si>
  <si>
    <t xml:space="preserve">Пикалёво/Ленинградская область </t>
  </si>
  <si>
    <t xml:space="preserve">Ярошко Евгений </t>
  </si>
  <si>
    <t>Парыкин Аптём</t>
  </si>
  <si>
    <t>82,40</t>
  </si>
  <si>
    <t>Иванов Владимир</t>
  </si>
  <si>
    <t>Открытая (13.06.1990)/31</t>
  </si>
  <si>
    <t>89,20</t>
  </si>
  <si>
    <t>Арзамазов Андрей</t>
  </si>
  <si>
    <t>Открытая (05.05.1992)/29</t>
  </si>
  <si>
    <t>94,60</t>
  </si>
  <si>
    <t xml:space="preserve">Сосновый Бор/Ленинградская область </t>
  </si>
  <si>
    <t>242,5</t>
  </si>
  <si>
    <t>247,5</t>
  </si>
  <si>
    <t>237,5</t>
  </si>
  <si>
    <t>Подгорный Станислав</t>
  </si>
  <si>
    <t>Открытая (17.03.1986)/35</t>
  </si>
  <si>
    <t>96,10</t>
  </si>
  <si>
    <t>Стоюхин Марк</t>
  </si>
  <si>
    <t>Открытая (25.12.1988)/33</t>
  </si>
  <si>
    <t>96,70</t>
  </si>
  <si>
    <t>Зубков Александр</t>
  </si>
  <si>
    <t>245,0</t>
  </si>
  <si>
    <t>Суворов Александр</t>
  </si>
  <si>
    <t>Открытая (16.04.1995)/26</t>
  </si>
  <si>
    <t>108,80</t>
  </si>
  <si>
    <t>252,5</t>
  </si>
  <si>
    <t>290,0</t>
  </si>
  <si>
    <t>Астахов Денис</t>
  </si>
  <si>
    <t>Открытая (21.05.1984)/37</t>
  </si>
  <si>
    <t>104,00</t>
  </si>
  <si>
    <t>292,5</t>
  </si>
  <si>
    <t>ВЕСОВАЯ КАТЕГОРИЯ   125</t>
  </si>
  <si>
    <t>Злобин Александр</t>
  </si>
  <si>
    <t>Юноши 15-19 (10.04.2004)/17</t>
  </si>
  <si>
    <t>113,90</t>
  </si>
  <si>
    <t>122,5</t>
  </si>
  <si>
    <t>202,5</t>
  </si>
  <si>
    <t>60</t>
  </si>
  <si>
    <t>365,0</t>
  </si>
  <si>
    <t>424,1300</t>
  </si>
  <si>
    <t>75</t>
  </si>
  <si>
    <t>375,0</t>
  </si>
  <si>
    <t>374,1750</t>
  </si>
  <si>
    <t>332,7895</t>
  </si>
  <si>
    <t>125</t>
  </si>
  <si>
    <t>110</t>
  </si>
  <si>
    <t>707,5</t>
  </si>
  <si>
    <t>424,2170</t>
  </si>
  <si>
    <t>712,5</t>
  </si>
  <si>
    <t>420,7312</t>
  </si>
  <si>
    <t>665,0</t>
  </si>
  <si>
    <t>414,4280</t>
  </si>
  <si>
    <t>82.5</t>
  </si>
  <si>
    <t>Алпеев Александр</t>
  </si>
  <si>
    <t>Открытая (22.12.1990)/31</t>
  </si>
  <si>
    <t>81,90</t>
  </si>
  <si>
    <t>Артемьев Павел</t>
  </si>
  <si>
    <t>Открытая (14.07.1984)/37</t>
  </si>
  <si>
    <t>136,80</t>
  </si>
  <si>
    <t>350,0</t>
  </si>
  <si>
    <t>370,0</t>
  </si>
  <si>
    <t>390,0</t>
  </si>
  <si>
    <t>Терентьева Евгения</t>
  </si>
  <si>
    <t>67,40</t>
  </si>
  <si>
    <t>Решетникова Ольга</t>
  </si>
  <si>
    <t>Открытая (01.08.1987)/34</t>
  </si>
  <si>
    <t>Вохминцев Юрий</t>
  </si>
  <si>
    <t>72,80</t>
  </si>
  <si>
    <t>Девятов Павел</t>
  </si>
  <si>
    <t>88,40</t>
  </si>
  <si>
    <t>Кротиков Евгений</t>
  </si>
  <si>
    <t>Открытая (13.01.1992)/29</t>
  </si>
  <si>
    <t>94,20</t>
  </si>
  <si>
    <t>207,5</t>
  </si>
  <si>
    <t>Беспалов Александр</t>
  </si>
  <si>
    <t>Открытая (07.01.1980)/41</t>
  </si>
  <si>
    <t>95,50</t>
  </si>
  <si>
    <t>197,5</t>
  </si>
  <si>
    <t>Артамонов Вячеслав</t>
  </si>
  <si>
    <t>Открытая (16.07.1987)/34</t>
  </si>
  <si>
    <t>98,80</t>
  </si>
  <si>
    <t xml:space="preserve">Всеволожск/Ленинградская область </t>
  </si>
  <si>
    <t>Кунц Дмитрий</t>
  </si>
  <si>
    <t>Открытая (11.03.1994)/27</t>
  </si>
  <si>
    <t>96,50</t>
  </si>
  <si>
    <t>Кутузов Александр</t>
  </si>
  <si>
    <t xml:space="preserve">Шлиссельбург/Ленинградская область </t>
  </si>
  <si>
    <t>Черненко Дмитрий</t>
  </si>
  <si>
    <t>101,60</t>
  </si>
  <si>
    <t>Гунченков Олег</t>
  </si>
  <si>
    <t>Открытая (19.09.1991)/30</t>
  </si>
  <si>
    <t>112,10</t>
  </si>
  <si>
    <t>ВЕСОВАЯ КАТЕГОРИЯ   140+</t>
  </si>
  <si>
    <t>Гогуев Расул</t>
  </si>
  <si>
    <t>Открытая (26.08.1987)/34</t>
  </si>
  <si>
    <t>152,50</t>
  </si>
  <si>
    <t xml:space="preserve">Результат </t>
  </si>
  <si>
    <t>123,1813</t>
  </si>
  <si>
    <t>115,9055</t>
  </si>
  <si>
    <t>109,4839</t>
  </si>
  <si>
    <t>Результат</t>
  </si>
  <si>
    <t>Иванова Виктория</t>
  </si>
  <si>
    <t>Открытая (30.06.1983)/38</t>
  </si>
  <si>
    <t>50,40</t>
  </si>
  <si>
    <t>Андреева Ольга</t>
  </si>
  <si>
    <t>Открытая (18.04.1993)/28</t>
  </si>
  <si>
    <t>51,70</t>
  </si>
  <si>
    <t>Гоголева Мария</t>
  </si>
  <si>
    <t>Открытая (08.11.1975)/46</t>
  </si>
  <si>
    <t>55,30</t>
  </si>
  <si>
    <t xml:space="preserve">Выборг/Ленинградская область </t>
  </si>
  <si>
    <t xml:space="preserve">Солнцев </t>
  </si>
  <si>
    <t>Ударова Янина</t>
  </si>
  <si>
    <t>Открытая (25.06.1988)/33</t>
  </si>
  <si>
    <t>55,40</t>
  </si>
  <si>
    <t>Коцюбинская Жаннета</t>
  </si>
  <si>
    <t>Открытая (10.02.1990)/31</t>
  </si>
  <si>
    <t>Партина Екатерина</t>
  </si>
  <si>
    <t>54,50</t>
  </si>
  <si>
    <t xml:space="preserve">Луга/Ленинградская область </t>
  </si>
  <si>
    <t>Фейзуллаева Анжела</t>
  </si>
  <si>
    <t>Открытая (21.06.1991)/30</t>
  </si>
  <si>
    <t>58,30</t>
  </si>
  <si>
    <t>Долгашева Тамара</t>
  </si>
  <si>
    <t>58,70</t>
  </si>
  <si>
    <t>Семашко Ксения</t>
  </si>
  <si>
    <t>Девушки 15-19 (01.12.2005)/16</t>
  </si>
  <si>
    <t>63,70</t>
  </si>
  <si>
    <t>Крючкова Виктория</t>
  </si>
  <si>
    <t>Колесников Никита</t>
  </si>
  <si>
    <t>Юноши 15-19 (19.04.2007)/14</t>
  </si>
  <si>
    <t>64,30</t>
  </si>
  <si>
    <t>Лашков Никита</t>
  </si>
  <si>
    <t>Юноши 15-19 (31.01.2006)/15</t>
  </si>
  <si>
    <t>72,90</t>
  </si>
  <si>
    <t>67,5</t>
  </si>
  <si>
    <t>Бондаренко Виктор</t>
  </si>
  <si>
    <t>73,30</t>
  </si>
  <si>
    <t xml:space="preserve">Мга/Ленинградская область </t>
  </si>
  <si>
    <t>Лещинский Максим</t>
  </si>
  <si>
    <t>Ильющенко Федор</t>
  </si>
  <si>
    <t>72,60</t>
  </si>
  <si>
    <t>Ядрышников Владислав</t>
  </si>
  <si>
    <t>73,90</t>
  </si>
  <si>
    <t xml:space="preserve">Нижневартовск/Ханты-Мансийский автономный округ </t>
  </si>
  <si>
    <t>Елисеев Андрей</t>
  </si>
  <si>
    <t>Открытая (29.09.1985)/36</t>
  </si>
  <si>
    <t>74,50</t>
  </si>
  <si>
    <t>Маметьев Роман</t>
  </si>
  <si>
    <t>Открытая (17.12.1992)/29</t>
  </si>
  <si>
    <t>74,20</t>
  </si>
  <si>
    <t>Подсекалов Алексей</t>
  </si>
  <si>
    <t>Открытая (19.09.1980)/41</t>
  </si>
  <si>
    <t>75,00</t>
  </si>
  <si>
    <t>Князев Дмитрий</t>
  </si>
  <si>
    <t>Федоров Алексей</t>
  </si>
  <si>
    <t>Миленин Станислав</t>
  </si>
  <si>
    <t>73,10</t>
  </si>
  <si>
    <t>Томинг Сергей</t>
  </si>
  <si>
    <t>68,70</t>
  </si>
  <si>
    <t>Рахметуллин Руслан</t>
  </si>
  <si>
    <t>71,90</t>
  </si>
  <si>
    <t xml:space="preserve">Ува/Удмуртия республика </t>
  </si>
  <si>
    <t>Сайфиев Огабек</t>
  </si>
  <si>
    <t>Юноши 15-19 (27.02.2004)/17</t>
  </si>
  <si>
    <t>77,70</t>
  </si>
  <si>
    <t>Предтеченский Павел</t>
  </si>
  <si>
    <t>Юноши 15-19 (12.01.2004)/17</t>
  </si>
  <si>
    <t>81,40</t>
  </si>
  <si>
    <t xml:space="preserve">Вологда/Вологодская область </t>
  </si>
  <si>
    <t xml:space="preserve">Еремин Юрий </t>
  </si>
  <si>
    <t>Костылев Александр</t>
  </si>
  <si>
    <t>Открытая (28.04.1987)/34</t>
  </si>
  <si>
    <t>81,70</t>
  </si>
  <si>
    <t>172,5</t>
  </si>
  <si>
    <t>187,5</t>
  </si>
  <si>
    <t>Сорокин Павел</t>
  </si>
  <si>
    <t>Открытая (23.06.1987)/34</t>
  </si>
  <si>
    <t>79,20</t>
  </si>
  <si>
    <t xml:space="preserve">Полярные Зори/Мурманская область </t>
  </si>
  <si>
    <t>Фарутин Денис</t>
  </si>
  <si>
    <t>78,30</t>
  </si>
  <si>
    <t xml:space="preserve">Берлин П. </t>
  </si>
  <si>
    <t>Череповецкий Виктор</t>
  </si>
  <si>
    <t>80,90</t>
  </si>
  <si>
    <t>Петров Михаил</t>
  </si>
  <si>
    <t>81,50</t>
  </si>
  <si>
    <t>Колесников Артём</t>
  </si>
  <si>
    <t>Юноши 15-19 (04.06.2002)/19</t>
  </si>
  <si>
    <t>89,50</t>
  </si>
  <si>
    <t>Юдкевич Михаил</t>
  </si>
  <si>
    <t>Открытая (19.10.1987)/34</t>
  </si>
  <si>
    <t>86,40</t>
  </si>
  <si>
    <t>Евмушков Максим</t>
  </si>
  <si>
    <t>Открытая (15.05.1983)/38</t>
  </si>
  <si>
    <t xml:space="preserve">Гулевский А. </t>
  </si>
  <si>
    <t>Открытая (04.06.2002)/19</t>
  </si>
  <si>
    <t>Кириленко Максим</t>
  </si>
  <si>
    <t>Открытая (18.09.1992)/29</t>
  </si>
  <si>
    <t>Кох Виталий</t>
  </si>
  <si>
    <t>Открытая (03.04.1994)/27</t>
  </si>
  <si>
    <t>87,90</t>
  </si>
  <si>
    <t>Дмитриев Виктор</t>
  </si>
  <si>
    <t>Открытая (16.09.1988)/33</t>
  </si>
  <si>
    <t>87,70</t>
  </si>
  <si>
    <t>Литвиненко Павел</t>
  </si>
  <si>
    <t>Скворцов Михаил</t>
  </si>
  <si>
    <t>Паншин Константин</t>
  </si>
  <si>
    <t>87,00</t>
  </si>
  <si>
    <t>Боровиков Антон</t>
  </si>
  <si>
    <t>96,40</t>
  </si>
  <si>
    <t>Мельник Антон</t>
  </si>
  <si>
    <t>Открытая (16.04.1988)/33</t>
  </si>
  <si>
    <t>98,90</t>
  </si>
  <si>
    <t>Сапожников Павел</t>
  </si>
  <si>
    <t>Открытая (16.01.1983)/38</t>
  </si>
  <si>
    <t>97,50</t>
  </si>
  <si>
    <t xml:space="preserve">Макаренко К. </t>
  </si>
  <si>
    <t>Баленков Алексей</t>
  </si>
  <si>
    <t>98,10</t>
  </si>
  <si>
    <t>Вежов Михаил</t>
  </si>
  <si>
    <t>Открытая (31.05.1988)/33</t>
  </si>
  <si>
    <t>105,40</t>
  </si>
  <si>
    <t>Прыгунов Михаил</t>
  </si>
  <si>
    <t>Открытая (16.08.1984)/37</t>
  </si>
  <si>
    <t>108,40</t>
  </si>
  <si>
    <t>Степанюк Павел</t>
  </si>
  <si>
    <t>106,60</t>
  </si>
  <si>
    <t>Андреев Андрей</t>
  </si>
  <si>
    <t>105,90</t>
  </si>
  <si>
    <t>Мартыненко Олег</t>
  </si>
  <si>
    <t>104,30</t>
  </si>
  <si>
    <t>Шевнин Владимир</t>
  </si>
  <si>
    <t>106,40</t>
  </si>
  <si>
    <t>Иванов Михаил</t>
  </si>
  <si>
    <t>Открытая (02.07.1976)/45</t>
  </si>
  <si>
    <t>123,90</t>
  </si>
  <si>
    <t>Захарьянц Денис</t>
  </si>
  <si>
    <t>Открытая (30.11.1984)/37</t>
  </si>
  <si>
    <t>121,00</t>
  </si>
  <si>
    <t>56</t>
  </si>
  <si>
    <t>95,0640</t>
  </si>
  <si>
    <t>86,0285</t>
  </si>
  <si>
    <t>72,8560</t>
  </si>
  <si>
    <t>107,3850</t>
  </si>
  <si>
    <t>104,4545</t>
  </si>
  <si>
    <t>102,7620</t>
  </si>
  <si>
    <t>137,4539</t>
  </si>
  <si>
    <t>131,7693</t>
  </si>
  <si>
    <t>124,7358</t>
  </si>
  <si>
    <t>Анфарович Александр</t>
  </si>
  <si>
    <t>81,80</t>
  </si>
  <si>
    <t xml:space="preserve">Гатчина/Ленинградская область </t>
  </si>
  <si>
    <t>Кравцов Константин</t>
  </si>
  <si>
    <t>Открытая (26.10.1982)/39</t>
  </si>
  <si>
    <t>97,70</t>
  </si>
  <si>
    <t xml:space="preserve">Мусиенко К. </t>
  </si>
  <si>
    <t>Патюпин Дмитрий</t>
  </si>
  <si>
    <t>Открытая (28.11.1991)/30</t>
  </si>
  <si>
    <t>102,00</t>
  </si>
  <si>
    <t>Мачановский Эдуард</t>
  </si>
  <si>
    <t>80,80</t>
  </si>
  <si>
    <t>Михайлов Александр</t>
  </si>
  <si>
    <t>86,90</t>
  </si>
  <si>
    <t>Михайлов Дмитрий</t>
  </si>
  <si>
    <t>Открытая (23.05.1984)/37</t>
  </si>
  <si>
    <t>305,0</t>
  </si>
  <si>
    <t>315,0</t>
  </si>
  <si>
    <t>Булыгин Олег</t>
  </si>
  <si>
    <t>Открытая (01.07.1992)/29</t>
  </si>
  <si>
    <t>Алтухов Александр</t>
  </si>
  <si>
    <t>Открытая (31.03.1989)/32</t>
  </si>
  <si>
    <t>107,70</t>
  </si>
  <si>
    <t>Костылев Алексей</t>
  </si>
  <si>
    <t>117,30</t>
  </si>
  <si>
    <t>300,0</t>
  </si>
  <si>
    <t>312,5</t>
  </si>
  <si>
    <t>156,0860</t>
  </si>
  <si>
    <t>147,9000</t>
  </si>
  <si>
    <t>Суворова Наталья</t>
  </si>
  <si>
    <t>Девушки 15-19 (19.06.2002)/19</t>
  </si>
  <si>
    <t>56,00</t>
  </si>
  <si>
    <t>Кочнева Елизавета</t>
  </si>
  <si>
    <t>Девушки 15-19 (08.04.2006)/15</t>
  </si>
  <si>
    <t>54,60</t>
  </si>
  <si>
    <t>Посникова Ирина</t>
  </si>
  <si>
    <t>Открытая (04.04.1987)/34</t>
  </si>
  <si>
    <t>55,50</t>
  </si>
  <si>
    <t xml:space="preserve">Михайлов Д. </t>
  </si>
  <si>
    <t>Тимофеева Татьяна</t>
  </si>
  <si>
    <t>Открытая (11.08.1984)/37</t>
  </si>
  <si>
    <t>55,00</t>
  </si>
  <si>
    <t>Агафонова Виктория</t>
  </si>
  <si>
    <t xml:space="preserve">Ловчиков А. </t>
  </si>
  <si>
    <t>Колыганова Александра</t>
  </si>
  <si>
    <t>Открытая (09.11.1985)/36</t>
  </si>
  <si>
    <t>Тронь Владислав</t>
  </si>
  <si>
    <t>Юноши 15-19 (03.08.2008)/13</t>
  </si>
  <si>
    <t>64,90</t>
  </si>
  <si>
    <t>Тимощук Сергей</t>
  </si>
  <si>
    <t xml:space="preserve">Старый Оскол/Белгородская область </t>
  </si>
  <si>
    <t>Ударов Павел</t>
  </si>
  <si>
    <t>74,10</t>
  </si>
  <si>
    <t>Павлов Роман</t>
  </si>
  <si>
    <t>Открытая (12.12.1986)/35</t>
  </si>
  <si>
    <t>80,20</t>
  </si>
  <si>
    <t xml:space="preserve">Боровичи/Новгородская область </t>
  </si>
  <si>
    <t>Лашутин Илья</t>
  </si>
  <si>
    <t>Открытая (27.07.1986)/35</t>
  </si>
  <si>
    <t>77,60</t>
  </si>
  <si>
    <t>Будяненко Андрей</t>
  </si>
  <si>
    <t>Открытая (06.02.1983)/38</t>
  </si>
  <si>
    <t>85,10</t>
  </si>
  <si>
    <t>Еремеев Захар</t>
  </si>
  <si>
    <t>Юноши 15-19 (10.08.2006)/15</t>
  </si>
  <si>
    <t>97,40</t>
  </si>
  <si>
    <t>Белов Василий</t>
  </si>
  <si>
    <t>Открытая (05.05.1987)/34</t>
  </si>
  <si>
    <t>99,20</t>
  </si>
  <si>
    <t>Бредников Федор</t>
  </si>
  <si>
    <t>Юноши 15-19 (11.11.2003)/18</t>
  </si>
  <si>
    <t>107,00</t>
  </si>
  <si>
    <t>152,2935</t>
  </si>
  <si>
    <t>Левина Ирина</t>
  </si>
  <si>
    <t>Открытая (03.10.1989)/32</t>
  </si>
  <si>
    <t>58,50</t>
  </si>
  <si>
    <t>Малахов Игорь</t>
  </si>
  <si>
    <t>Открытая (11.07.1982)/39</t>
  </si>
  <si>
    <t>100,90</t>
  </si>
  <si>
    <t>Клюкач Дмитрий</t>
  </si>
  <si>
    <t>Открытая (20.10.1991)/30</t>
  </si>
  <si>
    <t>105,30</t>
  </si>
  <si>
    <t>257,5</t>
  </si>
  <si>
    <t>Овчинникова Виктория</t>
  </si>
  <si>
    <t>Гамазов Даниил</t>
  </si>
  <si>
    <t>Юноши 15-19 (31.05.2006)/15</t>
  </si>
  <si>
    <t>Григорьев Александр</t>
  </si>
  <si>
    <t>87,20</t>
  </si>
  <si>
    <t>222,5</t>
  </si>
  <si>
    <t>Иванов Тимофей</t>
  </si>
  <si>
    <t>Открытая (20.09.1985)/36</t>
  </si>
  <si>
    <t>98,60</t>
  </si>
  <si>
    <t xml:space="preserve">Александров А. </t>
  </si>
  <si>
    <t>355,0</t>
  </si>
  <si>
    <t>Тяга</t>
  </si>
  <si>
    <t xml:space="preserve">Gloss </t>
  </si>
  <si>
    <t>Новиков Максим</t>
  </si>
  <si>
    <t>Открытая (16.01.1986)/35</t>
  </si>
  <si>
    <t>94,50</t>
  </si>
  <si>
    <t xml:space="preserve">Отрадное/Ленинградская область </t>
  </si>
  <si>
    <t>27,5</t>
  </si>
  <si>
    <t>30,0</t>
  </si>
  <si>
    <t>Левин Александр</t>
  </si>
  <si>
    <t>Открытая (07.04.1989)/32</t>
  </si>
  <si>
    <t>73,50</t>
  </si>
  <si>
    <t>Рудик Вячеслав</t>
  </si>
  <si>
    <t>Открытая (16.10.1986)/35</t>
  </si>
  <si>
    <t>78,80</t>
  </si>
  <si>
    <t>Горностаев Александр</t>
  </si>
  <si>
    <t>Открытая (25.04.1980)/41</t>
  </si>
  <si>
    <t xml:space="preserve">Достовалов В. </t>
  </si>
  <si>
    <t>Достовалов Вячеслав</t>
  </si>
  <si>
    <t>Открытая (18.04.1978)/43</t>
  </si>
  <si>
    <t>106,70</t>
  </si>
  <si>
    <t>Залятов Александр</t>
  </si>
  <si>
    <t>Открытая (26.09.1988)/33</t>
  </si>
  <si>
    <t>101,90</t>
  </si>
  <si>
    <t>Смирнов Анатолий</t>
  </si>
  <si>
    <t>122,30</t>
  </si>
  <si>
    <t>Казанцев Владимир</t>
  </si>
  <si>
    <t>Открытая (18.04.1992)/29</t>
  </si>
  <si>
    <t>136,60</t>
  </si>
  <si>
    <t>340,0</t>
  </si>
  <si>
    <t>Руруа Тариел</t>
  </si>
  <si>
    <t>96,80</t>
  </si>
  <si>
    <t>Федорова Татьяна</t>
  </si>
  <si>
    <t>Открытая (25.04.1990)/31</t>
  </si>
  <si>
    <t>53,00</t>
  </si>
  <si>
    <t>25,0</t>
  </si>
  <si>
    <t>Ямпольцев Артем</t>
  </si>
  <si>
    <t>Открытая (23.04.1986)/35</t>
  </si>
  <si>
    <t>74,30</t>
  </si>
  <si>
    <t>Воронухин Владимир</t>
  </si>
  <si>
    <t>Открытая (18.09.1983)/38</t>
  </si>
  <si>
    <t>71,00</t>
  </si>
  <si>
    <t>Незнанов Игорь</t>
  </si>
  <si>
    <t>Открытая (08.11.1984)/37</t>
  </si>
  <si>
    <t>73,80</t>
  </si>
  <si>
    <t xml:space="preserve">Кировск/Ленинградская область </t>
  </si>
  <si>
    <t>Петров Андрей</t>
  </si>
  <si>
    <t>Лебедев Иван</t>
  </si>
  <si>
    <t>82,10</t>
  </si>
  <si>
    <t xml:space="preserve">Мурманск/Мурманская область </t>
  </si>
  <si>
    <t>Плешанов Сергей</t>
  </si>
  <si>
    <t>Открытая (21.01.1984)/37</t>
  </si>
  <si>
    <t>84,60</t>
  </si>
  <si>
    <t>Пичкуров Анатолий</t>
  </si>
  <si>
    <t>Степанов Павел</t>
  </si>
  <si>
    <t>Мастера 60+ (20.01.1960)/61</t>
  </si>
  <si>
    <t>94,90</t>
  </si>
  <si>
    <t>Макаров Сергей</t>
  </si>
  <si>
    <t>Открытая (15.01.1984)/37</t>
  </si>
  <si>
    <t>101,70</t>
  </si>
  <si>
    <t>45,9976</t>
  </si>
  <si>
    <t>44,7337</t>
  </si>
  <si>
    <t>43,3344</t>
  </si>
  <si>
    <t>54,1520</t>
  </si>
  <si>
    <t xml:space="preserve">Мастера 60+ </t>
  </si>
  <si>
    <t>48,7826</t>
  </si>
  <si>
    <t>48,7259</t>
  </si>
  <si>
    <t>Гуров Вячеслав</t>
  </si>
  <si>
    <t>Открытая (17.04.1990)/31</t>
  </si>
  <si>
    <t>Всероссийский мастерский турнир "Невская битва"
СПР Пауэрспорт ДК
Санкт-Петербург, 25-26 декабря 2021 года</t>
  </si>
  <si>
    <t>Всероссийский мастерский турнир "Невская битва"
СПР Строгий подъем штанги на бицепс ДК
Санкт-Петербург, 25-26 декабря 2021 года</t>
  </si>
  <si>
    <t>Всероссийский мастерский турнир "Невская битва"
СПР Строгий подъем штанги на бицепс
Санкт-Петербург, 25-26 декабря 2021 года</t>
  </si>
  <si>
    <t>Всероссийский мастерский турнир "Невская битва"
СПР Жим лежа в многопетельной софт экипировке
Санкт-Петербург, 25-26 декабря 2021 года</t>
  </si>
  <si>
    <t>Всероссийский мастерский турнир "Невская битва"
СПР Жим лежа в однопетельной софт экипировке ДК
Санкт-Петербург, 25-26 декабря 2021 года</t>
  </si>
  <si>
    <t>Всероссийский мастерский турнир "Невская битва"
СПР Жим лежа в однопетельной софт экипировке
Санкт-Петербург, 25-26 декабря 2021 года</t>
  </si>
  <si>
    <t>Всероссийский мастерский тернир "Невская битва"
IPL Силовое двоеборье без экипировки ДК
Санкт-Петербург, 25-26 декабря 2021 года</t>
  </si>
  <si>
    <t>Всероссийский мастерский тернир "Невская битва"
IPL Силовое двоеборье без экипировки
Санкт-Петербург, 25-26 декабря 2021 года</t>
  </si>
  <si>
    <t>Всероссийский мастерский тернир "Невская битва"
IPL Присед без экипировки ДК
Санкт-Петербург, 25-26 декабря 2021 года</t>
  </si>
  <si>
    <t>Всероссийский мастерский тернир "Невская битва"
IPL Становая тяга без экипировки ДК
Санкт-Петербург, 25-26 декабря 2021 года</t>
  </si>
  <si>
    <t>Всероссийский мастерский тернир "Невская битва"
IPL Становая тяга без экипировки
Санкт-Петербург, 25-26 декабря 2021 года</t>
  </si>
  <si>
    <t>Всероссийский мастерский тернир "Невская битва"
IPL Жим лежа в однослойной экипировке
Санкт-Петербург, 25-26 декабря 2021 года</t>
  </si>
  <si>
    <t>Всероссийский мастерский тернир "Невская битва"
IPL Жим лежа без экипировки ДК
Санкт-Петербург, 25-26 декабря 2021 года</t>
  </si>
  <si>
    <t>Всероссийский мастерский тернир "Невская битва"
IPL Жим лежа без экипировки
Санкт-Петербург, 25-26 декабря 2021 года</t>
  </si>
  <si>
    <t>Всероссийский мастерский тернир "Невская битва"
IPL Пауэрлифтинг в бинтах ДК
Санкт-Петербург, 25-26 декабря 2021 года</t>
  </si>
  <si>
    <t>Всероссийский мастерский тернир "Невская битва"
IPL Пауэрлифтинг в бинтах
Санкт-Петербург, 25-26 декабря 2021 года</t>
  </si>
  <si>
    <t>Всероссийский мастерский тернир "Невская битва"
IPL Пауэрлифтинг без экипировки ДК
Санкт-Петербург, 25-26 декабря 2021 года</t>
  </si>
  <si>
    <t>Всероссийский мастерский тернир "Невская битва"
IPL Пауэрлифтинг без экипировки
Санкт-Петербург, 25-26 декабря 2021 года</t>
  </si>
  <si>
    <t>п. Морозова/Ленинградская область</t>
  </si>
  <si>
    <t xml:space="preserve">Саитов А. </t>
  </si>
  <si>
    <t xml:space="preserve">Мастера 40-49 </t>
  </si>
  <si>
    <t>Мастера 40-49 (01.05.1974)/47</t>
  </si>
  <si>
    <t>Мастера 40-49 (04.07.1975)/46</t>
  </si>
  <si>
    <t>Мастера 50-59 (14.12.1967)/54</t>
  </si>
  <si>
    <t>Юниоры 20-23 (19.11.2001)/20</t>
  </si>
  <si>
    <t xml:space="preserve">Мастера 50-59 </t>
  </si>
  <si>
    <t>Мастера 40-49 (14.04.1979)/42</t>
  </si>
  <si>
    <t>Мастера 40-49 (25.04.1980)/41</t>
  </si>
  <si>
    <t>Мастера 40-49 (18.04.1978)/43</t>
  </si>
  <si>
    <t>Мастера 50-59 (04.04.1967)/54</t>
  </si>
  <si>
    <t>Мастера 40-44 (22.11.1980)/41</t>
  </si>
  <si>
    <t>Мастера 40-44 (17.04.1981)/40</t>
  </si>
  <si>
    <t xml:space="preserve">Мастера 40-44 </t>
  </si>
  <si>
    <t>Юниорки 20-23 (29.08.1998)/23</t>
  </si>
  <si>
    <t>Юниорки 20-23 (19.11.1998)/23</t>
  </si>
  <si>
    <t>Юниоры 20-23 (11.12.1998)/23</t>
  </si>
  <si>
    <t>Мастера 40-44 (27.10.1978)/43</t>
  </si>
  <si>
    <t>Юниоры 20-23 (22.08.1999)/22</t>
  </si>
  <si>
    <t>Мастера 55-59 (13.09.1962)/59</t>
  </si>
  <si>
    <t>Мастера 60-64 (09.12.1958)/63</t>
  </si>
  <si>
    <t>Юниоры 20-23 (30.06.1998)/23</t>
  </si>
  <si>
    <t>Мастера 45-49 (04.09.1973)/48</t>
  </si>
  <si>
    <t xml:space="preserve">Мастера 45-49 </t>
  </si>
  <si>
    <t xml:space="preserve">Мастера 60-64 </t>
  </si>
  <si>
    <t>Мастера 60-64 (03.12.1961)/60</t>
  </si>
  <si>
    <t>Мастера 45-49 (08.11.1975)/46</t>
  </si>
  <si>
    <t>Мастера 45-49 (09.09.1975)/46</t>
  </si>
  <si>
    <t>Мастера 50-54 (13.09.1967)/54</t>
  </si>
  <si>
    <t>Юниорки 20-23 (29.11.1999)/22</t>
  </si>
  <si>
    <t>Юниоры 20-23 (02.12.1999)/22</t>
  </si>
  <si>
    <t>Юниоры 20-23 (26.06.2001)/20</t>
  </si>
  <si>
    <t>Юниоры 20-23 (29.11.2001)/20</t>
  </si>
  <si>
    <t>Юниоры 20-23 (21.01.2000)/21</t>
  </si>
  <si>
    <t>Мастера 40-44 (08.06.1979)/42</t>
  </si>
  <si>
    <t>Мастера 40-44 (01.02.1979)/42</t>
  </si>
  <si>
    <t>Мастера 45-49 (04.07.1975)/46</t>
  </si>
  <si>
    <t>Мастера 50-54 (09.12.1968)/53</t>
  </si>
  <si>
    <t>Мастера 60-64 (11.11.1961)/60</t>
  </si>
  <si>
    <t>Мастера 40-44 (24.01.1977)/44</t>
  </si>
  <si>
    <t>Мастера 40-44 (04.07.1981)/40</t>
  </si>
  <si>
    <t>Мастера 40-44 (03.02.1981)/40</t>
  </si>
  <si>
    <t>Мастера 45-49 (27.05.1973)/48</t>
  </si>
  <si>
    <t>Мастера 50-54 (19.04.1970)/51</t>
  </si>
  <si>
    <t>Мастера 60-64 (22.01.1960)/61</t>
  </si>
  <si>
    <t>Мастера 45-49 (30.06.1974)/47</t>
  </si>
  <si>
    <t>Мастера 40-44 (30.10.1977)/44</t>
  </si>
  <si>
    <t>Мастера 40-44 (29.06.1977)/44</t>
  </si>
  <si>
    <t>Мастера 45-49 (15.05.1974)/47</t>
  </si>
  <si>
    <t>Мастера 65-69 (06.08.1953)/68</t>
  </si>
  <si>
    <t>Мастера 45-49 (02.07.1976)/45</t>
  </si>
  <si>
    <t>Мастера 70-74 (07.04.1947)/74</t>
  </si>
  <si>
    <t>Мастера 55-59 (10.05.1964)/57</t>
  </si>
  <si>
    <t>Мастера 40-44 (07.01.1980)/41</t>
  </si>
  <si>
    <t>Мастера 65-69 (11.09.1956)/65</t>
  </si>
  <si>
    <t>Мастера 45-49 (17.02.1973)/48</t>
  </si>
  <si>
    <t xml:space="preserve">Мастера 65-69 </t>
  </si>
  <si>
    <t>Юниорки 20-23 (01.06.1999)/22</t>
  </si>
  <si>
    <t>Юниорки 20-23 (11.10.1999)/22</t>
  </si>
  <si>
    <t>Мастера 40-44 (07.03.1979)/42</t>
  </si>
  <si>
    <t>Мастера 40-44 (11.10.1979)/42</t>
  </si>
  <si>
    <t>Мастера 40-44 (08.10.1978)/43</t>
  </si>
  <si>
    <t>Мастера 40-44 (18.06.1980)/41</t>
  </si>
  <si>
    <t>Юниоры 20-23 (13.10.2001)/20</t>
  </si>
  <si>
    <t xml:space="preserve">Санкт-Петербург </t>
  </si>
  <si>
    <t>Брест/Беларусь</t>
  </si>
  <si>
    <t>Весовая категория</t>
  </si>
  <si>
    <t>Весовая катеория</t>
  </si>
  <si>
    <t xml:space="preserve">Пушкин/Ленинградская область </t>
  </si>
  <si>
    <t xml:space="preserve">Незнанов И. </t>
  </si>
  <si>
    <t xml:space="preserve">Руруа Т. </t>
  </si>
  <si>
    <t xml:space="preserve">Петрозаводск/Республика Карелия </t>
  </si>
  <si>
    <t xml:space="preserve">Кронштадт/Ленинградская область </t>
  </si>
  <si>
    <t xml:space="preserve">Кудрово/Ленинградская область </t>
  </si>
  <si>
    <t xml:space="preserve">Грахов Ю. </t>
  </si>
  <si>
    <t xml:space="preserve">Скворцов М. </t>
  </si>
  <si>
    <t>Колпино/Ленинградская область</t>
  </si>
  <si>
    <t xml:space="preserve">Талеров А. </t>
  </si>
  <si>
    <t xml:space="preserve">Дробиков А. </t>
  </si>
  <si>
    <t xml:space="preserve">Немнонов С. </t>
  </si>
  <si>
    <t xml:space="preserve">Тариел Р. </t>
  </si>
  <si>
    <t xml:space="preserve">Ярошко Е. </t>
  </si>
  <si>
    <t xml:space="preserve">Казанцев В. </t>
  </si>
  <si>
    <t xml:space="preserve">Абиджан Р. </t>
  </si>
  <si>
    <t xml:space="preserve">Левин А. </t>
  </si>
  <si>
    <t>Кудрово/Ленинградская область</t>
  </si>
  <si>
    <t xml:space="preserve">Патюпина А. </t>
  </si>
  <si>
    <t xml:space="preserve">Гаджиев Р. </t>
  </si>
  <si>
    <t xml:space="preserve">Солнцев И. </t>
  </si>
  <si>
    <t xml:space="preserve">Блинов В. </t>
  </si>
  <si>
    <t xml:space="preserve">Алешин М. </t>
  </si>
  <si>
    <t xml:space="preserve">Бебенин Г. </t>
  </si>
  <si>
    <t xml:space="preserve">Бондаренко С. </t>
  </si>
  <si>
    <t xml:space="preserve">Лукашевич Е. </t>
  </si>
  <si>
    <t xml:space="preserve">Беспалов А. </t>
  </si>
  <si>
    <t xml:space="preserve">Карлюков К. </t>
  </si>
  <si>
    <t xml:space="preserve">Патюпин Д. </t>
  </si>
  <si>
    <t xml:space="preserve">Рак Я. </t>
  </si>
  <si>
    <t xml:space="preserve">Киселёв Д. </t>
  </si>
  <si>
    <t xml:space="preserve">Кузнецова А. </t>
  </si>
  <si>
    <t xml:space="preserve">Антонов Л. </t>
  </si>
  <si>
    <t xml:space="preserve">Киселев С. </t>
  </si>
  <si>
    <t xml:space="preserve">Навныко А. </t>
  </si>
  <si>
    <t xml:space="preserve">Смирнов А. </t>
  </si>
  <si>
    <t xml:space="preserve">Шах-Назаров С. </t>
  </si>
  <si>
    <t xml:space="preserve">Ерахин А. </t>
  </si>
  <si>
    <t xml:space="preserve">Комков А. </t>
  </si>
  <si>
    <t xml:space="preserve">Матвеев С. </t>
  </si>
  <si>
    <t xml:space="preserve">Сайфулин А. </t>
  </si>
  <si>
    <t xml:space="preserve">Поляков А. </t>
  </si>
  <si>
    <t>Ярошко Е.</t>
  </si>
  <si>
    <t xml:space="preserve">Голиков М. </t>
  </si>
  <si>
    <t xml:space="preserve">Осипчук С. </t>
  </si>
  <si>
    <t>Тараз/Казахстан</t>
  </si>
  <si>
    <t xml:space="preserve">Дагестанские Огни/Республика Дагестан </t>
  </si>
  <si>
    <t xml:space="preserve">Левданский С. </t>
  </si>
  <si>
    <t xml:space="preserve">Трубичкин Я. </t>
  </si>
  <si>
    <t>Жим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</si>
  <si>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</si>
  <si>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</si>
  <si>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</si>
  <si>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</si>
  <si>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</si>
  <si>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</si>
  <si>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T</t>
  </si>
  <si>
    <t>M2</t>
  </si>
  <si>
    <t>M3</t>
  </si>
  <si>
    <t>M5</t>
  </si>
  <si>
    <t>M6</t>
  </si>
  <si>
    <t>M7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</si>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</sst>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A3CE-E9F9-450D-BF8F-2C66BD1C7470}">
  <dimension ref="A1:U75"/>
  <sheetViews>
    <sheetView topLeftCell="A25"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5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33" t="s">
        <v>696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9</v>
      </c>
      <c r="H3" s="45"/>
      <c r="I3" s="45"/>
      <c r="J3" s="45"/>
      <c r="K3" s="45" t="s">
        <v>10</v>
      </c>
      <c r="L3" s="45"/>
      <c r="M3" s="45"/>
      <c r="N3" s="45"/>
      <c r="O3" s="45" t="s">
        <v>11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12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1" t="s">
        <v>186</v>
      </c>
      <c r="B6" s="10" t="s">
        <v>193</v>
      </c>
      <c r="C6" s="10" t="s">
        <v>36</v>
      </c>
      <c r="D6" s="10" t="s">
        <v>194</v>
      </c>
      <c r="E6" s="10" t="s">
        <v>820</v>
      </c>
      <c r="F6" s="10" t="s">
        <v>763</v>
      </c>
      <c r="G6" s="23" t="s">
        <v>93</v>
      </c>
      <c r="H6" s="23" t="s">
        <v>93</v>
      </c>
      <c r="I6" s="22" t="s">
        <v>93</v>
      </c>
      <c r="J6" s="11"/>
      <c r="K6" s="22" t="s">
        <v>195</v>
      </c>
      <c r="L6" s="23" t="s">
        <v>196</v>
      </c>
      <c r="M6" s="22" t="s">
        <v>196</v>
      </c>
      <c r="N6" s="11"/>
      <c r="O6" s="22" t="s">
        <v>30</v>
      </c>
      <c r="P6" s="22" t="s">
        <v>73</v>
      </c>
      <c r="Q6" s="23" t="s">
        <v>33</v>
      </c>
      <c r="R6" s="11"/>
      <c r="S6" s="28" t="str">
        <f>"245,0"</f>
        <v>245,0</v>
      </c>
      <c r="T6" s="11" t="str">
        <f>"306,3480"</f>
        <v>306,3480</v>
      </c>
      <c r="U6" s="10" t="s">
        <v>804</v>
      </c>
    </row>
    <row r="7" spans="1:21">
      <c r="A7" s="13" t="s">
        <v>187</v>
      </c>
      <c r="B7" s="12" t="s">
        <v>197</v>
      </c>
      <c r="C7" s="12" t="s">
        <v>198</v>
      </c>
      <c r="D7" s="12" t="s">
        <v>15</v>
      </c>
      <c r="E7" s="12" t="s">
        <v>820</v>
      </c>
      <c r="F7" s="12" t="s">
        <v>763</v>
      </c>
      <c r="G7" s="24" t="s">
        <v>199</v>
      </c>
      <c r="H7" s="24" t="s">
        <v>88</v>
      </c>
      <c r="I7" s="25" t="s">
        <v>92</v>
      </c>
      <c r="J7" s="13"/>
      <c r="K7" s="24" t="s">
        <v>195</v>
      </c>
      <c r="L7" s="25" t="s">
        <v>200</v>
      </c>
      <c r="M7" s="25" t="s">
        <v>196</v>
      </c>
      <c r="N7" s="13"/>
      <c r="O7" s="24" t="s">
        <v>92</v>
      </c>
      <c r="P7" s="25" t="s">
        <v>82</v>
      </c>
      <c r="Q7" s="25" t="s">
        <v>82</v>
      </c>
      <c r="R7" s="13"/>
      <c r="S7" s="29" t="str">
        <f>"195,0"</f>
        <v>195,0</v>
      </c>
      <c r="T7" s="13" t="str">
        <f>"256,6785"</f>
        <v>256,6785</v>
      </c>
      <c r="U7" s="12" t="s">
        <v>805</v>
      </c>
    </row>
    <row r="8" spans="1:21">
      <c r="B8" s="5" t="s">
        <v>8</v>
      </c>
    </row>
    <row r="9" spans="1:21" ht="16">
      <c r="A9" s="46" t="s">
        <v>24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>
      <c r="A10" s="11" t="s">
        <v>186</v>
      </c>
      <c r="B10" s="10" t="s">
        <v>201</v>
      </c>
      <c r="C10" s="10" t="s">
        <v>202</v>
      </c>
      <c r="D10" s="10" t="s">
        <v>203</v>
      </c>
      <c r="E10" s="10" t="s">
        <v>820</v>
      </c>
      <c r="F10" s="10" t="s">
        <v>763</v>
      </c>
      <c r="G10" s="22" t="s">
        <v>82</v>
      </c>
      <c r="H10" s="22" t="s">
        <v>29</v>
      </c>
      <c r="I10" s="22" t="s">
        <v>30</v>
      </c>
      <c r="J10" s="11"/>
      <c r="K10" s="22" t="s">
        <v>63</v>
      </c>
      <c r="L10" s="23" t="s">
        <v>40</v>
      </c>
      <c r="M10" s="23" t="s">
        <v>40</v>
      </c>
      <c r="N10" s="11"/>
      <c r="O10" s="22" t="s">
        <v>32</v>
      </c>
      <c r="P10" s="22" t="s">
        <v>73</v>
      </c>
      <c r="Q10" s="23" t="s">
        <v>204</v>
      </c>
      <c r="R10" s="11"/>
      <c r="S10" s="28" t="str">
        <f>"270,0"</f>
        <v>270,0</v>
      </c>
      <c r="T10" s="11" t="str">
        <f>"324,9720"</f>
        <v>324,9720</v>
      </c>
      <c r="U10" s="10" t="s">
        <v>219</v>
      </c>
    </row>
    <row r="11" spans="1:21">
      <c r="A11" s="13" t="s">
        <v>187</v>
      </c>
      <c r="B11" s="12" t="s">
        <v>205</v>
      </c>
      <c r="C11" s="12" t="s">
        <v>206</v>
      </c>
      <c r="D11" s="12" t="s">
        <v>207</v>
      </c>
      <c r="E11" s="12" t="s">
        <v>820</v>
      </c>
      <c r="F11" s="12" t="s">
        <v>763</v>
      </c>
      <c r="G11" s="24" t="s">
        <v>64</v>
      </c>
      <c r="H11" s="24" t="s">
        <v>199</v>
      </c>
      <c r="I11" s="24" t="s">
        <v>38</v>
      </c>
      <c r="J11" s="13"/>
      <c r="K11" s="24" t="s">
        <v>195</v>
      </c>
      <c r="L11" s="24" t="s">
        <v>200</v>
      </c>
      <c r="M11" s="25" t="s">
        <v>196</v>
      </c>
      <c r="N11" s="13"/>
      <c r="O11" s="24" t="s">
        <v>32</v>
      </c>
      <c r="P11" s="24" t="s">
        <v>73</v>
      </c>
      <c r="Q11" s="24" t="s">
        <v>74</v>
      </c>
      <c r="R11" s="13"/>
      <c r="S11" s="29" t="str">
        <f>"235,0"</f>
        <v>235,0</v>
      </c>
      <c r="T11" s="13" t="str">
        <f>"279,6500"</f>
        <v>279,6500</v>
      </c>
      <c r="U11" s="12" t="s">
        <v>208</v>
      </c>
    </row>
    <row r="12" spans="1:21">
      <c r="B12" s="5" t="s">
        <v>8</v>
      </c>
    </row>
    <row r="13" spans="1:21" ht="16">
      <c r="A13" s="46" t="s">
        <v>44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21">
      <c r="A14" s="11" t="s">
        <v>186</v>
      </c>
      <c r="B14" s="10" t="s">
        <v>209</v>
      </c>
      <c r="C14" s="10" t="s">
        <v>713</v>
      </c>
      <c r="D14" s="10" t="s">
        <v>210</v>
      </c>
      <c r="E14" s="10" t="s">
        <v>821</v>
      </c>
      <c r="F14" s="10" t="s">
        <v>763</v>
      </c>
      <c r="G14" s="22" t="s">
        <v>204</v>
      </c>
      <c r="H14" s="22" t="s">
        <v>33</v>
      </c>
      <c r="I14" s="22" t="s">
        <v>81</v>
      </c>
      <c r="J14" s="11"/>
      <c r="K14" s="22" t="s">
        <v>199</v>
      </c>
      <c r="L14" s="23" t="s">
        <v>38</v>
      </c>
      <c r="M14" s="23" t="s">
        <v>38</v>
      </c>
      <c r="N14" s="11"/>
      <c r="O14" s="22" t="s">
        <v>49</v>
      </c>
      <c r="P14" s="22" t="s">
        <v>71</v>
      </c>
      <c r="Q14" s="22" t="s">
        <v>83</v>
      </c>
      <c r="R14" s="11"/>
      <c r="S14" s="28" t="str">
        <f>"365,0"</f>
        <v>365,0</v>
      </c>
      <c r="T14" s="11" t="str">
        <f>"424,1300"</f>
        <v>424,1300</v>
      </c>
      <c r="U14" s="10" t="s">
        <v>777</v>
      </c>
    </row>
    <row r="15" spans="1:21">
      <c r="A15" s="15" t="s">
        <v>186</v>
      </c>
      <c r="B15" s="14" t="s">
        <v>209</v>
      </c>
      <c r="C15" s="14" t="s">
        <v>211</v>
      </c>
      <c r="D15" s="14" t="s">
        <v>210</v>
      </c>
      <c r="E15" s="14" t="s">
        <v>820</v>
      </c>
      <c r="F15" s="14" t="s">
        <v>763</v>
      </c>
      <c r="G15" s="26" t="s">
        <v>204</v>
      </c>
      <c r="H15" s="26" t="s">
        <v>33</v>
      </c>
      <c r="I15" s="26" t="s">
        <v>81</v>
      </c>
      <c r="J15" s="15"/>
      <c r="K15" s="26" t="s">
        <v>199</v>
      </c>
      <c r="L15" s="27" t="s">
        <v>38</v>
      </c>
      <c r="M15" s="27" t="s">
        <v>38</v>
      </c>
      <c r="N15" s="15"/>
      <c r="O15" s="26" t="s">
        <v>49</v>
      </c>
      <c r="P15" s="26" t="s">
        <v>71</v>
      </c>
      <c r="Q15" s="26" t="s">
        <v>83</v>
      </c>
      <c r="R15" s="15"/>
      <c r="S15" s="31" t="str">
        <f>"365,0"</f>
        <v>365,0</v>
      </c>
      <c r="T15" s="15" t="str">
        <f>"424,1300"</f>
        <v>424,1300</v>
      </c>
      <c r="U15" s="14" t="s">
        <v>777</v>
      </c>
    </row>
    <row r="16" spans="1:21">
      <c r="A16" s="15" t="s">
        <v>187</v>
      </c>
      <c r="B16" s="14" t="s">
        <v>212</v>
      </c>
      <c r="C16" s="14" t="s">
        <v>213</v>
      </c>
      <c r="D16" s="14" t="s">
        <v>214</v>
      </c>
      <c r="E16" s="14" t="s">
        <v>820</v>
      </c>
      <c r="F16" s="14" t="s">
        <v>763</v>
      </c>
      <c r="G16" s="26" t="s">
        <v>29</v>
      </c>
      <c r="H16" s="26" t="s">
        <v>30</v>
      </c>
      <c r="I16" s="27" t="s">
        <v>16</v>
      </c>
      <c r="J16" s="15"/>
      <c r="K16" s="26" t="s">
        <v>41</v>
      </c>
      <c r="L16" s="27" t="s">
        <v>215</v>
      </c>
      <c r="M16" s="27" t="s">
        <v>215</v>
      </c>
      <c r="N16" s="15"/>
      <c r="O16" s="26" t="s">
        <v>22</v>
      </c>
      <c r="P16" s="27" t="s">
        <v>23</v>
      </c>
      <c r="Q16" s="15"/>
      <c r="R16" s="15"/>
      <c r="S16" s="31" t="str">
        <f>"295,0"</f>
        <v>295,0</v>
      </c>
      <c r="T16" s="15" t="str">
        <f>"332,7895"</f>
        <v>332,7895</v>
      </c>
      <c r="U16" s="14" t="s">
        <v>778</v>
      </c>
    </row>
    <row r="17" spans="1:21">
      <c r="A17" s="13" t="s">
        <v>189</v>
      </c>
      <c r="B17" s="12" t="s">
        <v>216</v>
      </c>
      <c r="C17" s="12" t="s">
        <v>217</v>
      </c>
      <c r="D17" s="12" t="s">
        <v>218</v>
      </c>
      <c r="E17" s="12" t="s">
        <v>820</v>
      </c>
      <c r="F17" s="12" t="s">
        <v>763</v>
      </c>
      <c r="G17" s="24" t="s">
        <v>82</v>
      </c>
      <c r="H17" s="24" t="s">
        <v>29</v>
      </c>
      <c r="I17" s="24" t="s">
        <v>30</v>
      </c>
      <c r="J17" s="13"/>
      <c r="K17" s="24" t="s">
        <v>19</v>
      </c>
      <c r="L17" s="24" t="s">
        <v>20</v>
      </c>
      <c r="M17" s="25" t="s">
        <v>63</v>
      </c>
      <c r="N17" s="13"/>
      <c r="O17" s="24" t="s">
        <v>32</v>
      </c>
      <c r="P17" s="24" t="s">
        <v>73</v>
      </c>
      <c r="Q17" s="24" t="s">
        <v>74</v>
      </c>
      <c r="R17" s="13"/>
      <c r="S17" s="29" t="str">
        <f>"272,5"</f>
        <v>272,5</v>
      </c>
      <c r="T17" s="13" t="str">
        <f>"307,7888"</f>
        <v>307,7888</v>
      </c>
      <c r="U17" s="12" t="s">
        <v>219</v>
      </c>
    </row>
    <row r="18" spans="1:21">
      <c r="B18" s="5" t="s">
        <v>8</v>
      </c>
    </row>
    <row r="19" spans="1:21" ht="16">
      <c r="A19" s="46" t="s">
        <v>50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11" t="s">
        <v>186</v>
      </c>
      <c r="B20" s="10" t="s">
        <v>220</v>
      </c>
      <c r="C20" s="10" t="s">
        <v>757</v>
      </c>
      <c r="D20" s="10" t="s">
        <v>221</v>
      </c>
      <c r="E20" s="10" t="s">
        <v>821</v>
      </c>
      <c r="F20" s="10" t="s">
        <v>124</v>
      </c>
      <c r="G20" s="22" t="s">
        <v>63</v>
      </c>
      <c r="H20" s="22" t="s">
        <v>215</v>
      </c>
      <c r="I20" s="23" t="s">
        <v>199</v>
      </c>
      <c r="J20" s="11"/>
      <c r="K20" s="22" t="s">
        <v>195</v>
      </c>
      <c r="L20" s="22" t="s">
        <v>200</v>
      </c>
      <c r="M20" s="23" t="s">
        <v>196</v>
      </c>
      <c r="N20" s="11"/>
      <c r="O20" s="22" t="s">
        <v>64</v>
      </c>
      <c r="P20" s="22" t="s">
        <v>38</v>
      </c>
      <c r="Q20" s="22" t="s">
        <v>92</v>
      </c>
      <c r="R20" s="11"/>
      <c r="S20" s="28" t="str">
        <f>"185,0"</f>
        <v>185,0</v>
      </c>
      <c r="T20" s="11" t="str">
        <f>"194,5275"</f>
        <v>194,5275</v>
      </c>
      <c r="U20" s="10" t="s">
        <v>222</v>
      </c>
    </row>
    <row r="21" spans="1:21">
      <c r="A21" s="15" t="s">
        <v>186</v>
      </c>
      <c r="B21" s="14" t="s">
        <v>223</v>
      </c>
      <c r="C21" s="14" t="s">
        <v>224</v>
      </c>
      <c r="D21" s="14" t="s">
        <v>225</v>
      </c>
      <c r="E21" s="14" t="s">
        <v>820</v>
      </c>
      <c r="F21" s="14" t="s">
        <v>763</v>
      </c>
      <c r="G21" s="26" t="s">
        <v>28</v>
      </c>
      <c r="H21" s="27" t="s">
        <v>82</v>
      </c>
      <c r="I21" s="27" t="s">
        <v>82</v>
      </c>
      <c r="J21" s="15"/>
      <c r="K21" s="26" t="s">
        <v>199</v>
      </c>
      <c r="L21" s="27" t="s">
        <v>38</v>
      </c>
      <c r="M21" s="27" t="s">
        <v>38</v>
      </c>
      <c r="N21" s="15"/>
      <c r="O21" s="26" t="s">
        <v>73</v>
      </c>
      <c r="P21" s="26" t="s">
        <v>74</v>
      </c>
      <c r="Q21" s="27" t="s">
        <v>33</v>
      </c>
      <c r="R21" s="15"/>
      <c r="S21" s="31" t="str">
        <f>"277,5"</f>
        <v>277,5</v>
      </c>
      <c r="T21" s="15" t="str">
        <f>"288,8220"</f>
        <v>288,8220</v>
      </c>
      <c r="U21" s="14" t="s">
        <v>778</v>
      </c>
    </row>
    <row r="22" spans="1:21">
      <c r="A22" s="15" t="s">
        <v>187</v>
      </c>
      <c r="B22" s="14" t="s">
        <v>226</v>
      </c>
      <c r="C22" s="14" t="s">
        <v>227</v>
      </c>
      <c r="D22" s="14" t="s">
        <v>228</v>
      </c>
      <c r="E22" s="14" t="s">
        <v>820</v>
      </c>
      <c r="F22" s="14" t="s">
        <v>763</v>
      </c>
      <c r="G22" s="27" t="s">
        <v>30</v>
      </c>
      <c r="H22" s="26" t="s">
        <v>30</v>
      </c>
      <c r="I22" s="27" t="s">
        <v>43</v>
      </c>
      <c r="J22" s="15"/>
      <c r="K22" s="26" t="s">
        <v>20</v>
      </c>
      <c r="L22" s="26" t="s">
        <v>63</v>
      </c>
      <c r="M22" s="27" t="s">
        <v>40</v>
      </c>
      <c r="N22" s="15"/>
      <c r="O22" s="26" t="s">
        <v>32</v>
      </c>
      <c r="P22" s="26" t="s">
        <v>73</v>
      </c>
      <c r="Q22" s="27" t="s">
        <v>74</v>
      </c>
      <c r="R22" s="15"/>
      <c r="S22" s="31" t="str">
        <f>"270,0"</f>
        <v>270,0</v>
      </c>
      <c r="T22" s="15" t="str">
        <f>"278,8560"</f>
        <v>278,8560</v>
      </c>
      <c r="U22" s="14" t="s">
        <v>229</v>
      </c>
    </row>
    <row r="23" spans="1:21">
      <c r="A23" s="15" t="s">
        <v>189</v>
      </c>
      <c r="B23" s="14" t="s">
        <v>230</v>
      </c>
      <c r="C23" s="14" t="s">
        <v>231</v>
      </c>
      <c r="D23" s="14" t="s">
        <v>221</v>
      </c>
      <c r="E23" s="14" t="s">
        <v>820</v>
      </c>
      <c r="F23" s="14" t="s">
        <v>763</v>
      </c>
      <c r="G23" s="26" t="s">
        <v>30</v>
      </c>
      <c r="H23" s="26" t="s">
        <v>43</v>
      </c>
      <c r="I23" s="27" t="s">
        <v>17</v>
      </c>
      <c r="J23" s="15"/>
      <c r="K23" s="26" t="s">
        <v>19</v>
      </c>
      <c r="L23" s="27" t="s">
        <v>20</v>
      </c>
      <c r="M23" s="15"/>
      <c r="N23" s="15"/>
      <c r="O23" s="26" t="s">
        <v>29</v>
      </c>
      <c r="P23" s="26" t="s">
        <v>30</v>
      </c>
      <c r="Q23" s="26" t="s">
        <v>43</v>
      </c>
      <c r="R23" s="15"/>
      <c r="S23" s="31" t="str">
        <f>"260,0"</f>
        <v>260,0</v>
      </c>
      <c r="T23" s="15" t="str">
        <f>"273,3900"</f>
        <v>273,3900</v>
      </c>
      <c r="U23" s="14" t="s">
        <v>232</v>
      </c>
    </row>
    <row r="24" spans="1:21">
      <c r="A24" s="15" t="s">
        <v>188</v>
      </c>
      <c r="B24" s="14" t="s">
        <v>233</v>
      </c>
      <c r="C24" s="14" t="s">
        <v>234</v>
      </c>
      <c r="D24" s="14" t="s">
        <v>235</v>
      </c>
      <c r="E24" s="14" t="s">
        <v>820</v>
      </c>
      <c r="F24" s="14" t="s">
        <v>763</v>
      </c>
      <c r="G24" s="27" t="s">
        <v>236</v>
      </c>
      <c r="H24" s="27" t="s">
        <v>236</v>
      </c>
      <c r="I24" s="27" t="s">
        <v>236</v>
      </c>
      <c r="J24" s="15"/>
      <c r="K24" s="27"/>
      <c r="L24" s="15"/>
      <c r="M24" s="15"/>
      <c r="N24" s="15"/>
      <c r="O24" s="27"/>
      <c r="P24" s="15"/>
      <c r="Q24" s="15"/>
      <c r="R24" s="15"/>
      <c r="S24" s="31">
        <v>0</v>
      </c>
      <c r="T24" s="15" t="str">
        <f>"0,0000"</f>
        <v>0,0000</v>
      </c>
      <c r="U24" s="14" t="s">
        <v>806</v>
      </c>
    </row>
    <row r="25" spans="1:21">
      <c r="A25" s="13" t="s">
        <v>186</v>
      </c>
      <c r="B25" s="12" t="s">
        <v>237</v>
      </c>
      <c r="C25" s="12" t="s">
        <v>758</v>
      </c>
      <c r="D25" s="12" t="s">
        <v>238</v>
      </c>
      <c r="E25" s="12" t="s">
        <v>822</v>
      </c>
      <c r="F25" s="12" t="s">
        <v>239</v>
      </c>
      <c r="G25" s="24" t="s">
        <v>64</v>
      </c>
      <c r="H25" s="24" t="s">
        <v>199</v>
      </c>
      <c r="I25" s="24" t="s">
        <v>88</v>
      </c>
      <c r="J25" s="13"/>
      <c r="K25" s="24" t="s">
        <v>195</v>
      </c>
      <c r="L25" s="24" t="s">
        <v>196</v>
      </c>
      <c r="M25" s="24" t="s">
        <v>19</v>
      </c>
      <c r="N25" s="13"/>
      <c r="O25" s="24" t="s">
        <v>29</v>
      </c>
      <c r="P25" s="24" t="s">
        <v>30</v>
      </c>
      <c r="Q25" s="24" t="s">
        <v>43</v>
      </c>
      <c r="R25" s="13"/>
      <c r="S25" s="29" t="str">
        <f>"230,0"</f>
        <v>230,0</v>
      </c>
      <c r="T25" s="13" t="str">
        <f>"241,9424"</f>
        <v>241,9424</v>
      </c>
      <c r="U25" s="12" t="s">
        <v>240</v>
      </c>
    </row>
    <row r="26" spans="1:21">
      <c r="B26" s="5" t="s">
        <v>8</v>
      </c>
    </row>
    <row r="27" spans="1:21" ht="16">
      <c r="A27" s="46" t="s">
        <v>85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11" t="s">
        <v>186</v>
      </c>
      <c r="B28" s="10" t="s">
        <v>241</v>
      </c>
      <c r="C28" s="10" t="s">
        <v>242</v>
      </c>
      <c r="D28" s="10" t="s">
        <v>243</v>
      </c>
      <c r="E28" s="10" t="s">
        <v>820</v>
      </c>
      <c r="F28" s="10" t="s">
        <v>244</v>
      </c>
      <c r="G28" s="22" t="s">
        <v>22</v>
      </c>
      <c r="H28" s="22" t="s">
        <v>48</v>
      </c>
      <c r="I28" s="23" t="s">
        <v>54</v>
      </c>
      <c r="J28" s="11"/>
      <c r="K28" s="22" t="s">
        <v>245</v>
      </c>
      <c r="L28" s="23" t="s">
        <v>28</v>
      </c>
      <c r="M28" s="23" t="s">
        <v>28</v>
      </c>
      <c r="N28" s="11"/>
      <c r="O28" s="22" t="s">
        <v>54</v>
      </c>
      <c r="P28" s="22" t="s">
        <v>98</v>
      </c>
      <c r="Q28" s="23" t="s">
        <v>246</v>
      </c>
      <c r="R28" s="11"/>
      <c r="S28" s="28" t="str">
        <f>"375,0"</f>
        <v>375,0</v>
      </c>
      <c r="T28" s="11" t="str">
        <f>"374,1750"</f>
        <v>374,1750</v>
      </c>
      <c r="U28" s="10" t="s">
        <v>807</v>
      </c>
    </row>
    <row r="29" spans="1:21">
      <c r="A29" s="13" t="s">
        <v>187</v>
      </c>
      <c r="B29" s="12" t="s">
        <v>247</v>
      </c>
      <c r="C29" s="12" t="s">
        <v>248</v>
      </c>
      <c r="D29" s="12" t="s">
        <v>249</v>
      </c>
      <c r="E29" s="12" t="s">
        <v>820</v>
      </c>
      <c r="F29" s="12" t="s">
        <v>763</v>
      </c>
      <c r="G29" s="24" t="s">
        <v>21</v>
      </c>
      <c r="H29" s="24" t="s">
        <v>34</v>
      </c>
      <c r="I29" s="24" t="s">
        <v>250</v>
      </c>
      <c r="J29" s="13"/>
      <c r="K29" s="24" t="s">
        <v>41</v>
      </c>
      <c r="L29" s="24" t="s">
        <v>64</v>
      </c>
      <c r="M29" s="25" t="s">
        <v>199</v>
      </c>
      <c r="N29" s="13"/>
      <c r="O29" s="24" t="s">
        <v>21</v>
      </c>
      <c r="P29" s="24" t="s">
        <v>22</v>
      </c>
      <c r="Q29" s="25" t="s">
        <v>48</v>
      </c>
      <c r="R29" s="13"/>
      <c r="S29" s="29" t="str">
        <f>"337,5"</f>
        <v>337,5</v>
      </c>
      <c r="T29" s="13" t="str">
        <f>"325,8562"</f>
        <v>325,8562</v>
      </c>
      <c r="U29" s="12" t="s">
        <v>251</v>
      </c>
    </row>
    <row r="30" spans="1:21">
      <c r="B30" s="5" t="s">
        <v>8</v>
      </c>
    </row>
    <row r="31" spans="1:21" ht="16">
      <c r="A31" s="46" t="s">
        <v>50</v>
      </c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21">
      <c r="A32" s="9" t="s">
        <v>186</v>
      </c>
      <c r="B32" s="8" t="s">
        <v>252</v>
      </c>
      <c r="C32" s="8" t="s">
        <v>253</v>
      </c>
      <c r="D32" s="8" t="s">
        <v>254</v>
      </c>
      <c r="E32" s="8" t="s">
        <v>820</v>
      </c>
      <c r="F32" s="8" t="s">
        <v>763</v>
      </c>
      <c r="G32" s="20" t="s">
        <v>246</v>
      </c>
      <c r="H32" s="20" t="s">
        <v>113</v>
      </c>
      <c r="I32" s="21" t="s">
        <v>84</v>
      </c>
      <c r="J32" s="9"/>
      <c r="K32" s="20" t="s">
        <v>73</v>
      </c>
      <c r="L32" s="21" t="s">
        <v>74</v>
      </c>
      <c r="M32" s="21" t="s">
        <v>74</v>
      </c>
      <c r="N32" s="9"/>
      <c r="O32" s="20" t="s">
        <v>107</v>
      </c>
      <c r="P32" s="20" t="s">
        <v>108</v>
      </c>
      <c r="Q32" s="21" t="s">
        <v>132</v>
      </c>
      <c r="R32" s="9"/>
      <c r="S32" s="32" t="str">
        <f>"492,5"</f>
        <v>492,5</v>
      </c>
      <c r="T32" s="9" t="str">
        <f>"380,6532"</f>
        <v>380,6532</v>
      </c>
      <c r="U32" s="8" t="s">
        <v>776</v>
      </c>
    </row>
    <row r="33" spans="1:21">
      <c r="B33" s="5" t="s">
        <v>8</v>
      </c>
    </row>
    <row r="34" spans="1:21" ht="16">
      <c r="A34" s="46" t="s">
        <v>85</v>
      </c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21">
      <c r="A35" s="9" t="s">
        <v>186</v>
      </c>
      <c r="B35" s="8" t="s">
        <v>255</v>
      </c>
      <c r="C35" s="8" t="s">
        <v>256</v>
      </c>
      <c r="D35" s="8" t="s">
        <v>257</v>
      </c>
      <c r="E35" s="8" t="s">
        <v>820</v>
      </c>
      <c r="F35" s="8" t="s">
        <v>763</v>
      </c>
      <c r="G35" s="21" t="s">
        <v>74</v>
      </c>
      <c r="H35" s="20" t="s">
        <v>74</v>
      </c>
      <c r="I35" s="20" t="s">
        <v>81</v>
      </c>
      <c r="J35" s="9"/>
      <c r="K35" s="20" t="s">
        <v>30</v>
      </c>
      <c r="L35" s="21" t="s">
        <v>43</v>
      </c>
      <c r="M35" s="21" t="s">
        <v>43</v>
      </c>
      <c r="N35" s="9"/>
      <c r="O35" s="21" t="s">
        <v>48</v>
      </c>
      <c r="P35" s="20" t="s">
        <v>54</v>
      </c>
      <c r="Q35" s="20" t="s">
        <v>55</v>
      </c>
      <c r="R35" s="9"/>
      <c r="S35" s="32" t="str">
        <f>"385,0"</f>
        <v>385,0</v>
      </c>
      <c r="T35" s="9" t="str">
        <f>"274,5820"</f>
        <v>274,5820</v>
      </c>
      <c r="U35" s="8" t="s">
        <v>808</v>
      </c>
    </row>
    <row r="36" spans="1:21">
      <c r="B36" s="5" t="s">
        <v>8</v>
      </c>
    </row>
    <row r="37" spans="1:21" ht="16">
      <c r="A37" s="46" t="s">
        <v>258</v>
      </c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21">
      <c r="A38" s="11" t="s">
        <v>186</v>
      </c>
      <c r="B38" s="10" t="s">
        <v>259</v>
      </c>
      <c r="C38" s="10" t="s">
        <v>260</v>
      </c>
      <c r="D38" s="10" t="s">
        <v>261</v>
      </c>
      <c r="E38" s="10" t="s">
        <v>820</v>
      </c>
      <c r="F38" s="10" t="s">
        <v>763</v>
      </c>
      <c r="G38" s="23" t="s">
        <v>71</v>
      </c>
      <c r="H38" s="22" t="s">
        <v>71</v>
      </c>
      <c r="I38" s="22" t="s">
        <v>57</v>
      </c>
      <c r="J38" s="11"/>
      <c r="K38" s="22" t="s">
        <v>74</v>
      </c>
      <c r="L38" s="23" t="s">
        <v>81</v>
      </c>
      <c r="M38" s="23" t="s">
        <v>81</v>
      </c>
      <c r="N38" s="11"/>
      <c r="O38" s="22" t="s">
        <v>108</v>
      </c>
      <c r="P38" s="22" t="s">
        <v>132</v>
      </c>
      <c r="Q38" s="23" t="s">
        <v>99</v>
      </c>
      <c r="R38" s="11"/>
      <c r="S38" s="28" t="str">
        <f>"510,0"</f>
        <v>510,0</v>
      </c>
      <c r="T38" s="11" t="str">
        <f>"348,7380"</f>
        <v>348,7380</v>
      </c>
      <c r="U38" s="10"/>
    </row>
    <row r="39" spans="1:21">
      <c r="A39" s="15" t="s">
        <v>188</v>
      </c>
      <c r="B39" s="14" t="s">
        <v>262</v>
      </c>
      <c r="C39" s="14" t="s">
        <v>263</v>
      </c>
      <c r="D39" s="14" t="s">
        <v>264</v>
      </c>
      <c r="E39" s="14" t="s">
        <v>820</v>
      </c>
      <c r="F39" s="14" t="s">
        <v>265</v>
      </c>
      <c r="G39" s="27" t="s">
        <v>57</v>
      </c>
      <c r="H39" s="15"/>
      <c r="I39" s="15"/>
      <c r="J39" s="15"/>
      <c r="K39" s="27"/>
      <c r="L39" s="15"/>
      <c r="M39" s="15"/>
      <c r="N39" s="15"/>
      <c r="O39" s="27"/>
      <c r="P39" s="15"/>
      <c r="Q39" s="15"/>
      <c r="R39" s="15"/>
      <c r="S39" s="31">
        <v>0</v>
      </c>
      <c r="T39" s="15" t="str">
        <f>"0,0000"</f>
        <v>0,0000</v>
      </c>
      <c r="U39" s="14"/>
    </row>
    <row r="40" spans="1:21">
      <c r="A40" s="15" t="s">
        <v>186</v>
      </c>
      <c r="B40" s="14" t="s">
        <v>266</v>
      </c>
      <c r="C40" s="14" t="s">
        <v>739</v>
      </c>
      <c r="D40" s="14" t="s">
        <v>267</v>
      </c>
      <c r="E40" s="14" t="s">
        <v>822</v>
      </c>
      <c r="F40" s="14" t="s">
        <v>268</v>
      </c>
      <c r="G40" s="26" t="s">
        <v>71</v>
      </c>
      <c r="H40" s="26" t="s">
        <v>57</v>
      </c>
      <c r="I40" s="27" t="s">
        <v>84</v>
      </c>
      <c r="J40" s="15"/>
      <c r="K40" s="26" t="s">
        <v>48</v>
      </c>
      <c r="L40" s="26" t="s">
        <v>49</v>
      </c>
      <c r="M40" s="15"/>
      <c r="N40" s="15"/>
      <c r="O40" s="26" t="s">
        <v>57</v>
      </c>
      <c r="P40" s="26" t="s">
        <v>59</v>
      </c>
      <c r="Q40" s="26" t="s">
        <v>107</v>
      </c>
      <c r="R40" s="15"/>
      <c r="S40" s="31" t="str">
        <f>"520,0"</f>
        <v>520,0</v>
      </c>
      <c r="T40" s="15" t="str">
        <f>"356,1480"</f>
        <v>356,1480</v>
      </c>
      <c r="U40" s="14" t="s">
        <v>809</v>
      </c>
    </row>
    <row r="41" spans="1:21">
      <c r="A41" s="13" t="s">
        <v>187</v>
      </c>
      <c r="B41" s="12" t="s">
        <v>270</v>
      </c>
      <c r="C41" s="12" t="s">
        <v>759</v>
      </c>
      <c r="D41" s="12" t="s">
        <v>271</v>
      </c>
      <c r="E41" s="12" t="s">
        <v>822</v>
      </c>
      <c r="F41" s="12" t="s">
        <v>763</v>
      </c>
      <c r="G41" s="24" t="s">
        <v>55</v>
      </c>
      <c r="H41" s="24" t="s">
        <v>56</v>
      </c>
      <c r="I41" s="24" t="s">
        <v>83</v>
      </c>
      <c r="J41" s="13"/>
      <c r="K41" s="25" t="s">
        <v>29</v>
      </c>
      <c r="L41" s="24" t="s">
        <v>29</v>
      </c>
      <c r="M41" s="25" t="s">
        <v>30</v>
      </c>
      <c r="N41" s="13"/>
      <c r="O41" s="24" t="s">
        <v>72</v>
      </c>
      <c r="P41" s="25" t="s">
        <v>106</v>
      </c>
      <c r="Q41" s="25" t="s">
        <v>106</v>
      </c>
      <c r="R41" s="13"/>
      <c r="S41" s="29" t="str">
        <f>"440,0"</f>
        <v>440,0</v>
      </c>
      <c r="T41" s="13" t="str">
        <f>"299,1057"</f>
        <v>299,1057</v>
      </c>
      <c r="U41" s="12"/>
    </row>
    <row r="42" spans="1:21">
      <c r="B42" s="5" t="s">
        <v>8</v>
      </c>
    </row>
    <row r="43" spans="1:21" ht="16">
      <c r="A43" s="46" t="s">
        <v>67</v>
      </c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21">
      <c r="A44" s="9" t="s">
        <v>186</v>
      </c>
      <c r="B44" s="8" t="s">
        <v>272</v>
      </c>
      <c r="C44" s="8" t="s">
        <v>273</v>
      </c>
      <c r="D44" s="8" t="s">
        <v>274</v>
      </c>
      <c r="E44" s="8" t="s">
        <v>820</v>
      </c>
      <c r="F44" s="8" t="s">
        <v>763</v>
      </c>
      <c r="G44" s="20" t="s">
        <v>55</v>
      </c>
      <c r="H44" s="20" t="s">
        <v>83</v>
      </c>
      <c r="I44" s="20" t="s">
        <v>57</v>
      </c>
      <c r="J44" s="9"/>
      <c r="K44" s="20" t="s">
        <v>32</v>
      </c>
      <c r="L44" s="21" t="s">
        <v>74</v>
      </c>
      <c r="M44" s="21" t="s">
        <v>74</v>
      </c>
      <c r="N44" s="9"/>
      <c r="O44" s="20" t="s">
        <v>96</v>
      </c>
      <c r="P44" s="20" t="s">
        <v>76</v>
      </c>
      <c r="Q44" s="20" t="s">
        <v>108</v>
      </c>
      <c r="R44" s="9"/>
      <c r="S44" s="32" t="str">
        <f>"490,0"</f>
        <v>490,0</v>
      </c>
      <c r="T44" s="9" t="str">
        <f>"314,2370"</f>
        <v>314,2370</v>
      </c>
      <c r="U44" s="8" t="s">
        <v>802</v>
      </c>
    </row>
    <row r="45" spans="1:21">
      <c r="B45" s="5" t="s">
        <v>8</v>
      </c>
    </row>
    <row r="46" spans="1:21" ht="16">
      <c r="A46" s="46" t="s">
        <v>114</v>
      </c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21">
      <c r="A47" s="11" t="s">
        <v>186</v>
      </c>
      <c r="B47" s="10" t="s">
        <v>275</v>
      </c>
      <c r="C47" s="10" t="s">
        <v>276</v>
      </c>
      <c r="D47" s="10" t="s">
        <v>277</v>
      </c>
      <c r="E47" s="10" t="s">
        <v>820</v>
      </c>
      <c r="F47" s="10" t="s">
        <v>278</v>
      </c>
      <c r="G47" s="22" t="s">
        <v>99</v>
      </c>
      <c r="H47" s="22" t="s">
        <v>279</v>
      </c>
      <c r="I47" s="22" t="s">
        <v>280</v>
      </c>
      <c r="J47" s="11"/>
      <c r="K47" s="22" t="s">
        <v>57</v>
      </c>
      <c r="L47" s="22" t="s">
        <v>84</v>
      </c>
      <c r="M47" s="23" t="s">
        <v>72</v>
      </c>
      <c r="N47" s="11"/>
      <c r="O47" s="22" t="s">
        <v>133</v>
      </c>
      <c r="P47" s="22" t="s">
        <v>281</v>
      </c>
      <c r="Q47" s="22" t="s">
        <v>279</v>
      </c>
      <c r="R47" s="11"/>
      <c r="S47" s="28" t="str">
        <f>"665,0"</f>
        <v>665,0</v>
      </c>
      <c r="T47" s="11" t="str">
        <f>"414,4280"</f>
        <v>414,4280</v>
      </c>
      <c r="U47" s="10" t="s">
        <v>810</v>
      </c>
    </row>
    <row r="48" spans="1:21">
      <c r="A48" s="15" t="s">
        <v>187</v>
      </c>
      <c r="B48" s="14" t="s">
        <v>282</v>
      </c>
      <c r="C48" s="14" t="s">
        <v>283</v>
      </c>
      <c r="D48" s="14" t="s">
        <v>284</v>
      </c>
      <c r="E48" s="14" t="s">
        <v>820</v>
      </c>
      <c r="F48" s="14" t="s">
        <v>763</v>
      </c>
      <c r="G48" s="26" t="s">
        <v>84</v>
      </c>
      <c r="H48" s="26" t="s">
        <v>59</v>
      </c>
      <c r="I48" s="26" t="s">
        <v>76</v>
      </c>
      <c r="J48" s="15"/>
      <c r="K48" s="26" t="s">
        <v>81</v>
      </c>
      <c r="L48" s="26" t="s">
        <v>250</v>
      </c>
      <c r="M48" s="26" t="s">
        <v>54</v>
      </c>
      <c r="N48" s="15"/>
      <c r="O48" s="26" t="s">
        <v>107</v>
      </c>
      <c r="P48" s="26" t="s">
        <v>132</v>
      </c>
      <c r="Q48" s="26" t="s">
        <v>134</v>
      </c>
      <c r="R48" s="15"/>
      <c r="S48" s="31" t="str">
        <f>"590,0"</f>
        <v>590,0</v>
      </c>
      <c r="T48" s="15" t="str">
        <f>"365,0920"</f>
        <v>365,0920</v>
      </c>
      <c r="U48" s="14"/>
    </row>
    <row r="49" spans="1:21">
      <c r="A49" s="15" t="s">
        <v>189</v>
      </c>
      <c r="B49" s="14" t="s">
        <v>285</v>
      </c>
      <c r="C49" s="14" t="s">
        <v>286</v>
      </c>
      <c r="D49" s="14" t="s">
        <v>287</v>
      </c>
      <c r="E49" s="14" t="s">
        <v>820</v>
      </c>
      <c r="F49" s="14" t="s">
        <v>763</v>
      </c>
      <c r="G49" s="27" t="s">
        <v>33</v>
      </c>
      <c r="H49" s="26" t="s">
        <v>33</v>
      </c>
      <c r="I49" s="26" t="s">
        <v>34</v>
      </c>
      <c r="J49" s="15"/>
      <c r="K49" s="26" t="s">
        <v>28</v>
      </c>
      <c r="L49" s="27" t="s">
        <v>236</v>
      </c>
      <c r="M49" s="15"/>
      <c r="N49" s="15"/>
      <c r="O49" s="26" t="s">
        <v>49</v>
      </c>
      <c r="P49" s="26" t="s">
        <v>55</v>
      </c>
      <c r="Q49" s="27" t="s">
        <v>71</v>
      </c>
      <c r="R49" s="15"/>
      <c r="S49" s="31" t="str">
        <f>"375,0"</f>
        <v>375,0</v>
      </c>
      <c r="T49" s="15" t="str">
        <f>"231,4500"</f>
        <v>231,4500</v>
      </c>
      <c r="U49" s="14" t="s">
        <v>232</v>
      </c>
    </row>
    <row r="50" spans="1:21">
      <c r="A50" s="13" t="s">
        <v>186</v>
      </c>
      <c r="B50" s="12" t="s">
        <v>288</v>
      </c>
      <c r="C50" s="12" t="s">
        <v>760</v>
      </c>
      <c r="D50" s="12" t="s">
        <v>138</v>
      </c>
      <c r="E50" s="12" t="s">
        <v>822</v>
      </c>
      <c r="F50" s="12" t="s">
        <v>763</v>
      </c>
      <c r="G50" s="24" t="s">
        <v>144</v>
      </c>
      <c r="H50" s="24" t="s">
        <v>99</v>
      </c>
      <c r="I50" s="25" t="s">
        <v>134</v>
      </c>
      <c r="J50" s="13"/>
      <c r="K50" s="24" t="s">
        <v>81</v>
      </c>
      <c r="L50" s="24" t="s">
        <v>22</v>
      </c>
      <c r="M50" s="25" t="s">
        <v>48</v>
      </c>
      <c r="N50" s="13"/>
      <c r="O50" s="24" t="s">
        <v>144</v>
      </c>
      <c r="P50" s="24" t="s">
        <v>99</v>
      </c>
      <c r="Q50" s="25" t="s">
        <v>289</v>
      </c>
      <c r="R50" s="13"/>
      <c r="S50" s="29" t="str">
        <f>"605,0"</f>
        <v>605,0</v>
      </c>
      <c r="T50" s="13" t="str">
        <f>"378,6371"</f>
        <v>378,6371</v>
      </c>
      <c r="U50" s="12"/>
    </row>
    <row r="51" spans="1:21">
      <c r="B51" s="5" t="s">
        <v>8</v>
      </c>
    </row>
    <row r="52" spans="1:21" ht="16">
      <c r="A52" s="46" t="s">
        <v>150</v>
      </c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21">
      <c r="A53" s="11" t="s">
        <v>186</v>
      </c>
      <c r="B53" s="10" t="s">
        <v>290</v>
      </c>
      <c r="C53" s="10" t="s">
        <v>291</v>
      </c>
      <c r="D53" s="10" t="s">
        <v>292</v>
      </c>
      <c r="E53" s="10" t="s">
        <v>820</v>
      </c>
      <c r="F53" s="10" t="s">
        <v>763</v>
      </c>
      <c r="G53" s="22" t="s">
        <v>134</v>
      </c>
      <c r="H53" s="22" t="s">
        <v>293</v>
      </c>
      <c r="I53" s="22" t="s">
        <v>101</v>
      </c>
      <c r="J53" s="11"/>
      <c r="K53" s="22" t="s">
        <v>55</v>
      </c>
      <c r="L53" s="23" t="s">
        <v>56</v>
      </c>
      <c r="M53" s="22" t="s">
        <v>56</v>
      </c>
      <c r="N53" s="11"/>
      <c r="O53" s="22" t="s">
        <v>126</v>
      </c>
      <c r="P53" s="22" t="s">
        <v>294</v>
      </c>
      <c r="Q53" s="23" t="s">
        <v>174</v>
      </c>
      <c r="R53" s="11"/>
      <c r="S53" s="28" t="str">
        <f>"712,5"</f>
        <v>712,5</v>
      </c>
      <c r="T53" s="11" t="str">
        <f>"420,7312"</f>
        <v>420,7312</v>
      </c>
      <c r="U53" s="10"/>
    </row>
    <row r="54" spans="1:21">
      <c r="A54" s="13" t="s">
        <v>187</v>
      </c>
      <c r="B54" s="12" t="s">
        <v>295</v>
      </c>
      <c r="C54" s="12" t="s">
        <v>296</v>
      </c>
      <c r="D54" s="12" t="s">
        <v>297</v>
      </c>
      <c r="E54" s="12" t="s">
        <v>820</v>
      </c>
      <c r="F54" s="12" t="s">
        <v>763</v>
      </c>
      <c r="G54" s="24" t="s">
        <v>126</v>
      </c>
      <c r="H54" s="25" t="s">
        <v>294</v>
      </c>
      <c r="I54" s="13"/>
      <c r="J54" s="13"/>
      <c r="K54" s="24" t="s">
        <v>48</v>
      </c>
      <c r="L54" s="24" t="s">
        <v>148</v>
      </c>
      <c r="M54" s="25" t="s">
        <v>98</v>
      </c>
      <c r="N54" s="13"/>
      <c r="O54" s="24" t="s">
        <v>127</v>
      </c>
      <c r="P54" s="25" t="s">
        <v>298</v>
      </c>
      <c r="Q54" s="13"/>
      <c r="R54" s="13"/>
      <c r="S54" s="29" t="str">
        <f>"707,5"</f>
        <v>707,5</v>
      </c>
      <c r="T54" s="13" t="str">
        <f>"424,2170"</f>
        <v>424,2170</v>
      </c>
      <c r="U54" s="12" t="s">
        <v>811</v>
      </c>
    </row>
    <row r="55" spans="1:21">
      <c r="B55" s="5" t="s">
        <v>8</v>
      </c>
    </row>
    <row r="56" spans="1:21" ht="16">
      <c r="A56" s="46" t="s">
        <v>299</v>
      </c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21">
      <c r="A57" s="9" t="s">
        <v>186</v>
      </c>
      <c r="B57" s="8" t="s">
        <v>300</v>
      </c>
      <c r="C57" s="8" t="s">
        <v>301</v>
      </c>
      <c r="D57" s="8" t="s">
        <v>302</v>
      </c>
      <c r="E57" s="8" t="s">
        <v>823</v>
      </c>
      <c r="F57" s="8" t="s">
        <v>268</v>
      </c>
      <c r="G57" s="20" t="s">
        <v>83</v>
      </c>
      <c r="H57" s="20" t="s">
        <v>84</v>
      </c>
      <c r="I57" s="20" t="s">
        <v>72</v>
      </c>
      <c r="J57" s="9"/>
      <c r="K57" s="20" t="s">
        <v>32</v>
      </c>
      <c r="L57" s="20" t="s">
        <v>74</v>
      </c>
      <c r="M57" s="21" t="s">
        <v>303</v>
      </c>
      <c r="N57" s="9"/>
      <c r="O57" s="20" t="s">
        <v>72</v>
      </c>
      <c r="P57" s="20" t="s">
        <v>304</v>
      </c>
      <c r="Q57" s="20" t="s">
        <v>108</v>
      </c>
      <c r="R57" s="9"/>
      <c r="S57" s="32" t="str">
        <f>"510,0"</f>
        <v>510,0</v>
      </c>
      <c r="T57" s="9" t="str">
        <f>"297,1260"</f>
        <v>297,1260</v>
      </c>
      <c r="U57" s="8" t="s">
        <v>780</v>
      </c>
    </row>
    <row r="58" spans="1:21">
      <c r="B58" s="5" t="s">
        <v>8</v>
      </c>
    </row>
    <row r="59" spans="1:21">
      <c r="B59" s="5" t="s">
        <v>8</v>
      </c>
    </row>
    <row r="60" spans="1:21">
      <c r="B60" s="5" t="s">
        <v>8</v>
      </c>
    </row>
    <row r="61" spans="1:21" ht="18">
      <c r="B61" s="7" t="s">
        <v>7</v>
      </c>
      <c r="C61" s="7"/>
      <c r="F61" s="3"/>
    </row>
    <row r="62" spans="1:21" ht="16">
      <c r="B62" s="16" t="s">
        <v>160</v>
      </c>
      <c r="C62" s="16"/>
      <c r="F62" s="3"/>
    </row>
    <row r="63" spans="1:21" ht="14">
      <c r="B63" s="17"/>
      <c r="C63" s="18" t="s">
        <v>161</v>
      </c>
      <c r="F63" s="3"/>
    </row>
    <row r="64" spans="1:21" ht="14">
      <c r="B64" s="19" t="s">
        <v>162</v>
      </c>
      <c r="C64" s="19" t="s">
        <v>163</v>
      </c>
      <c r="D64" s="19" t="s">
        <v>765</v>
      </c>
      <c r="E64" s="19" t="s">
        <v>165</v>
      </c>
      <c r="F64" s="19" t="s">
        <v>166</v>
      </c>
    </row>
    <row r="65" spans="2:6">
      <c r="B65" s="5" t="s">
        <v>209</v>
      </c>
      <c r="C65" s="5" t="s">
        <v>161</v>
      </c>
      <c r="D65" s="6" t="s">
        <v>305</v>
      </c>
      <c r="E65" s="6" t="s">
        <v>306</v>
      </c>
      <c r="F65" s="6" t="s">
        <v>307</v>
      </c>
    </row>
    <row r="66" spans="2:6">
      <c r="B66" s="5" t="s">
        <v>241</v>
      </c>
      <c r="C66" s="5" t="s">
        <v>161</v>
      </c>
      <c r="D66" s="6" t="s">
        <v>308</v>
      </c>
      <c r="E66" s="6" t="s">
        <v>309</v>
      </c>
      <c r="F66" s="6" t="s">
        <v>310</v>
      </c>
    </row>
    <row r="67" spans="2:6">
      <c r="B67" s="5" t="s">
        <v>212</v>
      </c>
      <c r="C67" s="5" t="s">
        <v>161</v>
      </c>
      <c r="D67" s="6" t="s">
        <v>305</v>
      </c>
      <c r="E67" s="6" t="s">
        <v>159</v>
      </c>
      <c r="F67" s="6" t="s">
        <v>311</v>
      </c>
    </row>
    <row r="69" spans="2:6" ht="16">
      <c r="B69" s="16" t="s">
        <v>177</v>
      </c>
      <c r="C69" s="16"/>
    </row>
    <row r="70" spans="2:6" ht="14">
      <c r="B70" s="17"/>
      <c r="C70" s="18" t="s">
        <v>161</v>
      </c>
    </row>
    <row r="71" spans="2:6" ht="14">
      <c r="B71" s="19" t="s">
        <v>162</v>
      </c>
      <c r="C71" s="19" t="s">
        <v>163</v>
      </c>
      <c r="D71" s="19" t="s">
        <v>765</v>
      </c>
      <c r="E71" s="19" t="s">
        <v>165</v>
      </c>
      <c r="F71" s="19" t="s">
        <v>166</v>
      </c>
    </row>
    <row r="72" spans="2:6">
      <c r="B72" s="5" t="s">
        <v>295</v>
      </c>
      <c r="C72" s="5" t="s">
        <v>161</v>
      </c>
      <c r="D72" s="6" t="s">
        <v>313</v>
      </c>
      <c r="E72" s="6" t="s">
        <v>314</v>
      </c>
      <c r="F72" s="6" t="s">
        <v>315</v>
      </c>
    </row>
    <row r="73" spans="2:6">
      <c r="B73" s="5" t="s">
        <v>290</v>
      </c>
      <c r="C73" s="5" t="s">
        <v>161</v>
      </c>
      <c r="D73" s="6" t="s">
        <v>313</v>
      </c>
      <c r="E73" s="6" t="s">
        <v>316</v>
      </c>
      <c r="F73" s="6" t="s">
        <v>317</v>
      </c>
    </row>
    <row r="74" spans="2:6">
      <c r="B74" s="5" t="s">
        <v>275</v>
      </c>
      <c r="C74" s="5" t="s">
        <v>161</v>
      </c>
      <c r="D74" s="6" t="s">
        <v>178</v>
      </c>
      <c r="E74" s="6" t="s">
        <v>318</v>
      </c>
      <c r="F74" s="6" t="s">
        <v>319</v>
      </c>
    </row>
    <row r="75" spans="2:6">
      <c r="B75" s="5" t="s">
        <v>8</v>
      </c>
    </row>
  </sheetData>
  <mergeCells count="25">
    <mergeCell ref="A37:R37"/>
    <mergeCell ref="A43:R43"/>
    <mergeCell ref="A46:R46"/>
    <mergeCell ref="A52:R52"/>
    <mergeCell ref="A56:R56"/>
    <mergeCell ref="A31:R31"/>
    <mergeCell ref="A34:R34"/>
    <mergeCell ref="S3:S4"/>
    <mergeCell ref="T3:T4"/>
    <mergeCell ref="U3:U4"/>
    <mergeCell ref="A5:R5"/>
    <mergeCell ref="B3:B4"/>
    <mergeCell ref="A9:R9"/>
    <mergeCell ref="A13:R13"/>
    <mergeCell ref="A19:R19"/>
    <mergeCell ref="A27:R27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E58D-C6F3-4D80-8347-D6D220353611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3" t="s">
        <v>691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258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518</v>
      </c>
      <c r="C6" s="8" t="s">
        <v>724</v>
      </c>
      <c r="D6" s="8" t="s">
        <v>519</v>
      </c>
      <c r="E6" s="8" t="s">
        <v>826</v>
      </c>
      <c r="F6" s="8" t="s">
        <v>520</v>
      </c>
      <c r="G6" s="20" t="s">
        <v>81</v>
      </c>
      <c r="H6" s="21" t="s">
        <v>48</v>
      </c>
      <c r="I6" s="21" t="s">
        <v>49</v>
      </c>
      <c r="J6" s="9"/>
      <c r="K6" s="9" t="str">
        <f>"130,0"</f>
        <v>130,0</v>
      </c>
      <c r="L6" s="9" t="str">
        <f>"120,8080"</f>
        <v>120,8080</v>
      </c>
      <c r="M6" s="8"/>
    </row>
    <row r="7" spans="1:13">
      <c r="B7" s="5" t="s">
        <v>8</v>
      </c>
    </row>
    <row r="8" spans="1:13" ht="16">
      <c r="A8" s="46" t="s">
        <v>114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186</v>
      </c>
      <c r="B9" s="8" t="s">
        <v>521</v>
      </c>
      <c r="C9" s="8" t="s">
        <v>522</v>
      </c>
      <c r="D9" s="8" t="s">
        <v>523</v>
      </c>
      <c r="E9" s="8" t="s">
        <v>820</v>
      </c>
      <c r="F9" s="8" t="s">
        <v>520</v>
      </c>
      <c r="G9" s="20" t="s">
        <v>134</v>
      </c>
      <c r="H9" s="20" t="s">
        <v>149</v>
      </c>
      <c r="I9" s="21" t="s">
        <v>101</v>
      </c>
      <c r="J9" s="9"/>
      <c r="K9" s="9" t="str">
        <f>"255,0"</f>
        <v>255,0</v>
      </c>
      <c r="L9" s="9" t="str">
        <f>"156,6720"</f>
        <v>156,6720</v>
      </c>
      <c r="M9" s="8" t="s">
        <v>524</v>
      </c>
    </row>
    <row r="10" spans="1:13">
      <c r="B10" s="5" t="s">
        <v>8</v>
      </c>
    </row>
    <row r="11" spans="1:13" ht="16">
      <c r="A11" s="46" t="s">
        <v>150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9" t="s">
        <v>186</v>
      </c>
      <c r="B12" s="8" t="s">
        <v>525</v>
      </c>
      <c r="C12" s="8" t="s">
        <v>526</v>
      </c>
      <c r="D12" s="8" t="s">
        <v>527</v>
      </c>
      <c r="E12" s="8" t="s">
        <v>820</v>
      </c>
      <c r="F12" s="8" t="s">
        <v>763</v>
      </c>
      <c r="G12" s="20" t="s">
        <v>100</v>
      </c>
      <c r="H12" s="20" t="s">
        <v>101</v>
      </c>
      <c r="I12" s="21" t="s">
        <v>135</v>
      </c>
      <c r="J12" s="9"/>
      <c r="K12" s="9" t="str">
        <f>"260,0"</f>
        <v>260,0</v>
      </c>
      <c r="L12" s="9" t="str">
        <f>"157,0140"</f>
        <v>157,0140</v>
      </c>
      <c r="M12" s="8" t="s">
        <v>785</v>
      </c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3ACE-6273-4702-8FD7-97C51AD6C991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3" t="s">
        <v>684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67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1" t="s">
        <v>186</v>
      </c>
      <c r="B6" s="10" t="s">
        <v>626</v>
      </c>
      <c r="C6" s="10" t="s">
        <v>627</v>
      </c>
      <c r="D6" s="10" t="s">
        <v>337</v>
      </c>
      <c r="E6" s="10" t="s">
        <v>820</v>
      </c>
      <c r="F6" s="10" t="s">
        <v>763</v>
      </c>
      <c r="G6" s="22" t="s">
        <v>57</v>
      </c>
      <c r="H6" s="23" t="s">
        <v>106</v>
      </c>
      <c r="I6" s="23" t="s">
        <v>59</v>
      </c>
      <c r="J6" s="11"/>
      <c r="K6" s="11" t="str">
        <f>"170,0"</f>
        <v>170,0</v>
      </c>
      <c r="L6" s="11" t="str">
        <f>"105,0770"</f>
        <v>105,0770</v>
      </c>
      <c r="M6" s="10" t="s">
        <v>628</v>
      </c>
    </row>
    <row r="7" spans="1:13">
      <c r="A7" s="13" t="s">
        <v>186</v>
      </c>
      <c r="B7" s="12" t="s">
        <v>626</v>
      </c>
      <c r="C7" s="12" t="s">
        <v>707</v>
      </c>
      <c r="D7" s="12" t="s">
        <v>337</v>
      </c>
      <c r="E7" s="12" t="s">
        <v>822</v>
      </c>
      <c r="F7" s="12" t="s">
        <v>763</v>
      </c>
      <c r="G7" s="24" t="s">
        <v>57</v>
      </c>
      <c r="H7" s="25" t="s">
        <v>106</v>
      </c>
      <c r="I7" s="25" t="s">
        <v>59</v>
      </c>
      <c r="J7" s="13"/>
      <c r="K7" s="13" t="str">
        <f>"170,0"</f>
        <v>170,0</v>
      </c>
      <c r="L7" s="13" t="str">
        <f>"106,1278"</f>
        <v>106,1278</v>
      </c>
      <c r="M7" s="12" t="s">
        <v>628</v>
      </c>
    </row>
    <row r="8" spans="1:13">
      <c r="B8" s="5" t="s">
        <v>8</v>
      </c>
    </row>
    <row r="9" spans="1:13" ht="16">
      <c r="A9" s="46" t="s">
        <v>150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11" t="s">
        <v>186</v>
      </c>
      <c r="B10" s="10" t="s">
        <v>629</v>
      </c>
      <c r="C10" s="10" t="s">
        <v>630</v>
      </c>
      <c r="D10" s="10" t="s">
        <v>631</v>
      </c>
      <c r="E10" s="10" t="s">
        <v>820</v>
      </c>
      <c r="F10" s="10" t="s">
        <v>763</v>
      </c>
      <c r="G10" s="22" t="s">
        <v>107</v>
      </c>
      <c r="H10" s="23" t="s">
        <v>109</v>
      </c>
      <c r="I10" s="23" t="s">
        <v>109</v>
      </c>
      <c r="J10" s="11"/>
      <c r="K10" s="11" t="str">
        <f>"200,0"</f>
        <v>200,0</v>
      </c>
      <c r="L10" s="11" t="str">
        <f>"113,5300"</f>
        <v>113,5300</v>
      </c>
      <c r="M10" s="10"/>
    </row>
    <row r="11" spans="1:13">
      <c r="A11" s="15" t="s">
        <v>187</v>
      </c>
      <c r="B11" s="14" t="s">
        <v>632</v>
      </c>
      <c r="C11" s="14" t="s">
        <v>633</v>
      </c>
      <c r="D11" s="14" t="s">
        <v>634</v>
      </c>
      <c r="E11" s="14" t="s">
        <v>820</v>
      </c>
      <c r="F11" s="14" t="s">
        <v>763</v>
      </c>
      <c r="G11" s="27" t="s">
        <v>443</v>
      </c>
      <c r="H11" s="27" t="s">
        <v>443</v>
      </c>
      <c r="I11" s="26" t="s">
        <v>443</v>
      </c>
      <c r="J11" s="15"/>
      <c r="K11" s="15" t="str">
        <f>"187,5"</f>
        <v>187,5</v>
      </c>
      <c r="L11" s="15" t="str">
        <f>"108,1688"</f>
        <v>108,1688</v>
      </c>
      <c r="M11" s="14"/>
    </row>
    <row r="12" spans="1:13">
      <c r="A12" s="13" t="s">
        <v>186</v>
      </c>
      <c r="B12" s="12" t="s">
        <v>629</v>
      </c>
      <c r="C12" s="12" t="s">
        <v>708</v>
      </c>
      <c r="D12" s="12" t="s">
        <v>631</v>
      </c>
      <c r="E12" s="12" t="s">
        <v>822</v>
      </c>
      <c r="F12" s="12" t="s">
        <v>763</v>
      </c>
      <c r="G12" s="24" t="s">
        <v>107</v>
      </c>
      <c r="H12" s="25" t="s">
        <v>109</v>
      </c>
      <c r="I12" s="25" t="s">
        <v>109</v>
      </c>
      <c r="J12" s="13"/>
      <c r="K12" s="13" t="str">
        <f>"200,0"</f>
        <v>200,0</v>
      </c>
      <c r="L12" s="13" t="str">
        <f>"117,0494"</f>
        <v>117,0494</v>
      </c>
      <c r="M12" s="12"/>
    </row>
    <row r="13" spans="1:13">
      <c r="B13" s="5" t="s">
        <v>8</v>
      </c>
    </row>
    <row r="14" spans="1:13" ht="16">
      <c r="A14" s="46" t="s">
        <v>299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9" t="s">
        <v>186</v>
      </c>
      <c r="B15" s="8" t="s">
        <v>635</v>
      </c>
      <c r="C15" s="8" t="s">
        <v>709</v>
      </c>
      <c r="D15" s="8" t="s">
        <v>636</v>
      </c>
      <c r="E15" s="8" t="s">
        <v>824</v>
      </c>
      <c r="F15" s="8" t="s">
        <v>447</v>
      </c>
      <c r="G15" s="20" t="s">
        <v>139</v>
      </c>
      <c r="H15" s="20" t="s">
        <v>443</v>
      </c>
      <c r="I15" s="21" t="s">
        <v>345</v>
      </c>
      <c r="J15" s="9"/>
      <c r="K15" s="9" t="str">
        <f>"187,5"</f>
        <v>187,5</v>
      </c>
      <c r="L15" s="9" t="str">
        <f>"123,8352"</f>
        <v>123,8352</v>
      </c>
      <c r="M15" s="8"/>
    </row>
    <row r="16" spans="1:13">
      <c r="B16" s="5" t="s">
        <v>8</v>
      </c>
    </row>
  </sheetData>
  <mergeCells count="14">
    <mergeCell ref="A9:J9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AD2B-C53C-4E8E-BEB4-E1F970E4AD2F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33" t="s">
        <v>685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85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188</v>
      </c>
      <c r="B6" s="8" t="s">
        <v>620</v>
      </c>
      <c r="C6" s="8" t="s">
        <v>621</v>
      </c>
      <c r="D6" s="8" t="s">
        <v>622</v>
      </c>
      <c r="E6" s="8" t="s">
        <v>820</v>
      </c>
      <c r="F6" s="8" t="s">
        <v>763</v>
      </c>
      <c r="G6" s="21" t="s">
        <v>72</v>
      </c>
      <c r="H6" s="21" t="s">
        <v>72</v>
      </c>
      <c r="I6" s="21" t="s">
        <v>72</v>
      </c>
      <c r="J6" s="9"/>
      <c r="K6" s="32">
        <v>0</v>
      </c>
      <c r="L6" s="9" t="str">
        <f>"0,0000"</f>
        <v>0,0000</v>
      </c>
      <c r="M6" s="8"/>
    </row>
    <row r="7" spans="1:13">
      <c r="B7" s="5" t="s">
        <v>8</v>
      </c>
    </row>
    <row r="8" spans="1:13" ht="16">
      <c r="A8" s="46" t="s">
        <v>258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186</v>
      </c>
      <c r="B9" s="8" t="s">
        <v>623</v>
      </c>
      <c r="C9" s="8" t="s">
        <v>624</v>
      </c>
      <c r="D9" s="8" t="s">
        <v>625</v>
      </c>
      <c r="E9" s="8" t="s">
        <v>820</v>
      </c>
      <c r="F9" s="8" t="s">
        <v>763</v>
      </c>
      <c r="G9" s="20" t="s">
        <v>48</v>
      </c>
      <c r="H9" s="20" t="s">
        <v>148</v>
      </c>
      <c r="I9" s="20" t="s">
        <v>98</v>
      </c>
      <c r="J9" s="9"/>
      <c r="K9" s="9" t="str">
        <f>"152,5"</f>
        <v>152,5</v>
      </c>
      <c r="L9" s="9" t="str">
        <f>"101,3515"</f>
        <v>101,3515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F00B-1EB1-4199-8BFC-69B895260A16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3" t="s">
        <v>683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150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538</v>
      </c>
      <c r="C6" s="8" t="s">
        <v>539</v>
      </c>
      <c r="D6" s="8" t="s">
        <v>540</v>
      </c>
      <c r="E6" s="8" t="s">
        <v>820</v>
      </c>
      <c r="F6" s="8" t="s">
        <v>763</v>
      </c>
      <c r="G6" s="20" t="s">
        <v>100</v>
      </c>
      <c r="H6" s="21" t="s">
        <v>101</v>
      </c>
      <c r="I6" s="21" t="s">
        <v>101</v>
      </c>
      <c r="J6" s="9"/>
      <c r="K6" s="9" t="str">
        <f>"250,0"</f>
        <v>250,0</v>
      </c>
      <c r="L6" s="9" t="str">
        <f>"141,4875"</f>
        <v>141,4875</v>
      </c>
      <c r="M6" s="8" t="s">
        <v>773</v>
      </c>
    </row>
    <row r="7" spans="1:13">
      <c r="B7" s="5" t="s">
        <v>8</v>
      </c>
    </row>
    <row r="8" spans="1:13" ht="16">
      <c r="A8" s="46" t="s">
        <v>154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188</v>
      </c>
      <c r="B9" s="8" t="s">
        <v>637</v>
      </c>
      <c r="C9" s="8" t="s">
        <v>638</v>
      </c>
      <c r="D9" s="8" t="s">
        <v>639</v>
      </c>
      <c r="E9" s="8" t="s">
        <v>820</v>
      </c>
      <c r="F9" s="8" t="s">
        <v>763</v>
      </c>
      <c r="G9" s="21" t="s">
        <v>640</v>
      </c>
      <c r="H9" s="21" t="s">
        <v>611</v>
      </c>
      <c r="I9" s="21" t="s">
        <v>611</v>
      </c>
      <c r="J9" s="9"/>
      <c r="K9" s="32">
        <v>0</v>
      </c>
      <c r="L9" s="9" t="str">
        <f>"0,0000"</f>
        <v>0,0000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78D1-B307-480B-9489-D2E29E80C0D5}">
  <dimension ref="A1:M55"/>
  <sheetViews>
    <sheetView topLeftCell="A13" workbookViewId="0">
      <selection activeCell="E45" sqref="E45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4.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33" t="s">
        <v>689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11</v>
      </c>
      <c r="H3" s="45"/>
      <c r="I3" s="45"/>
      <c r="J3" s="45"/>
      <c r="K3" s="48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24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1" t="s">
        <v>186</v>
      </c>
      <c r="B6" s="10" t="s">
        <v>547</v>
      </c>
      <c r="C6" s="10" t="s">
        <v>548</v>
      </c>
      <c r="D6" s="10" t="s">
        <v>549</v>
      </c>
      <c r="E6" s="10" t="s">
        <v>823</v>
      </c>
      <c r="F6" s="10" t="s">
        <v>771</v>
      </c>
      <c r="G6" s="22" t="s">
        <v>82</v>
      </c>
      <c r="H6" s="23" t="s">
        <v>30</v>
      </c>
      <c r="I6" s="22" t="s">
        <v>30</v>
      </c>
      <c r="J6" s="11"/>
      <c r="K6" s="28" t="str">
        <f>"100,0"</f>
        <v>100,0</v>
      </c>
      <c r="L6" s="11" t="str">
        <f>"117,6600"</f>
        <v>117,6600</v>
      </c>
      <c r="M6" s="10" t="s">
        <v>774</v>
      </c>
    </row>
    <row r="7" spans="1:13">
      <c r="A7" s="15" t="s">
        <v>187</v>
      </c>
      <c r="B7" s="14" t="s">
        <v>550</v>
      </c>
      <c r="C7" s="14" t="s">
        <v>551</v>
      </c>
      <c r="D7" s="14" t="s">
        <v>552</v>
      </c>
      <c r="E7" s="14" t="s">
        <v>823</v>
      </c>
      <c r="F7" s="14" t="s">
        <v>771</v>
      </c>
      <c r="G7" s="26" t="s">
        <v>88</v>
      </c>
      <c r="H7" s="26" t="s">
        <v>92</v>
      </c>
      <c r="I7" s="27" t="s">
        <v>28</v>
      </c>
      <c r="J7" s="15"/>
      <c r="K7" s="31" t="str">
        <f>"80,0"</f>
        <v>80,0</v>
      </c>
      <c r="L7" s="15" t="str">
        <f>"96,0160"</f>
        <v>96,0160</v>
      </c>
      <c r="M7" s="14" t="s">
        <v>774</v>
      </c>
    </row>
    <row r="8" spans="1:13">
      <c r="A8" s="15" t="s">
        <v>186</v>
      </c>
      <c r="B8" s="14" t="s">
        <v>25</v>
      </c>
      <c r="C8" s="14" t="s">
        <v>26</v>
      </c>
      <c r="D8" s="14" t="s">
        <v>27</v>
      </c>
      <c r="E8" s="14" t="s">
        <v>820</v>
      </c>
      <c r="F8" s="14" t="s">
        <v>772</v>
      </c>
      <c r="G8" s="27" t="s">
        <v>32</v>
      </c>
      <c r="H8" s="26" t="s">
        <v>33</v>
      </c>
      <c r="I8" s="27" t="s">
        <v>34</v>
      </c>
      <c r="J8" s="15"/>
      <c r="K8" s="31" t="str">
        <f>"125,0"</f>
        <v>125,0</v>
      </c>
      <c r="L8" s="15" t="str">
        <f>"147,9000"</f>
        <v>147,9000</v>
      </c>
      <c r="M8" s="14" t="s">
        <v>208</v>
      </c>
    </row>
    <row r="9" spans="1:13">
      <c r="A9" s="15" t="s">
        <v>187</v>
      </c>
      <c r="B9" s="14" t="s">
        <v>553</v>
      </c>
      <c r="C9" s="14" t="s">
        <v>554</v>
      </c>
      <c r="D9" s="14" t="s">
        <v>555</v>
      </c>
      <c r="E9" s="14" t="s">
        <v>820</v>
      </c>
      <c r="F9" s="14" t="s">
        <v>763</v>
      </c>
      <c r="G9" s="26" t="s">
        <v>236</v>
      </c>
      <c r="H9" s="26" t="s">
        <v>42</v>
      </c>
      <c r="I9" s="26" t="s">
        <v>16</v>
      </c>
      <c r="J9" s="15"/>
      <c r="K9" s="31" t="str">
        <f>"102,5"</f>
        <v>102,5</v>
      </c>
      <c r="L9" s="15" t="str">
        <f>"121,4523"</f>
        <v>121,4523</v>
      </c>
      <c r="M9" s="14" t="s">
        <v>556</v>
      </c>
    </row>
    <row r="10" spans="1:13">
      <c r="A10" s="13" t="s">
        <v>189</v>
      </c>
      <c r="B10" s="12" t="s">
        <v>557</v>
      </c>
      <c r="C10" s="12" t="s">
        <v>558</v>
      </c>
      <c r="D10" s="12" t="s">
        <v>559</v>
      </c>
      <c r="E10" s="12" t="s">
        <v>820</v>
      </c>
      <c r="F10" s="12" t="s">
        <v>763</v>
      </c>
      <c r="G10" s="24" t="s">
        <v>82</v>
      </c>
      <c r="H10" s="24" t="s">
        <v>29</v>
      </c>
      <c r="I10" s="24" t="s">
        <v>30</v>
      </c>
      <c r="J10" s="13"/>
      <c r="K10" s="29" t="str">
        <f>"100,0"</f>
        <v>100,0</v>
      </c>
      <c r="L10" s="13" t="str">
        <f>"119,3300"</f>
        <v>119,3300</v>
      </c>
      <c r="M10" s="12" t="s">
        <v>776</v>
      </c>
    </row>
    <row r="11" spans="1:13">
      <c r="B11" s="5" t="s">
        <v>8</v>
      </c>
    </row>
    <row r="12" spans="1:13" ht="16">
      <c r="A12" s="46" t="s">
        <v>44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11" t="s">
        <v>186</v>
      </c>
      <c r="B13" s="10" t="s">
        <v>209</v>
      </c>
      <c r="C13" s="10" t="s">
        <v>713</v>
      </c>
      <c r="D13" s="10" t="s">
        <v>210</v>
      </c>
      <c r="E13" s="10" t="s">
        <v>821</v>
      </c>
      <c r="F13" s="10" t="s">
        <v>763</v>
      </c>
      <c r="G13" s="22" t="s">
        <v>49</v>
      </c>
      <c r="H13" s="22" t="s">
        <v>71</v>
      </c>
      <c r="I13" s="22" t="s">
        <v>83</v>
      </c>
      <c r="J13" s="11"/>
      <c r="K13" s="28" t="str">
        <f>"165,0"</f>
        <v>165,0</v>
      </c>
      <c r="L13" s="11" t="str">
        <f>"191,7300"</f>
        <v>191,7300</v>
      </c>
      <c r="M13" s="10" t="s">
        <v>777</v>
      </c>
    </row>
    <row r="14" spans="1:13">
      <c r="A14" s="15" t="s">
        <v>186</v>
      </c>
      <c r="B14" s="14" t="s">
        <v>45</v>
      </c>
      <c r="C14" s="14" t="s">
        <v>46</v>
      </c>
      <c r="D14" s="14" t="s">
        <v>47</v>
      </c>
      <c r="E14" s="14" t="s">
        <v>820</v>
      </c>
      <c r="F14" s="14" t="s">
        <v>763</v>
      </c>
      <c r="G14" s="26" t="s">
        <v>33</v>
      </c>
      <c r="H14" s="26" t="s">
        <v>48</v>
      </c>
      <c r="I14" s="27" t="s">
        <v>49</v>
      </c>
      <c r="J14" s="15"/>
      <c r="K14" s="31" t="str">
        <f>"140,0"</f>
        <v>140,0</v>
      </c>
      <c r="L14" s="15" t="str">
        <f>"156,0860"</f>
        <v>156,0860</v>
      </c>
      <c r="M14" s="14" t="s">
        <v>208</v>
      </c>
    </row>
    <row r="15" spans="1:13">
      <c r="A15" s="13" t="s">
        <v>187</v>
      </c>
      <c r="B15" s="12" t="s">
        <v>212</v>
      </c>
      <c r="C15" s="12" t="s">
        <v>213</v>
      </c>
      <c r="D15" s="12" t="s">
        <v>214</v>
      </c>
      <c r="E15" s="12" t="s">
        <v>820</v>
      </c>
      <c r="F15" s="12" t="s">
        <v>763</v>
      </c>
      <c r="G15" s="24" t="s">
        <v>22</v>
      </c>
      <c r="H15" s="25" t="s">
        <v>23</v>
      </c>
      <c r="I15" s="13"/>
      <c r="J15" s="13"/>
      <c r="K15" s="29" t="str">
        <f>"135,0"</f>
        <v>135,0</v>
      </c>
      <c r="L15" s="13" t="str">
        <f>"152,2935"</f>
        <v>152,2935</v>
      </c>
      <c r="M15" s="12" t="s">
        <v>778</v>
      </c>
    </row>
    <row r="16" spans="1:13">
      <c r="B16" s="5" t="s">
        <v>8</v>
      </c>
    </row>
    <row r="17" spans="1:13" ht="16">
      <c r="A17" s="46" t="s">
        <v>50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9" t="s">
        <v>186</v>
      </c>
      <c r="B18" s="8" t="s">
        <v>560</v>
      </c>
      <c r="C18" s="8" t="s">
        <v>714</v>
      </c>
      <c r="D18" s="8" t="s">
        <v>221</v>
      </c>
      <c r="E18" s="8" t="s">
        <v>821</v>
      </c>
      <c r="F18" s="8" t="s">
        <v>378</v>
      </c>
      <c r="G18" s="20" t="s">
        <v>29</v>
      </c>
      <c r="H18" s="20" t="s">
        <v>42</v>
      </c>
      <c r="I18" s="21" t="s">
        <v>30</v>
      </c>
      <c r="J18" s="9"/>
      <c r="K18" s="32" t="str">
        <f>"97,5"</f>
        <v>97,5</v>
      </c>
      <c r="L18" s="9" t="str">
        <f>"102,5212"</f>
        <v>102,5212</v>
      </c>
      <c r="M18" s="8" t="s">
        <v>561</v>
      </c>
    </row>
    <row r="19" spans="1:13">
      <c r="B19" s="5" t="s">
        <v>8</v>
      </c>
    </row>
    <row r="20" spans="1:13" ht="16">
      <c r="A20" s="46" t="s">
        <v>85</v>
      </c>
      <c r="B20" s="46"/>
      <c r="C20" s="47"/>
      <c r="D20" s="47"/>
      <c r="E20" s="47"/>
      <c r="F20" s="47"/>
      <c r="G20" s="47"/>
      <c r="H20" s="47"/>
      <c r="I20" s="47"/>
      <c r="J20" s="47"/>
    </row>
    <row r="21" spans="1:13">
      <c r="A21" s="9" t="s">
        <v>186</v>
      </c>
      <c r="B21" s="8" t="s">
        <v>562</v>
      </c>
      <c r="C21" s="8" t="s">
        <v>563</v>
      </c>
      <c r="D21" s="8" t="s">
        <v>405</v>
      </c>
      <c r="E21" s="8" t="s">
        <v>820</v>
      </c>
      <c r="F21" s="8" t="s">
        <v>770</v>
      </c>
      <c r="G21" s="21" t="s">
        <v>32</v>
      </c>
      <c r="H21" s="20" t="s">
        <v>73</v>
      </c>
      <c r="I21" s="21" t="s">
        <v>303</v>
      </c>
      <c r="J21" s="9"/>
      <c r="K21" s="32" t="str">
        <f>"115,0"</f>
        <v>115,0</v>
      </c>
      <c r="L21" s="9" t="str">
        <f>"110,9290"</f>
        <v>110,9290</v>
      </c>
      <c r="M21" s="8" t="s">
        <v>779</v>
      </c>
    </row>
    <row r="22" spans="1:13">
      <c r="B22" s="5" t="s">
        <v>8</v>
      </c>
    </row>
    <row r="23" spans="1:13" ht="16">
      <c r="A23" s="46" t="s">
        <v>50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11" t="s">
        <v>186</v>
      </c>
      <c r="B24" s="10" t="s">
        <v>564</v>
      </c>
      <c r="C24" s="10" t="s">
        <v>565</v>
      </c>
      <c r="D24" s="10" t="s">
        <v>566</v>
      </c>
      <c r="E24" s="10" t="s">
        <v>823</v>
      </c>
      <c r="F24" s="10" t="s">
        <v>771</v>
      </c>
      <c r="G24" s="22" t="s">
        <v>30</v>
      </c>
      <c r="H24" s="23" t="s">
        <v>32</v>
      </c>
      <c r="I24" s="22" t="s">
        <v>74</v>
      </c>
      <c r="J24" s="11"/>
      <c r="K24" s="28" t="str">
        <f>"120,0"</f>
        <v>120,0</v>
      </c>
      <c r="L24" s="11" t="str">
        <f>"95,5440"</f>
        <v>95,5440</v>
      </c>
      <c r="M24" s="10" t="s">
        <v>774</v>
      </c>
    </row>
    <row r="25" spans="1:13">
      <c r="A25" s="13" t="s">
        <v>186</v>
      </c>
      <c r="B25" s="12" t="s">
        <v>567</v>
      </c>
      <c r="C25" s="12" t="s">
        <v>715</v>
      </c>
      <c r="D25" s="12" t="s">
        <v>238</v>
      </c>
      <c r="E25" s="12" t="s">
        <v>821</v>
      </c>
      <c r="F25" s="12" t="s">
        <v>568</v>
      </c>
      <c r="G25" s="24" t="s">
        <v>49</v>
      </c>
      <c r="H25" s="24" t="s">
        <v>71</v>
      </c>
      <c r="I25" s="24" t="s">
        <v>57</v>
      </c>
      <c r="J25" s="13"/>
      <c r="K25" s="29" t="str">
        <f>"170,0"</f>
        <v>170,0</v>
      </c>
      <c r="L25" s="13" t="str">
        <f>"133,4840"</f>
        <v>133,4840</v>
      </c>
      <c r="M25" s="12"/>
    </row>
    <row r="26" spans="1:13">
      <c r="B26" s="5" t="s">
        <v>8</v>
      </c>
    </row>
    <row r="27" spans="1:13" ht="16">
      <c r="A27" s="46" t="s">
        <v>85</v>
      </c>
      <c r="B27" s="46"/>
      <c r="C27" s="47"/>
      <c r="D27" s="47"/>
      <c r="E27" s="47"/>
      <c r="F27" s="47"/>
      <c r="G27" s="47"/>
      <c r="H27" s="47"/>
      <c r="I27" s="47"/>
      <c r="J27" s="47"/>
    </row>
    <row r="28" spans="1:13">
      <c r="A28" s="9" t="s">
        <v>186</v>
      </c>
      <c r="B28" s="8" t="s">
        <v>569</v>
      </c>
      <c r="C28" s="8" t="s">
        <v>716</v>
      </c>
      <c r="D28" s="8" t="s">
        <v>570</v>
      </c>
      <c r="E28" s="8" t="s">
        <v>822</v>
      </c>
      <c r="F28" s="8" t="s">
        <v>763</v>
      </c>
      <c r="G28" s="20" t="s">
        <v>83</v>
      </c>
      <c r="H28" s="20" t="s">
        <v>72</v>
      </c>
      <c r="I28" s="21" t="s">
        <v>59</v>
      </c>
      <c r="J28" s="9"/>
      <c r="K28" s="32" t="str">
        <f>"180,0"</f>
        <v>180,0</v>
      </c>
      <c r="L28" s="9" t="str">
        <f>"132,9697"</f>
        <v>132,9697</v>
      </c>
      <c r="M28" s="8"/>
    </row>
    <row r="29" spans="1:13">
      <c r="B29" s="5" t="s">
        <v>8</v>
      </c>
    </row>
    <row r="30" spans="1:13" ht="16">
      <c r="A30" s="46" t="s">
        <v>258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11" t="s">
        <v>186</v>
      </c>
      <c r="B31" s="10" t="s">
        <v>571</v>
      </c>
      <c r="C31" s="10" t="s">
        <v>572</v>
      </c>
      <c r="D31" s="10" t="s">
        <v>573</v>
      </c>
      <c r="E31" s="10" t="s">
        <v>820</v>
      </c>
      <c r="F31" s="10" t="s">
        <v>574</v>
      </c>
      <c r="G31" s="22" t="s">
        <v>133</v>
      </c>
      <c r="H31" s="22" t="s">
        <v>100</v>
      </c>
      <c r="I31" s="23" t="s">
        <v>149</v>
      </c>
      <c r="J31" s="11"/>
      <c r="K31" s="28" t="str">
        <f>"250,0"</f>
        <v>250,0</v>
      </c>
      <c r="L31" s="11" t="str">
        <f>"170,4000"</f>
        <v>170,4000</v>
      </c>
      <c r="M31" s="10"/>
    </row>
    <row r="32" spans="1:13">
      <c r="A32" s="13" t="s">
        <v>187</v>
      </c>
      <c r="B32" s="12" t="s">
        <v>575</v>
      </c>
      <c r="C32" s="12" t="s">
        <v>576</v>
      </c>
      <c r="D32" s="12" t="s">
        <v>577</v>
      </c>
      <c r="E32" s="12" t="s">
        <v>820</v>
      </c>
      <c r="F32" s="12" t="s">
        <v>268</v>
      </c>
      <c r="G32" s="24" t="s">
        <v>106</v>
      </c>
      <c r="H32" s="24" t="s">
        <v>107</v>
      </c>
      <c r="I32" s="13"/>
      <c r="J32" s="13"/>
      <c r="K32" s="29" t="str">
        <f>"200,0"</f>
        <v>200,0</v>
      </c>
      <c r="L32" s="13" t="str">
        <f>"139,2600"</f>
        <v>139,2600</v>
      </c>
      <c r="M32" s="12" t="s">
        <v>780</v>
      </c>
    </row>
    <row r="33" spans="1:13">
      <c r="B33" s="5" t="s">
        <v>8</v>
      </c>
    </row>
    <row r="34" spans="1:13" ht="16">
      <c r="A34" s="46" t="s">
        <v>67</v>
      </c>
      <c r="B34" s="46"/>
      <c r="C34" s="47"/>
      <c r="D34" s="47"/>
      <c r="E34" s="47"/>
      <c r="F34" s="47"/>
      <c r="G34" s="47"/>
      <c r="H34" s="47"/>
      <c r="I34" s="47"/>
      <c r="J34" s="47"/>
    </row>
    <row r="35" spans="1:13">
      <c r="A35" s="11" t="s">
        <v>186</v>
      </c>
      <c r="B35" s="10" t="s">
        <v>578</v>
      </c>
      <c r="C35" s="10" t="s">
        <v>579</v>
      </c>
      <c r="D35" s="10" t="s">
        <v>580</v>
      </c>
      <c r="E35" s="10" t="s">
        <v>820</v>
      </c>
      <c r="F35" s="10" t="s">
        <v>763</v>
      </c>
      <c r="G35" s="22" t="s">
        <v>72</v>
      </c>
      <c r="H35" s="22" t="s">
        <v>96</v>
      </c>
      <c r="I35" s="22" t="s">
        <v>76</v>
      </c>
      <c r="J35" s="11"/>
      <c r="K35" s="28" t="str">
        <f>"205,0"</f>
        <v>205,0</v>
      </c>
      <c r="L35" s="11" t="str">
        <f>"134,8695"</f>
        <v>134,8695</v>
      </c>
      <c r="M35" s="10" t="s">
        <v>781</v>
      </c>
    </row>
    <row r="36" spans="1:13">
      <c r="A36" s="13" t="s">
        <v>186</v>
      </c>
      <c r="B36" s="12" t="s">
        <v>473</v>
      </c>
      <c r="C36" s="12" t="s">
        <v>711</v>
      </c>
      <c r="D36" s="12" t="s">
        <v>112</v>
      </c>
      <c r="E36" s="12" t="s">
        <v>822</v>
      </c>
      <c r="F36" s="12" t="s">
        <v>763</v>
      </c>
      <c r="G36" s="24" t="s">
        <v>108</v>
      </c>
      <c r="H36" s="25" t="s">
        <v>132</v>
      </c>
      <c r="I36" s="25" t="s">
        <v>133</v>
      </c>
      <c r="J36" s="13"/>
      <c r="K36" s="29" t="str">
        <f>"210,0"</f>
        <v>210,0</v>
      </c>
      <c r="L36" s="13" t="str">
        <f>"134,8410"</f>
        <v>134,8410</v>
      </c>
      <c r="M36" s="12"/>
    </row>
    <row r="37" spans="1:13">
      <c r="B37" s="5" t="s">
        <v>8</v>
      </c>
    </row>
    <row r="38" spans="1:13" ht="16">
      <c r="A38" s="46" t="s">
        <v>114</v>
      </c>
      <c r="B38" s="46"/>
      <c r="C38" s="47"/>
      <c r="D38" s="47"/>
      <c r="E38" s="47"/>
      <c r="F38" s="47"/>
      <c r="G38" s="47"/>
      <c r="H38" s="47"/>
      <c r="I38" s="47"/>
      <c r="J38" s="47"/>
    </row>
    <row r="39" spans="1:13">
      <c r="A39" s="11" t="s">
        <v>188</v>
      </c>
      <c r="B39" s="10" t="s">
        <v>581</v>
      </c>
      <c r="C39" s="10" t="s">
        <v>582</v>
      </c>
      <c r="D39" s="10" t="s">
        <v>583</v>
      </c>
      <c r="E39" s="10" t="s">
        <v>823</v>
      </c>
      <c r="F39" s="10" t="s">
        <v>763</v>
      </c>
      <c r="G39" s="23" t="s">
        <v>59</v>
      </c>
      <c r="H39" s="11"/>
      <c r="I39" s="11"/>
      <c r="J39" s="11"/>
      <c r="K39" s="28">
        <v>0</v>
      </c>
      <c r="L39" s="11" t="str">
        <f>"0,0000"</f>
        <v>0,0000</v>
      </c>
      <c r="M39" s="10"/>
    </row>
    <row r="40" spans="1:13">
      <c r="A40" s="15" t="s">
        <v>186</v>
      </c>
      <c r="B40" s="14" t="s">
        <v>477</v>
      </c>
      <c r="C40" s="14" t="s">
        <v>717</v>
      </c>
      <c r="D40" s="14" t="s">
        <v>478</v>
      </c>
      <c r="E40" s="14" t="s">
        <v>821</v>
      </c>
      <c r="F40" s="14" t="s">
        <v>763</v>
      </c>
      <c r="G40" s="26" t="s">
        <v>107</v>
      </c>
      <c r="H40" s="26" t="s">
        <v>108</v>
      </c>
      <c r="I40" s="27" t="s">
        <v>97</v>
      </c>
      <c r="J40" s="15"/>
      <c r="K40" s="31" t="str">
        <f>"210,0"</f>
        <v>210,0</v>
      </c>
      <c r="L40" s="15" t="str">
        <f>"129,7800"</f>
        <v>129,7800</v>
      </c>
      <c r="M40" s="14"/>
    </row>
    <row r="41" spans="1:13">
      <c r="A41" s="13" t="s">
        <v>186</v>
      </c>
      <c r="B41" s="12" t="s">
        <v>584</v>
      </c>
      <c r="C41" s="12" t="s">
        <v>585</v>
      </c>
      <c r="D41" s="12" t="s">
        <v>586</v>
      </c>
      <c r="E41" s="12" t="s">
        <v>820</v>
      </c>
      <c r="F41" s="12" t="s">
        <v>763</v>
      </c>
      <c r="G41" s="24" t="s">
        <v>132</v>
      </c>
      <c r="H41" s="25" t="s">
        <v>133</v>
      </c>
      <c r="I41" s="25" t="s">
        <v>133</v>
      </c>
      <c r="J41" s="13"/>
      <c r="K41" s="29" t="str">
        <f>"220,0"</f>
        <v>220,0</v>
      </c>
      <c r="L41" s="13" t="str">
        <f>"134,3320"</f>
        <v>134,3320</v>
      </c>
      <c r="M41" s="12" t="s">
        <v>556</v>
      </c>
    </row>
    <row r="42" spans="1:13">
      <c r="B42" s="5" t="s">
        <v>8</v>
      </c>
    </row>
    <row r="43" spans="1:13" ht="16">
      <c r="A43" s="46" t="s">
        <v>150</v>
      </c>
      <c r="B43" s="46"/>
      <c r="C43" s="47"/>
      <c r="D43" s="47"/>
      <c r="E43" s="47"/>
      <c r="F43" s="47"/>
      <c r="G43" s="47"/>
      <c r="H43" s="47"/>
      <c r="I43" s="47"/>
      <c r="J43" s="47"/>
    </row>
    <row r="44" spans="1:13">
      <c r="A44" s="9" t="s">
        <v>186</v>
      </c>
      <c r="B44" s="8" t="s">
        <v>587</v>
      </c>
      <c r="C44" s="8" t="s">
        <v>588</v>
      </c>
      <c r="D44" s="8" t="s">
        <v>589</v>
      </c>
      <c r="E44" s="8" t="s">
        <v>823</v>
      </c>
      <c r="F44" s="8" t="s">
        <v>775</v>
      </c>
      <c r="G44" s="20" t="s">
        <v>72</v>
      </c>
      <c r="H44" s="20" t="s">
        <v>59</v>
      </c>
      <c r="I44" s="20" t="s">
        <v>107</v>
      </c>
      <c r="J44" s="9"/>
      <c r="K44" s="32" t="str">
        <f>"200,0"</f>
        <v>200,0</v>
      </c>
      <c r="L44" s="9" t="str">
        <f>"118,7400"</f>
        <v>118,7400</v>
      </c>
      <c r="M44" s="8" t="s">
        <v>782</v>
      </c>
    </row>
    <row r="45" spans="1:13">
      <c r="B45" s="5" t="s">
        <v>8</v>
      </c>
    </row>
    <row r="46" spans="1:13">
      <c r="B46" s="5" t="s">
        <v>8</v>
      </c>
    </row>
    <row r="47" spans="1:13">
      <c r="B47" s="5" t="s">
        <v>8</v>
      </c>
    </row>
    <row r="48" spans="1:13" ht="18">
      <c r="B48" s="7" t="s">
        <v>7</v>
      </c>
      <c r="C48" s="7"/>
      <c r="F48" s="3"/>
    </row>
    <row r="49" spans="2:6" ht="16">
      <c r="B49" s="16" t="s">
        <v>160</v>
      </c>
      <c r="C49" s="16"/>
      <c r="F49" s="3"/>
    </row>
    <row r="50" spans="2:6" ht="14">
      <c r="B50" s="17"/>
      <c r="C50" s="18" t="s">
        <v>161</v>
      </c>
      <c r="F50" s="3"/>
    </row>
    <row r="51" spans="2:6" ht="14">
      <c r="B51" s="19" t="s">
        <v>162</v>
      </c>
      <c r="C51" s="19" t="s">
        <v>163</v>
      </c>
      <c r="D51" s="19" t="s">
        <v>765</v>
      </c>
      <c r="E51" s="19" t="s">
        <v>364</v>
      </c>
      <c r="F51" s="19" t="s">
        <v>166</v>
      </c>
    </row>
    <row r="52" spans="2:6">
      <c r="B52" s="5" t="s">
        <v>45</v>
      </c>
      <c r="C52" s="5" t="s">
        <v>161</v>
      </c>
      <c r="D52" s="6" t="s">
        <v>305</v>
      </c>
      <c r="E52" s="6" t="s">
        <v>48</v>
      </c>
      <c r="F52" s="6" t="s">
        <v>545</v>
      </c>
    </row>
    <row r="53" spans="2:6">
      <c r="B53" s="5" t="s">
        <v>212</v>
      </c>
      <c r="C53" s="5" t="s">
        <v>161</v>
      </c>
      <c r="D53" s="6" t="s">
        <v>305</v>
      </c>
      <c r="E53" s="6" t="s">
        <v>22</v>
      </c>
      <c r="F53" s="6" t="s">
        <v>590</v>
      </c>
    </row>
    <row r="54" spans="2:6">
      <c r="B54" s="5" t="s">
        <v>25</v>
      </c>
      <c r="C54" s="5" t="s">
        <v>161</v>
      </c>
      <c r="D54" s="6" t="s">
        <v>508</v>
      </c>
      <c r="E54" s="6" t="s">
        <v>33</v>
      </c>
      <c r="F54" s="6" t="s">
        <v>546</v>
      </c>
    </row>
    <row r="55" spans="2:6">
      <c r="F55" s="3"/>
    </row>
  </sheetData>
  <mergeCells count="21">
    <mergeCell ref="A34:J34"/>
    <mergeCell ref="A38:J38"/>
    <mergeCell ref="A43:J43"/>
    <mergeCell ref="B3:B4"/>
    <mergeCell ref="A12:J12"/>
    <mergeCell ref="A17:J17"/>
    <mergeCell ref="A20:J20"/>
    <mergeCell ref="A23:J23"/>
    <mergeCell ref="A27:J27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1C54-FE56-4F6B-B78D-0F0C29421443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1640625" style="5" bestFit="1" customWidth="1"/>
    <col min="14" max="16384" width="9.1640625" style="3"/>
  </cols>
  <sheetData>
    <row r="1" spans="1:13" s="2" customFormat="1" ht="29" customHeight="1">
      <c r="A1" s="33" t="s">
        <v>690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11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24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25</v>
      </c>
      <c r="C6" s="8" t="s">
        <v>26</v>
      </c>
      <c r="D6" s="8" t="s">
        <v>27</v>
      </c>
      <c r="E6" s="8" t="s">
        <v>820</v>
      </c>
      <c r="F6" s="8" t="s">
        <v>784</v>
      </c>
      <c r="G6" s="21" t="s">
        <v>32</v>
      </c>
      <c r="H6" s="20" t="s">
        <v>33</v>
      </c>
      <c r="I6" s="21" t="s">
        <v>34</v>
      </c>
      <c r="J6" s="9"/>
      <c r="K6" s="9" t="str">
        <f>"125,0"</f>
        <v>125,0</v>
      </c>
      <c r="L6" s="9" t="str">
        <f>"147,9000"</f>
        <v>147,9000</v>
      </c>
      <c r="M6" s="8" t="s">
        <v>208</v>
      </c>
    </row>
    <row r="7" spans="1:13">
      <c r="B7" s="5" t="s">
        <v>8</v>
      </c>
    </row>
    <row r="8" spans="1:13" ht="16">
      <c r="A8" s="46" t="s">
        <v>44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186</v>
      </c>
      <c r="B9" s="8" t="s">
        <v>45</v>
      </c>
      <c r="C9" s="8" t="s">
        <v>46</v>
      </c>
      <c r="D9" s="8" t="s">
        <v>47</v>
      </c>
      <c r="E9" s="8" t="s">
        <v>820</v>
      </c>
      <c r="F9" s="8" t="s">
        <v>763</v>
      </c>
      <c r="G9" s="20" t="s">
        <v>33</v>
      </c>
      <c r="H9" s="20" t="s">
        <v>48</v>
      </c>
      <c r="I9" s="21" t="s">
        <v>49</v>
      </c>
      <c r="J9" s="9"/>
      <c r="K9" s="9" t="str">
        <f>"140,0"</f>
        <v>140,0</v>
      </c>
      <c r="L9" s="9" t="str">
        <f>"156,0860"</f>
        <v>156,0860</v>
      </c>
      <c r="M9" s="8" t="s">
        <v>208</v>
      </c>
    </row>
    <row r="10" spans="1:13">
      <c r="B10" s="5" t="s">
        <v>8</v>
      </c>
    </row>
    <row r="11" spans="1:13" ht="16">
      <c r="A11" s="46" t="s">
        <v>258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9" t="s">
        <v>186</v>
      </c>
      <c r="B12" s="8" t="s">
        <v>528</v>
      </c>
      <c r="C12" s="8" t="s">
        <v>718</v>
      </c>
      <c r="D12" s="8" t="s">
        <v>529</v>
      </c>
      <c r="E12" s="8" t="s">
        <v>829</v>
      </c>
      <c r="F12" s="8" t="s">
        <v>763</v>
      </c>
      <c r="G12" s="20" t="s">
        <v>107</v>
      </c>
      <c r="H12" s="21" t="s">
        <v>132</v>
      </c>
      <c r="I12" s="9"/>
      <c r="J12" s="9"/>
      <c r="K12" s="9" t="str">
        <f>"200,0"</f>
        <v>200,0</v>
      </c>
      <c r="L12" s="9" t="str">
        <f>"183,1950"</f>
        <v>183,1950</v>
      </c>
      <c r="M12" s="8"/>
    </row>
    <row r="13" spans="1:13">
      <c r="B13" s="5" t="s">
        <v>8</v>
      </c>
    </row>
    <row r="14" spans="1:13" ht="16">
      <c r="A14" s="46" t="s">
        <v>67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11" t="s">
        <v>186</v>
      </c>
      <c r="B15" s="10" t="s">
        <v>94</v>
      </c>
      <c r="C15" s="10" t="s">
        <v>95</v>
      </c>
      <c r="D15" s="10" t="s">
        <v>70</v>
      </c>
      <c r="E15" s="10" t="s">
        <v>820</v>
      </c>
      <c r="F15" s="10" t="s">
        <v>763</v>
      </c>
      <c r="G15" s="22" t="s">
        <v>99</v>
      </c>
      <c r="H15" s="22" t="s">
        <v>100</v>
      </c>
      <c r="I15" s="23" t="s">
        <v>101</v>
      </c>
      <c r="J15" s="11"/>
      <c r="K15" s="11" t="str">
        <f>"250,0"</f>
        <v>250,0</v>
      </c>
      <c r="L15" s="11" t="str">
        <f>"161,9750"</f>
        <v>161,9750</v>
      </c>
      <c r="M15" s="10" t="s">
        <v>77</v>
      </c>
    </row>
    <row r="16" spans="1:13">
      <c r="A16" s="13" t="s">
        <v>186</v>
      </c>
      <c r="B16" s="12" t="s">
        <v>530</v>
      </c>
      <c r="C16" s="12" t="s">
        <v>719</v>
      </c>
      <c r="D16" s="12" t="s">
        <v>531</v>
      </c>
      <c r="E16" s="12" t="s">
        <v>826</v>
      </c>
      <c r="F16" s="12" t="s">
        <v>763</v>
      </c>
      <c r="G16" s="24" t="s">
        <v>48</v>
      </c>
      <c r="H16" s="25" t="s">
        <v>54</v>
      </c>
      <c r="I16" s="24" t="s">
        <v>54</v>
      </c>
      <c r="J16" s="13"/>
      <c r="K16" s="13" t="str">
        <f>"145,0"</f>
        <v>145,0</v>
      </c>
      <c r="L16" s="13" t="str">
        <f>"138,6115"</f>
        <v>138,6115</v>
      </c>
      <c r="M16" s="12" t="s">
        <v>773</v>
      </c>
    </row>
    <row r="17" spans="1:13">
      <c r="B17" s="5" t="s">
        <v>8</v>
      </c>
    </row>
    <row r="18" spans="1:13" ht="16">
      <c r="A18" s="46" t="s">
        <v>114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11" t="s">
        <v>186</v>
      </c>
      <c r="B19" s="10" t="s">
        <v>128</v>
      </c>
      <c r="C19" s="10" t="s">
        <v>720</v>
      </c>
      <c r="D19" s="10" t="s">
        <v>130</v>
      </c>
      <c r="E19" s="10" t="s">
        <v>821</v>
      </c>
      <c r="F19" s="10" t="s">
        <v>131</v>
      </c>
      <c r="G19" s="22" t="s">
        <v>100</v>
      </c>
      <c r="H19" s="22" t="s">
        <v>101</v>
      </c>
      <c r="I19" s="23" t="s">
        <v>135</v>
      </c>
      <c r="J19" s="11"/>
      <c r="K19" s="11" t="str">
        <f>"260,0"</f>
        <v>260,0</v>
      </c>
      <c r="L19" s="11" t="str">
        <f>"158,8860"</f>
        <v>158,8860</v>
      </c>
      <c r="M19" s="10"/>
    </row>
    <row r="20" spans="1:13">
      <c r="A20" s="15" t="s">
        <v>186</v>
      </c>
      <c r="B20" s="14" t="s">
        <v>532</v>
      </c>
      <c r="C20" s="14" t="s">
        <v>533</v>
      </c>
      <c r="D20" s="14" t="s">
        <v>481</v>
      </c>
      <c r="E20" s="14" t="s">
        <v>820</v>
      </c>
      <c r="F20" s="14" t="s">
        <v>763</v>
      </c>
      <c r="G20" s="26" t="s">
        <v>534</v>
      </c>
      <c r="H20" s="26" t="s">
        <v>535</v>
      </c>
      <c r="I20" s="26" t="s">
        <v>120</v>
      </c>
      <c r="J20" s="15"/>
      <c r="K20" s="15" t="str">
        <f>"325,0"</f>
        <v>325,0</v>
      </c>
      <c r="L20" s="15" t="str">
        <f>"198,6725"</f>
        <v>198,6725</v>
      </c>
      <c r="M20" s="14" t="s">
        <v>219</v>
      </c>
    </row>
    <row r="21" spans="1:13">
      <c r="A21" s="13" t="s">
        <v>187</v>
      </c>
      <c r="B21" s="12" t="s">
        <v>536</v>
      </c>
      <c r="C21" s="12" t="s">
        <v>537</v>
      </c>
      <c r="D21" s="12" t="s">
        <v>130</v>
      </c>
      <c r="E21" s="12" t="s">
        <v>820</v>
      </c>
      <c r="F21" s="12" t="s">
        <v>763</v>
      </c>
      <c r="G21" s="24" t="s">
        <v>76</v>
      </c>
      <c r="H21" s="25" t="s">
        <v>109</v>
      </c>
      <c r="I21" s="25" t="s">
        <v>109</v>
      </c>
      <c r="J21" s="13"/>
      <c r="K21" s="13" t="str">
        <f>"205,0"</f>
        <v>205,0</v>
      </c>
      <c r="L21" s="13" t="str">
        <f>"125,2755"</f>
        <v>125,2755</v>
      </c>
      <c r="M21" s="12" t="s">
        <v>783</v>
      </c>
    </row>
    <row r="22" spans="1:13">
      <c r="B22" s="5" t="s">
        <v>8</v>
      </c>
    </row>
    <row r="23" spans="1:13" ht="16">
      <c r="A23" s="46" t="s">
        <v>150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9" t="s">
        <v>186</v>
      </c>
      <c r="B24" s="8" t="s">
        <v>538</v>
      </c>
      <c r="C24" s="8" t="s">
        <v>539</v>
      </c>
      <c r="D24" s="8" t="s">
        <v>540</v>
      </c>
      <c r="E24" s="8" t="s">
        <v>820</v>
      </c>
      <c r="F24" s="8" t="s">
        <v>763</v>
      </c>
      <c r="G24" s="20" t="s">
        <v>99</v>
      </c>
      <c r="H24" s="20" t="s">
        <v>289</v>
      </c>
      <c r="I24" s="21" t="s">
        <v>100</v>
      </c>
      <c r="J24" s="9"/>
      <c r="K24" s="9" t="str">
        <f>"245,0"</f>
        <v>245,0</v>
      </c>
      <c r="L24" s="9" t="str">
        <f>"145,1380"</f>
        <v>145,1380</v>
      </c>
      <c r="M24" s="8" t="s">
        <v>773</v>
      </c>
    </row>
    <row r="25" spans="1:13">
      <c r="B25" s="5" t="s">
        <v>8</v>
      </c>
    </row>
    <row r="26" spans="1:13" ht="16">
      <c r="A26" s="46" t="s">
        <v>299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9" t="s">
        <v>186</v>
      </c>
      <c r="B27" s="8" t="s">
        <v>541</v>
      </c>
      <c r="C27" s="8" t="s">
        <v>721</v>
      </c>
      <c r="D27" s="8" t="s">
        <v>542</v>
      </c>
      <c r="E27" s="8" t="s">
        <v>824</v>
      </c>
      <c r="F27" s="8" t="s">
        <v>770</v>
      </c>
      <c r="G27" s="20" t="s">
        <v>158</v>
      </c>
      <c r="H27" s="20" t="s">
        <v>543</v>
      </c>
      <c r="I27" s="21" t="s">
        <v>544</v>
      </c>
      <c r="J27" s="9"/>
      <c r="K27" s="9" t="str">
        <f>"300,0"</f>
        <v>300,0</v>
      </c>
      <c r="L27" s="9" t="str">
        <f>"193,2010"</f>
        <v>193,2010</v>
      </c>
      <c r="M27" s="8"/>
    </row>
    <row r="28" spans="1:13">
      <c r="B28" s="5" t="s">
        <v>8</v>
      </c>
    </row>
    <row r="29" spans="1:13">
      <c r="B29" s="5" t="s">
        <v>8</v>
      </c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F662-CFEA-482E-A31A-2757C4D1996A}"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25.33203125" style="5" bestFit="1" customWidth="1"/>
    <col min="18" max="16384" width="9.1640625" style="3"/>
  </cols>
  <sheetData>
    <row r="1" spans="1:17" s="2" customFormat="1" ht="29" customHeight="1">
      <c r="A1" s="33" t="s">
        <v>680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816</v>
      </c>
      <c r="H3" s="45"/>
      <c r="I3" s="45"/>
      <c r="J3" s="45"/>
      <c r="K3" s="45" t="s">
        <v>612</v>
      </c>
      <c r="L3" s="45"/>
      <c r="M3" s="45"/>
      <c r="N3" s="45"/>
      <c r="O3" s="45" t="s">
        <v>1</v>
      </c>
      <c r="P3" s="45" t="s">
        <v>3</v>
      </c>
      <c r="Q3" s="50" t="s">
        <v>2</v>
      </c>
    </row>
    <row r="4" spans="1:17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51"/>
    </row>
    <row r="5" spans="1:17" ht="16">
      <c r="A5" s="52" t="s">
        <v>24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9" t="s">
        <v>186</v>
      </c>
      <c r="B6" s="8" t="s">
        <v>678</v>
      </c>
      <c r="C6" s="8" t="s">
        <v>679</v>
      </c>
      <c r="D6" s="8" t="s">
        <v>555</v>
      </c>
      <c r="E6" s="8" t="s">
        <v>820</v>
      </c>
      <c r="F6" s="8" t="s">
        <v>763</v>
      </c>
      <c r="G6" s="20" t="s">
        <v>196</v>
      </c>
      <c r="H6" s="21" t="s">
        <v>31</v>
      </c>
      <c r="I6" s="20" t="s">
        <v>31</v>
      </c>
      <c r="J6" s="9"/>
      <c r="K6" s="20" t="s">
        <v>195</v>
      </c>
      <c r="L6" s="20" t="s">
        <v>200</v>
      </c>
      <c r="M6" s="20" t="s">
        <v>196</v>
      </c>
      <c r="N6" s="9"/>
      <c r="O6" s="9" t="str">
        <f>"92,5"</f>
        <v>92,5</v>
      </c>
      <c r="P6" s="9" t="str">
        <f>"83,3379"</f>
        <v>83,3379</v>
      </c>
      <c r="Q6" s="8"/>
    </row>
    <row r="7" spans="1:17">
      <c r="B7" s="5" t="s">
        <v>8</v>
      </c>
    </row>
    <row r="8" spans="1:17" ht="16">
      <c r="A8" s="46" t="s">
        <v>85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9" t="s">
        <v>186</v>
      </c>
      <c r="B9" s="8" t="s">
        <v>653</v>
      </c>
      <c r="C9" s="8" t="s">
        <v>654</v>
      </c>
      <c r="D9" s="8" t="s">
        <v>655</v>
      </c>
      <c r="E9" s="8" t="s">
        <v>820</v>
      </c>
      <c r="F9" s="8" t="s">
        <v>656</v>
      </c>
      <c r="G9" s="20" t="s">
        <v>64</v>
      </c>
      <c r="H9" s="21" t="s">
        <v>199</v>
      </c>
      <c r="I9" s="21" t="s">
        <v>199</v>
      </c>
      <c r="J9" s="9"/>
      <c r="K9" s="20" t="s">
        <v>19</v>
      </c>
      <c r="L9" s="20" t="s">
        <v>63</v>
      </c>
      <c r="M9" s="21" t="s">
        <v>41</v>
      </c>
      <c r="N9" s="9"/>
      <c r="O9" s="9" t="str">
        <f>"120,0"</f>
        <v>120,0</v>
      </c>
      <c r="P9" s="9" t="str">
        <f>"83,6220"</f>
        <v>83,6220</v>
      </c>
      <c r="Q9" s="8" t="s">
        <v>768</v>
      </c>
    </row>
    <row r="10" spans="1:17">
      <c r="B10" s="5" t="s">
        <v>8</v>
      </c>
    </row>
    <row r="11" spans="1:17" ht="16">
      <c r="A11" s="46" t="s">
        <v>258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9" t="s">
        <v>186</v>
      </c>
      <c r="B12" s="8" t="s">
        <v>658</v>
      </c>
      <c r="C12" s="8" t="s">
        <v>701</v>
      </c>
      <c r="D12" s="8" t="s">
        <v>659</v>
      </c>
      <c r="E12" s="8" t="s">
        <v>822</v>
      </c>
      <c r="F12" s="8" t="s">
        <v>660</v>
      </c>
      <c r="G12" s="20" t="s">
        <v>64</v>
      </c>
      <c r="H12" s="21" t="s">
        <v>403</v>
      </c>
      <c r="I12" s="21" t="s">
        <v>403</v>
      </c>
      <c r="J12" s="9"/>
      <c r="K12" s="20" t="s">
        <v>63</v>
      </c>
      <c r="L12" s="21" t="s">
        <v>40</v>
      </c>
      <c r="M12" s="21" t="s">
        <v>40</v>
      </c>
      <c r="N12" s="9"/>
      <c r="O12" s="9" t="str">
        <f>"120,0"</f>
        <v>120,0</v>
      </c>
      <c r="P12" s="9" t="str">
        <f>"83,9610"</f>
        <v>83,9610</v>
      </c>
      <c r="Q12" s="8"/>
    </row>
    <row r="13" spans="1:17">
      <c r="B13" s="5" t="s">
        <v>8</v>
      </c>
    </row>
    <row r="14" spans="1:17" ht="16">
      <c r="A14" s="46" t="s">
        <v>67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9" t="s">
        <v>186</v>
      </c>
      <c r="B15" s="8" t="s">
        <v>661</v>
      </c>
      <c r="C15" s="8" t="s">
        <v>662</v>
      </c>
      <c r="D15" s="8" t="s">
        <v>663</v>
      </c>
      <c r="E15" s="8" t="s">
        <v>820</v>
      </c>
      <c r="F15" s="8" t="s">
        <v>763</v>
      </c>
      <c r="G15" s="20" t="s">
        <v>39</v>
      </c>
      <c r="H15" s="21" t="s">
        <v>245</v>
      </c>
      <c r="I15" s="21" t="s">
        <v>245</v>
      </c>
      <c r="J15" s="9"/>
      <c r="K15" s="20" t="s">
        <v>403</v>
      </c>
      <c r="L15" s="20" t="s">
        <v>38</v>
      </c>
      <c r="M15" s="21" t="s">
        <v>88</v>
      </c>
      <c r="N15" s="9"/>
      <c r="O15" s="9" t="str">
        <f>"150,0"</f>
        <v>150,0</v>
      </c>
      <c r="P15" s="9" t="str">
        <f>"95,1675"</f>
        <v>95,1675</v>
      </c>
      <c r="Q15" s="8"/>
    </row>
    <row r="16" spans="1:17">
      <c r="B16" s="5" t="s">
        <v>8</v>
      </c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1102-F45F-4CFC-9F35-358B086BD81E}">
  <dimension ref="A1:M45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5.33203125" style="5" bestFit="1" customWidth="1"/>
    <col min="14" max="16384" width="9.1640625" style="3"/>
  </cols>
  <sheetData>
    <row r="1" spans="1:13" s="2" customFormat="1" ht="29" customHeight="1">
      <c r="A1" s="33" t="s">
        <v>681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816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44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643</v>
      </c>
      <c r="C6" s="8" t="s">
        <v>644</v>
      </c>
      <c r="D6" s="8" t="s">
        <v>645</v>
      </c>
      <c r="E6" s="8" t="s">
        <v>820</v>
      </c>
      <c r="F6" s="8" t="s">
        <v>770</v>
      </c>
      <c r="G6" s="20" t="s">
        <v>646</v>
      </c>
      <c r="H6" s="20" t="s">
        <v>618</v>
      </c>
      <c r="I6" s="21" t="s">
        <v>619</v>
      </c>
      <c r="J6" s="9"/>
      <c r="K6" s="9" t="str">
        <f>"27,5"</f>
        <v>27,5</v>
      </c>
      <c r="L6" s="9" t="str">
        <f>"30,0025"</f>
        <v>30,0025</v>
      </c>
      <c r="M6" s="8" t="s">
        <v>769</v>
      </c>
    </row>
    <row r="7" spans="1:13">
      <c r="B7" s="5" t="s">
        <v>8</v>
      </c>
    </row>
    <row r="8" spans="1:13" ht="16">
      <c r="A8" s="46" t="s">
        <v>85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11" t="s">
        <v>186</v>
      </c>
      <c r="B9" s="10" t="s">
        <v>647</v>
      </c>
      <c r="C9" s="10" t="s">
        <v>648</v>
      </c>
      <c r="D9" s="10" t="s">
        <v>649</v>
      </c>
      <c r="E9" s="10" t="s">
        <v>820</v>
      </c>
      <c r="F9" s="10" t="s">
        <v>763</v>
      </c>
      <c r="G9" s="22" t="s">
        <v>63</v>
      </c>
      <c r="H9" s="22" t="s">
        <v>41</v>
      </c>
      <c r="I9" s="22" t="s">
        <v>215</v>
      </c>
      <c r="J9" s="11"/>
      <c r="K9" s="11" t="str">
        <f>"62,5"</f>
        <v>62,5</v>
      </c>
      <c r="L9" s="11" t="str">
        <f>"43,3344"</f>
        <v>43,3344</v>
      </c>
      <c r="M9" s="10"/>
    </row>
    <row r="10" spans="1:13">
      <c r="A10" s="15" t="s">
        <v>187</v>
      </c>
      <c r="B10" s="14" t="s">
        <v>650</v>
      </c>
      <c r="C10" s="14" t="s">
        <v>651</v>
      </c>
      <c r="D10" s="14" t="s">
        <v>652</v>
      </c>
      <c r="E10" s="14" t="s">
        <v>820</v>
      </c>
      <c r="F10" s="14" t="s">
        <v>763</v>
      </c>
      <c r="G10" s="26" t="s">
        <v>63</v>
      </c>
      <c r="H10" s="27" t="s">
        <v>41</v>
      </c>
      <c r="I10" s="27" t="s">
        <v>41</v>
      </c>
      <c r="J10" s="15"/>
      <c r="K10" s="15" t="str">
        <f>"55,0"</f>
        <v>55,0</v>
      </c>
      <c r="L10" s="15" t="str">
        <f>"39,4928"</f>
        <v>39,4928</v>
      </c>
      <c r="M10" s="14"/>
    </row>
    <row r="11" spans="1:13">
      <c r="A11" s="15" t="s">
        <v>189</v>
      </c>
      <c r="B11" s="14" t="s">
        <v>653</v>
      </c>
      <c r="C11" s="14" t="s">
        <v>654</v>
      </c>
      <c r="D11" s="14" t="s">
        <v>655</v>
      </c>
      <c r="E11" s="14" t="s">
        <v>820</v>
      </c>
      <c r="F11" s="14" t="s">
        <v>656</v>
      </c>
      <c r="G11" s="26" t="s">
        <v>19</v>
      </c>
      <c r="H11" s="26" t="s">
        <v>63</v>
      </c>
      <c r="I11" s="27" t="s">
        <v>41</v>
      </c>
      <c r="J11" s="15"/>
      <c r="K11" s="15" t="str">
        <f>"55,0"</f>
        <v>55,0</v>
      </c>
      <c r="L11" s="15" t="str">
        <f>"38,3268"</f>
        <v>38,3268</v>
      </c>
      <c r="M11" s="14" t="s">
        <v>768</v>
      </c>
    </row>
    <row r="12" spans="1:13">
      <c r="A12" s="15" t="s">
        <v>186</v>
      </c>
      <c r="B12" s="14" t="s">
        <v>424</v>
      </c>
      <c r="C12" s="14" t="s">
        <v>702</v>
      </c>
      <c r="D12" s="14" t="s">
        <v>425</v>
      </c>
      <c r="E12" s="14" t="s">
        <v>822</v>
      </c>
      <c r="F12" s="14" t="s">
        <v>771</v>
      </c>
      <c r="G12" s="26" t="s">
        <v>63</v>
      </c>
      <c r="H12" s="26" t="s">
        <v>215</v>
      </c>
      <c r="I12" s="26" t="s">
        <v>64</v>
      </c>
      <c r="J12" s="15"/>
      <c r="K12" s="15" t="str">
        <f>"65,0"</f>
        <v>65,0</v>
      </c>
      <c r="L12" s="15" t="str">
        <f>"48,7259"</f>
        <v>48,7259</v>
      </c>
      <c r="M12" s="14"/>
    </row>
    <row r="13" spans="1:13">
      <c r="A13" s="13" t="s">
        <v>186</v>
      </c>
      <c r="B13" s="12" t="s">
        <v>657</v>
      </c>
      <c r="C13" s="12" t="s">
        <v>703</v>
      </c>
      <c r="D13" s="12" t="s">
        <v>415</v>
      </c>
      <c r="E13" s="12" t="s">
        <v>824</v>
      </c>
      <c r="F13" s="12" t="s">
        <v>770</v>
      </c>
      <c r="G13" s="24" t="s">
        <v>63</v>
      </c>
      <c r="H13" s="24" t="s">
        <v>41</v>
      </c>
      <c r="I13" s="24" t="s">
        <v>64</v>
      </c>
      <c r="J13" s="13"/>
      <c r="K13" s="13" t="str">
        <f>"65,0"</f>
        <v>65,0</v>
      </c>
      <c r="L13" s="13" t="str">
        <f>"54,1520"</f>
        <v>54,1520</v>
      </c>
      <c r="M13" s="12" t="s">
        <v>769</v>
      </c>
    </row>
    <row r="14" spans="1:13">
      <c r="B14" s="5" t="s">
        <v>8</v>
      </c>
    </row>
    <row r="15" spans="1:13" ht="16">
      <c r="A15" s="46" t="s">
        <v>258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11" t="s">
        <v>186</v>
      </c>
      <c r="B16" s="10" t="s">
        <v>658</v>
      </c>
      <c r="C16" s="10" t="s">
        <v>701</v>
      </c>
      <c r="D16" s="10" t="s">
        <v>659</v>
      </c>
      <c r="E16" s="10" t="s">
        <v>822</v>
      </c>
      <c r="F16" s="10" t="s">
        <v>660</v>
      </c>
      <c r="G16" s="23" t="s">
        <v>40</v>
      </c>
      <c r="H16" s="23" t="s">
        <v>40</v>
      </c>
      <c r="I16" s="22" t="s">
        <v>40</v>
      </c>
      <c r="J16" s="11"/>
      <c r="K16" s="11" t="str">
        <f>"57,5"</f>
        <v>57,5</v>
      </c>
      <c r="L16" s="11" t="str">
        <f>"40,2313"</f>
        <v>40,2313</v>
      </c>
      <c r="M16" s="10"/>
    </row>
    <row r="17" spans="1:13">
      <c r="A17" s="13" t="s">
        <v>187</v>
      </c>
      <c r="B17" s="12" t="s">
        <v>658</v>
      </c>
      <c r="C17" s="12" t="s">
        <v>701</v>
      </c>
      <c r="D17" s="12" t="s">
        <v>659</v>
      </c>
      <c r="E17" s="12" t="s">
        <v>822</v>
      </c>
      <c r="F17" s="12" t="s">
        <v>660</v>
      </c>
      <c r="G17" s="24" t="s">
        <v>63</v>
      </c>
      <c r="H17" s="25" t="s">
        <v>40</v>
      </c>
      <c r="I17" s="25" t="s">
        <v>40</v>
      </c>
      <c r="J17" s="13"/>
      <c r="K17" s="13" t="str">
        <f>"55,0"</f>
        <v>55,0</v>
      </c>
      <c r="L17" s="13" t="str">
        <f>"38,4821"</f>
        <v>38,4821</v>
      </c>
      <c r="M17" s="12"/>
    </row>
    <row r="18" spans="1:13">
      <c r="B18" s="5" t="s">
        <v>8</v>
      </c>
    </row>
    <row r="19" spans="1:13" ht="16">
      <c r="A19" s="46" t="s">
        <v>67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9" t="s">
        <v>186</v>
      </c>
      <c r="B20" s="8" t="s">
        <v>661</v>
      </c>
      <c r="C20" s="8" t="s">
        <v>662</v>
      </c>
      <c r="D20" s="8" t="s">
        <v>663</v>
      </c>
      <c r="E20" s="8" t="s">
        <v>820</v>
      </c>
      <c r="F20" s="8" t="s">
        <v>763</v>
      </c>
      <c r="G20" s="20" t="s">
        <v>403</v>
      </c>
      <c r="H20" s="20" t="s">
        <v>38</v>
      </c>
      <c r="I20" s="21" t="s">
        <v>88</v>
      </c>
      <c r="J20" s="9"/>
      <c r="K20" s="9" t="str">
        <f>"72,5"</f>
        <v>72,5</v>
      </c>
      <c r="L20" s="9" t="str">
        <f>"45,9976"</f>
        <v>45,9976</v>
      </c>
      <c r="M20" s="8"/>
    </row>
    <row r="21" spans="1:13">
      <c r="B21" s="5" t="s">
        <v>8</v>
      </c>
    </row>
    <row r="22" spans="1:13" ht="16">
      <c r="A22" s="46" t="s">
        <v>114</v>
      </c>
      <c r="B22" s="46"/>
      <c r="C22" s="47"/>
      <c r="D22" s="47"/>
      <c r="E22" s="47"/>
      <c r="F22" s="47"/>
      <c r="G22" s="47"/>
      <c r="H22" s="47"/>
      <c r="I22" s="47"/>
      <c r="J22" s="47"/>
    </row>
    <row r="23" spans="1:13">
      <c r="A23" s="11" t="s">
        <v>186</v>
      </c>
      <c r="B23" s="10" t="s">
        <v>664</v>
      </c>
      <c r="C23" s="10" t="s">
        <v>704</v>
      </c>
      <c r="D23" s="10" t="s">
        <v>143</v>
      </c>
      <c r="E23" s="10" t="s">
        <v>821</v>
      </c>
      <c r="F23" s="10" t="s">
        <v>378</v>
      </c>
      <c r="G23" s="22" t="s">
        <v>196</v>
      </c>
      <c r="H23" s="22" t="s">
        <v>19</v>
      </c>
      <c r="I23" s="23" t="s">
        <v>20</v>
      </c>
      <c r="J23" s="11"/>
      <c r="K23" s="11" t="str">
        <f>"50,0"</f>
        <v>50,0</v>
      </c>
      <c r="L23" s="11" t="str">
        <f>"29,5975"</f>
        <v>29,5975</v>
      </c>
      <c r="M23" s="10"/>
    </row>
    <row r="24" spans="1:13">
      <c r="A24" s="15" t="s">
        <v>186</v>
      </c>
      <c r="B24" s="14" t="s">
        <v>614</v>
      </c>
      <c r="C24" s="14" t="s">
        <v>615</v>
      </c>
      <c r="D24" s="14" t="s">
        <v>616</v>
      </c>
      <c r="E24" s="14" t="s">
        <v>820</v>
      </c>
      <c r="F24" s="14" t="s">
        <v>617</v>
      </c>
      <c r="G24" s="26" t="s">
        <v>403</v>
      </c>
      <c r="H24" s="26" t="s">
        <v>199</v>
      </c>
      <c r="I24" s="26" t="s">
        <v>88</v>
      </c>
      <c r="J24" s="15"/>
      <c r="K24" s="15" t="str">
        <f>"75,0"</f>
        <v>75,0</v>
      </c>
      <c r="L24" s="15" t="str">
        <f>"44,7337"</f>
        <v>44,7337</v>
      </c>
      <c r="M24" s="14"/>
    </row>
    <row r="25" spans="1:13">
      <c r="A25" s="13" t="s">
        <v>186</v>
      </c>
      <c r="B25" s="12" t="s">
        <v>665</v>
      </c>
      <c r="C25" s="12" t="s">
        <v>666</v>
      </c>
      <c r="D25" s="12" t="s">
        <v>667</v>
      </c>
      <c r="E25" s="12" t="s">
        <v>825</v>
      </c>
      <c r="F25" s="12" t="s">
        <v>763</v>
      </c>
      <c r="G25" s="24" t="s">
        <v>41</v>
      </c>
      <c r="H25" s="25" t="s">
        <v>64</v>
      </c>
      <c r="I25" s="25" t="s">
        <v>64</v>
      </c>
      <c r="J25" s="13"/>
      <c r="K25" s="13" t="str">
        <f>"60,0"</f>
        <v>60,0</v>
      </c>
      <c r="L25" s="13" t="str">
        <f>"48,7826"</f>
        <v>48,7826</v>
      </c>
      <c r="M25" s="12"/>
    </row>
    <row r="26" spans="1:13">
      <c r="B26" s="5" t="s">
        <v>8</v>
      </c>
    </row>
    <row r="27" spans="1:13" ht="16">
      <c r="A27" s="46" t="s">
        <v>150</v>
      </c>
      <c r="B27" s="46"/>
      <c r="C27" s="47"/>
      <c r="D27" s="47"/>
      <c r="E27" s="47"/>
      <c r="F27" s="47"/>
      <c r="G27" s="47"/>
      <c r="H27" s="47"/>
      <c r="I27" s="47"/>
      <c r="J27" s="47"/>
    </row>
    <row r="28" spans="1:13">
      <c r="A28" s="9" t="s">
        <v>186</v>
      </c>
      <c r="B28" s="8" t="s">
        <v>668</v>
      </c>
      <c r="C28" s="8" t="s">
        <v>669</v>
      </c>
      <c r="D28" s="8" t="s">
        <v>670</v>
      </c>
      <c r="E28" s="8" t="s">
        <v>820</v>
      </c>
      <c r="F28" s="8" t="s">
        <v>772</v>
      </c>
      <c r="G28" s="20" t="s">
        <v>199</v>
      </c>
      <c r="H28" s="20" t="s">
        <v>88</v>
      </c>
      <c r="I28" s="21" t="s">
        <v>92</v>
      </c>
      <c r="J28" s="9"/>
      <c r="K28" s="9" t="str">
        <f>"75,0"</f>
        <v>75,0</v>
      </c>
      <c r="L28" s="9" t="str">
        <f>"43,3050"</f>
        <v>43,3050</v>
      </c>
      <c r="M28" s="8"/>
    </row>
    <row r="29" spans="1:13">
      <c r="B29" s="5" t="s">
        <v>8</v>
      </c>
    </row>
    <row r="30" spans="1:13">
      <c r="B30" s="5" t="s">
        <v>8</v>
      </c>
    </row>
    <row r="31" spans="1:13">
      <c r="B31" s="5" t="s">
        <v>8</v>
      </c>
    </row>
    <row r="32" spans="1:13" ht="18">
      <c r="B32" s="7" t="s">
        <v>7</v>
      </c>
      <c r="C32" s="7"/>
      <c r="F32" s="3"/>
    </row>
    <row r="33" spans="2:6" ht="16">
      <c r="B33" s="16" t="s">
        <v>177</v>
      </c>
      <c r="C33" s="16"/>
      <c r="F33" s="3"/>
    </row>
    <row r="34" spans="2:6" ht="14">
      <c r="B34" s="17"/>
      <c r="C34" s="18" t="s">
        <v>161</v>
      </c>
      <c r="F34" s="3"/>
    </row>
    <row r="35" spans="2:6" ht="14">
      <c r="B35" s="19" t="s">
        <v>162</v>
      </c>
      <c r="C35" s="19" t="s">
        <v>163</v>
      </c>
      <c r="D35" s="19" t="s">
        <v>765</v>
      </c>
      <c r="E35" s="19" t="s">
        <v>364</v>
      </c>
      <c r="F35" s="19" t="s">
        <v>613</v>
      </c>
    </row>
    <row r="36" spans="2:6">
      <c r="B36" s="5" t="s">
        <v>661</v>
      </c>
      <c r="C36" s="5" t="s">
        <v>161</v>
      </c>
      <c r="D36" s="6" t="s">
        <v>170</v>
      </c>
      <c r="E36" s="6" t="s">
        <v>38</v>
      </c>
      <c r="F36" s="6" t="s">
        <v>671</v>
      </c>
    </row>
    <row r="37" spans="2:6">
      <c r="B37" s="5" t="s">
        <v>614</v>
      </c>
      <c r="C37" s="5" t="s">
        <v>161</v>
      </c>
      <c r="D37" s="6" t="s">
        <v>178</v>
      </c>
      <c r="E37" s="6" t="s">
        <v>88</v>
      </c>
      <c r="F37" s="6" t="s">
        <v>672</v>
      </c>
    </row>
    <row r="38" spans="2:6">
      <c r="B38" s="5" t="s">
        <v>647</v>
      </c>
      <c r="C38" s="5" t="s">
        <v>161</v>
      </c>
      <c r="D38" s="6" t="s">
        <v>308</v>
      </c>
      <c r="E38" s="6" t="s">
        <v>215</v>
      </c>
      <c r="F38" s="6" t="s">
        <v>673</v>
      </c>
    </row>
    <row r="40" spans="2:6" ht="14">
      <c r="B40" s="17"/>
      <c r="C40" s="18" t="s">
        <v>176</v>
      </c>
    </row>
    <row r="41" spans="2:6" ht="14">
      <c r="B41" s="19" t="s">
        <v>162</v>
      </c>
      <c r="C41" s="19" t="s">
        <v>163</v>
      </c>
      <c r="D41" s="19" t="s">
        <v>766</v>
      </c>
      <c r="E41" s="19" t="s">
        <v>364</v>
      </c>
      <c r="F41" s="19" t="s">
        <v>613</v>
      </c>
    </row>
    <row r="42" spans="2:6">
      <c r="B42" s="5" t="s">
        <v>657</v>
      </c>
      <c r="C42" s="5" t="s">
        <v>705</v>
      </c>
      <c r="D42" s="6" t="s">
        <v>308</v>
      </c>
      <c r="E42" s="6" t="s">
        <v>64</v>
      </c>
      <c r="F42" s="6" t="s">
        <v>674</v>
      </c>
    </row>
    <row r="43" spans="2:6">
      <c r="B43" s="5" t="s">
        <v>665</v>
      </c>
      <c r="C43" s="5" t="s">
        <v>675</v>
      </c>
      <c r="D43" s="6" t="s">
        <v>178</v>
      </c>
      <c r="E43" s="6" t="s">
        <v>41</v>
      </c>
      <c r="F43" s="6" t="s">
        <v>676</v>
      </c>
    </row>
    <row r="44" spans="2:6">
      <c r="B44" s="5" t="s">
        <v>424</v>
      </c>
      <c r="C44" s="5" t="s">
        <v>700</v>
      </c>
      <c r="D44" s="6" t="s">
        <v>308</v>
      </c>
      <c r="E44" s="6" t="s">
        <v>64</v>
      </c>
      <c r="F44" s="6" t="s">
        <v>677</v>
      </c>
    </row>
    <row r="45" spans="2:6">
      <c r="B45" s="5" t="s">
        <v>8</v>
      </c>
    </row>
  </sheetData>
  <mergeCells count="17">
    <mergeCell ref="A27:J27"/>
    <mergeCell ref="A5:J5"/>
    <mergeCell ref="A8:J8"/>
    <mergeCell ref="A15:J15"/>
    <mergeCell ref="A19:J19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7689-67AF-45B6-9AC8-3AB71FA188F3}"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3" t="s">
        <v>682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816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114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641</v>
      </c>
      <c r="C6" s="8" t="s">
        <v>706</v>
      </c>
      <c r="D6" s="8" t="s">
        <v>642</v>
      </c>
      <c r="E6" s="8" t="s">
        <v>822</v>
      </c>
      <c r="F6" s="8" t="s">
        <v>770</v>
      </c>
      <c r="G6" s="20" t="s">
        <v>199</v>
      </c>
      <c r="H6" s="20" t="s">
        <v>88</v>
      </c>
      <c r="I6" s="21" t="s">
        <v>92</v>
      </c>
      <c r="J6" s="9"/>
      <c r="K6" s="9" t="str">
        <f>"75,0"</f>
        <v>75,0</v>
      </c>
      <c r="L6" s="9" t="str">
        <f>"45,1082"</f>
        <v>45,1082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A311-4F2C-47E8-8B86-3CB873EEE593}">
  <dimension ref="A1:U65"/>
  <sheetViews>
    <sheetView workbookViewId="0">
      <selection activeCell="D32" sqref="D3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33" t="s">
        <v>697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9</v>
      </c>
      <c r="H3" s="45"/>
      <c r="I3" s="45"/>
      <c r="J3" s="45"/>
      <c r="K3" s="45" t="s">
        <v>10</v>
      </c>
      <c r="L3" s="45"/>
      <c r="M3" s="45"/>
      <c r="N3" s="45"/>
      <c r="O3" s="45" t="s">
        <v>11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12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9" t="s">
        <v>186</v>
      </c>
      <c r="B6" s="8" t="s">
        <v>13</v>
      </c>
      <c r="C6" s="8" t="s">
        <v>14</v>
      </c>
      <c r="D6" s="8" t="s">
        <v>15</v>
      </c>
      <c r="E6" s="8" t="s">
        <v>820</v>
      </c>
      <c r="F6" s="8" t="s">
        <v>763</v>
      </c>
      <c r="G6" s="20" t="s">
        <v>16</v>
      </c>
      <c r="H6" s="20" t="s">
        <v>17</v>
      </c>
      <c r="I6" s="21" t="s">
        <v>18</v>
      </c>
      <c r="J6" s="9"/>
      <c r="K6" s="20" t="s">
        <v>19</v>
      </c>
      <c r="L6" s="21" t="s">
        <v>20</v>
      </c>
      <c r="M6" s="20" t="s">
        <v>20</v>
      </c>
      <c r="N6" s="9"/>
      <c r="O6" s="20" t="s">
        <v>21</v>
      </c>
      <c r="P6" s="20" t="s">
        <v>22</v>
      </c>
      <c r="Q6" s="20" t="s">
        <v>23</v>
      </c>
      <c r="R6" s="9"/>
      <c r="S6" s="32" t="str">
        <f>"302,5"</f>
        <v>302,5</v>
      </c>
      <c r="T6" s="9" t="str">
        <f>"398,1808"</f>
        <v>398,1808</v>
      </c>
      <c r="U6" s="8" t="s">
        <v>77</v>
      </c>
    </row>
    <row r="7" spans="1:21">
      <c r="B7" s="5" t="s">
        <v>8</v>
      </c>
    </row>
    <row r="8" spans="1:21" ht="16">
      <c r="A8" s="46" t="s">
        <v>24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11" t="s">
        <v>186</v>
      </c>
      <c r="B9" s="10" t="s">
        <v>25</v>
      </c>
      <c r="C9" s="10" t="s">
        <v>26</v>
      </c>
      <c r="D9" s="10" t="s">
        <v>27</v>
      </c>
      <c r="E9" s="10" t="s">
        <v>820</v>
      </c>
      <c r="F9" s="10" t="s">
        <v>784</v>
      </c>
      <c r="G9" s="22" t="s">
        <v>28</v>
      </c>
      <c r="H9" s="22" t="s">
        <v>29</v>
      </c>
      <c r="I9" s="23" t="s">
        <v>30</v>
      </c>
      <c r="J9" s="11"/>
      <c r="K9" s="22" t="s">
        <v>31</v>
      </c>
      <c r="L9" s="22" t="s">
        <v>19</v>
      </c>
      <c r="M9" s="23" t="s">
        <v>20</v>
      </c>
      <c r="N9" s="11"/>
      <c r="O9" s="23" t="s">
        <v>32</v>
      </c>
      <c r="P9" s="22" t="s">
        <v>33</v>
      </c>
      <c r="Q9" s="23" t="s">
        <v>34</v>
      </c>
      <c r="R9" s="11"/>
      <c r="S9" s="28" t="str">
        <f>"270,0"</f>
        <v>270,0</v>
      </c>
      <c r="T9" s="11" t="str">
        <f>"319,4640"</f>
        <v>319,4640</v>
      </c>
      <c r="U9" s="10" t="s">
        <v>208</v>
      </c>
    </row>
    <row r="10" spans="1:21">
      <c r="A10" s="13" t="s">
        <v>187</v>
      </c>
      <c r="B10" s="12" t="s">
        <v>35</v>
      </c>
      <c r="C10" s="12" t="s">
        <v>36</v>
      </c>
      <c r="D10" s="12" t="s">
        <v>37</v>
      </c>
      <c r="E10" s="12" t="s">
        <v>820</v>
      </c>
      <c r="F10" s="12" t="s">
        <v>763</v>
      </c>
      <c r="G10" s="24" t="s">
        <v>38</v>
      </c>
      <c r="H10" s="25" t="s">
        <v>39</v>
      </c>
      <c r="I10" s="25" t="s">
        <v>39</v>
      </c>
      <c r="J10" s="13"/>
      <c r="K10" s="24" t="s">
        <v>20</v>
      </c>
      <c r="L10" s="24" t="s">
        <v>40</v>
      </c>
      <c r="M10" s="25" t="s">
        <v>41</v>
      </c>
      <c r="N10" s="13"/>
      <c r="O10" s="24" t="s">
        <v>28</v>
      </c>
      <c r="P10" s="24" t="s">
        <v>42</v>
      </c>
      <c r="Q10" s="25" t="s">
        <v>43</v>
      </c>
      <c r="R10" s="13"/>
      <c r="S10" s="29" t="str">
        <f>"227,5"</f>
        <v>227,5</v>
      </c>
      <c r="T10" s="13" t="str">
        <f>"268,0633"</f>
        <v>268,0633</v>
      </c>
      <c r="U10" s="12" t="s">
        <v>77</v>
      </c>
    </row>
    <row r="11" spans="1:21">
      <c r="B11" s="5" t="s">
        <v>8</v>
      </c>
    </row>
    <row r="12" spans="1:21" ht="16">
      <c r="A12" s="46" t="s">
        <v>44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9" t="s">
        <v>186</v>
      </c>
      <c r="B13" s="8" t="s">
        <v>45</v>
      </c>
      <c r="C13" s="8" t="s">
        <v>46</v>
      </c>
      <c r="D13" s="8" t="s">
        <v>47</v>
      </c>
      <c r="E13" s="8" t="s">
        <v>820</v>
      </c>
      <c r="F13" s="8" t="s">
        <v>763</v>
      </c>
      <c r="G13" s="20" t="s">
        <v>30</v>
      </c>
      <c r="H13" s="21" t="s">
        <v>43</v>
      </c>
      <c r="I13" s="21" t="s">
        <v>43</v>
      </c>
      <c r="J13" s="9"/>
      <c r="K13" s="20" t="s">
        <v>19</v>
      </c>
      <c r="L13" s="21" t="s">
        <v>20</v>
      </c>
      <c r="M13" s="21" t="s">
        <v>20</v>
      </c>
      <c r="N13" s="9"/>
      <c r="O13" s="20" t="s">
        <v>33</v>
      </c>
      <c r="P13" s="20" t="s">
        <v>48</v>
      </c>
      <c r="Q13" s="21" t="s">
        <v>49</v>
      </c>
      <c r="R13" s="9"/>
      <c r="S13" s="32" t="str">
        <f>"290,0"</f>
        <v>290,0</v>
      </c>
      <c r="T13" s="9" t="str">
        <f>"323,3210"</f>
        <v>323,3210</v>
      </c>
      <c r="U13" s="8" t="s">
        <v>208</v>
      </c>
    </row>
    <row r="14" spans="1:21">
      <c r="B14" s="5" t="s">
        <v>8</v>
      </c>
    </row>
    <row r="15" spans="1:21" ht="16">
      <c r="A15" s="46" t="s">
        <v>50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11" t="s">
        <v>186</v>
      </c>
      <c r="B16" s="10" t="s">
        <v>51</v>
      </c>
      <c r="C16" s="10" t="s">
        <v>52</v>
      </c>
      <c r="D16" s="10" t="s">
        <v>53</v>
      </c>
      <c r="E16" s="10" t="s">
        <v>820</v>
      </c>
      <c r="F16" s="10" t="s">
        <v>763</v>
      </c>
      <c r="G16" s="22" t="s">
        <v>54</v>
      </c>
      <c r="H16" s="22" t="s">
        <v>55</v>
      </c>
      <c r="I16" s="22" t="s">
        <v>56</v>
      </c>
      <c r="J16" s="11"/>
      <c r="K16" s="22" t="s">
        <v>30</v>
      </c>
      <c r="L16" s="22" t="s">
        <v>43</v>
      </c>
      <c r="M16" s="22" t="s">
        <v>32</v>
      </c>
      <c r="N16" s="11"/>
      <c r="O16" s="22" t="s">
        <v>57</v>
      </c>
      <c r="P16" s="22" t="s">
        <v>58</v>
      </c>
      <c r="Q16" s="22" t="s">
        <v>59</v>
      </c>
      <c r="R16" s="11"/>
      <c r="S16" s="28" t="str">
        <f>"462,5"</f>
        <v>462,5</v>
      </c>
      <c r="T16" s="11" t="str">
        <f>"474,5713"</f>
        <v>474,5713</v>
      </c>
      <c r="U16" s="10" t="s">
        <v>77</v>
      </c>
    </row>
    <row r="17" spans="1:21">
      <c r="A17" s="15" t="s">
        <v>187</v>
      </c>
      <c r="B17" s="14" t="s">
        <v>60</v>
      </c>
      <c r="C17" s="14" t="s">
        <v>61</v>
      </c>
      <c r="D17" s="14" t="s">
        <v>62</v>
      </c>
      <c r="E17" s="14" t="s">
        <v>820</v>
      </c>
      <c r="F17" s="14" t="s">
        <v>763</v>
      </c>
      <c r="G17" s="26" t="s">
        <v>63</v>
      </c>
      <c r="H17" s="26" t="s">
        <v>64</v>
      </c>
      <c r="I17" s="26" t="s">
        <v>38</v>
      </c>
      <c r="J17" s="15"/>
      <c r="K17" s="26" t="s">
        <v>65</v>
      </c>
      <c r="L17" s="27" t="s">
        <v>66</v>
      </c>
      <c r="M17" s="26" t="s">
        <v>66</v>
      </c>
      <c r="N17" s="15"/>
      <c r="O17" s="26" t="s">
        <v>39</v>
      </c>
      <c r="P17" s="26" t="s">
        <v>28</v>
      </c>
      <c r="Q17" s="27" t="s">
        <v>29</v>
      </c>
      <c r="R17" s="15"/>
      <c r="S17" s="31" t="str">
        <f>"195,0"</f>
        <v>195,0</v>
      </c>
      <c r="T17" s="15" t="str">
        <f>"199,6605"</f>
        <v>199,6605</v>
      </c>
      <c r="U17" s="14" t="s">
        <v>77</v>
      </c>
    </row>
    <row r="18" spans="1:21">
      <c r="A18" s="13" t="s">
        <v>186</v>
      </c>
      <c r="B18" s="12" t="s">
        <v>51</v>
      </c>
      <c r="C18" s="12" t="s">
        <v>761</v>
      </c>
      <c r="D18" s="12" t="s">
        <v>53</v>
      </c>
      <c r="E18" s="12" t="s">
        <v>822</v>
      </c>
      <c r="F18" s="12" t="s">
        <v>763</v>
      </c>
      <c r="G18" s="24" t="s">
        <v>54</v>
      </c>
      <c r="H18" s="24" t="s">
        <v>55</v>
      </c>
      <c r="I18" s="24" t="s">
        <v>56</v>
      </c>
      <c r="J18" s="13"/>
      <c r="K18" s="24" t="s">
        <v>30</v>
      </c>
      <c r="L18" s="24" t="s">
        <v>43</v>
      </c>
      <c r="M18" s="24" t="s">
        <v>32</v>
      </c>
      <c r="N18" s="13"/>
      <c r="O18" s="24" t="s">
        <v>57</v>
      </c>
      <c r="P18" s="24" t="s">
        <v>58</v>
      </c>
      <c r="Q18" s="24" t="s">
        <v>59</v>
      </c>
      <c r="R18" s="13"/>
      <c r="S18" s="29" t="str">
        <f>"462,5"</f>
        <v>462,5</v>
      </c>
      <c r="T18" s="13" t="str">
        <f>"476,9441"</f>
        <v>476,9441</v>
      </c>
      <c r="U18" s="12" t="s">
        <v>77</v>
      </c>
    </row>
    <row r="19" spans="1:21">
      <c r="B19" s="5" t="s">
        <v>8</v>
      </c>
    </row>
    <row r="20" spans="1:21" ht="16">
      <c r="A20" s="46" t="s">
        <v>67</v>
      </c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21">
      <c r="A21" s="9" t="s">
        <v>186</v>
      </c>
      <c r="B21" s="8" t="s">
        <v>68</v>
      </c>
      <c r="C21" s="8" t="s">
        <v>69</v>
      </c>
      <c r="D21" s="8" t="s">
        <v>70</v>
      </c>
      <c r="E21" s="8" t="s">
        <v>820</v>
      </c>
      <c r="F21" s="8" t="s">
        <v>763</v>
      </c>
      <c r="G21" s="20" t="s">
        <v>71</v>
      </c>
      <c r="H21" s="20" t="s">
        <v>57</v>
      </c>
      <c r="I21" s="20" t="s">
        <v>72</v>
      </c>
      <c r="J21" s="9"/>
      <c r="K21" s="20" t="s">
        <v>43</v>
      </c>
      <c r="L21" s="20" t="s">
        <v>73</v>
      </c>
      <c r="M21" s="20" t="s">
        <v>74</v>
      </c>
      <c r="N21" s="9"/>
      <c r="O21" s="20" t="s">
        <v>72</v>
      </c>
      <c r="P21" s="20" t="s">
        <v>75</v>
      </c>
      <c r="Q21" s="20" t="s">
        <v>76</v>
      </c>
      <c r="R21" s="9"/>
      <c r="S21" s="32" t="str">
        <f>"505,0"</f>
        <v>505,0</v>
      </c>
      <c r="T21" s="9" t="str">
        <f>"441,6730"</f>
        <v>441,6730</v>
      </c>
      <c r="U21" s="8" t="s">
        <v>77</v>
      </c>
    </row>
    <row r="22" spans="1:21">
      <c r="B22" s="5" t="s">
        <v>8</v>
      </c>
    </row>
    <row r="23" spans="1:21" ht="16">
      <c r="A23" s="46" t="s">
        <v>44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21">
      <c r="A24" s="9" t="s">
        <v>186</v>
      </c>
      <c r="B24" s="8" t="s">
        <v>78</v>
      </c>
      <c r="C24" s="8" t="s">
        <v>79</v>
      </c>
      <c r="D24" s="8" t="s">
        <v>80</v>
      </c>
      <c r="E24" s="8" t="s">
        <v>820</v>
      </c>
      <c r="F24" s="8" t="s">
        <v>812</v>
      </c>
      <c r="G24" s="20" t="s">
        <v>74</v>
      </c>
      <c r="H24" s="20" t="s">
        <v>81</v>
      </c>
      <c r="I24" s="21" t="s">
        <v>22</v>
      </c>
      <c r="J24" s="9"/>
      <c r="K24" s="20" t="s">
        <v>82</v>
      </c>
      <c r="L24" s="21" t="s">
        <v>29</v>
      </c>
      <c r="M24" s="21" t="s">
        <v>29</v>
      </c>
      <c r="N24" s="9"/>
      <c r="O24" s="20" t="s">
        <v>83</v>
      </c>
      <c r="P24" s="20" t="s">
        <v>84</v>
      </c>
      <c r="Q24" s="9"/>
      <c r="R24" s="9"/>
      <c r="S24" s="32" t="str">
        <f>"395,0"</f>
        <v>395,0</v>
      </c>
      <c r="T24" s="9" t="str">
        <f>"346,5335"</f>
        <v>346,5335</v>
      </c>
      <c r="U24" s="8"/>
    </row>
    <row r="25" spans="1:21">
      <c r="B25" s="5" t="s">
        <v>8</v>
      </c>
    </row>
    <row r="26" spans="1:21" ht="16">
      <c r="A26" s="46" t="s">
        <v>85</v>
      </c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21">
      <c r="A27" s="11" t="s">
        <v>188</v>
      </c>
      <c r="B27" s="10" t="s">
        <v>86</v>
      </c>
      <c r="C27" s="10" t="s">
        <v>762</v>
      </c>
      <c r="D27" s="10" t="s">
        <v>87</v>
      </c>
      <c r="E27" s="10" t="s">
        <v>821</v>
      </c>
      <c r="F27" s="10" t="s">
        <v>763</v>
      </c>
      <c r="G27" s="23" t="s">
        <v>88</v>
      </c>
      <c r="H27" s="11"/>
      <c r="I27" s="11"/>
      <c r="J27" s="11"/>
      <c r="K27" s="23"/>
      <c r="L27" s="11"/>
      <c r="M27" s="11"/>
      <c r="N27" s="11"/>
      <c r="O27" s="23"/>
      <c r="P27" s="11"/>
      <c r="Q27" s="11"/>
      <c r="R27" s="11"/>
      <c r="S27" s="28">
        <v>0</v>
      </c>
      <c r="T27" s="11" t="str">
        <f>"0,0000"</f>
        <v>0,0000</v>
      </c>
      <c r="U27" s="10"/>
    </row>
    <row r="28" spans="1:21">
      <c r="A28" s="13" t="s">
        <v>186</v>
      </c>
      <c r="B28" s="12" t="s">
        <v>89</v>
      </c>
      <c r="C28" s="12" t="s">
        <v>90</v>
      </c>
      <c r="D28" s="12" t="s">
        <v>91</v>
      </c>
      <c r="E28" s="12" t="s">
        <v>820</v>
      </c>
      <c r="F28" s="12" t="s">
        <v>763</v>
      </c>
      <c r="G28" s="24" t="s">
        <v>73</v>
      </c>
      <c r="H28" s="24" t="s">
        <v>33</v>
      </c>
      <c r="I28" s="24" t="s">
        <v>81</v>
      </c>
      <c r="J28" s="13"/>
      <c r="K28" s="24" t="s">
        <v>92</v>
      </c>
      <c r="L28" s="24" t="s">
        <v>93</v>
      </c>
      <c r="M28" s="24" t="s">
        <v>28</v>
      </c>
      <c r="N28" s="13"/>
      <c r="O28" s="25" t="s">
        <v>74</v>
      </c>
      <c r="P28" s="24" t="s">
        <v>74</v>
      </c>
      <c r="Q28" s="24" t="s">
        <v>33</v>
      </c>
      <c r="R28" s="13"/>
      <c r="S28" s="29" t="str">
        <f>"342,5"</f>
        <v>342,5</v>
      </c>
      <c r="T28" s="13" t="str">
        <f>"261,3275"</f>
        <v>261,3275</v>
      </c>
      <c r="U28" s="12" t="s">
        <v>814</v>
      </c>
    </row>
    <row r="29" spans="1:21">
      <c r="B29" s="5" t="s">
        <v>8</v>
      </c>
    </row>
    <row r="30" spans="1:21" ht="16">
      <c r="A30" s="46" t="s">
        <v>67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21">
      <c r="A31" s="11" t="s">
        <v>186</v>
      </c>
      <c r="B31" s="10" t="s">
        <v>94</v>
      </c>
      <c r="C31" s="10" t="s">
        <v>95</v>
      </c>
      <c r="D31" s="10" t="s">
        <v>70</v>
      </c>
      <c r="E31" s="10" t="s">
        <v>820</v>
      </c>
      <c r="F31" s="10" t="s">
        <v>763</v>
      </c>
      <c r="G31" s="22" t="s">
        <v>96</v>
      </c>
      <c r="H31" s="22" t="s">
        <v>76</v>
      </c>
      <c r="I31" s="22" t="s">
        <v>97</v>
      </c>
      <c r="J31" s="11"/>
      <c r="K31" s="22" t="s">
        <v>98</v>
      </c>
      <c r="L31" s="22" t="s">
        <v>71</v>
      </c>
      <c r="M31" s="22" t="s">
        <v>83</v>
      </c>
      <c r="N31" s="11"/>
      <c r="O31" s="22" t="s">
        <v>99</v>
      </c>
      <c r="P31" s="22" t="s">
        <v>100</v>
      </c>
      <c r="Q31" s="23" t="s">
        <v>101</v>
      </c>
      <c r="R31" s="11"/>
      <c r="S31" s="28" t="str">
        <f>"627,5"</f>
        <v>627,5</v>
      </c>
      <c r="T31" s="11" t="str">
        <f>"406,5572"</f>
        <v>406,5572</v>
      </c>
      <c r="U31" s="10" t="s">
        <v>77</v>
      </c>
    </row>
    <row r="32" spans="1:21">
      <c r="A32" s="15" t="s">
        <v>187</v>
      </c>
      <c r="B32" s="14" t="s">
        <v>102</v>
      </c>
      <c r="C32" s="14" t="s">
        <v>103</v>
      </c>
      <c r="D32" s="14" t="s">
        <v>104</v>
      </c>
      <c r="E32" s="14" t="s">
        <v>820</v>
      </c>
      <c r="F32" s="14" t="s">
        <v>105</v>
      </c>
      <c r="G32" s="26" t="s">
        <v>106</v>
      </c>
      <c r="H32" s="26" t="s">
        <v>107</v>
      </c>
      <c r="I32" s="26" t="s">
        <v>108</v>
      </c>
      <c r="J32" s="15"/>
      <c r="K32" s="26" t="s">
        <v>48</v>
      </c>
      <c r="L32" s="26" t="s">
        <v>98</v>
      </c>
      <c r="M32" s="26" t="s">
        <v>71</v>
      </c>
      <c r="N32" s="15"/>
      <c r="O32" s="26" t="s">
        <v>106</v>
      </c>
      <c r="P32" s="26" t="s">
        <v>107</v>
      </c>
      <c r="Q32" s="26" t="s">
        <v>109</v>
      </c>
      <c r="R32" s="15"/>
      <c r="S32" s="31" t="str">
        <f>"585,0"</f>
        <v>585,0</v>
      </c>
      <c r="T32" s="15" t="str">
        <f>"378,7875"</f>
        <v>378,7875</v>
      </c>
      <c r="U32" s="14" t="s">
        <v>815</v>
      </c>
    </row>
    <row r="33" spans="1:21">
      <c r="A33" s="13" t="s">
        <v>189</v>
      </c>
      <c r="B33" s="12" t="s">
        <v>110</v>
      </c>
      <c r="C33" s="12" t="s">
        <v>111</v>
      </c>
      <c r="D33" s="12" t="s">
        <v>112</v>
      </c>
      <c r="E33" s="12" t="s">
        <v>820</v>
      </c>
      <c r="F33" s="12" t="s">
        <v>763</v>
      </c>
      <c r="G33" s="24" t="s">
        <v>54</v>
      </c>
      <c r="H33" s="24" t="s">
        <v>71</v>
      </c>
      <c r="I33" s="24" t="s">
        <v>113</v>
      </c>
      <c r="J33" s="13"/>
      <c r="K33" s="24" t="s">
        <v>81</v>
      </c>
      <c r="L33" s="24" t="s">
        <v>48</v>
      </c>
      <c r="M33" s="24" t="s">
        <v>23</v>
      </c>
      <c r="N33" s="13"/>
      <c r="O33" s="24" t="s">
        <v>106</v>
      </c>
      <c r="P33" s="24" t="s">
        <v>96</v>
      </c>
      <c r="Q33" s="24" t="s">
        <v>107</v>
      </c>
      <c r="R33" s="13"/>
      <c r="S33" s="29" t="str">
        <f>"510,0"</f>
        <v>510,0</v>
      </c>
      <c r="T33" s="13" t="str">
        <f>"327,4710"</f>
        <v>327,4710</v>
      </c>
      <c r="U33" s="12" t="s">
        <v>251</v>
      </c>
    </row>
    <row r="34" spans="1:21">
      <c r="B34" s="5" t="s">
        <v>8</v>
      </c>
    </row>
    <row r="35" spans="1:21" ht="16">
      <c r="A35" s="46" t="s">
        <v>114</v>
      </c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21">
      <c r="A36" s="11" t="s">
        <v>186</v>
      </c>
      <c r="B36" s="10" t="s">
        <v>115</v>
      </c>
      <c r="C36" s="10" t="s">
        <v>116</v>
      </c>
      <c r="D36" s="10" t="s">
        <v>117</v>
      </c>
      <c r="E36" s="10" t="s">
        <v>820</v>
      </c>
      <c r="F36" s="10" t="s">
        <v>813</v>
      </c>
      <c r="G36" s="22" t="s">
        <v>118</v>
      </c>
      <c r="H36" s="22" t="s">
        <v>119</v>
      </c>
      <c r="I36" s="23" t="s">
        <v>120</v>
      </c>
      <c r="J36" s="11"/>
      <c r="K36" s="22" t="s">
        <v>96</v>
      </c>
      <c r="L36" s="22" t="s">
        <v>107</v>
      </c>
      <c r="M36" s="22" t="s">
        <v>76</v>
      </c>
      <c r="N36" s="11"/>
      <c r="O36" s="22" t="s">
        <v>118</v>
      </c>
      <c r="P36" s="22" t="s">
        <v>119</v>
      </c>
      <c r="Q36" s="22" t="s">
        <v>120</v>
      </c>
      <c r="R36" s="11"/>
      <c r="S36" s="28" t="str">
        <f>"850,0"</f>
        <v>850,0</v>
      </c>
      <c r="T36" s="11" t="str">
        <f>"520,9650"</f>
        <v>520,9650</v>
      </c>
      <c r="U36" s="10"/>
    </row>
    <row r="37" spans="1:21">
      <c r="A37" s="15" t="s">
        <v>187</v>
      </c>
      <c r="B37" s="14" t="s">
        <v>121</v>
      </c>
      <c r="C37" s="14" t="s">
        <v>122</v>
      </c>
      <c r="D37" s="14" t="s">
        <v>123</v>
      </c>
      <c r="E37" s="14" t="s">
        <v>820</v>
      </c>
      <c r="F37" s="14" t="s">
        <v>124</v>
      </c>
      <c r="G37" s="26" t="s">
        <v>100</v>
      </c>
      <c r="H37" s="27" t="s">
        <v>101</v>
      </c>
      <c r="I37" s="27" t="s">
        <v>125</v>
      </c>
      <c r="J37" s="15"/>
      <c r="K37" s="26" t="s">
        <v>59</v>
      </c>
      <c r="L37" s="27" t="s">
        <v>107</v>
      </c>
      <c r="M37" s="27" t="s">
        <v>107</v>
      </c>
      <c r="N37" s="15"/>
      <c r="O37" s="26" t="s">
        <v>126</v>
      </c>
      <c r="P37" s="27" t="s">
        <v>127</v>
      </c>
      <c r="Q37" s="27" t="s">
        <v>127</v>
      </c>
      <c r="R37" s="15"/>
      <c r="S37" s="31" t="str">
        <f>"715,0"</f>
        <v>715,0</v>
      </c>
      <c r="T37" s="15" t="str">
        <f>"435,1490"</f>
        <v>435,1490</v>
      </c>
      <c r="U37" s="14"/>
    </row>
    <row r="38" spans="1:21">
      <c r="A38" s="15" t="s">
        <v>189</v>
      </c>
      <c r="B38" s="14" t="s">
        <v>128</v>
      </c>
      <c r="C38" s="14" t="s">
        <v>129</v>
      </c>
      <c r="D38" s="14" t="s">
        <v>130</v>
      </c>
      <c r="E38" s="14" t="s">
        <v>820</v>
      </c>
      <c r="F38" s="14" t="s">
        <v>131</v>
      </c>
      <c r="G38" s="26" t="s">
        <v>132</v>
      </c>
      <c r="H38" s="26" t="s">
        <v>133</v>
      </c>
      <c r="I38" s="26" t="s">
        <v>134</v>
      </c>
      <c r="J38" s="15"/>
      <c r="K38" s="26" t="s">
        <v>72</v>
      </c>
      <c r="L38" s="27" t="s">
        <v>59</v>
      </c>
      <c r="M38" s="26" t="s">
        <v>59</v>
      </c>
      <c r="N38" s="15"/>
      <c r="O38" s="26" t="s">
        <v>100</v>
      </c>
      <c r="P38" s="26" t="s">
        <v>101</v>
      </c>
      <c r="Q38" s="27" t="s">
        <v>135</v>
      </c>
      <c r="R38" s="15"/>
      <c r="S38" s="31" t="str">
        <f>"690,0"</f>
        <v>690,0</v>
      </c>
      <c r="T38" s="15" t="str">
        <f>"421,6590"</f>
        <v>421,6590</v>
      </c>
      <c r="U38" s="14"/>
    </row>
    <row r="39" spans="1:21">
      <c r="A39" s="15" t="s">
        <v>190</v>
      </c>
      <c r="B39" s="14" t="s">
        <v>136</v>
      </c>
      <c r="C39" s="14" t="s">
        <v>137</v>
      </c>
      <c r="D39" s="14" t="s">
        <v>138</v>
      </c>
      <c r="E39" s="14" t="s">
        <v>820</v>
      </c>
      <c r="F39" s="14" t="s">
        <v>763</v>
      </c>
      <c r="G39" s="26" t="s">
        <v>133</v>
      </c>
      <c r="H39" s="27" t="s">
        <v>134</v>
      </c>
      <c r="I39" s="27" t="s">
        <v>134</v>
      </c>
      <c r="J39" s="15"/>
      <c r="K39" s="26" t="s">
        <v>57</v>
      </c>
      <c r="L39" s="26" t="s">
        <v>139</v>
      </c>
      <c r="M39" s="26" t="s">
        <v>72</v>
      </c>
      <c r="N39" s="15"/>
      <c r="O39" s="26" t="s">
        <v>100</v>
      </c>
      <c r="P39" s="27" t="s">
        <v>140</v>
      </c>
      <c r="Q39" s="26" t="s">
        <v>140</v>
      </c>
      <c r="R39" s="15"/>
      <c r="S39" s="31" t="str">
        <f>"672,5"</f>
        <v>672,5</v>
      </c>
      <c r="T39" s="15" t="str">
        <f>"409,4180"</f>
        <v>409,4180</v>
      </c>
      <c r="U39" s="14" t="s">
        <v>219</v>
      </c>
    </row>
    <row r="40" spans="1:21">
      <c r="A40" s="15" t="s">
        <v>191</v>
      </c>
      <c r="B40" s="14" t="s">
        <v>141</v>
      </c>
      <c r="C40" s="14" t="s">
        <v>142</v>
      </c>
      <c r="D40" s="14" t="s">
        <v>143</v>
      </c>
      <c r="E40" s="14" t="s">
        <v>820</v>
      </c>
      <c r="F40" s="14" t="s">
        <v>763</v>
      </c>
      <c r="G40" s="26" t="s">
        <v>108</v>
      </c>
      <c r="H40" s="26" t="s">
        <v>132</v>
      </c>
      <c r="I40" s="26" t="s">
        <v>144</v>
      </c>
      <c r="J40" s="15"/>
      <c r="K40" s="26" t="s">
        <v>55</v>
      </c>
      <c r="L40" s="26" t="s">
        <v>56</v>
      </c>
      <c r="M40" s="27" t="s">
        <v>113</v>
      </c>
      <c r="N40" s="15"/>
      <c r="O40" s="26" t="s">
        <v>132</v>
      </c>
      <c r="P40" s="26" t="s">
        <v>133</v>
      </c>
      <c r="Q40" s="26" t="s">
        <v>134</v>
      </c>
      <c r="R40" s="15"/>
      <c r="S40" s="31" t="str">
        <f>"627,5"</f>
        <v>627,5</v>
      </c>
      <c r="T40" s="15" t="str">
        <f>"388,4852"</f>
        <v>388,4852</v>
      </c>
      <c r="U40" s="14" t="s">
        <v>219</v>
      </c>
    </row>
    <row r="41" spans="1:21">
      <c r="A41" s="13" t="s">
        <v>192</v>
      </c>
      <c r="B41" s="12" t="s">
        <v>145</v>
      </c>
      <c r="C41" s="12" t="s">
        <v>146</v>
      </c>
      <c r="D41" s="12" t="s">
        <v>130</v>
      </c>
      <c r="E41" s="12" t="s">
        <v>820</v>
      </c>
      <c r="F41" s="12" t="s">
        <v>763</v>
      </c>
      <c r="G41" s="24" t="s">
        <v>108</v>
      </c>
      <c r="H41" s="24" t="s">
        <v>132</v>
      </c>
      <c r="I41" s="24" t="s">
        <v>147</v>
      </c>
      <c r="J41" s="13"/>
      <c r="K41" s="24" t="s">
        <v>48</v>
      </c>
      <c r="L41" s="24" t="s">
        <v>54</v>
      </c>
      <c r="M41" s="24" t="s">
        <v>148</v>
      </c>
      <c r="N41" s="13"/>
      <c r="O41" s="24" t="s">
        <v>134</v>
      </c>
      <c r="P41" s="24" t="s">
        <v>100</v>
      </c>
      <c r="Q41" s="25" t="s">
        <v>149</v>
      </c>
      <c r="R41" s="13"/>
      <c r="S41" s="29" t="str">
        <f>"625,0"</f>
        <v>625,0</v>
      </c>
      <c r="T41" s="13" t="str">
        <f>"381,9375"</f>
        <v>381,9375</v>
      </c>
      <c r="U41" s="12" t="s">
        <v>219</v>
      </c>
    </row>
    <row r="42" spans="1:21">
      <c r="B42" s="5" t="s">
        <v>8</v>
      </c>
    </row>
    <row r="43" spans="1:21" ht="16">
      <c r="A43" s="46" t="s">
        <v>150</v>
      </c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21">
      <c r="A44" s="9" t="s">
        <v>186</v>
      </c>
      <c r="B44" s="8" t="s">
        <v>151</v>
      </c>
      <c r="C44" s="8" t="s">
        <v>152</v>
      </c>
      <c r="D44" s="8" t="s">
        <v>153</v>
      </c>
      <c r="E44" s="8" t="s">
        <v>820</v>
      </c>
      <c r="F44" s="8" t="s">
        <v>763</v>
      </c>
      <c r="G44" s="20" t="s">
        <v>134</v>
      </c>
      <c r="H44" s="20" t="s">
        <v>100</v>
      </c>
      <c r="I44" s="21" t="s">
        <v>149</v>
      </c>
      <c r="J44" s="9"/>
      <c r="K44" s="20" t="s">
        <v>54</v>
      </c>
      <c r="L44" s="20" t="s">
        <v>55</v>
      </c>
      <c r="M44" s="21" t="s">
        <v>83</v>
      </c>
      <c r="N44" s="9"/>
      <c r="O44" s="20" t="s">
        <v>134</v>
      </c>
      <c r="P44" s="20" t="s">
        <v>149</v>
      </c>
      <c r="Q44" s="20" t="s">
        <v>125</v>
      </c>
      <c r="R44" s="9"/>
      <c r="S44" s="32" t="str">
        <f>"675,0"</f>
        <v>675,0</v>
      </c>
      <c r="T44" s="9" t="str">
        <f>"400,1400"</f>
        <v>400,1400</v>
      </c>
      <c r="U44" s="8"/>
    </row>
    <row r="45" spans="1:21">
      <c r="B45" s="5" t="s">
        <v>8</v>
      </c>
    </row>
    <row r="46" spans="1:21" ht="16">
      <c r="A46" s="46" t="s">
        <v>154</v>
      </c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21">
      <c r="A47" s="9" t="s">
        <v>186</v>
      </c>
      <c r="B47" s="8" t="s">
        <v>155</v>
      </c>
      <c r="C47" s="8" t="s">
        <v>156</v>
      </c>
      <c r="D47" s="8" t="s">
        <v>157</v>
      </c>
      <c r="E47" s="8" t="s">
        <v>820</v>
      </c>
      <c r="F47" s="8" t="s">
        <v>763</v>
      </c>
      <c r="G47" s="20" t="s">
        <v>101</v>
      </c>
      <c r="H47" s="20" t="s">
        <v>125</v>
      </c>
      <c r="I47" s="20" t="s">
        <v>158</v>
      </c>
      <c r="J47" s="9"/>
      <c r="K47" s="21" t="s">
        <v>72</v>
      </c>
      <c r="L47" s="20" t="s">
        <v>72</v>
      </c>
      <c r="M47" s="9"/>
      <c r="N47" s="9"/>
      <c r="O47" s="20" t="s">
        <v>125</v>
      </c>
      <c r="P47" s="21" t="s">
        <v>159</v>
      </c>
      <c r="Q47" s="20" t="s">
        <v>159</v>
      </c>
      <c r="R47" s="9"/>
      <c r="S47" s="32" t="str">
        <f>"755,0"</f>
        <v>755,0</v>
      </c>
      <c r="T47" s="9" t="str">
        <f>"425,0650"</f>
        <v>425,0650</v>
      </c>
      <c r="U47" s="8"/>
    </row>
    <row r="48" spans="1:21">
      <c r="B48" s="5" t="s">
        <v>8</v>
      </c>
    </row>
    <row r="49" spans="2:6">
      <c r="B49" s="5" t="s">
        <v>8</v>
      </c>
    </row>
    <row r="50" spans="2:6">
      <c r="B50" s="5" t="s">
        <v>8</v>
      </c>
    </row>
    <row r="51" spans="2:6" ht="18">
      <c r="B51" s="7" t="s">
        <v>7</v>
      </c>
      <c r="C51" s="7"/>
      <c r="F51" s="3"/>
    </row>
    <row r="52" spans="2:6" ht="16">
      <c r="B52" s="16" t="s">
        <v>160</v>
      </c>
      <c r="C52" s="16"/>
      <c r="F52" s="3"/>
    </row>
    <row r="53" spans="2:6" ht="14">
      <c r="B53" s="17"/>
      <c r="C53" s="18" t="s">
        <v>161</v>
      </c>
      <c r="F53" s="3"/>
    </row>
    <row r="54" spans="2:6" ht="14">
      <c r="B54" s="19" t="s">
        <v>162</v>
      </c>
      <c r="C54" s="19" t="s">
        <v>163</v>
      </c>
      <c r="D54" s="19" t="s">
        <v>765</v>
      </c>
      <c r="E54" s="19" t="s">
        <v>165</v>
      </c>
      <c r="F54" s="19" t="s">
        <v>166</v>
      </c>
    </row>
    <row r="55" spans="2:6">
      <c r="B55" s="5" t="s">
        <v>51</v>
      </c>
      <c r="C55" s="5" t="s">
        <v>161</v>
      </c>
      <c r="D55" s="6" t="s">
        <v>167</v>
      </c>
      <c r="E55" s="6" t="s">
        <v>168</v>
      </c>
      <c r="F55" s="6" t="s">
        <v>169</v>
      </c>
    </row>
    <row r="56" spans="2:6">
      <c r="B56" s="5" t="s">
        <v>68</v>
      </c>
      <c r="C56" s="5" t="s">
        <v>161</v>
      </c>
      <c r="D56" s="6" t="s">
        <v>170</v>
      </c>
      <c r="E56" s="6" t="s">
        <v>171</v>
      </c>
      <c r="F56" s="6" t="s">
        <v>172</v>
      </c>
    </row>
    <row r="57" spans="2:6">
      <c r="B57" s="5" t="s">
        <v>13</v>
      </c>
      <c r="C57" s="5" t="s">
        <v>161</v>
      </c>
      <c r="D57" s="6" t="s">
        <v>173</v>
      </c>
      <c r="E57" s="6" t="s">
        <v>174</v>
      </c>
      <c r="F57" s="6" t="s">
        <v>175</v>
      </c>
    </row>
    <row r="59" spans="2:6" ht="16">
      <c r="B59" s="16" t="s">
        <v>177</v>
      </c>
      <c r="C59" s="16"/>
    </row>
    <row r="60" spans="2:6" ht="14">
      <c r="B60" s="17"/>
      <c r="C60" s="18" t="s">
        <v>161</v>
      </c>
    </row>
    <row r="61" spans="2:6" ht="14">
      <c r="B61" s="19" t="s">
        <v>162</v>
      </c>
      <c r="C61" s="19" t="s">
        <v>163</v>
      </c>
      <c r="D61" s="19" t="s">
        <v>765</v>
      </c>
      <c r="E61" s="19" t="s">
        <v>165</v>
      </c>
      <c r="F61" s="19" t="s">
        <v>166</v>
      </c>
    </row>
    <row r="62" spans="2:6">
      <c r="B62" s="5" t="s">
        <v>115</v>
      </c>
      <c r="C62" s="5" t="s">
        <v>161</v>
      </c>
      <c r="D62" s="6" t="s">
        <v>178</v>
      </c>
      <c r="E62" s="6" t="s">
        <v>179</v>
      </c>
      <c r="F62" s="6" t="s">
        <v>180</v>
      </c>
    </row>
    <row r="63" spans="2:6">
      <c r="B63" s="5" t="s">
        <v>121</v>
      </c>
      <c r="C63" s="5" t="s">
        <v>161</v>
      </c>
      <c r="D63" s="6" t="s">
        <v>178</v>
      </c>
      <c r="E63" s="6" t="s">
        <v>181</v>
      </c>
      <c r="F63" s="6" t="s">
        <v>182</v>
      </c>
    </row>
    <row r="64" spans="2:6">
      <c r="B64" s="5" t="s">
        <v>155</v>
      </c>
      <c r="C64" s="5" t="s">
        <v>161</v>
      </c>
      <c r="D64" s="6" t="s">
        <v>183</v>
      </c>
      <c r="E64" s="6" t="s">
        <v>184</v>
      </c>
      <c r="F64" s="6" t="s">
        <v>185</v>
      </c>
    </row>
    <row r="65" spans="2:2">
      <c r="B65" s="5" t="s">
        <v>8</v>
      </c>
    </row>
  </sheetData>
  <mergeCells count="24">
    <mergeCell ref="A30:R30"/>
    <mergeCell ref="A35:R35"/>
    <mergeCell ref="A43:R43"/>
    <mergeCell ref="A46:R46"/>
    <mergeCell ref="B3:B4"/>
    <mergeCell ref="A8:R8"/>
    <mergeCell ref="A12:R12"/>
    <mergeCell ref="A15:R15"/>
    <mergeCell ref="A20:R20"/>
    <mergeCell ref="A23:R23"/>
    <mergeCell ref="A26:R2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B4E5-510C-487D-881C-B02CF347894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18" width="5.5" style="6" customWidth="1"/>
    <col min="19" max="19" width="7.83203125" style="6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33" t="s">
        <v>694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9</v>
      </c>
      <c r="H3" s="45"/>
      <c r="I3" s="45"/>
      <c r="J3" s="45"/>
      <c r="K3" s="45" t="s">
        <v>10</v>
      </c>
      <c r="L3" s="45"/>
      <c r="M3" s="45"/>
      <c r="N3" s="45"/>
      <c r="O3" s="45" t="s">
        <v>11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50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9" t="s">
        <v>186</v>
      </c>
      <c r="B6" s="8" t="s">
        <v>330</v>
      </c>
      <c r="C6" s="8" t="s">
        <v>756</v>
      </c>
      <c r="D6" s="8" t="s">
        <v>331</v>
      </c>
      <c r="E6" s="8" t="s">
        <v>821</v>
      </c>
      <c r="F6" s="8" t="s">
        <v>763</v>
      </c>
      <c r="G6" s="20" t="s">
        <v>236</v>
      </c>
      <c r="H6" s="20" t="s">
        <v>29</v>
      </c>
      <c r="I6" s="20" t="s">
        <v>30</v>
      </c>
      <c r="J6" s="9"/>
      <c r="K6" s="20" t="s">
        <v>200</v>
      </c>
      <c r="L6" s="20" t="s">
        <v>196</v>
      </c>
      <c r="M6" s="21" t="s">
        <v>19</v>
      </c>
      <c r="N6" s="9"/>
      <c r="O6" s="20" t="s">
        <v>93</v>
      </c>
      <c r="P6" s="21" t="s">
        <v>82</v>
      </c>
      <c r="Q6" s="20" t="s">
        <v>82</v>
      </c>
      <c r="R6" s="9"/>
      <c r="S6" s="9" t="str">
        <f>"235,0"</f>
        <v>235,0</v>
      </c>
      <c r="T6" s="9" t="str">
        <f>"240,0995"</f>
        <v>240,0995</v>
      </c>
      <c r="U6" s="8" t="s">
        <v>801</v>
      </c>
    </row>
    <row r="7" spans="1:21">
      <c r="B7" s="5" t="s">
        <v>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7A00-56BF-4F17-8541-012D520A0785}"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0" bestFit="1" customWidth="1"/>
    <col min="20" max="20" width="8.5" style="6" bestFit="1" customWidth="1"/>
    <col min="21" max="21" width="22.83203125" style="5" bestFit="1" customWidth="1"/>
    <col min="22" max="16384" width="9.1640625" style="3"/>
  </cols>
  <sheetData>
    <row r="1" spans="1:21" s="2" customFormat="1" ht="29" customHeight="1">
      <c r="A1" s="33" t="s">
        <v>695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9</v>
      </c>
      <c r="H3" s="45"/>
      <c r="I3" s="45"/>
      <c r="J3" s="45"/>
      <c r="K3" s="45" t="s">
        <v>10</v>
      </c>
      <c r="L3" s="45"/>
      <c r="M3" s="45"/>
      <c r="N3" s="45"/>
      <c r="O3" s="45" t="s">
        <v>11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258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9" t="s">
        <v>186</v>
      </c>
      <c r="B6" s="8" t="s">
        <v>321</v>
      </c>
      <c r="C6" s="8" t="s">
        <v>322</v>
      </c>
      <c r="D6" s="8" t="s">
        <v>323</v>
      </c>
      <c r="E6" s="8" t="s">
        <v>820</v>
      </c>
      <c r="F6" s="8" t="s">
        <v>763</v>
      </c>
      <c r="G6" s="21" t="s">
        <v>132</v>
      </c>
      <c r="H6" s="21" t="s">
        <v>132</v>
      </c>
      <c r="I6" s="20" t="s">
        <v>132</v>
      </c>
      <c r="J6" s="9"/>
      <c r="K6" s="20" t="s">
        <v>81</v>
      </c>
      <c r="L6" s="20" t="s">
        <v>22</v>
      </c>
      <c r="M6" s="21" t="s">
        <v>48</v>
      </c>
      <c r="N6" s="9"/>
      <c r="O6" s="20" t="s">
        <v>109</v>
      </c>
      <c r="P6" s="20" t="s">
        <v>144</v>
      </c>
      <c r="Q6" s="21" t="s">
        <v>133</v>
      </c>
      <c r="R6" s="9"/>
      <c r="S6" s="32" t="str">
        <f>"580,0"</f>
        <v>580,0</v>
      </c>
      <c r="T6" s="9" t="str">
        <f>"390,2820"</f>
        <v>390,2820</v>
      </c>
      <c r="U6" s="8"/>
    </row>
    <row r="7" spans="1:21">
      <c r="B7" s="5" t="s">
        <v>8</v>
      </c>
    </row>
    <row r="8" spans="1:21" ht="16">
      <c r="A8" s="46" t="s">
        <v>154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9" t="s">
        <v>186</v>
      </c>
      <c r="B9" s="8" t="s">
        <v>324</v>
      </c>
      <c r="C9" s="8" t="s">
        <v>325</v>
      </c>
      <c r="D9" s="8" t="s">
        <v>326</v>
      </c>
      <c r="E9" s="8" t="s">
        <v>820</v>
      </c>
      <c r="F9" s="8" t="s">
        <v>763</v>
      </c>
      <c r="G9" s="20" t="s">
        <v>327</v>
      </c>
      <c r="H9" s="20" t="s">
        <v>328</v>
      </c>
      <c r="I9" s="21" t="s">
        <v>329</v>
      </c>
      <c r="J9" s="9"/>
      <c r="K9" s="21" t="s">
        <v>133</v>
      </c>
      <c r="L9" s="20" t="s">
        <v>133</v>
      </c>
      <c r="M9" s="21" t="s">
        <v>134</v>
      </c>
      <c r="N9" s="9"/>
      <c r="O9" s="20" t="s">
        <v>327</v>
      </c>
      <c r="P9" s="20" t="s">
        <v>306</v>
      </c>
      <c r="Q9" s="20" t="s">
        <v>328</v>
      </c>
      <c r="R9" s="9"/>
      <c r="S9" s="32" t="str">
        <f>"970,0"</f>
        <v>970,0</v>
      </c>
      <c r="T9" s="9" t="str">
        <f>"543,9760"</f>
        <v>543,9760</v>
      </c>
      <c r="U9" s="8" t="s">
        <v>803</v>
      </c>
    </row>
    <row r="10" spans="1:21">
      <c r="B10" s="5" t="s">
        <v>8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90D9-DC6F-472D-B63E-66693E916EBC}">
  <dimension ref="A1:Q2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8.1640625" style="5" bestFit="1" customWidth="1"/>
    <col min="18" max="16384" width="9.1640625" style="3"/>
  </cols>
  <sheetData>
    <row r="1" spans="1:17" s="2" customFormat="1" ht="29" customHeight="1">
      <c r="A1" s="33" t="s">
        <v>686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</v>
      </c>
      <c r="P3" s="45" t="s">
        <v>3</v>
      </c>
      <c r="Q3" s="50" t="s">
        <v>2</v>
      </c>
    </row>
    <row r="4" spans="1:17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51"/>
    </row>
    <row r="5" spans="1:17" ht="16">
      <c r="A5" s="52" t="s">
        <v>44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9" t="s">
        <v>186</v>
      </c>
      <c r="B6" s="8" t="s">
        <v>601</v>
      </c>
      <c r="C6" s="8" t="s">
        <v>263</v>
      </c>
      <c r="D6" s="8" t="s">
        <v>218</v>
      </c>
      <c r="E6" s="8" t="s">
        <v>820</v>
      </c>
      <c r="F6" s="8" t="s">
        <v>763</v>
      </c>
      <c r="G6" s="20" t="s">
        <v>196</v>
      </c>
      <c r="H6" s="20" t="s">
        <v>31</v>
      </c>
      <c r="I6" s="21" t="s">
        <v>19</v>
      </c>
      <c r="J6" s="9"/>
      <c r="K6" s="20" t="s">
        <v>29</v>
      </c>
      <c r="L6" s="20" t="s">
        <v>30</v>
      </c>
      <c r="M6" s="20" t="s">
        <v>43</v>
      </c>
      <c r="N6" s="9"/>
      <c r="O6" s="9" t="str">
        <f>"152,5"</f>
        <v>152,5</v>
      </c>
      <c r="P6" s="9" t="str">
        <f>"172,2488"</f>
        <v>172,2488</v>
      </c>
      <c r="Q6" s="8" t="s">
        <v>232</v>
      </c>
    </row>
    <row r="7" spans="1:17">
      <c r="B7" s="5" t="s">
        <v>8</v>
      </c>
    </row>
    <row r="8" spans="1:17" ht="16">
      <c r="A8" s="46" t="s">
        <v>50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11" t="s">
        <v>186</v>
      </c>
      <c r="B9" s="10" t="s">
        <v>226</v>
      </c>
      <c r="C9" s="10" t="s">
        <v>227</v>
      </c>
      <c r="D9" s="10" t="s">
        <v>228</v>
      </c>
      <c r="E9" s="10" t="s">
        <v>820</v>
      </c>
      <c r="F9" s="10" t="s">
        <v>763</v>
      </c>
      <c r="G9" s="22" t="s">
        <v>20</v>
      </c>
      <c r="H9" s="22" t="s">
        <v>63</v>
      </c>
      <c r="I9" s="23" t="s">
        <v>40</v>
      </c>
      <c r="J9" s="11"/>
      <c r="K9" s="22" t="s">
        <v>32</v>
      </c>
      <c r="L9" s="22" t="s">
        <v>73</v>
      </c>
      <c r="M9" s="23" t="s">
        <v>74</v>
      </c>
      <c r="N9" s="11"/>
      <c r="O9" s="11" t="str">
        <f>"170,0"</f>
        <v>170,0</v>
      </c>
      <c r="P9" s="11" t="str">
        <f>"175,5760"</f>
        <v>175,5760</v>
      </c>
      <c r="Q9" s="10" t="s">
        <v>229</v>
      </c>
    </row>
    <row r="10" spans="1:17">
      <c r="A10" s="13" t="s">
        <v>187</v>
      </c>
      <c r="B10" s="12" t="s">
        <v>230</v>
      </c>
      <c r="C10" s="12" t="s">
        <v>231</v>
      </c>
      <c r="D10" s="12" t="s">
        <v>221</v>
      </c>
      <c r="E10" s="12" t="s">
        <v>820</v>
      </c>
      <c r="F10" s="12" t="s">
        <v>763</v>
      </c>
      <c r="G10" s="24" t="s">
        <v>19</v>
      </c>
      <c r="H10" s="25" t="s">
        <v>20</v>
      </c>
      <c r="I10" s="13"/>
      <c r="J10" s="13"/>
      <c r="K10" s="24" t="s">
        <v>29</v>
      </c>
      <c r="L10" s="24" t="s">
        <v>30</v>
      </c>
      <c r="M10" s="24" t="s">
        <v>43</v>
      </c>
      <c r="N10" s="13"/>
      <c r="O10" s="13" t="str">
        <f>"155,0"</f>
        <v>155,0</v>
      </c>
      <c r="P10" s="13" t="str">
        <f>"162,9825"</f>
        <v>162,9825</v>
      </c>
      <c r="Q10" s="12" t="s">
        <v>232</v>
      </c>
    </row>
    <row r="11" spans="1:17">
      <c r="B11" s="5" t="s">
        <v>8</v>
      </c>
    </row>
    <row r="12" spans="1:17" ht="16">
      <c r="A12" s="46" t="s">
        <v>85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7">
      <c r="A13" s="9" t="s">
        <v>186</v>
      </c>
      <c r="B13" s="8" t="s">
        <v>602</v>
      </c>
      <c r="C13" s="8" t="s">
        <v>603</v>
      </c>
      <c r="D13" s="8" t="s">
        <v>249</v>
      </c>
      <c r="E13" s="8" t="s">
        <v>820</v>
      </c>
      <c r="F13" s="8" t="s">
        <v>771</v>
      </c>
      <c r="G13" s="20" t="s">
        <v>93</v>
      </c>
      <c r="H13" s="20" t="s">
        <v>236</v>
      </c>
      <c r="I13" s="20" t="s">
        <v>29</v>
      </c>
      <c r="J13" s="9"/>
      <c r="K13" s="20" t="s">
        <v>32</v>
      </c>
      <c r="L13" s="20" t="s">
        <v>74</v>
      </c>
      <c r="M13" s="20" t="s">
        <v>21</v>
      </c>
      <c r="N13" s="9"/>
      <c r="O13" s="9" t="str">
        <f>"222,5"</f>
        <v>222,5</v>
      </c>
      <c r="P13" s="9" t="str">
        <f>"161,2903"</f>
        <v>161,2903</v>
      </c>
      <c r="Q13" s="8" t="s">
        <v>774</v>
      </c>
    </row>
    <row r="14" spans="1:17">
      <c r="B14" s="5" t="s">
        <v>8</v>
      </c>
    </row>
    <row r="15" spans="1:17" ht="16">
      <c r="A15" s="46" t="s">
        <v>258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7">
      <c r="A16" s="9" t="s">
        <v>186</v>
      </c>
      <c r="B16" s="8" t="s">
        <v>439</v>
      </c>
      <c r="C16" s="8" t="s">
        <v>440</v>
      </c>
      <c r="D16" s="8" t="s">
        <v>441</v>
      </c>
      <c r="E16" s="8" t="s">
        <v>820</v>
      </c>
      <c r="F16" s="8" t="s">
        <v>763</v>
      </c>
      <c r="G16" s="20" t="s">
        <v>55</v>
      </c>
      <c r="H16" s="21" t="s">
        <v>56</v>
      </c>
      <c r="I16" s="21" t="s">
        <v>56</v>
      </c>
      <c r="J16" s="9"/>
      <c r="K16" s="21" t="s">
        <v>442</v>
      </c>
      <c r="L16" s="20" t="s">
        <v>442</v>
      </c>
      <c r="M16" s="20" t="s">
        <v>443</v>
      </c>
      <c r="N16" s="9"/>
      <c r="O16" s="9" t="str">
        <f>"342,5"</f>
        <v>342,5</v>
      </c>
      <c r="P16" s="9" t="str">
        <f>"230,8108"</f>
        <v>230,8108</v>
      </c>
      <c r="Q16" s="8"/>
    </row>
    <row r="17" spans="1:17">
      <c r="B17" s="5" t="s">
        <v>8</v>
      </c>
    </row>
    <row r="18" spans="1:17" ht="16">
      <c r="A18" s="46" t="s">
        <v>67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7">
      <c r="A19" s="11" t="s">
        <v>186</v>
      </c>
      <c r="B19" s="10" t="s">
        <v>604</v>
      </c>
      <c r="C19" s="10" t="s">
        <v>710</v>
      </c>
      <c r="D19" s="10" t="s">
        <v>605</v>
      </c>
      <c r="E19" s="10" t="s">
        <v>822</v>
      </c>
      <c r="F19" s="10" t="s">
        <v>763</v>
      </c>
      <c r="G19" s="23" t="s">
        <v>48</v>
      </c>
      <c r="H19" s="22" t="s">
        <v>48</v>
      </c>
      <c r="I19" s="22" t="s">
        <v>23</v>
      </c>
      <c r="J19" s="11"/>
      <c r="K19" s="22" t="s">
        <v>108</v>
      </c>
      <c r="L19" s="22" t="s">
        <v>109</v>
      </c>
      <c r="M19" s="22" t="s">
        <v>606</v>
      </c>
      <c r="N19" s="11"/>
      <c r="O19" s="11" t="str">
        <f>"365,0"</f>
        <v>365,0</v>
      </c>
      <c r="P19" s="11" t="str">
        <f>"238,1061"</f>
        <v>238,1061</v>
      </c>
      <c r="Q19" s="10"/>
    </row>
    <row r="20" spans="1:17">
      <c r="A20" s="13" t="s">
        <v>187</v>
      </c>
      <c r="B20" s="12" t="s">
        <v>473</v>
      </c>
      <c r="C20" s="12" t="s">
        <v>711</v>
      </c>
      <c r="D20" s="12" t="s">
        <v>112</v>
      </c>
      <c r="E20" s="12" t="s">
        <v>822</v>
      </c>
      <c r="F20" s="12" t="s">
        <v>763</v>
      </c>
      <c r="G20" s="24" t="s">
        <v>48</v>
      </c>
      <c r="H20" s="24" t="s">
        <v>54</v>
      </c>
      <c r="I20" s="25" t="s">
        <v>148</v>
      </c>
      <c r="J20" s="13"/>
      <c r="K20" s="24" t="s">
        <v>108</v>
      </c>
      <c r="L20" s="25" t="s">
        <v>132</v>
      </c>
      <c r="M20" s="25" t="s">
        <v>133</v>
      </c>
      <c r="N20" s="13"/>
      <c r="O20" s="13" t="str">
        <f>"355,0"</f>
        <v>355,0</v>
      </c>
      <c r="P20" s="13" t="str">
        <f>"227,9455"</f>
        <v>227,9455</v>
      </c>
      <c r="Q20" s="12"/>
    </row>
    <row r="21" spans="1:17">
      <c r="B21" s="5" t="s">
        <v>8</v>
      </c>
    </row>
    <row r="22" spans="1:17" ht="16">
      <c r="A22" s="46" t="s">
        <v>114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7">
      <c r="A23" s="9" t="s">
        <v>186</v>
      </c>
      <c r="B23" s="8" t="s">
        <v>607</v>
      </c>
      <c r="C23" s="8" t="s">
        <v>608</v>
      </c>
      <c r="D23" s="8" t="s">
        <v>609</v>
      </c>
      <c r="E23" s="8" t="s">
        <v>820</v>
      </c>
      <c r="F23" s="8" t="s">
        <v>763</v>
      </c>
      <c r="G23" s="20" t="s">
        <v>22</v>
      </c>
      <c r="H23" s="20" t="s">
        <v>48</v>
      </c>
      <c r="I23" s="20" t="s">
        <v>23</v>
      </c>
      <c r="J23" s="9"/>
      <c r="K23" s="20" t="s">
        <v>107</v>
      </c>
      <c r="L23" s="20" t="s">
        <v>109</v>
      </c>
      <c r="M23" s="20" t="s">
        <v>132</v>
      </c>
      <c r="N23" s="9"/>
      <c r="O23" s="9" t="str">
        <f>"362,5"</f>
        <v>362,5</v>
      </c>
      <c r="P23" s="9" t="str">
        <f>"221,8863"</f>
        <v>221,8863</v>
      </c>
      <c r="Q23" s="8" t="s">
        <v>610</v>
      </c>
    </row>
    <row r="24" spans="1:17">
      <c r="B24" s="5" t="s">
        <v>8</v>
      </c>
    </row>
  </sheetData>
  <mergeCells count="18">
    <mergeCell ref="A22:N22"/>
    <mergeCell ref="A5:N5"/>
    <mergeCell ref="A8:N8"/>
    <mergeCell ref="A12:N12"/>
    <mergeCell ref="A15:N15"/>
    <mergeCell ref="A18:N18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5E5B-803D-467B-B465-A6B49C77E3D6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6640625" style="5" customWidth="1"/>
    <col min="18" max="16384" width="9.1640625" style="3"/>
  </cols>
  <sheetData>
    <row r="1" spans="1:17" s="2" customFormat="1" ht="29" customHeight="1">
      <c r="A1" s="33" t="s">
        <v>687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</v>
      </c>
      <c r="P3" s="45" t="s">
        <v>3</v>
      </c>
      <c r="Q3" s="50" t="s">
        <v>2</v>
      </c>
    </row>
    <row r="4" spans="1:17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51"/>
    </row>
    <row r="5" spans="1:17" ht="16">
      <c r="A5" s="52" t="s">
        <v>150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11" t="s">
        <v>186</v>
      </c>
      <c r="B6" s="10" t="s">
        <v>594</v>
      </c>
      <c r="C6" s="10" t="s">
        <v>595</v>
      </c>
      <c r="D6" s="10" t="s">
        <v>596</v>
      </c>
      <c r="E6" s="10" t="s">
        <v>820</v>
      </c>
      <c r="F6" s="10" t="s">
        <v>763</v>
      </c>
      <c r="G6" s="22" t="s">
        <v>84</v>
      </c>
      <c r="H6" s="22" t="s">
        <v>58</v>
      </c>
      <c r="I6" s="23" t="s">
        <v>443</v>
      </c>
      <c r="J6" s="11"/>
      <c r="K6" s="22" t="s">
        <v>134</v>
      </c>
      <c r="L6" s="22" t="s">
        <v>100</v>
      </c>
      <c r="M6" s="22" t="s">
        <v>101</v>
      </c>
      <c r="N6" s="11"/>
      <c r="O6" s="11" t="str">
        <f>"442,5"</f>
        <v>442,5</v>
      </c>
      <c r="P6" s="11" t="str">
        <f>"268,3320"</f>
        <v>268,3320</v>
      </c>
      <c r="Q6" s="10"/>
    </row>
    <row r="7" spans="1:17">
      <c r="A7" s="13" t="s">
        <v>187</v>
      </c>
      <c r="B7" s="12" t="s">
        <v>597</v>
      </c>
      <c r="C7" s="12" t="s">
        <v>598</v>
      </c>
      <c r="D7" s="12" t="s">
        <v>599</v>
      </c>
      <c r="E7" s="12" t="s">
        <v>820</v>
      </c>
      <c r="F7" s="12" t="s">
        <v>763</v>
      </c>
      <c r="G7" s="24" t="s">
        <v>54</v>
      </c>
      <c r="H7" s="24" t="s">
        <v>55</v>
      </c>
      <c r="I7" s="24" t="s">
        <v>71</v>
      </c>
      <c r="J7" s="13"/>
      <c r="K7" s="24" t="s">
        <v>99</v>
      </c>
      <c r="L7" s="24" t="s">
        <v>100</v>
      </c>
      <c r="M7" s="25" t="s">
        <v>600</v>
      </c>
      <c r="N7" s="13"/>
      <c r="O7" s="13" t="str">
        <f>"410,0"</f>
        <v>410,0</v>
      </c>
      <c r="P7" s="13" t="str">
        <f>"244,7700"</f>
        <v>244,7700</v>
      </c>
      <c r="Q7" s="12"/>
    </row>
    <row r="8" spans="1:17">
      <c r="B8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D25D9-4A76-4E7B-8B35-93F428975084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3" t="s">
        <v>688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9</v>
      </c>
      <c r="H3" s="45"/>
      <c r="I3" s="45"/>
      <c r="J3" s="45"/>
      <c r="K3" s="45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44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591</v>
      </c>
      <c r="C6" s="8" t="s">
        <v>592</v>
      </c>
      <c r="D6" s="8" t="s">
        <v>593</v>
      </c>
      <c r="E6" s="8" t="s">
        <v>820</v>
      </c>
      <c r="F6" s="8" t="s">
        <v>763</v>
      </c>
      <c r="G6" s="21" t="s">
        <v>82</v>
      </c>
      <c r="H6" s="20" t="s">
        <v>82</v>
      </c>
      <c r="I6" s="20" t="s">
        <v>29</v>
      </c>
      <c r="J6" s="9"/>
      <c r="K6" s="9" t="str">
        <f>"95,0"</f>
        <v>95,0</v>
      </c>
      <c r="L6" s="9" t="str">
        <f>"108,0245"</f>
        <v>108,0245</v>
      </c>
      <c r="M6" s="8"/>
    </row>
    <row r="7" spans="1:13">
      <c r="B7" s="5" t="s">
        <v>8</v>
      </c>
    </row>
    <row r="8" spans="1:13" ht="16">
      <c r="A8" s="46" t="s">
        <v>114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188</v>
      </c>
      <c r="B9" s="8" t="s">
        <v>581</v>
      </c>
      <c r="C9" s="8" t="s">
        <v>582</v>
      </c>
      <c r="D9" s="8" t="s">
        <v>583</v>
      </c>
      <c r="E9" s="8" t="s">
        <v>823</v>
      </c>
      <c r="F9" s="8" t="s">
        <v>763</v>
      </c>
      <c r="G9" s="21" t="s">
        <v>49</v>
      </c>
      <c r="H9" s="21" t="s">
        <v>49</v>
      </c>
      <c r="I9" s="21" t="s">
        <v>49</v>
      </c>
      <c r="J9" s="9"/>
      <c r="K9" s="32">
        <v>0</v>
      </c>
      <c r="L9" s="9" t="str">
        <f>"0,0000"</f>
        <v>0,0000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A564-13D7-47B2-A90E-C4E8058181FF}">
  <dimension ref="A1:M106"/>
  <sheetViews>
    <sheetView topLeftCell="A47" workbookViewId="0">
      <selection activeCell="E83" sqref="E83"/>
    </sheetView>
  </sheetViews>
  <sheetFormatPr baseColWidth="10" defaultColWidth="9.1640625" defaultRowHeight="13"/>
  <cols>
    <col min="1" max="1" width="7.5" style="5" bestFit="1" customWidth="1"/>
    <col min="2" max="2" width="25.832031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44.33203125" style="5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31.33203125" style="5" bestFit="1" customWidth="1"/>
    <col min="14" max="16384" width="9.1640625" style="3"/>
  </cols>
  <sheetData>
    <row r="1" spans="1:13" s="2" customFormat="1" ht="29" customHeight="1">
      <c r="A1" s="33" t="s">
        <v>692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8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12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1" t="s">
        <v>186</v>
      </c>
      <c r="B6" s="10" t="s">
        <v>369</v>
      </c>
      <c r="C6" s="10" t="s">
        <v>370</v>
      </c>
      <c r="D6" s="10" t="s">
        <v>371</v>
      </c>
      <c r="E6" s="10" t="s">
        <v>820</v>
      </c>
      <c r="F6" s="10" t="s">
        <v>763</v>
      </c>
      <c r="G6" s="22" t="s">
        <v>63</v>
      </c>
      <c r="H6" s="23" t="s">
        <v>40</v>
      </c>
      <c r="I6" s="23" t="s">
        <v>40</v>
      </c>
      <c r="J6" s="11"/>
      <c r="K6" s="28" t="str">
        <f>"55,0"</f>
        <v>55,0</v>
      </c>
      <c r="L6" s="11" t="str">
        <f>"70,2295"</f>
        <v>70,2295</v>
      </c>
      <c r="M6" s="10"/>
    </row>
    <row r="7" spans="1:13">
      <c r="A7" s="13" t="s">
        <v>187</v>
      </c>
      <c r="B7" s="12" t="s">
        <v>372</v>
      </c>
      <c r="C7" s="12" t="s">
        <v>373</v>
      </c>
      <c r="D7" s="12" t="s">
        <v>374</v>
      </c>
      <c r="E7" s="12" t="s">
        <v>820</v>
      </c>
      <c r="F7" s="12" t="s">
        <v>763</v>
      </c>
      <c r="G7" s="24" t="s">
        <v>31</v>
      </c>
      <c r="H7" s="25" t="s">
        <v>19</v>
      </c>
      <c r="I7" s="25" t="s">
        <v>19</v>
      </c>
      <c r="J7" s="13"/>
      <c r="K7" s="29" t="str">
        <f>"47,5"</f>
        <v>47,5</v>
      </c>
      <c r="L7" s="13" t="str">
        <f>"59,4795"</f>
        <v>59,4795</v>
      </c>
      <c r="M7" s="12" t="s">
        <v>786</v>
      </c>
    </row>
    <row r="8" spans="1:13">
      <c r="B8" s="5" t="s">
        <v>8</v>
      </c>
    </row>
    <row r="9" spans="1:13" ht="16">
      <c r="A9" s="46" t="s">
        <v>24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11" t="s">
        <v>186</v>
      </c>
      <c r="B10" s="10" t="s">
        <v>375</v>
      </c>
      <c r="C10" s="10" t="s">
        <v>376</v>
      </c>
      <c r="D10" s="10" t="s">
        <v>377</v>
      </c>
      <c r="E10" s="10" t="s">
        <v>820</v>
      </c>
      <c r="F10" s="10" t="s">
        <v>378</v>
      </c>
      <c r="G10" s="22" t="s">
        <v>92</v>
      </c>
      <c r="H10" s="23" t="s">
        <v>93</v>
      </c>
      <c r="I10" s="23" t="s">
        <v>93</v>
      </c>
      <c r="J10" s="11"/>
      <c r="K10" s="28" t="str">
        <f>"80,0"</f>
        <v>80,0</v>
      </c>
      <c r="L10" s="11" t="str">
        <f>"95,0640"</f>
        <v>95,0640</v>
      </c>
      <c r="M10" s="10" t="s">
        <v>787</v>
      </c>
    </row>
    <row r="11" spans="1:13">
      <c r="A11" s="15" t="s">
        <v>187</v>
      </c>
      <c r="B11" s="14" t="s">
        <v>380</v>
      </c>
      <c r="C11" s="14" t="s">
        <v>381</v>
      </c>
      <c r="D11" s="14" t="s">
        <v>382</v>
      </c>
      <c r="E11" s="14" t="s">
        <v>820</v>
      </c>
      <c r="F11" s="14" t="s">
        <v>763</v>
      </c>
      <c r="G11" s="26" t="s">
        <v>38</v>
      </c>
      <c r="H11" s="27" t="s">
        <v>39</v>
      </c>
      <c r="I11" s="27" t="s">
        <v>39</v>
      </c>
      <c r="J11" s="15"/>
      <c r="K11" s="31" t="str">
        <f>"72,5"</f>
        <v>72,5</v>
      </c>
      <c r="L11" s="15" t="str">
        <f>"86,0285"</f>
        <v>86,0285</v>
      </c>
      <c r="M11" s="14"/>
    </row>
    <row r="12" spans="1:13">
      <c r="A12" s="15" t="s">
        <v>189</v>
      </c>
      <c r="B12" s="14" t="s">
        <v>383</v>
      </c>
      <c r="C12" s="14" t="s">
        <v>384</v>
      </c>
      <c r="D12" s="14" t="s">
        <v>382</v>
      </c>
      <c r="E12" s="14" t="s">
        <v>820</v>
      </c>
      <c r="F12" s="14" t="s">
        <v>763</v>
      </c>
      <c r="G12" s="26" t="s">
        <v>41</v>
      </c>
      <c r="H12" s="27" t="s">
        <v>215</v>
      </c>
      <c r="I12" s="27" t="s">
        <v>64</v>
      </c>
      <c r="J12" s="15"/>
      <c r="K12" s="31" t="str">
        <f>"60,0"</f>
        <v>60,0</v>
      </c>
      <c r="L12" s="15" t="str">
        <f>"71,1960"</f>
        <v>71,1960</v>
      </c>
      <c r="M12" s="14" t="s">
        <v>788</v>
      </c>
    </row>
    <row r="13" spans="1:13">
      <c r="A13" s="15" t="s">
        <v>186</v>
      </c>
      <c r="B13" s="14" t="s">
        <v>375</v>
      </c>
      <c r="C13" s="14" t="s">
        <v>725</v>
      </c>
      <c r="D13" s="14" t="s">
        <v>377</v>
      </c>
      <c r="E13" s="14" t="s">
        <v>824</v>
      </c>
      <c r="F13" s="14" t="s">
        <v>378</v>
      </c>
      <c r="G13" s="26" t="s">
        <v>92</v>
      </c>
      <c r="H13" s="27" t="s">
        <v>93</v>
      </c>
      <c r="I13" s="27" t="s">
        <v>93</v>
      </c>
      <c r="J13" s="15"/>
      <c r="K13" s="31" t="str">
        <f>"80,0"</f>
        <v>80,0</v>
      </c>
      <c r="L13" s="15" t="str">
        <f>"102,4790"</f>
        <v>102,4790</v>
      </c>
      <c r="M13" s="14" t="s">
        <v>787</v>
      </c>
    </row>
    <row r="14" spans="1:13">
      <c r="A14" s="13" t="s">
        <v>187</v>
      </c>
      <c r="B14" s="12" t="s">
        <v>385</v>
      </c>
      <c r="C14" s="12" t="s">
        <v>726</v>
      </c>
      <c r="D14" s="12" t="s">
        <v>386</v>
      </c>
      <c r="E14" s="12" t="s">
        <v>824</v>
      </c>
      <c r="F14" s="12" t="s">
        <v>387</v>
      </c>
      <c r="G14" s="25" t="s">
        <v>31</v>
      </c>
      <c r="H14" s="25" t="s">
        <v>31</v>
      </c>
      <c r="I14" s="24" t="s">
        <v>19</v>
      </c>
      <c r="J14" s="13"/>
      <c r="K14" s="29" t="str">
        <f>"50,0"</f>
        <v>50,0</v>
      </c>
      <c r="L14" s="13" t="str">
        <f>"64,7824"</f>
        <v>64,7824</v>
      </c>
      <c r="M14" s="12" t="s">
        <v>789</v>
      </c>
    </row>
    <row r="15" spans="1:13">
      <c r="B15" s="5" t="s">
        <v>8</v>
      </c>
    </row>
    <row r="16" spans="1:13" ht="16">
      <c r="A16" s="46" t="s">
        <v>44</v>
      </c>
      <c r="B16" s="46"/>
      <c r="C16" s="47"/>
      <c r="D16" s="47"/>
      <c r="E16" s="47"/>
      <c r="F16" s="47"/>
      <c r="G16" s="47"/>
      <c r="H16" s="47"/>
      <c r="I16" s="47"/>
      <c r="J16" s="47"/>
    </row>
    <row r="17" spans="1:13">
      <c r="A17" s="11" t="s">
        <v>186</v>
      </c>
      <c r="B17" s="10" t="s">
        <v>388</v>
      </c>
      <c r="C17" s="10" t="s">
        <v>389</v>
      </c>
      <c r="D17" s="10" t="s">
        <v>390</v>
      </c>
      <c r="E17" s="10" t="s">
        <v>820</v>
      </c>
      <c r="F17" s="10" t="s">
        <v>387</v>
      </c>
      <c r="G17" s="22" t="s">
        <v>20</v>
      </c>
      <c r="H17" s="22" t="s">
        <v>40</v>
      </c>
      <c r="I17" s="22" t="s">
        <v>41</v>
      </c>
      <c r="J17" s="11"/>
      <c r="K17" s="28" t="str">
        <f>"60,0"</f>
        <v>60,0</v>
      </c>
      <c r="L17" s="11" t="str">
        <f>"68,4060"</f>
        <v>68,4060</v>
      </c>
      <c r="M17" s="10" t="s">
        <v>789</v>
      </c>
    </row>
    <row r="18" spans="1:13">
      <c r="A18" s="13" t="s">
        <v>186</v>
      </c>
      <c r="B18" s="12" t="s">
        <v>391</v>
      </c>
      <c r="C18" s="12" t="s">
        <v>727</v>
      </c>
      <c r="D18" s="12" t="s">
        <v>392</v>
      </c>
      <c r="E18" s="12" t="s">
        <v>825</v>
      </c>
      <c r="F18" s="12" t="s">
        <v>378</v>
      </c>
      <c r="G18" s="24" t="s">
        <v>31</v>
      </c>
      <c r="H18" s="25" t="s">
        <v>19</v>
      </c>
      <c r="I18" s="24" t="s">
        <v>19</v>
      </c>
      <c r="J18" s="13"/>
      <c r="K18" s="29" t="str">
        <f>"50,0"</f>
        <v>50,0</v>
      </c>
      <c r="L18" s="13" t="str">
        <f>"69,6276"</f>
        <v>69,6276</v>
      </c>
      <c r="M18" s="12"/>
    </row>
    <row r="19" spans="1:13">
      <c r="B19" s="5" t="s">
        <v>8</v>
      </c>
    </row>
    <row r="20" spans="1:13" ht="16">
      <c r="A20" s="46" t="s">
        <v>50</v>
      </c>
      <c r="B20" s="46"/>
      <c r="C20" s="47"/>
      <c r="D20" s="47"/>
      <c r="E20" s="47"/>
      <c r="F20" s="47"/>
      <c r="G20" s="47"/>
      <c r="H20" s="47"/>
      <c r="I20" s="47"/>
      <c r="J20" s="47"/>
    </row>
    <row r="21" spans="1:13">
      <c r="A21" s="11" t="s">
        <v>186</v>
      </c>
      <c r="B21" s="10" t="s">
        <v>393</v>
      </c>
      <c r="C21" s="10" t="s">
        <v>394</v>
      </c>
      <c r="D21" s="10" t="s">
        <v>395</v>
      </c>
      <c r="E21" s="10" t="s">
        <v>823</v>
      </c>
      <c r="F21" s="10" t="s">
        <v>771</v>
      </c>
      <c r="G21" s="22" t="s">
        <v>19</v>
      </c>
      <c r="H21" s="22" t="s">
        <v>63</v>
      </c>
      <c r="I21" s="22" t="s">
        <v>40</v>
      </c>
      <c r="J21" s="11"/>
      <c r="K21" s="28" t="str">
        <f>"57,5"</f>
        <v>57,5</v>
      </c>
      <c r="L21" s="11" t="str">
        <f>"61,2375"</f>
        <v>61,2375</v>
      </c>
      <c r="M21" s="10" t="s">
        <v>774</v>
      </c>
    </row>
    <row r="22" spans="1:13">
      <c r="A22" s="15" t="s">
        <v>186</v>
      </c>
      <c r="B22" s="14" t="s">
        <v>396</v>
      </c>
      <c r="C22" s="14" t="s">
        <v>728</v>
      </c>
      <c r="D22" s="14" t="s">
        <v>254</v>
      </c>
      <c r="E22" s="14" t="s">
        <v>821</v>
      </c>
      <c r="F22" s="14" t="s">
        <v>763</v>
      </c>
      <c r="G22" s="26" t="s">
        <v>40</v>
      </c>
      <c r="H22" s="27" t="s">
        <v>215</v>
      </c>
      <c r="I22" s="26" t="s">
        <v>215</v>
      </c>
      <c r="J22" s="15"/>
      <c r="K22" s="31" t="str">
        <f>"62,5"</f>
        <v>62,5</v>
      </c>
      <c r="L22" s="15" t="str">
        <f>"63,9250"</f>
        <v>63,9250</v>
      </c>
      <c r="M22" s="14" t="s">
        <v>790</v>
      </c>
    </row>
    <row r="23" spans="1:13">
      <c r="A23" s="13" t="s">
        <v>186</v>
      </c>
      <c r="B23" s="12" t="s">
        <v>223</v>
      </c>
      <c r="C23" s="12" t="s">
        <v>224</v>
      </c>
      <c r="D23" s="12" t="s">
        <v>225</v>
      </c>
      <c r="E23" s="12" t="s">
        <v>820</v>
      </c>
      <c r="F23" s="12" t="s">
        <v>763</v>
      </c>
      <c r="G23" s="24" t="s">
        <v>199</v>
      </c>
      <c r="H23" s="25" t="s">
        <v>38</v>
      </c>
      <c r="I23" s="25" t="s">
        <v>38</v>
      </c>
      <c r="J23" s="13"/>
      <c r="K23" s="29" t="str">
        <f>"70,0"</f>
        <v>70,0</v>
      </c>
      <c r="L23" s="13" t="str">
        <f>"72,8560"</f>
        <v>72,8560</v>
      </c>
      <c r="M23" s="12" t="s">
        <v>778</v>
      </c>
    </row>
    <row r="24" spans="1:13">
      <c r="B24" s="5" t="s">
        <v>8</v>
      </c>
    </row>
    <row r="25" spans="1:13" ht="16">
      <c r="A25" s="46" t="s">
        <v>50</v>
      </c>
      <c r="B25" s="46"/>
      <c r="C25" s="47"/>
      <c r="D25" s="47"/>
      <c r="E25" s="47"/>
      <c r="F25" s="47"/>
      <c r="G25" s="47"/>
      <c r="H25" s="47"/>
      <c r="I25" s="47"/>
      <c r="J25" s="47"/>
    </row>
    <row r="26" spans="1:13">
      <c r="A26" s="9" t="s">
        <v>186</v>
      </c>
      <c r="B26" s="8" t="s">
        <v>397</v>
      </c>
      <c r="C26" s="8" t="s">
        <v>398</v>
      </c>
      <c r="D26" s="8" t="s">
        <v>399</v>
      </c>
      <c r="E26" s="8" t="s">
        <v>823</v>
      </c>
      <c r="F26" s="8" t="s">
        <v>378</v>
      </c>
      <c r="G26" s="20" t="s">
        <v>199</v>
      </c>
      <c r="H26" s="20" t="s">
        <v>38</v>
      </c>
      <c r="I26" s="20" t="s">
        <v>39</v>
      </c>
      <c r="J26" s="9"/>
      <c r="K26" s="32" t="str">
        <f>"77,5"</f>
        <v>77,5</v>
      </c>
      <c r="L26" s="9" t="str">
        <f>"62,1938"</f>
        <v>62,1938</v>
      </c>
      <c r="M26" s="8" t="s">
        <v>787</v>
      </c>
    </row>
    <row r="27" spans="1:13">
      <c r="B27" s="5" t="s">
        <v>8</v>
      </c>
    </row>
    <row r="28" spans="1:13" ht="16">
      <c r="A28" s="46" t="s">
        <v>85</v>
      </c>
      <c r="B28" s="46"/>
      <c r="C28" s="47"/>
      <c r="D28" s="47"/>
      <c r="E28" s="47"/>
      <c r="F28" s="47"/>
      <c r="G28" s="47"/>
      <c r="H28" s="47"/>
      <c r="I28" s="47"/>
      <c r="J28" s="47"/>
    </row>
    <row r="29" spans="1:13">
      <c r="A29" s="11" t="s">
        <v>186</v>
      </c>
      <c r="B29" s="10" t="s">
        <v>400</v>
      </c>
      <c r="C29" s="10" t="s">
        <v>401</v>
      </c>
      <c r="D29" s="10" t="s">
        <v>402</v>
      </c>
      <c r="E29" s="10" t="s">
        <v>823</v>
      </c>
      <c r="F29" s="10" t="s">
        <v>378</v>
      </c>
      <c r="G29" s="23" t="s">
        <v>64</v>
      </c>
      <c r="H29" s="23" t="s">
        <v>64</v>
      </c>
      <c r="I29" s="22" t="s">
        <v>403</v>
      </c>
      <c r="J29" s="11"/>
      <c r="K29" s="28" t="str">
        <f>"67,5"</f>
        <v>67,5</v>
      </c>
      <c r="L29" s="11" t="str">
        <f>"49,0793"</f>
        <v>49,0793</v>
      </c>
      <c r="M29" s="10" t="s">
        <v>787</v>
      </c>
    </row>
    <row r="30" spans="1:13">
      <c r="A30" s="15" t="s">
        <v>186</v>
      </c>
      <c r="B30" s="14" t="s">
        <v>404</v>
      </c>
      <c r="C30" s="14" t="s">
        <v>729</v>
      </c>
      <c r="D30" s="14" t="s">
        <v>405</v>
      </c>
      <c r="E30" s="14" t="s">
        <v>821</v>
      </c>
      <c r="F30" s="14" t="s">
        <v>406</v>
      </c>
      <c r="G30" s="27" t="s">
        <v>204</v>
      </c>
      <c r="H30" s="26" t="s">
        <v>204</v>
      </c>
      <c r="I30" s="26" t="s">
        <v>21</v>
      </c>
      <c r="J30" s="15"/>
      <c r="K30" s="31" t="str">
        <f>"127,5"</f>
        <v>127,5</v>
      </c>
      <c r="L30" s="15" t="str">
        <f>"92,3355"</f>
        <v>92,3355</v>
      </c>
      <c r="M30" s="14" t="s">
        <v>791</v>
      </c>
    </row>
    <row r="31" spans="1:13">
      <c r="A31" s="15" t="s">
        <v>187</v>
      </c>
      <c r="B31" s="14" t="s">
        <v>407</v>
      </c>
      <c r="C31" s="14" t="s">
        <v>730</v>
      </c>
      <c r="D31" s="14" t="s">
        <v>402</v>
      </c>
      <c r="E31" s="14" t="s">
        <v>821</v>
      </c>
      <c r="F31" s="14" t="s">
        <v>763</v>
      </c>
      <c r="G31" s="26" t="s">
        <v>204</v>
      </c>
      <c r="H31" s="26" t="s">
        <v>303</v>
      </c>
      <c r="I31" s="26" t="s">
        <v>33</v>
      </c>
      <c r="J31" s="15"/>
      <c r="K31" s="31" t="str">
        <f>"125,0"</f>
        <v>125,0</v>
      </c>
      <c r="L31" s="15" t="str">
        <f>"90,8875"</f>
        <v>90,8875</v>
      </c>
      <c r="M31" s="14"/>
    </row>
    <row r="32" spans="1:13">
      <c r="A32" s="15" t="s">
        <v>189</v>
      </c>
      <c r="B32" s="14" t="s">
        <v>408</v>
      </c>
      <c r="C32" s="14" t="s">
        <v>731</v>
      </c>
      <c r="D32" s="14" t="s">
        <v>409</v>
      </c>
      <c r="E32" s="14" t="s">
        <v>821</v>
      </c>
      <c r="F32" s="14" t="s">
        <v>763</v>
      </c>
      <c r="G32" s="26" t="s">
        <v>73</v>
      </c>
      <c r="H32" s="26" t="s">
        <v>74</v>
      </c>
      <c r="I32" s="26" t="s">
        <v>303</v>
      </c>
      <c r="J32" s="15"/>
      <c r="K32" s="31" t="str">
        <f>"122,5"</f>
        <v>122,5</v>
      </c>
      <c r="L32" s="15" t="str">
        <f>"89,3393"</f>
        <v>89,3393</v>
      </c>
      <c r="M32" s="14"/>
    </row>
    <row r="33" spans="1:13">
      <c r="A33" s="15" t="s">
        <v>190</v>
      </c>
      <c r="B33" s="14" t="s">
        <v>410</v>
      </c>
      <c r="C33" s="14" t="s">
        <v>732</v>
      </c>
      <c r="D33" s="14" t="s">
        <v>411</v>
      </c>
      <c r="E33" s="14" t="s">
        <v>821</v>
      </c>
      <c r="F33" s="14" t="s">
        <v>412</v>
      </c>
      <c r="G33" s="26" t="s">
        <v>43</v>
      </c>
      <c r="H33" s="27" t="s">
        <v>18</v>
      </c>
      <c r="I33" s="27" t="s">
        <v>204</v>
      </c>
      <c r="J33" s="15"/>
      <c r="K33" s="31" t="str">
        <f>"105,0"</f>
        <v>105,0</v>
      </c>
      <c r="L33" s="15" t="str">
        <f>"75,6000"</f>
        <v>75,6000</v>
      </c>
      <c r="M33" s="14" t="s">
        <v>792</v>
      </c>
    </row>
    <row r="34" spans="1:13">
      <c r="A34" s="15" t="s">
        <v>186</v>
      </c>
      <c r="B34" s="14" t="s">
        <v>413</v>
      </c>
      <c r="C34" s="14" t="s">
        <v>414</v>
      </c>
      <c r="D34" s="14" t="s">
        <v>415</v>
      </c>
      <c r="E34" s="14" t="s">
        <v>820</v>
      </c>
      <c r="F34" s="14" t="s">
        <v>763</v>
      </c>
      <c r="G34" s="26" t="s">
        <v>54</v>
      </c>
      <c r="H34" s="26" t="s">
        <v>49</v>
      </c>
      <c r="I34" s="27" t="s">
        <v>98</v>
      </c>
      <c r="J34" s="15"/>
      <c r="K34" s="31" t="str">
        <f>"150,0"</f>
        <v>150,0</v>
      </c>
      <c r="L34" s="15" t="str">
        <f>"107,3850"</f>
        <v>107,3850</v>
      </c>
      <c r="M34" s="14" t="s">
        <v>793</v>
      </c>
    </row>
    <row r="35" spans="1:13">
      <c r="A35" s="15" t="s">
        <v>187</v>
      </c>
      <c r="B35" s="14" t="s">
        <v>416</v>
      </c>
      <c r="C35" s="14" t="s">
        <v>417</v>
      </c>
      <c r="D35" s="14" t="s">
        <v>418</v>
      </c>
      <c r="E35" s="14" t="s">
        <v>820</v>
      </c>
      <c r="F35" s="14" t="s">
        <v>763</v>
      </c>
      <c r="G35" s="26" t="s">
        <v>81</v>
      </c>
      <c r="H35" s="26" t="s">
        <v>22</v>
      </c>
      <c r="I35" s="26" t="s">
        <v>23</v>
      </c>
      <c r="J35" s="15"/>
      <c r="K35" s="31" t="str">
        <f>"142,5"</f>
        <v>142,5</v>
      </c>
      <c r="L35" s="15" t="str">
        <f>"102,3007"</f>
        <v>102,3007</v>
      </c>
      <c r="M35" s="14" t="s">
        <v>794</v>
      </c>
    </row>
    <row r="36" spans="1:13">
      <c r="A36" s="15" t="s">
        <v>189</v>
      </c>
      <c r="B36" s="14" t="s">
        <v>419</v>
      </c>
      <c r="C36" s="14" t="s">
        <v>420</v>
      </c>
      <c r="D36" s="14" t="s">
        <v>421</v>
      </c>
      <c r="E36" s="14" t="s">
        <v>820</v>
      </c>
      <c r="F36" s="14" t="s">
        <v>767</v>
      </c>
      <c r="G36" s="27" t="s">
        <v>22</v>
      </c>
      <c r="H36" s="26" t="s">
        <v>22</v>
      </c>
      <c r="I36" s="26" t="s">
        <v>23</v>
      </c>
      <c r="J36" s="15"/>
      <c r="K36" s="31" t="str">
        <f>"142,5"</f>
        <v>142,5</v>
      </c>
      <c r="L36" s="15" t="str">
        <f>"101,5455"</f>
        <v>101,5455</v>
      </c>
      <c r="M36" s="14"/>
    </row>
    <row r="37" spans="1:13">
      <c r="A37" s="15" t="s">
        <v>186</v>
      </c>
      <c r="B37" s="14" t="s">
        <v>422</v>
      </c>
      <c r="C37" s="14" t="s">
        <v>733</v>
      </c>
      <c r="D37" s="14" t="s">
        <v>415</v>
      </c>
      <c r="E37" s="14" t="s">
        <v>822</v>
      </c>
      <c r="F37" s="14" t="s">
        <v>763</v>
      </c>
      <c r="G37" s="27" t="s">
        <v>22</v>
      </c>
      <c r="H37" s="26" t="s">
        <v>250</v>
      </c>
      <c r="I37" s="27" t="s">
        <v>23</v>
      </c>
      <c r="J37" s="15"/>
      <c r="K37" s="31" t="str">
        <f>"137,5"</f>
        <v>137,5</v>
      </c>
      <c r="L37" s="15" t="str">
        <f>"99,8144"</f>
        <v>99,8144</v>
      </c>
      <c r="M37" s="14"/>
    </row>
    <row r="38" spans="1:13">
      <c r="A38" s="15" t="s">
        <v>188</v>
      </c>
      <c r="B38" s="14" t="s">
        <v>423</v>
      </c>
      <c r="C38" s="14" t="s">
        <v>734</v>
      </c>
      <c r="D38" s="14" t="s">
        <v>415</v>
      </c>
      <c r="E38" s="14" t="s">
        <v>822</v>
      </c>
      <c r="F38" s="14" t="s">
        <v>763</v>
      </c>
      <c r="G38" s="27" t="s">
        <v>74</v>
      </c>
      <c r="H38" s="27" t="s">
        <v>74</v>
      </c>
      <c r="I38" s="27" t="s">
        <v>74</v>
      </c>
      <c r="J38" s="15"/>
      <c r="K38" s="31">
        <v>0</v>
      </c>
      <c r="L38" s="15" t="str">
        <f>"0,0000"</f>
        <v>0,0000</v>
      </c>
      <c r="M38" s="14"/>
    </row>
    <row r="39" spans="1:13">
      <c r="A39" s="15" t="s">
        <v>186</v>
      </c>
      <c r="B39" s="14" t="s">
        <v>424</v>
      </c>
      <c r="C39" s="14" t="s">
        <v>735</v>
      </c>
      <c r="D39" s="14" t="s">
        <v>425</v>
      </c>
      <c r="E39" s="14" t="s">
        <v>824</v>
      </c>
      <c r="F39" s="14" t="s">
        <v>771</v>
      </c>
      <c r="G39" s="26" t="s">
        <v>73</v>
      </c>
      <c r="H39" s="26" t="s">
        <v>303</v>
      </c>
      <c r="I39" s="26" t="s">
        <v>33</v>
      </c>
      <c r="J39" s="15"/>
      <c r="K39" s="31" t="str">
        <f>"125,0"</f>
        <v>125,0</v>
      </c>
      <c r="L39" s="15" t="str">
        <f>"97,7746"</f>
        <v>97,7746</v>
      </c>
      <c r="M39" s="14"/>
    </row>
    <row r="40" spans="1:13">
      <c r="A40" s="15" t="s">
        <v>186</v>
      </c>
      <c r="B40" s="14" t="s">
        <v>426</v>
      </c>
      <c r="C40" s="14" t="s">
        <v>736</v>
      </c>
      <c r="D40" s="14" t="s">
        <v>427</v>
      </c>
      <c r="E40" s="14" t="s">
        <v>825</v>
      </c>
      <c r="F40" s="14" t="s">
        <v>763</v>
      </c>
      <c r="G40" s="26" t="s">
        <v>33</v>
      </c>
      <c r="H40" s="27" t="s">
        <v>81</v>
      </c>
      <c r="I40" s="27" t="s">
        <v>81</v>
      </c>
      <c r="J40" s="15"/>
      <c r="K40" s="31" t="str">
        <f>"125,0"</f>
        <v>125,0</v>
      </c>
      <c r="L40" s="15" t="str">
        <f>"114,7103"</f>
        <v>114,7103</v>
      </c>
      <c r="M40" s="14"/>
    </row>
    <row r="41" spans="1:13">
      <c r="A41" s="13" t="s">
        <v>186</v>
      </c>
      <c r="B41" s="12" t="s">
        <v>428</v>
      </c>
      <c r="C41" s="12" t="s">
        <v>737</v>
      </c>
      <c r="D41" s="12" t="s">
        <v>429</v>
      </c>
      <c r="E41" s="12" t="s">
        <v>826</v>
      </c>
      <c r="F41" s="12" t="s">
        <v>430</v>
      </c>
      <c r="G41" s="24" t="s">
        <v>74</v>
      </c>
      <c r="H41" s="24" t="s">
        <v>33</v>
      </c>
      <c r="I41" s="24" t="s">
        <v>81</v>
      </c>
      <c r="J41" s="13"/>
      <c r="K41" s="29" t="str">
        <f>"130,0"</f>
        <v>130,0</v>
      </c>
      <c r="L41" s="13" t="str">
        <f>"131,7693"</f>
        <v>131,7693</v>
      </c>
      <c r="M41" s="12"/>
    </row>
    <row r="42" spans="1:13">
      <c r="B42" s="5" t="s">
        <v>8</v>
      </c>
    </row>
    <row r="43" spans="1:13" ht="16">
      <c r="A43" s="46" t="s">
        <v>258</v>
      </c>
      <c r="B43" s="46"/>
      <c r="C43" s="47"/>
      <c r="D43" s="47"/>
      <c r="E43" s="47"/>
      <c r="F43" s="47"/>
      <c r="G43" s="47"/>
      <c r="H43" s="47"/>
      <c r="I43" s="47"/>
      <c r="J43" s="47"/>
    </row>
    <row r="44" spans="1:13">
      <c r="A44" s="11" t="s">
        <v>186</v>
      </c>
      <c r="B44" s="10" t="s">
        <v>431</v>
      </c>
      <c r="C44" s="10" t="s">
        <v>432</v>
      </c>
      <c r="D44" s="10" t="s">
        <v>433</v>
      </c>
      <c r="E44" s="10" t="s">
        <v>823</v>
      </c>
      <c r="F44" s="10" t="s">
        <v>378</v>
      </c>
      <c r="G44" s="22" t="s">
        <v>250</v>
      </c>
      <c r="H44" s="23" t="s">
        <v>23</v>
      </c>
      <c r="I44" s="23" t="s">
        <v>23</v>
      </c>
      <c r="J44" s="11"/>
      <c r="K44" s="28" t="str">
        <f>"137,5"</f>
        <v>137,5</v>
      </c>
      <c r="L44" s="11" t="str">
        <f>"95,6587"</f>
        <v>95,6587</v>
      </c>
      <c r="M44" s="10" t="s">
        <v>379</v>
      </c>
    </row>
    <row r="45" spans="1:13">
      <c r="A45" s="15" t="s">
        <v>187</v>
      </c>
      <c r="B45" s="14" t="s">
        <v>434</v>
      </c>
      <c r="C45" s="14" t="s">
        <v>435</v>
      </c>
      <c r="D45" s="14" t="s">
        <v>436</v>
      </c>
      <c r="E45" s="14" t="s">
        <v>823</v>
      </c>
      <c r="F45" s="14" t="s">
        <v>437</v>
      </c>
      <c r="G45" s="26" t="s">
        <v>29</v>
      </c>
      <c r="H45" s="26" t="s">
        <v>43</v>
      </c>
      <c r="I45" s="26" t="s">
        <v>18</v>
      </c>
      <c r="J45" s="15"/>
      <c r="K45" s="31" t="str">
        <f>"112,5"</f>
        <v>112,5</v>
      </c>
      <c r="L45" s="15" t="str">
        <f>"75,9825"</f>
        <v>75,9825</v>
      </c>
      <c r="M45" s="14" t="s">
        <v>438</v>
      </c>
    </row>
    <row r="46" spans="1:13">
      <c r="A46" s="15" t="s">
        <v>186</v>
      </c>
      <c r="B46" s="14" t="s">
        <v>439</v>
      </c>
      <c r="C46" s="14" t="s">
        <v>440</v>
      </c>
      <c r="D46" s="14" t="s">
        <v>441</v>
      </c>
      <c r="E46" s="14" t="s">
        <v>820</v>
      </c>
      <c r="F46" s="14" t="s">
        <v>763</v>
      </c>
      <c r="G46" s="26" t="s">
        <v>55</v>
      </c>
      <c r="H46" s="27" t="s">
        <v>56</v>
      </c>
      <c r="I46" s="27" t="s">
        <v>56</v>
      </c>
      <c r="J46" s="15"/>
      <c r="K46" s="31" t="str">
        <f>"155,0"</f>
        <v>155,0</v>
      </c>
      <c r="L46" s="15" t="str">
        <f>"104,4545"</f>
        <v>104,4545</v>
      </c>
      <c r="M46" s="14"/>
    </row>
    <row r="47" spans="1:13">
      <c r="A47" s="15" t="s">
        <v>187</v>
      </c>
      <c r="B47" s="14" t="s">
        <v>444</v>
      </c>
      <c r="C47" s="14" t="s">
        <v>445</v>
      </c>
      <c r="D47" s="14" t="s">
        <v>446</v>
      </c>
      <c r="E47" s="14" t="s">
        <v>820</v>
      </c>
      <c r="F47" s="14" t="s">
        <v>447</v>
      </c>
      <c r="G47" s="26" t="s">
        <v>22</v>
      </c>
      <c r="H47" s="27" t="s">
        <v>48</v>
      </c>
      <c r="I47" s="26" t="s">
        <v>48</v>
      </c>
      <c r="J47" s="15"/>
      <c r="K47" s="31" t="str">
        <f>"140,0"</f>
        <v>140,0</v>
      </c>
      <c r="L47" s="15" t="str">
        <f>"96,1940"</f>
        <v>96,1940</v>
      </c>
      <c r="M47" s="14"/>
    </row>
    <row r="48" spans="1:13">
      <c r="A48" s="15" t="s">
        <v>186</v>
      </c>
      <c r="B48" s="14" t="s">
        <v>448</v>
      </c>
      <c r="C48" s="14" t="s">
        <v>738</v>
      </c>
      <c r="D48" s="14" t="s">
        <v>449</v>
      </c>
      <c r="E48" s="14" t="s">
        <v>822</v>
      </c>
      <c r="F48" s="14" t="s">
        <v>763</v>
      </c>
      <c r="G48" s="26" t="s">
        <v>71</v>
      </c>
      <c r="H48" s="27" t="s">
        <v>113</v>
      </c>
      <c r="I48" s="27" t="s">
        <v>113</v>
      </c>
      <c r="J48" s="15"/>
      <c r="K48" s="31" t="str">
        <f>"160,0"</f>
        <v>160,0</v>
      </c>
      <c r="L48" s="15" t="str">
        <f>"115,6251"</f>
        <v>115,6251</v>
      </c>
      <c r="M48" s="14" t="s">
        <v>450</v>
      </c>
    </row>
    <row r="49" spans="1:13">
      <c r="A49" s="15" t="s">
        <v>187</v>
      </c>
      <c r="B49" s="14" t="s">
        <v>266</v>
      </c>
      <c r="C49" s="14" t="s">
        <v>739</v>
      </c>
      <c r="D49" s="14" t="s">
        <v>267</v>
      </c>
      <c r="E49" s="14" t="s">
        <v>822</v>
      </c>
      <c r="F49" s="14" t="s">
        <v>268</v>
      </c>
      <c r="G49" s="26" t="s">
        <v>48</v>
      </c>
      <c r="H49" s="26" t="s">
        <v>49</v>
      </c>
      <c r="I49" s="15"/>
      <c r="J49" s="15"/>
      <c r="K49" s="31" t="str">
        <f>"150,0"</f>
        <v>150,0</v>
      </c>
      <c r="L49" s="15" t="str">
        <f>"102,7350"</f>
        <v>102,7350</v>
      </c>
      <c r="M49" s="14" t="s">
        <v>269</v>
      </c>
    </row>
    <row r="50" spans="1:13">
      <c r="A50" s="15" t="s">
        <v>189</v>
      </c>
      <c r="B50" s="14" t="s">
        <v>451</v>
      </c>
      <c r="C50" s="14" t="s">
        <v>740</v>
      </c>
      <c r="D50" s="14" t="s">
        <v>452</v>
      </c>
      <c r="E50" s="14" t="s">
        <v>822</v>
      </c>
      <c r="F50" s="14" t="s">
        <v>268</v>
      </c>
      <c r="G50" s="26" t="s">
        <v>22</v>
      </c>
      <c r="H50" s="27" t="s">
        <v>54</v>
      </c>
      <c r="I50" s="27" t="s">
        <v>54</v>
      </c>
      <c r="J50" s="15"/>
      <c r="K50" s="31" t="str">
        <f>"135,0"</f>
        <v>135,0</v>
      </c>
      <c r="L50" s="15" t="str">
        <f>"91,5165"</f>
        <v>91,5165</v>
      </c>
      <c r="M50" s="14" t="s">
        <v>269</v>
      </c>
    </row>
    <row r="51" spans="1:13">
      <c r="A51" s="13" t="s">
        <v>186</v>
      </c>
      <c r="B51" s="12" t="s">
        <v>453</v>
      </c>
      <c r="C51" s="12" t="s">
        <v>741</v>
      </c>
      <c r="D51" s="12" t="s">
        <v>454</v>
      </c>
      <c r="E51" s="12" t="s">
        <v>824</v>
      </c>
      <c r="F51" s="12" t="s">
        <v>268</v>
      </c>
      <c r="G51" s="24" t="s">
        <v>250</v>
      </c>
      <c r="H51" s="25" t="s">
        <v>148</v>
      </c>
      <c r="I51" s="25" t="s">
        <v>148</v>
      </c>
      <c r="J51" s="13"/>
      <c r="K51" s="29" t="str">
        <f>"137,5"</f>
        <v>137,5</v>
      </c>
      <c r="L51" s="13" t="str">
        <f>"103,3778"</f>
        <v>103,3778</v>
      </c>
      <c r="M51" s="12" t="s">
        <v>269</v>
      </c>
    </row>
    <row r="52" spans="1:13">
      <c r="B52" s="5" t="s">
        <v>8</v>
      </c>
    </row>
    <row r="53" spans="1:13" ht="16">
      <c r="A53" s="46" t="s">
        <v>67</v>
      </c>
      <c r="B53" s="46"/>
      <c r="C53" s="47"/>
      <c r="D53" s="47"/>
      <c r="E53" s="47"/>
      <c r="F53" s="47"/>
      <c r="G53" s="47"/>
      <c r="H53" s="47"/>
      <c r="I53" s="47"/>
      <c r="J53" s="47"/>
    </row>
    <row r="54" spans="1:13">
      <c r="A54" s="11" t="s">
        <v>186</v>
      </c>
      <c r="B54" s="10" t="s">
        <v>455</v>
      </c>
      <c r="C54" s="10" t="s">
        <v>456</v>
      </c>
      <c r="D54" s="10" t="s">
        <v>457</v>
      </c>
      <c r="E54" s="10" t="s">
        <v>823</v>
      </c>
      <c r="F54" s="10" t="s">
        <v>378</v>
      </c>
      <c r="G54" s="22" t="s">
        <v>54</v>
      </c>
      <c r="H54" s="22" t="s">
        <v>98</v>
      </c>
      <c r="I54" s="23" t="s">
        <v>55</v>
      </c>
      <c r="J54" s="11"/>
      <c r="K54" s="28" t="str">
        <f>"152,5"</f>
        <v>152,5</v>
      </c>
      <c r="L54" s="11" t="str">
        <f>"97,6305"</f>
        <v>97,6305</v>
      </c>
      <c r="M54" s="10" t="s">
        <v>787</v>
      </c>
    </row>
    <row r="55" spans="1:13">
      <c r="A55" s="15" t="s">
        <v>186</v>
      </c>
      <c r="B55" s="14" t="s">
        <v>458</v>
      </c>
      <c r="C55" s="14" t="s">
        <v>459</v>
      </c>
      <c r="D55" s="14" t="s">
        <v>460</v>
      </c>
      <c r="E55" s="14" t="s">
        <v>820</v>
      </c>
      <c r="F55" s="14" t="s">
        <v>763</v>
      </c>
      <c r="G55" s="26" t="s">
        <v>148</v>
      </c>
      <c r="H55" s="27" t="s">
        <v>98</v>
      </c>
      <c r="I55" s="26" t="s">
        <v>98</v>
      </c>
      <c r="J55" s="15"/>
      <c r="K55" s="31" t="str">
        <f>"152,5"</f>
        <v>152,5</v>
      </c>
      <c r="L55" s="15" t="str">
        <f>"99,4758"</f>
        <v>99,4758</v>
      </c>
      <c r="M55" s="14"/>
    </row>
    <row r="56" spans="1:13">
      <c r="A56" s="15" t="s">
        <v>187</v>
      </c>
      <c r="B56" s="14" t="s">
        <v>461</v>
      </c>
      <c r="C56" s="14" t="s">
        <v>462</v>
      </c>
      <c r="D56" s="14" t="s">
        <v>457</v>
      </c>
      <c r="E56" s="14" t="s">
        <v>820</v>
      </c>
      <c r="F56" s="14" t="s">
        <v>763</v>
      </c>
      <c r="G56" s="26" t="s">
        <v>98</v>
      </c>
      <c r="H56" s="27" t="s">
        <v>71</v>
      </c>
      <c r="I56" s="27" t="s">
        <v>71</v>
      </c>
      <c r="J56" s="15"/>
      <c r="K56" s="31" t="str">
        <f>"152,5"</f>
        <v>152,5</v>
      </c>
      <c r="L56" s="15" t="str">
        <f>"97,6305"</f>
        <v>97,6305</v>
      </c>
      <c r="M56" s="14" t="s">
        <v>463</v>
      </c>
    </row>
    <row r="57" spans="1:13">
      <c r="A57" s="15" t="s">
        <v>189</v>
      </c>
      <c r="B57" s="14" t="s">
        <v>455</v>
      </c>
      <c r="C57" s="14" t="s">
        <v>464</v>
      </c>
      <c r="D57" s="14" t="s">
        <v>457</v>
      </c>
      <c r="E57" s="14" t="s">
        <v>820</v>
      </c>
      <c r="F57" s="14" t="s">
        <v>378</v>
      </c>
      <c r="G57" s="26" t="s">
        <v>54</v>
      </c>
      <c r="H57" s="26" t="s">
        <v>98</v>
      </c>
      <c r="I57" s="27" t="s">
        <v>55</v>
      </c>
      <c r="J57" s="15"/>
      <c r="K57" s="31" t="str">
        <f>"152,5"</f>
        <v>152,5</v>
      </c>
      <c r="L57" s="15" t="str">
        <f>"97,6305"</f>
        <v>97,6305</v>
      </c>
      <c r="M57" s="14" t="s">
        <v>787</v>
      </c>
    </row>
    <row r="58" spans="1:13">
      <c r="A58" s="15" t="s">
        <v>190</v>
      </c>
      <c r="B58" s="14" t="s">
        <v>465</v>
      </c>
      <c r="C58" s="14" t="s">
        <v>466</v>
      </c>
      <c r="D58" s="14" t="s">
        <v>104</v>
      </c>
      <c r="E58" s="14" t="s">
        <v>820</v>
      </c>
      <c r="F58" s="14" t="s">
        <v>378</v>
      </c>
      <c r="G58" s="26" t="s">
        <v>22</v>
      </c>
      <c r="H58" s="27" t="s">
        <v>48</v>
      </c>
      <c r="I58" s="27" t="s">
        <v>48</v>
      </c>
      <c r="J58" s="15"/>
      <c r="K58" s="31" t="str">
        <f>"135,0"</f>
        <v>135,0</v>
      </c>
      <c r="L58" s="15" t="str">
        <f>"87,4125"</f>
        <v>87,4125</v>
      </c>
      <c r="M58" s="14" t="s">
        <v>795</v>
      </c>
    </row>
    <row r="59" spans="1:13">
      <c r="A59" s="15" t="s">
        <v>191</v>
      </c>
      <c r="B59" s="14" t="s">
        <v>467</v>
      </c>
      <c r="C59" s="14" t="s">
        <v>468</v>
      </c>
      <c r="D59" s="14" t="s">
        <v>469</v>
      </c>
      <c r="E59" s="14" t="s">
        <v>820</v>
      </c>
      <c r="F59" s="14" t="s">
        <v>763</v>
      </c>
      <c r="G59" s="26" t="s">
        <v>33</v>
      </c>
      <c r="H59" s="26" t="s">
        <v>34</v>
      </c>
      <c r="I59" s="27" t="s">
        <v>250</v>
      </c>
      <c r="J59" s="15"/>
      <c r="K59" s="31" t="str">
        <f>"132,5"</f>
        <v>132,5</v>
      </c>
      <c r="L59" s="15" t="str">
        <f>"85,6348"</f>
        <v>85,6348</v>
      </c>
      <c r="M59" s="14"/>
    </row>
    <row r="60" spans="1:13">
      <c r="A60" s="15" t="s">
        <v>188</v>
      </c>
      <c r="B60" s="14" t="s">
        <v>470</v>
      </c>
      <c r="C60" s="14" t="s">
        <v>471</v>
      </c>
      <c r="D60" s="14" t="s">
        <v>472</v>
      </c>
      <c r="E60" s="14" t="s">
        <v>820</v>
      </c>
      <c r="F60" s="14" t="s">
        <v>763</v>
      </c>
      <c r="G60" s="27" t="s">
        <v>33</v>
      </c>
      <c r="H60" s="27" t="s">
        <v>22</v>
      </c>
      <c r="I60" s="27" t="s">
        <v>22</v>
      </c>
      <c r="J60" s="15"/>
      <c r="K60" s="31">
        <v>0</v>
      </c>
      <c r="L60" s="15" t="str">
        <f>"0,0000"</f>
        <v>0,0000</v>
      </c>
      <c r="M60" s="14"/>
    </row>
    <row r="61" spans="1:13">
      <c r="A61" s="15" t="s">
        <v>186</v>
      </c>
      <c r="B61" s="14" t="s">
        <v>473</v>
      </c>
      <c r="C61" s="14" t="s">
        <v>711</v>
      </c>
      <c r="D61" s="14" t="s">
        <v>112</v>
      </c>
      <c r="E61" s="14" t="s">
        <v>822</v>
      </c>
      <c r="F61" s="14" t="s">
        <v>763</v>
      </c>
      <c r="G61" s="26" t="s">
        <v>48</v>
      </c>
      <c r="H61" s="26" t="s">
        <v>54</v>
      </c>
      <c r="I61" s="27" t="s">
        <v>148</v>
      </c>
      <c r="J61" s="15"/>
      <c r="K61" s="31" t="str">
        <f>"145,0"</f>
        <v>145,0</v>
      </c>
      <c r="L61" s="15" t="str">
        <f>"93,1045"</f>
        <v>93,1045</v>
      </c>
      <c r="M61" s="14"/>
    </row>
    <row r="62" spans="1:13">
      <c r="A62" s="15" t="s">
        <v>186</v>
      </c>
      <c r="B62" s="14" t="s">
        <v>474</v>
      </c>
      <c r="C62" s="14" t="s">
        <v>742</v>
      </c>
      <c r="D62" s="14" t="s">
        <v>337</v>
      </c>
      <c r="E62" s="14" t="s">
        <v>825</v>
      </c>
      <c r="F62" s="14" t="s">
        <v>771</v>
      </c>
      <c r="G62" s="26" t="s">
        <v>73</v>
      </c>
      <c r="H62" s="26" t="s">
        <v>74</v>
      </c>
      <c r="I62" s="27" t="s">
        <v>33</v>
      </c>
      <c r="J62" s="15"/>
      <c r="K62" s="31" t="str">
        <f>"120,0"</f>
        <v>120,0</v>
      </c>
      <c r="L62" s="15" t="str">
        <f>"90,3191"</f>
        <v>90,3191</v>
      </c>
      <c r="M62" s="14"/>
    </row>
    <row r="63" spans="1:13">
      <c r="A63" s="13" t="s">
        <v>186</v>
      </c>
      <c r="B63" s="12" t="s">
        <v>475</v>
      </c>
      <c r="C63" s="12" t="s">
        <v>743</v>
      </c>
      <c r="D63" s="12" t="s">
        <v>476</v>
      </c>
      <c r="E63" s="12" t="s">
        <v>826</v>
      </c>
      <c r="F63" s="12" t="s">
        <v>763</v>
      </c>
      <c r="G63" s="24" t="s">
        <v>49</v>
      </c>
      <c r="H63" s="25" t="s">
        <v>55</v>
      </c>
      <c r="I63" s="25" t="s">
        <v>71</v>
      </c>
      <c r="J63" s="13"/>
      <c r="K63" s="29" t="str">
        <f>"150,0"</f>
        <v>150,0</v>
      </c>
      <c r="L63" s="13" t="str">
        <f>"137,4539"</f>
        <v>137,4539</v>
      </c>
      <c r="M63" s="12"/>
    </row>
    <row r="64" spans="1:13">
      <c r="B64" s="5" t="s">
        <v>8</v>
      </c>
    </row>
    <row r="65" spans="1:13" ht="16">
      <c r="A65" s="46" t="s">
        <v>114</v>
      </c>
      <c r="B65" s="46"/>
      <c r="C65" s="47"/>
      <c r="D65" s="47"/>
      <c r="E65" s="47"/>
      <c r="F65" s="47"/>
      <c r="G65" s="47"/>
      <c r="H65" s="47"/>
      <c r="I65" s="47"/>
      <c r="J65" s="47"/>
    </row>
    <row r="66" spans="1:13">
      <c r="A66" s="11" t="s">
        <v>188</v>
      </c>
      <c r="B66" s="10" t="s">
        <v>477</v>
      </c>
      <c r="C66" s="10" t="s">
        <v>717</v>
      </c>
      <c r="D66" s="10" t="s">
        <v>478</v>
      </c>
      <c r="E66" s="10" t="s">
        <v>821</v>
      </c>
      <c r="F66" s="10" t="s">
        <v>763</v>
      </c>
      <c r="G66" s="23" t="s">
        <v>22</v>
      </c>
      <c r="H66" s="11"/>
      <c r="I66" s="11"/>
      <c r="J66" s="11"/>
      <c r="K66" s="28">
        <v>0</v>
      </c>
      <c r="L66" s="11" t="str">
        <f>"0,0000"</f>
        <v>0,0000</v>
      </c>
      <c r="M66" s="10"/>
    </row>
    <row r="67" spans="1:13">
      <c r="A67" s="15" t="s">
        <v>186</v>
      </c>
      <c r="B67" s="14" t="s">
        <v>479</v>
      </c>
      <c r="C67" s="14" t="s">
        <v>480</v>
      </c>
      <c r="D67" s="14" t="s">
        <v>481</v>
      </c>
      <c r="E67" s="14" t="s">
        <v>820</v>
      </c>
      <c r="F67" s="14" t="s">
        <v>378</v>
      </c>
      <c r="G67" s="26" t="s">
        <v>54</v>
      </c>
      <c r="H67" s="26" t="s">
        <v>98</v>
      </c>
      <c r="I67" s="27" t="s">
        <v>55</v>
      </c>
      <c r="J67" s="15"/>
      <c r="K67" s="31" t="str">
        <f>"152,5"</f>
        <v>152,5</v>
      </c>
      <c r="L67" s="15" t="str">
        <f>"93,2232"</f>
        <v>93,2232</v>
      </c>
      <c r="M67" s="14" t="s">
        <v>787</v>
      </c>
    </row>
    <row r="68" spans="1:13">
      <c r="A68" s="15" t="s">
        <v>188</v>
      </c>
      <c r="B68" s="14" t="s">
        <v>482</v>
      </c>
      <c r="C68" s="14" t="s">
        <v>483</v>
      </c>
      <c r="D68" s="14" t="s">
        <v>484</v>
      </c>
      <c r="E68" s="14" t="s">
        <v>820</v>
      </c>
      <c r="F68" s="14" t="s">
        <v>763</v>
      </c>
      <c r="G68" s="27" t="s">
        <v>81</v>
      </c>
      <c r="H68" s="27" t="s">
        <v>81</v>
      </c>
      <c r="I68" s="27" t="s">
        <v>81</v>
      </c>
      <c r="J68" s="15"/>
      <c r="K68" s="31" t="str">
        <f>"0.00"</f>
        <v>0.00</v>
      </c>
      <c r="L68" s="15" t="str">
        <f>"0,0000"</f>
        <v>0,0000</v>
      </c>
      <c r="M68" s="14" t="s">
        <v>485</v>
      </c>
    </row>
    <row r="69" spans="1:13">
      <c r="A69" s="13" t="s">
        <v>186</v>
      </c>
      <c r="B69" s="12" t="s">
        <v>486</v>
      </c>
      <c r="C69" s="12" t="s">
        <v>744</v>
      </c>
      <c r="D69" s="12" t="s">
        <v>487</v>
      </c>
      <c r="E69" s="12" t="s">
        <v>824</v>
      </c>
      <c r="F69" s="12" t="s">
        <v>698</v>
      </c>
      <c r="G69" s="24" t="s">
        <v>250</v>
      </c>
      <c r="H69" s="24" t="s">
        <v>23</v>
      </c>
      <c r="I69" s="24" t="s">
        <v>54</v>
      </c>
      <c r="J69" s="13"/>
      <c r="K69" s="29" t="str">
        <f>"145,0"</f>
        <v>145,0</v>
      </c>
      <c r="L69" s="13" t="str">
        <f>"97,4815"</f>
        <v>97,4815</v>
      </c>
      <c r="M69" s="12" t="s">
        <v>699</v>
      </c>
    </row>
    <row r="70" spans="1:13">
      <c r="B70" s="5" t="s">
        <v>8</v>
      </c>
    </row>
    <row r="71" spans="1:13" ht="16">
      <c r="A71" s="46" t="s">
        <v>150</v>
      </c>
      <c r="B71" s="46"/>
      <c r="C71" s="47"/>
      <c r="D71" s="47"/>
      <c r="E71" s="47"/>
      <c r="F71" s="47"/>
      <c r="G71" s="47"/>
      <c r="H71" s="47"/>
      <c r="I71" s="47"/>
      <c r="J71" s="47"/>
    </row>
    <row r="72" spans="1:13">
      <c r="A72" s="11" t="s">
        <v>186</v>
      </c>
      <c r="B72" s="10" t="s">
        <v>488</v>
      </c>
      <c r="C72" s="10" t="s">
        <v>489</v>
      </c>
      <c r="D72" s="10" t="s">
        <v>490</v>
      </c>
      <c r="E72" s="10" t="s">
        <v>820</v>
      </c>
      <c r="F72" s="10" t="s">
        <v>763</v>
      </c>
      <c r="G72" s="22" t="s">
        <v>56</v>
      </c>
      <c r="H72" s="23" t="s">
        <v>57</v>
      </c>
      <c r="I72" s="22" t="s">
        <v>57</v>
      </c>
      <c r="J72" s="11"/>
      <c r="K72" s="28" t="str">
        <f>"170,0"</f>
        <v>170,0</v>
      </c>
      <c r="L72" s="11" t="str">
        <f>"101,4560"</f>
        <v>101,4560</v>
      </c>
      <c r="M72" s="10"/>
    </row>
    <row r="73" spans="1:13">
      <c r="A73" s="15" t="s">
        <v>187</v>
      </c>
      <c r="B73" s="14" t="s">
        <v>491</v>
      </c>
      <c r="C73" s="14" t="s">
        <v>492</v>
      </c>
      <c r="D73" s="14" t="s">
        <v>493</v>
      </c>
      <c r="E73" s="14" t="s">
        <v>820</v>
      </c>
      <c r="F73" s="14" t="s">
        <v>349</v>
      </c>
      <c r="G73" s="26" t="s">
        <v>57</v>
      </c>
      <c r="H73" s="27" t="s">
        <v>84</v>
      </c>
      <c r="I73" s="27" t="s">
        <v>84</v>
      </c>
      <c r="J73" s="15"/>
      <c r="K73" s="31" t="str">
        <f>"170,0"</f>
        <v>170,0</v>
      </c>
      <c r="L73" s="15" t="str">
        <f>"100,5040"</f>
        <v>100,5040</v>
      </c>
      <c r="M73" s="14" t="s">
        <v>450</v>
      </c>
    </row>
    <row r="74" spans="1:13">
      <c r="A74" s="15" t="s">
        <v>186</v>
      </c>
      <c r="B74" s="14" t="s">
        <v>494</v>
      </c>
      <c r="C74" s="14" t="s">
        <v>745</v>
      </c>
      <c r="D74" s="14" t="s">
        <v>495</v>
      </c>
      <c r="E74" s="14" t="s">
        <v>822</v>
      </c>
      <c r="F74" s="14" t="s">
        <v>763</v>
      </c>
      <c r="G74" s="26" t="s">
        <v>55</v>
      </c>
      <c r="H74" s="26" t="s">
        <v>113</v>
      </c>
      <c r="I74" s="26" t="s">
        <v>84</v>
      </c>
      <c r="J74" s="15"/>
      <c r="K74" s="31" t="str">
        <f>"175,0"</f>
        <v>175,0</v>
      </c>
      <c r="L74" s="15" t="str">
        <f>"108,6152"</f>
        <v>108,6152</v>
      </c>
      <c r="M74" s="14"/>
    </row>
    <row r="75" spans="1:13">
      <c r="A75" s="15" t="s">
        <v>188</v>
      </c>
      <c r="B75" s="14" t="s">
        <v>496</v>
      </c>
      <c r="C75" s="14" t="s">
        <v>746</v>
      </c>
      <c r="D75" s="14" t="s">
        <v>497</v>
      </c>
      <c r="E75" s="14" t="s">
        <v>822</v>
      </c>
      <c r="F75" s="14" t="s">
        <v>763</v>
      </c>
      <c r="G75" s="27" t="s">
        <v>49</v>
      </c>
      <c r="H75" s="27" t="s">
        <v>49</v>
      </c>
      <c r="I75" s="27" t="s">
        <v>49</v>
      </c>
      <c r="J75" s="15"/>
      <c r="K75" s="31">
        <v>0</v>
      </c>
      <c r="L75" s="15" t="str">
        <f>"0,0000"</f>
        <v>0,0000</v>
      </c>
      <c r="M75" s="14"/>
    </row>
    <row r="76" spans="1:13">
      <c r="A76" s="15" t="s">
        <v>186</v>
      </c>
      <c r="B76" s="14" t="s">
        <v>498</v>
      </c>
      <c r="C76" s="14" t="s">
        <v>747</v>
      </c>
      <c r="D76" s="14" t="s">
        <v>499</v>
      </c>
      <c r="E76" s="14" t="s">
        <v>824</v>
      </c>
      <c r="F76" s="14" t="s">
        <v>763</v>
      </c>
      <c r="G76" s="27" t="s">
        <v>59</v>
      </c>
      <c r="H76" s="26" t="s">
        <v>59</v>
      </c>
      <c r="I76" s="27" t="s">
        <v>107</v>
      </c>
      <c r="J76" s="15"/>
      <c r="K76" s="31" t="str">
        <f>"190,0"</f>
        <v>190,0</v>
      </c>
      <c r="L76" s="15" t="str">
        <f>"124,7358"</f>
        <v>124,7358</v>
      </c>
      <c r="M76" s="14" t="s">
        <v>450</v>
      </c>
    </row>
    <row r="77" spans="1:13">
      <c r="A77" s="13" t="s">
        <v>186</v>
      </c>
      <c r="B77" s="12" t="s">
        <v>500</v>
      </c>
      <c r="C77" s="12" t="s">
        <v>748</v>
      </c>
      <c r="D77" s="12" t="s">
        <v>501</v>
      </c>
      <c r="E77" s="12" t="s">
        <v>827</v>
      </c>
      <c r="F77" s="12" t="s">
        <v>763</v>
      </c>
      <c r="G77" s="25" t="s">
        <v>33</v>
      </c>
      <c r="H77" s="24" t="s">
        <v>33</v>
      </c>
      <c r="I77" s="25" t="s">
        <v>81</v>
      </c>
      <c r="J77" s="13"/>
      <c r="K77" s="29" t="str">
        <f>"125,0"</f>
        <v>125,0</v>
      </c>
      <c r="L77" s="13" t="str">
        <f>"121,1905"</f>
        <v>121,1905</v>
      </c>
      <c r="M77" s="12"/>
    </row>
    <row r="78" spans="1:13">
      <c r="B78" s="5" t="s">
        <v>8</v>
      </c>
    </row>
    <row r="79" spans="1:13" ht="16">
      <c r="A79" s="46" t="s">
        <v>299</v>
      </c>
      <c r="B79" s="46"/>
      <c r="C79" s="47"/>
      <c r="D79" s="47"/>
      <c r="E79" s="47"/>
      <c r="F79" s="47"/>
      <c r="G79" s="47"/>
      <c r="H79" s="47"/>
      <c r="I79" s="47"/>
      <c r="J79" s="47"/>
    </row>
    <row r="80" spans="1:13">
      <c r="A80" s="11" t="s">
        <v>186</v>
      </c>
      <c r="B80" s="10" t="s">
        <v>502</v>
      </c>
      <c r="C80" s="10" t="s">
        <v>503</v>
      </c>
      <c r="D80" s="10" t="s">
        <v>504</v>
      </c>
      <c r="E80" s="10" t="s">
        <v>820</v>
      </c>
      <c r="F80" s="10" t="s">
        <v>763</v>
      </c>
      <c r="G80" s="22" t="s">
        <v>442</v>
      </c>
      <c r="H80" s="23" t="s">
        <v>72</v>
      </c>
      <c r="I80" s="22" t="s">
        <v>72</v>
      </c>
      <c r="J80" s="11"/>
      <c r="K80" s="28" t="str">
        <f>"180,0"</f>
        <v>180,0</v>
      </c>
      <c r="L80" s="11" t="str">
        <f>"102,7620"</f>
        <v>102,7620</v>
      </c>
      <c r="M80" s="10" t="s">
        <v>77</v>
      </c>
    </row>
    <row r="81" spans="1:13">
      <c r="A81" s="15" t="s">
        <v>187</v>
      </c>
      <c r="B81" s="14" t="s">
        <v>505</v>
      </c>
      <c r="C81" s="14" t="s">
        <v>506</v>
      </c>
      <c r="D81" s="14" t="s">
        <v>507</v>
      </c>
      <c r="E81" s="14" t="s">
        <v>820</v>
      </c>
      <c r="F81" s="14" t="s">
        <v>763</v>
      </c>
      <c r="G81" s="26" t="s">
        <v>84</v>
      </c>
      <c r="H81" s="27" t="s">
        <v>139</v>
      </c>
      <c r="I81" s="27" t="s">
        <v>139</v>
      </c>
      <c r="J81" s="15"/>
      <c r="K81" s="31" t="str">
        <f>"175,0"</f>
        <v>175,0</v>
      </c>
      <c r="L81" s="15" t="str">
        <f>"100,4150"</f>
        <v>100,4150</v>
      </c>
      <c r="M81" s="14" t="s">
        <v>796</v>
      </c>
    </row>
    <row r="82" spans="1:13">
      <c r="A82" s="13" t="s">
        <v>186</v>
      </c>
      <c r="B82" s="12" t="s">
        <v>502</v>
      </c>
      <c r="C82" s="12" t="s">
        <v>749</v>
      </c>
      <c r="D82" s="12" t="s">
        <v>504</v>
      </c>
      <c r="E82" s="12" t="s">
        <v>824</v>
      </c>
      <c r="F82" s="12" t="s">
        <v>763</v>
      </c>
      <c r="G82" s="24" t="s">
        <v>442</v>
      </c>
      <c r="H82" s="25" t="s">
        <v>72</v>
      </c>
      <c r="I82" s="24" t="s">
        <v>72</v>
      </c>
      <c r="J82" s="13"/>
      <c r="K82" s="29" t="str">
        <f>"180,0"</f>
        <v>180,0</v>
      </c>
      <c r="L82" s="13" t="str">
        <f>"108,9277"</f>
        <v>108,9277</v>
      </c>
      <c r="M82" s="12" t="s">
        <v>77</v>
      </c>
    </row>
    <row r="83" spans="1:13">
      <c r="B83" s="5" t="s">
        <v>8</v>
      </c>
    </row>
    <row r="84" spans="1:13">
      <c r="B84" s="5" t="s">
        <v>8</v>
      </c>
    </row>
    <row r="85" spans="1:13">
      <c r="B85" s="5" t="s">
        <v>8</v>
      </c>
    </row>
    <row r="86" spans="1:13" ht="18">
      <c r="B86" s="7" t="s">
        <v>7</v>
      </c>
      <c r="C86" s="7"/>
      <c r="F86" s="3"/>
    </row>
    <row r="87" spans="1:13" ht="16">
      <c r="B87" s="16" t="s">
        <v>160</v>
      </c>
      <c r="C87" s="16"/>
      <c r="F87" s="3"/>
    </row>
    <row r="88" spans="1:13" ht="14">
      <c r="B88" s="17"/>
      <c r="C88" s="18" t="s">
        <v>161</v>
      </c>
      <c r="F88" s="3"/>
    </row>
    <row r="89" spans="1:13" ht="14">
      <c r="B89" s="19" t="s">
        <v>162</v>
      </c>
      <c r="C89" s="19" t="s">
        <v>163</v>
      </c>
      <c r="D89" s="19" t="s">
        <v>765</v>
      </c>
      <c r="E89" s="19" t="s">
        <v>364</v>
      </c>
      <c r="F89" s="19" t="s">
        <v>166</v>
      </c>
    </row>
    <row r="90" spans="1:13">
      <c r="B90" s="5" t="s">
        <v>375</v>
      </c>
      <c r="C90" s="5" t="s">
        <v>161</v>
      </c>
      <c r="D90" s="6" t="s">
        <v>508</v>
      </c>
      <c r="E90" s="6" t="s">
        <v>92</v>
      </c>
      <c r="F90" s="6" t="s">
        <v>509</v>
      </c>
    </row>
    <row r="91" spans="1:13">
      <c r="B91" s="5" t="s">
        <v>380</v>
      </c>
      <c r="C91" s="5" t="s">
        <v>161</v>
      </c>
      <c r="D91" s="6" t="s">
        <v>508</v>
      </c>
      <c r="E91" s="6" t="s">
        <v>38</v>
      </c>
      <c r="F91" s="6" t="s">
        <v>510</v>
      </c>
    </row>
    <row r="92" spans="1:13">
      <c r="B92" s="5" t="s">
        <v>223</v>
      </c>
      <c r="C92" s="5" t="s">
        <v>161</v>
      </c>
      <c r="D92" s="6" t="s">
        <v>167</v>
      </c>
      <c r="E92" s="6" t="s">
        <v>199</v>
      </c>
      <c r="F92" s="6" t="s">
        <v>511</v>
      </c>
    </row>
    <row r="94" spans="1:13" ht="16">
      <c r="B94" s="16" t="s">
        <v>177</v>
      </c>
      <c r="C94" s="16"/>
    </row>
    <row r="95" spans="1:13" ht="14">
      <c r="B95" s="17"/>
      <c r="C95" s="18" t="s">
        <v>161</v>
      </c>
    </row>
    <row r="96" spans="1:13" ht="14">
      <c r="B96" s="19" t="s">
        <v>162</v>
      </c>
      <c r="C96" s="19" t="s">
        <v>163</v>
      </c>
      <c r="D96" s="19" t="s">
        <v>765</v>
      </c>
      <c r="E96" s="19" t="s">
        <v>364</v>
      </c>
      <c r="F96" s="19" t="s">
        <v>166</v>
      </c>
    </row>
    <row r="97" spans="2:6">
      <c r="B97" s="5" t="s">
        <v>413</v>
      </c>
      <c r="C97" s="5" t="s">
        <v>161</v>
      </c>
      <c r="D97" s="6" t="s">
        <v>308</v>
      </c>
      <c r="E97" s="6" t="s">
        <v>49</v>
      </c>
      <c r="F97" s="6" t="s">
        <v>512</v>
      </c>
    </row>
    <row r="98" spans="2:6">
      <c r="B98" s="5" t="s">
        <v>439</v>
      </c>
      <c r="C98" s="5" t="s">
        <v>161</v>
      </c>
      <c r="D98" s="6" t="s">
        <v>320</v>
      </c>
      <c r="E98" s="6" t="s">
        <v>55</v>
      </c>
      <c r="F98" s="6" t="s">
        <v>513</v>
      </c>
    </row>
    <row r="99" spans="2:6">
      <c r="B99" s="5" t="s">
        <v>502</v>
      </c>
      <c r="C99" s="5" t="s">
        <v>161</v>
      </c>
      <c r="D99" s="6" t="s">
        <v>312</v>
      </c>
      <c r="E99" s="6" t="s">
        <v>72</v>
      </c>
      <c r="F99" s="6" t="s">
        <v>514</v>
      </c>
    </row>
    <row r="101" spans="2:6" ht="14">
      <c r="B101" s="17"/>
      <c r="C101" s="18" t="s">
        <v>176</v>
      </c>
    </row>
    <row r="102" spans="2:6" ht="14">
      <c r="B102" s="19" t="s">
        <v>162</v>
      </c>
      <c r="C102" s="19" t="s">
        <v>163</v>
      </c>
      <c r="D102" s="19" t="s">
        <v>765</v>
      </c>
      <c r="E102" s="19" t="s">
        <v>364</v>
      </c>
      <c r="F102" s="19" t="s">
        <v>166</v>
      </c>
    </row>
    <row r="103" spans="2:6">
      <c r="B103" s="5" t="s">
        <v>475</v>
      </c>
      <c r="C103" s="5" t="s">
        <v>723</v>
      </c>
      <c r="D103" s="6" t="s">
        <v>170</v>
      </c>
      <c r="E103" s="6" t="s">
        <v>49</v>
      </c>
      <c r="F103" s="6" t="s">
        <v>515</v>
      </c>
    </row>
    <row r="104" spans="2:6">
      <c r="B104" s="5" t="s">
        <v>428</v>
      </c>
      <c r="C104" s="5" t="s">
        <v>723</v>
      </c>
      <c r="D104" s="6" t="s">
        <v>308</v>
      </c>
      <c r="E104" s="6" t="s">
        <v>81</v>
      </c>
      <c r="F104" s="6" t="s">
        <v>516</v>
      </c>
    </row>
    <row r="105" spans="2:6">
      <c r="B105" s="5" t="s">
        <v>498</v>
      </c>
      <c r="C105" s="5" t="s">
        <v>722</v>
      </c>
      <c r="D105" s="6" t="s">
        <v>313</v>
      </c>
      <c r="E105" s="6" t="s">
        <v>59</v>
      </c>
      <c r="F105" s="6" t="s">
        <v>517</v>
      </c>
    </row>
    <row r="106" spans="2:6">
      <c r="B106" s="5" t="s">
        <v>8</v>
      </c>
    </row>
  </sheetData>
  <mergeCells count="22">
    <mergeCell ref="A53:J53"/>
    <mergeCell ref="A65:J65"/>
    <mergeCell ref="A71:J71"/>
    <mergeCell ref="A79:J79"/>
    <mergeCell ref="B3:B4"/>
    <mergeCell ref="A9:J9"/>
    <mergeCell ref="A16:J16"/>
    <mergeCell ref="A20:J20"/>
    <mergeCell ref="A25:J25"/>
    <mergeCell ref="A28:J28"/>
    <mergeCell ref="A43:J4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2A0B-2D02-4721-B917-D4F99E3DA9E7}">
  <dimension ref="A1:M44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5.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7.5" style="5" bestFit="1" customWidth="1"/>
    <col min="14" max="16384" width="9.1640625" style="3"/>
  </cols>
  <sheetData>
    <row r="1" spans="1:13" s="2" customFormat="1" ht="29" customHeight="1">
      <c r="A1" s="33" t="s">
        <v>693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817</v>
      </c>
      <c r="B3" s="54" t="s">
        <v>0</v>
      </c>
      <c r="C3" s="43" t="s">
        <v>818</v>
      </c>
      <c r="D3" s="43" t="s">
        <v>6</v>
      </c>
      <c r="E3" s="45" t="s">
        <v>819</v>
      </c>
      <c r="F3" s="45" t="s">
        <v>5</v>
      </c>
      <c r="G3" s="45" t="s">
        <v>10</v>
      </c>
      <c r="H3" s="45"/>
      <c r="I3" s="45"/>
      <c r="J3" s="45"/>
      <c r="K3" s="48" t="s">
        <v>368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44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9" t="s">
        <v>186</v>
      </c>
      <c r="B6" s="8" t="s">
        <v>332</v>
      </c>
      <c r="C6" s="8" t="s">
        <v>333</v>
      </c>
      <c r="D6" s="8" t="s">
        <v>47</v>
      </c>
      <c r="E6" s="8" t="s">
        <v>820</v>
      </c>
      <c r="F6" s="8" t="s">
        <v>763</v>
      </c>
      <c r="G6" s="20" t="s">
        <v>195</v>
      </c>
      <c r="H6" s="21" t="s">
        <v>196</v>
      </c>
      <c r="I6" s="20" t="s">
        <v>196</v>
      </c>
      <c r="J6" s="9"/>
      <c r="K6" s="32" t="str">
        <f>"45,0"</f>
        <v>45,0</v>
      </c>
      <c r="L6" s="9" t="str">
        <f>"50,1705"</f>
        <v>50,1705</v>
      </c>
      <c r="M6" s="8" t="s">
        <v>797</v>
      </c>
    </row>
    <row r="7" spans="1:13">
      <c r="B7" s="5" t="s">
        <v>8</v>
      </c>
    </row>
    <row r="8" spans="1:13" ht="16">
      <c r="A8" s="46" t="s">
        <v>85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9" t="s">
        <v>186</v>
      </c>
      <c r="B9" s="8" t="s">
        <v>334</v>
      </c>
      <c r="C9" s="8" t="s">
        <v>750</v>
      </c>
      <c r="D9" s="8" t="s">
        <v>335</v>
      </c>
      <c r="E9" s="8" t="s">
        <v>828</v>
      </c>
      <c r="F9" s="8" t="s">
        <v>763</v>
      </c>
      <c r="G9" s="20" t="s">
        <v>41</v>
      </c>
      <c r="H9" s="20" t="s">
        <v>215</v>
      </c>
      <c r="I9" s="20" t="s">
        <v>64</v>
      </c>
      <c r="J9" s="9"/>
      <c r="K9" s="32" t="str">
        <f>"65,0"</f>
        <v>65,0</v>
      </c>
      <c r="L9" s="9" t="str">
        <f>"87,9910"</f>
        <v>87,9910</v>
      </c>
      <c r="M9" s="8" t="s">
        <v>797</v>
      </c>
    </row>
    <row r="10" spans="1:13">
      <c r="B10" s="5" t="s">
        <v>8</v>
      </c>
    </row>
    <row r="11" spans="1:13" ht="16">
      <c r="A11" s="46" t="s">
        <v>67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9" t="s">
        <v>186</v>
      </c>
      <c r="B12" s="8" t="s">
        <v>336</v>
      </c>
      <c r="C12" s="8" t="s">
        <v>751</v>
      </c>
      <c r="D12" s="8" t="s">
        <v>337</v>
      </c>
      <c r="E12" s="8" t="s">
        <v>829</v>
      </c>
      <c r="F12" s="8" t="s">
        <v>763</v>
      </c>
      <c r="G12" s="20" t="s">
        <v>74</v>
      </c>
      <c r="H12" s="20" t="s">
        <v>33</v>
      </c>
      <c r="I12" s="20" t="s">
        <v>21</v>
      </c>
      <c r="J12" s="9"/>
      <c r="K12" s="32" t="str">
        <f>"127,5"</f>
        <v>127,5</v>
      </c>
      <c r="L12" s="9" t="str">
        <f>"106,5628"</f>
        <v>106,5628</v>
      </c>
      <c r="M12" s="8"/>
    </row>
    <row r="13" spans="1:13">
      <c r="B13" s="5" t="s">
        <v>8</v>
      </c>
    </row>
    <row r="14" spans="1:13" ht="16">
      <c r="A14" s="46" t="s">
        <v>114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11" t="s">
        <v>186</v>
      </c>
      <c r="B15" s="10" t="s">
        <v>128</v>
      </c>
      <c r="C15" s="10" t="s">
        <v>720</v>
      </c>
      <c r="D15" s="10" t="s">
        <v>130</v>
      </c>
      <c r="E15" s="10" t="s">
        <v>821</v>
      </c>
      <c r="F15" s="10" t="s">
        <v>131</v>
      </c>
      <c r="G15" s="22" t="s">
        <v>72</v>
      </c>
      <c r="H15" s="23" t="s">
        <v>59</v>
      </c>
      <c r="I15" s="22" t="s">
        <v>59</v>
      </c>
      <c r="J15" s="11"/>
      <c r="K15" s="28" t="str">
        <f>"190,0"</f>
        <v>190,0</v>
      </c>
      <c r="L15" s="11" t="str">
        <f>"116,1090"</f>
        <v>116,1090</v>
      </c>
      <c r="M15" s="10"/>
    </row>
    <row r="16" spans="1:13">
      <c r="A16" s="15" t="s">
        <v>186</v>
      </c>
      <c r="B16" s="14" t="s">
        <v>338</v>
      </c>
      <c r="C16" s="14" t="s">
        <v>339</v>
      </c>
      <c r="D16" s="14" t="s">
        <v>340</v>
      </c>
      <c r="E16" s="14" t="s">
        <v>820</v>
      </c>
      <c r="F16" s="14" t="s">
        <v>763</v>
      </c>
      <c r="G16" s="26" t="s">
        <v>76</v>
      </c>
      <c r="H16" s="27" t="s">
        <v>341</v>
      </c>
      <c r="I16" s="27" t="s">
        <v>341</v>
      </c>
      <c r="J16" s="15"/>
      <c r="K16" s="31" t="str">
        <f>"205,0"</f>
        <v>205,0</v>
      </c>
      <c r="L16" s="15" t="str">
        <f>"128,0020"</f>
        <v>128,0020</v>
      </c>
      <c r="M16" s="14" t="s">
        <v>798</v>
      </c>
    </row>
    <row r="17" spans="1:13">
      <c r="A17" s="15" t="s">
        <v>187</v>
      </c>
      <c r="B17" s="14" t="s">
        <v>342</v>
      </c>
      <c r="C17" s="14" t="s">
        <v>343</v>
      </c>
      <c r="D17" s="14" t="s">
        <v>344</v>
      </c>
      <c r="E17" s="14" t="s">
        <v>820</v>
      </c>
      <c r="F17" s="14" t="s">
        <v>763</v>
      </c>
      <c r="G17" s="26" t="s">
        <v>72</v>
      </c>
      <c r="H17" s="26" t="s">
        <v>59</v>
      </c>
      <c r="I17" s="26" t="s">
        <v>345</v>
      </c>
      <c r="J17" s="15"/>
      <c r="K17" s="31" t="str">
        <f>"197,5"</f>
        <v>197,5</v>
      </c>
      <c r="L17" s="15" t="str">
        <f>"122,5685"</f>
        <v>122,5685</v>
      </c>
      <c r="M17" s="14"/>
    </row>
    <row r="18" spans="1:13">
      <c r="A18" s="15" t="s">
        <v>189</v>
      </c>
      <c r="B18" s="14" t="s">
        <v>346</v>
      </c>
      <c r="C18" s="14" t="s">
        <v>347</v>
      </c>
      <c r="D18" s="14" t="s">
        <v>348</v>
      </c>
      <c r="E18" s="14" t="s">
        <v>820</v>
      </c>
      <c r="F18" s="14" t="s">
        <v>349</v>
      </c>
      <c r="G18" s="26" t="s">
        <v>106</v>
      </c>
      <c r="H18" s="27" t="s">
        <v>59</v>
      </c>
      <c r="I18" s="27" t="s">
        <v>59</v>
      </c>
      <c r="J18" s="15"/>
      <c r="K18" s="31" t="str">
        <f>"185,0"</f>
        <v>185,0</v>
      </c>
      <c r="L18" s="15" t="str">
        <f>"113,1460"</f>
        <v>113,1460</v>
      </c>
      <c r="M18" s="14" t="s">
        <v>799</v>
      </c>
    </row>
    <row r="19" spans="1:13">
      <c r="A19" s="15" t="s">
        <v>188</v>
      </c>
      <c r="B19" s="14" t="s">
        <v>350</v>
      </c>
      <c r="C19" s="14" t="s">
        <v>351</v>
      </c>
      <c r="D19" s="14" t="s">
        <v>352</v>
      </c>
      <c r="E19" s="14" t="s">
        <v>820</v>
      </c>
      <c r="F19" s="14" t="s">
        <v>764</v>
      </c>
      <c r="G19" s="27" t="s">
        <v>108</v>
      </c>
      <c r="H19" s="27" t="s">
        <v>108</v>
      </c>
      <c r="I19" s="27" t="s">
        <v>108</v>
      </c>
      <c r="J19" s="15"/>
      <c r="K19" s="31">
        <v>0</v>
      </c>
      <c r="L19" s="15" t="str">
        <f>"0,0000"</f>
        <v>0,0000</v>
      </c>
      <c r="M19" s="14"/>
    </row>
    <row r="20" spans="1:13">
      <c r="A20" s="15" t="s">
        <v>186</v>
      </c>
      <c r="B20" s="14" t="s">
        <v>342</v>
      </c>
      <c r="C20" s="14" t="s">
        <v>752</v>
      </c>
      <c r="D20" s="14" t="s">
        <v>344</v>
      </c>
      <c r="E20" s="14" t="s">
        <v>822</v>
      </c>
      <c r="F20" s="14" t="s">
        <v>763</v>
      </c>
      <c r="G20" s="26" t="s">
        <v>72</v>
      </c>
      <c r="H20" s="26" t="s">
        <v>59</v>
      </c>
      <c r="I20" s="26" t="s">
        <v>345</v>
      </c>
      <c r="J20" s="15"/>
      <c r="K20" s="31" t="str">
        <f>"197,5"</f>
        <v>197,5</v>
      </c>
      <c r="L20" s="15" t="str">
        <f>"123,1813"</f>
        <v>123,1813</v>
      </c>
      <c r="M20" s="14"/>
    </row>
    <row r="21" spans="1:13">
      <c r="A21" s="13" t="s">
        <v>186</v>
      </c>
      <c r="B21" s="12" t="s">
        <v>353</v>
      </c>
      <c r="C21" s="12" t="s">
        <v>753</v>
      </c>
      <c r="D21" s="12" t="s">
        <v>287</v>
      </c>
      <c r="E21" s="12" t="s">
        <v>827</v>
      </c>
      <c r="F21" s="12" t="s">
        <v>354</v>
      </c>
      <c r="G21" s="24" t="s">
        <v>32</v>
      </c>
      <c r="H21" s="24" t="s">
        <v>204</v>
      </c>
      <c r="I21" s="24" t="s">
        <v>303</v>
      </c>
      <c r="J21" s="13"/>
      <c r="K21" s="29" t="str">
        <f>"122,5"</f>
        <v>122,5</v>
      </c>
      <c r="L21" s="13" t="str">
        <f>"115,9055"</f>
        <v>115,9055</v>
      </c>
      <c r="M21" s="12"/>
    </row>
    <row r="22" spans="1:13">
      <c r="B22" s="5" t="s">
        <v>8</v>
      </c>
    </row>
    <row r="23" spans="1:13" ht="16">
      <c r="A23" s="46" t="s">
        <v>150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9" t="s">
        <v>186</v>
      </c>
      <c r="B24" s="8" t="s">
        <v>355</v>
      </c>
      <c r="C24" s="8" t="s">
        <v>754</v>
      </c>
      <c r="D24" s="8" t="s">
        <v>356</v>
      </c>
      <c r="E24" s="8" t="s">
        <v>824</v>
      </c>
      <c r="F24" s="8" t="s">
        <v>354</v>
      </c>
      <c r="G24" s="21" t="s">
        <v>55</v>
      </c>
      <c r="H24" s="20" t="s">
        <v>246</v>
      </c>
      <c r="I24" s="20" t="s">
        <v>56</v>
      </c>
      <c r="J24" s="9"/>
      <c r="K24" s="32" t="str">
        <f>"162,5"</f>
        <v>162,5</v>
      </c>
      <c r="L24" s="9" t="str">
        <f>"109,4839"</f>
        <v>109,4839</v>
      </c>
      <c r="M24" s="8"/>
    </row>
    <row r="25" spans="1:13">
      <c r="B25" s="5" t="s">
        <v>8</v>
      </c>
    </row>
    <row r="26" spans="1:13" ht="16">
      <c r="A26" s="46" t="s">
        <v>299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9" t="s">
        <v>186</v>
      </c>
      <c r="B27" s="8" t="s">
        <v>357</v>
      </c>
      <c r="C27" s="8" t="s">
        <v>358</v>
      </c>
      <c r="D27" s="8" t="s">
        <v>359</v>
      </c>
      <c r="E27" s="8" t="s">
        <v>820</v>
      </c>
      <c r="F27" s="8" t="s">
        <v>763</v>
      </c>
      <c r="G27" s="20" t="s">
        <v>59</v>
      </c>
      <c r="H27" s="20" t="s">
        <v>96</v>
      </c>
      <c r="I27" s="20" t="s">
        <v>107</v>
      </c>
      <c r="J27" s="9"/>
      <c r="K27" s="32" t="str">
        <f>"200,0"</f>
        <v>200,0</v>
      </c>
      <c r="L27" s="9" t="str">
        <f>"117,0400"</f>
        <v>117,0400</v>
      </c>
      <c r="M27" s="8" t="s">
        <v>800</v>
      </c>
    </row>
    <row r="28" spans="1:13">
      <c r="B28" s="5" t="s">
        <v>8</v>
      </c>
    </row>
    <row r="29" spans="1:13" ht="16">
      <c r="A29" s="46" t="s">
        <v>154</v>
      </c>
      <c r="B29" s="46"/>
      <c r="C29" s="47"/>
      <c r="D29" s="47"/>
      <c r="E29" s="47"/>
      <c r="F29" s="47"/>
      <c r="G29" s="47"/>
      <c r="H29" s="47"/>
      <c r="I29" s="47"/>
      <c r="J29" s="47"/>
    </row>
    <row r="30" spans="1:13">
      <c r="A30" s="9" t="s">
        <v>186</v>
      </c>
      <c r="B30" s="8" t="s">
        <v>155</v>
      </c>
      <c r="C30" s="8" t="s">
        <v>156</v>
      </c>
      <c r="D30" s="8" t="s">
        <v>157</v>
      </c>
      <c r="E30" s="8" t="s">
        <v>820</v>
      </c>
      <c r="F30" s="8" t="s">
        <v>763</v>
      </c>
      <c r="G30" s="21" t="s">
        <v>72</v>
      </c>
      <c r="H30" s="20" t="s">
        <v>72</v>
      </c>
      <c r="I30" s="9"/>
      <c r="J30" s="9"/>
      <c r="K30" s="32" t="str">
        <f>"180,0"</f>
        <v>180,0</v>
      </c>
      <c r="L30" s="9" t="str">
        <f>"101,3400"</f>
        <v>101,3400</v>
      </c>
      <c r="M30" s="8"/>
    </row>
    <row r="31" spans="1:13">
      <c r="B31" s="5" t="s">
        <v>8</v>
      </c>
    </row>
    <row r="32" spans="1:13" ht="16">
      <c r="A32" s="46" t="s">
        <v>360</v>
      </c>
      <c r="B32" s="46"/>
      <c r="C32" s="47"/>
      <c r="D32" s="47"/>
      <c r="E32" s="47"/>
      <c r="F32" s="47"/>
      <c r="G32" s="47"/>
      <c r="H32" s="47"/>
      <c r="I32" s="47"/>
      <c r="J32" s="47"/>
    </row>
    <row r="33" spans="1:13">
      <c r="A33" s="9" t="s">
        <v>186</v>
      </c>
      <c r="B33" s="8" t="s">
        <v>361</v>
      </c>
      <c r="C33" s="8" t="s">
        <v>362</v>
      </c>
      <c r="D33" s="8" t="s">
        <v>363</v>
      </c>
      <c r="E33" s="8" t="s">
        <v>820</v>
      </c>
      <c r="F33" s="8" t="s">
        <v>763</v>
      </c>
      <c r="G33" s="20" t="s">
        <v>132</v>
      </c>
      <c r="H33" s="20" t="s">
        <v>144</v>
      </c>
      <c r="I33" s="21" t="s">
        <v>147</v>
      </c>
      <c r="J33" s="9"/>
      <c r="K33" s="32" t="str">
        <f>"225,0"</f>
        <v>225,0</v>
      </c>
      <c r="L33" s="9" t="str">
        <f>"124,2000"</f>
        <v>124,2000</v>
      </c>
      <c r="M33" s="8" t="s">
        <v>786</v>
      </c>
    </row>
    <row r="34" spans="1:13">
      <c r="B34" s="5" t="s">
        <v>8</v>
      </c>
    </row>
    <row r="35" spans="1:13">
      <c r="B35" s="5" t="s">
        <v>8</v>
      </c>
    </row>
    <row r="36" spans="1:13">
      <c r="B36" s="5" t="s">
        <v>8</v>
      </c>
    </row>
    <row r="37" spans="1:13" ht="18">
      <c r="B37" s="7" t="s">
        <v>7</v>
      </c>
      <c r="C37" s="7"/>
      <c r="F37" s="3"/>
    </row>
    <row r="38" spans="1:13" ht="16">
      <c r="B38" s="16" t="s">
        <v>177</v>
      </c>
      <c r="C38" s="16"/>
      <c r="F38" s="3"/>
    </row>
    <row r="39" spans="1:13" ht="14">
      <c r="B39" s="17"/>
      <c r="C39" s="18" t="s">
        <v>176</v>
      </c>
      <c r="F39" s="3"/>
    </row>
    <row r="40" spans="1:13" ht="14">
      <c r="B40" s="19" t="s">
        <v>162</v>
      </c>
      <c r="C40" s="19" t="s">
        <v>163</v>
      </c>
      <c r="D40" s="19" t="s">
        <v>164</v>
      </c>
      <c r="E40" s="19" t="s">
        <v>364</v>
      </c>
      <c r="F40" s="19" t="s">
        <v>166</v>
      </c>
    </row>
    <row r="41" spans="1:13">
      <c r="B41" s="5" t="s">
        <v>342</v>
      </c>
      <c r="C41" s="5" t="s">
        <v>712</v>
      </c>
      <c r="D41" s="6" t="s">
        <v>178</v>
      </c>
      <c r="E41" s="6" t="s">
        <v>345</v>
      </c>
      <c r="F41" s="6" t="s">
        <v>365</v>
      </c>
    </row>
    <row r="42" spans="1:13">
      <c r="B42" s="5" t="s">
        <v>353</v>
      </c>
      <c r="C42" s="5" t="s">
        <v>755</v>
      </c>
      <c r="D42" s="6" t="s">
        <v>178</v>
      </c>
      <c r="E42" s="6" t="s">
        <v>303</v>
      </c>
      <c r="F42" s="6" t="s">
        <v>366</v>
      </c>
    </row>
    <row r="43" spans="1:13">
      <c r="B43" s="5" t="s">
        <v>355</v>
      </c>
      <c r="C43" s="5" t="s">
        <v>722</v>
      </c>
      <c r="D43" s="6" t="s">
        <v>313</v>
      </c>
      <c r="E43" s="6" t="s">
        <v>56</v>
      </c>
      <c r="F43" s="6" t="s">
        <v>367</v>
      </c>
    </row>
    <row r="44" spans="1:13">
      <c r="B44" s="5" t="s">
        <v>8</v>
      </c>
    </row>
  </sheetData>
  <mergeCells count="19">
    <mergeCell ref="A32:J32"/>
    <mergeCell ref="B3:B4"/>
    <mergeCell ref="A8:J8"/>
    <mergeCell ref="A11:J11"/>
    <mergeCell ref="A14:J14"/>
    <mergeCell ref="A23:J23"/>
    <mergeCell ref="A26:J26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2021-12-28T15:57:51Z</dcterms:modified>
</cp:coreProperties>
</file>